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ada Namir\Desktop\POC\"/>
    </mc:Choice>
  </mc:AlternateContent>
  <xr:revisionPtr revIDLastSave="0" documentId="8_{7F4984B2-E1C5-47E8-B0D6-5DFDBDBE75A3}" xr6:coauthVersionLast="47" xr6:coauthVersionMax="47" xr10:uidLastSave="{00000000-0000-0000-0000-000000000000}"/>
  <bookViews>
    <workbookView xWindow="-120" yWindow="-120" windowWidth="20730" windowHeight="11160" tabRatio="599" firstSheet="9" activeTab="9" xr2:uid="{00000000-000D-0000-FFFF-FFFF00000000}"/>
  </bookViews>
  <sheets>
    <sheet name="poc 30.04.2016" sheetId="1" state="hidden" r:id="rId1"/>
    <sheet name="March 2017" sheetId="7" state="hidden" r:id="rId2"/>
    <sheet name="COST 30.092016  (3)" sheetId="5" state="hidden" r:id="rId3"/>
    <sheet name="Sheet1" sheetId="9" state="hidden" r:id="rId4"/>
    <sheet name="Revenue" sheetId="10" state="hidden" r:id="rId5"/>
    <sheet name="Closed Project " sheetId="11" state="hidden" r:id="rId6"/>
    <sheet name="Analysis" sheetId="13" state="hidden" r:id="rId7"/>
    <sheet name="Sheet2" sheetId="14" state="hidden" r:id="rId8"/>
    <sheet name="Sheet3" sheetId="15" state="hidden" r:id="rId9"/>
    <sheet name="2022" sheetId="19" r:id="rId10"/>
    <sheet name="Sheet7" sheetId="23" state="hidden" r:id="rId11"/>
    <sheet name="Sheet8" sheetId="22" state="hidden" r:id="rId12"/>
    <sheet name="May 2019 (2)" sheetId="21" state="hidden" r:id="rId13"/>
    <sheet name="Sheet6" sheetId="20" state="hidden" r:id="rId14"/>
    <sheet name="Sheet5" sheetId="17" state="hidden" r:id="rId15"/>
    <sheet name="Sheet4" sheetId="18" state="hidden" r:id="rId16"/>
  </sheets>
  <definedNames>
    <definedName name="_xlnm._FilterDatabase" localSheetId="9" hidden="1">'2022'!$A$32:$N$108</definedName>
    <definedName name="_xlnm._FilterDatabase" localSheetId="4" hidden="1">Revenue!$D$4:$F$38</definedName>
    <definedName name="_xlnm._FilterDatabase" localSheetId="3" hidden="1">Sheet1!$C$3:$F$37</definedName>
    <definedName name="_xlnm._FilterDatabase" localSheetId="7" hidden="1">Sheet2!$F$2:$J$2</definedName>
    <definedName name="_xlnm._FilterDatabase" localSheetId="15" hidden="1">Sheet4!$A$1:$A$51</definedName>
    <definedName name="_xlnm.Print_Area" localSheetId="9">'2022'!$A$31:$N$120</definedName>
    <definedName name="_xlnm.Print_Area" localSheetId="2">'COST 30.092016  (3)'!$A$79:$N$119</definedName>
    <definedName name="_xlnm.Print_Area" localSheetId="1">'March 2017'!$A$29:$P$88</definedName>
    <definedName name="_xlnm.Print_Area" localSheetId="12">'May 2019 (2)'!$A$3:$AS$39</definedName>
    <definedName name="_xlnm.Print_Area" localSheetId="14">Sheet5!$A$1:$AJ$27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6" i="19" l="1"/>
  <c r="B17" i="19"/>
  <c r="B18" i="19" s="1"/>
  <c r="B20" i="19" s="1"/>
  <c r="B29" i="19" s="1"/>
  <c r="P9" i="19" l="1"/>
  <c r="BL16" i="19"/>
  <c r="N279" i="19"/>
  <c r="BL17" i="19" s="1"/>
  <c r="BF16" i="19"/>
  <c r="B296" i="19"/>
  <c r="D296" i="19" l="1"/>
  <c r="N265" i="19"/>
  <c r="N261" i="19"/>
  <c r="N257" i="19"/>
  <c r="N249" i="19"/>
  <c r="N245" i="19"/>
  <c r="N241" i="19"/>
  <c r="N233" i="19"/>
  <c r="N229" i="19"/>
  <c r="N227" i="19"/>
  <c r="N225" i="19"/>
  <c r="N219" i="19"/>
  <c r="N217" i="19"/>
  <c r="N223" i="19"/>
  <c r="N231" i="19"/>
  <c r="N235" i="19"/>
  <c r="N239" i="19"/>
  <c r="N243" i="19"/>
  <c r="N247" i="19"/>
  <c r="N251" i="19"/>
  <c r="N255" i="19"/>
  <c r="N259" i="19"/>
  <c r="N263" i="19"/>
  <c r="N267" i="19"/>
  <c r="N271" i="19"/>
  <c r="N275" i="19"/>
  <c r="N278" i="19"/>
  <c r="N274" i="19"/>
  <c r="N277" i="19"/>
  <c r="B10" i="19"/>
  <c r="N216" i="19"/>
  <c r="N218" i="19"/>
  <c r="N220" i="19"/>
  <c r="N221" i="19"/>
  <c r="N222" i="19"/>
  <c r="N224" i="19"/>
  <c r="N226" i="19"/>
  <c r="N228" i="19"/>
  <c r="N230" i="19"/>
  <c r="N232" i="19"/>
  <c r="N234" i="19"/>
  <c r="N236" i="19"/>
  <c r="N237" i="19"/>
  <c r="N238" i="19"/>
  <c r="N240" i="19"/>
  <c r="N242" i="19"/>
  <c r="N244" i="19"/>
  <c r="N246" i="19"/>
  <c r="N248" i="19"/>
  <c r="N250" i="19"/>
  <c r="N252" i="19"/>
  <c r="N253" i="19"/>
  <c r="N254" i="19"/>
  <c r="N256" i="19"/>
  <c r="N258" i="19"/>
  <c r="N260" i="19"/>
  <c r="N262" i="19"/>
  <c r="N264" i="19"/>
  <c r="N266" i="19"/>
  <c r="N268" i="19"/>
  <c r="N269" i="19"/>
  <c r="N270" i="19"/>
  <c r="N272" i="19"/>
  <c r="N273" i="19"/>
  <c r="N276" i="19"/>
  <c r="AL10" i="19" l="1"/>
  <c r="BL18" i="19" l="1"/>
  <c r="BK10" i="19"/>
  <c r="BK16" i="19" s="1"/>
  <c r="BK6" i="19"/>
  <c r="BK11" i="19" l="1"/>
  <c r="G9" i="19" l="1"/>
  <c r="P10" i="19"/>
  <c r="P16" i="19" s="1"/>
  <c r="U10" i="19"/>
  <c r="T10" i="19"/>
  <c r="T16" i="19" s="1"/>
  <c r="S10" i="19"/>
  <c r="R10" i="19"/>
  <c r="R16" i="19" s="1"/>
  <c r="Q10" i="19"/>
  <c r="Q16" i="19" s="1"/>
  <c r="O10" i="19"/>
  <c r="O16" i="19" s="1"/>
  <c r="U6" i="19"/>
  <c r="T6" i="19"/>
  <c r="S6" i="19"/>
  <c r="R6" i="19"/>
  <c r="Q6" i="19"/>
  <c r="P6" i="19"/>
  <c r="O6" i="19"/>
  <c r="N10" i="19"/>
  <c r="N16" i="19" s="1"/>
  <c r="N6" i="19"/>
  <c r="M10" i="19"/>
  <c r="L10" i="19"/>
  <c r="L16" i="19" s="1"/>
  <c r="K10" i="19"/>
  <c r="K16" i="19" s="1"/>
  <c r="J10" i="19"/>
  <c r="I10" i="19"/>
  <c r="I16" i="19" s="1"/>
  <c r="J6" i="19"/>
  <c r="M6" i="19"/>
  <c r="L6" i="19"/>
  <c r="K6" i="19"/>
  <c r="I6" i="19"/>
  <c r="H10" i="19"/>
  <c r="H16" i="19" s="1"/>
  <c r="H6" i="19"/>
  <c r="G10" i="19"/>
  <c r="G16" i="19" s="1"/>
  <c r="F10" i="19"/>
  <c r="F16" i="19" s="1"/>
  <c r="E10" i="19"/>
  <c r="E16" i="19" s="1"/>
  <c r="G6" i="19"/>
  <c r="F6" i="19"/>
  <c r="E6" i="19"/>
  <c r="D10" i="19"/>
  <c r="D16" i="19" s="1"/>
  <c r="C10" i="19"/>
  <c r="C16" i="19" s="1"/>
  <c r="D6" i="19"/>
  <c r="C6" i="19"/>
  <c r="N308" i="19"/>
  <c r="BJ6" i="19"/>
  <c r="BI6" i="19"/>
  <c r="BH6" i="19"/>
  <c r="BG6" i="19"/>
  <c r="BF6" i="19"/>
  <c r="BE6" i="19"/>
  <c r="BD6" i="19"/>
  <c r="BJ10" i="19"/>
  <c r="BJ16" i="19" s="1"/>
  <c r="BI10" i="19"/>
  <c r="BH10" i="19"/>
  <c r="BG10" i="19"/>
  <c r="BF10" i="19"/>
  <c r="BE10" i="19"/>
  <c r="BE16" i="19" s="1"/>
  <c r="BD10" i="19"/>
  <c r="N291" i="19"/>
  <c r="N290" i="19"/>
  <c r="N287" i="19"/>
  <c r="N286" i="19"/>
  <c r="N285" i="19"/>
  <c r="N284" i="19"/>
  <c r="N289" i="19"/>
  <c r="N288" i="19"/>
  <c r="L11" i="19" l="1"/>
  <c r="L12" i="19" s="1"/>
  <c r="R11" i="19"/>
  <c r="R12" i="19" s="1"/>
  <c r="H11" i="19"/>
  <c r="H12" i="19" s="1"/>
  <c r="C11" i="19"/>
  <c r="C12" i="19" s="1"/>
  <c r="Q11" i="19"/>
  <c r="Q12" i="19" s="1"/>
  <c r="J16" i="19"/>
  <c r="J11" i="19"/>
  <c r="J12" i="19" s="1"/>
  <c r="O11" i="19"/>
  <c r="O12" i="19" s="1"/>
  <c r="F11" i="19"/>
  <c r="F12" i="19" s="1"/>
  <c r="M11" i="19"/>
  <c r="M12" i="19" s="1"/>
  <c r="E11" i="19"/>
  <c r="E12" i="19" s="1"/>
  <c r="G11" i="19"/>
  <c r="G12" i="19" s="1"/>
  <c r="P11" i="19"/>
  <c r="P12" i="19" s="1"/>
  <c r="D11" i="19"/>
  <c r="D12" i="19" s="1"/>
  <c r="N11" i="19"/>
  <c r="N12" i="19" s="1"/>
  <c r="T11" i="19"/>
  <c r="T12" i="19" s="1"/>
  <c r="U16" i="19"/>
  <c r="U11" i="19"/>
  <c r="U12" i="19" s="1"/>
  <c r="S16" i="19"/>
  <c r="S11" i="19"/>
  <c r="S12" i="19" s="1"/>
  <c r="I11" i="19"/>
  <c r="I12" i="19" s="1"/>
  <c r="K11" i="19"/>
  <c r="K12" i="19" s="1"/>
  <c r="M16" i="19"/>
  <c r="BJ11" i="19"/>
  <c r="BJ12" i="19" s="1"/>
  <c r="BE11" i="19"/>
  <c r="BE12" i="19" s="1"/>
  <c r="BI16" i="19"/>
  <c r="BH16" i="19"/>
  <c r="BH11" i="19"/>
  <c r="BH12" i="19" s="1"/>
  <c r="BG16" i="19"/>
  <c r="BG11" i="19"/>
  <c r="BG12" i="19" s="1"/>
  <c r="BF11" i="19"/>
  <c r="BD11" i="19"/>
  <c r="BD12" i="19" s="1"/>
  <c r="BD16" i="19"/>
  <c r="BI11" i="19"/>
  <c r="BI12" i="19" s="1"/>
  <c r="BL10" i="19" l="1"/>
  <c r="BL6" i="19"/>
  <c r="BL20" i="19" s="1"/>
  <c r="BM10" i="19"/>
  <c r="BM16" i="19" s="1"/>
  <c r="BM6" i="19"/>
  <c r="BN10" i="19"/>
  <c r="BN6" i="19"/>
  <c r="BO6" i="19"/>
  <c r="BL29" i="19" l="1"/>
  <c r="BL11" i="19"/>
  <c r="BL12" i="19" s="1"/>
  <c r="BM11" i="19"/>
  <c r="BM12" i="19" s="1"/>
  <c r="BN11" i="19"/>
  <c r="BP28" i="19" l="1"/>
  <c r="BP27" i="19"/>
  <c r="BP26" i="19"/>
  <c r="BP25" i="19"/>
  <c r="BP24" i="19"/>
  <c r="BP23" i="19"/>
  <c r="BP22" i="19"/>
  <c r="BP21" i="19"/>
  <c r="BP5" i="19"/>
  <c r="AS6" i="19" l="1"/>
  <c r="AR6" i="19"/>
  <c r="AQ6" i="19"/>
  <c r="AP6" i="19"/>
  <c r="AO6" i="19"/>
  <c r="AN6" i="19"/>
  <c r="AM6" i="19"/>
  <c r="AL6" i="19"/>
  <c r="AK6" i="19"/>
  <c r="AJ6" i="19"/>
  <c r="AI6" i="19"/>
  <c r="AH6" i="19"/>
  <c r="AG6" i="19"/>
  <c r="AF6" i="19"/>
  <c r="AE6" i="19"/>
  <c r="AD6" i="19"/>
  <c r="AC6" i="19"/>
  <c r="AB6" i="19"/>
  <c r="AA6" i="19"/>
  <c r="Z6" i="19"/>
  <c r="Y6" i="19"/>
  <c r="X6" i="19"/>
  <c r="W6" i="19"/>
  <c r="V6" i="19"/>
  <c r="Z10" i="19" l="1"/>
  <c r="AC10" i="19"/>
  <c r="AB10" i="19"/>
  <c r="AA10" i="19"/>
  <c r="X10" i="19"/>
  <c r="W10" i="19"/>
  <c r="AA11" i="19" l="1"/>
  <c r="AA12" i="19" s="1"/>
  <c r="W11" i="19"/>
  <c r="W12" i="19" s="1"/>
  <c r="X11" i="19"/>
  <c r="X12" i="19" s="1"/>
  <c r="AC11" i="19"/>
  <c r="AC12" i="19" s="1"/>
  <c r="Z11" i="19"/>
  <c r="Z12" i="19" s="1"/>
  <c r="AB11" i="19"/>
  <c r="AB12" i="19" s="1"/>
  <c r="AK10" i="19"/>
  <c r="AJ10" i="19"/>
  <c r="AI10" i="19"/>
  <c r="AH10" i="19"/>
  <c r="AG10" i="19"/>
  <c r="AF10" i="19"/>
  <c r="AE10" i="19"/>
  <c r="AD10" i="19"/>
  <c r="B6" i="19"/>
  <c r="B11" i="19" s="1"/>
  <c r="B12" i="19" s="1"/>
  <c r="N193" i="19"/>
  <c r="N192" i="19"/>
  <c r="N191" i="19"/>
  <c r="N190" i="19"/>
  <c r="N189" i="19"/>
  <c r="N188" i="19"/>
  <c r="AE11" i="19" l="1"/>
  <c r="AE12" i="19" s="1"/>
  <c r="AK11" i="19"/>
  <c r="AK12" i="19" s="1"/>
  <c r="AF11" i="19"/>
  <c r="AF12" i="19" s="1"/>
  <c r="AG11" i="19"/>
  <c r="AG12" i="19" s="1"/>
  <c r="AH11" i="19"/>
  <c r="AH12" i="19" s="1"/>
  <c r="AI11" i="19"/>
  <c r="AI12" i="19" s="1"/>
  <c r="AD11" i="19"/>
  <c r="AD12" i="19" s="1"/>
  <c r="AJ11" i="19"/>
  <c r="AJ12" i="19" s="1"/>
  <c r="AL16" i="19"/>
  <c r="AL11" i="19"/>
  <c r="AL12" i="19" s="1"/>
  <c r="BO14" i="19" l="1"/>
  <c r="BN29" i="19" l="1"/>
  <c r="BO10" i="19" l="1"/>
  <c r="N283" i="19"/>
  <c r="N282" i="19"/>
  <c r="N281" i="19"/>
  <c r="N280" i="19"/>
  <c r="N92" i="19"/>
  <c r="N93" i="19"/>
  <c r="N94" i="19"/>
  <c r="N95" i="19"/>
  <c r="N96" i="19"/>
  <c r="N97" i="19"/>
  <c r="N98" i="19"/>
  <c r="N99" i="19"/>
  <c r="N100" i="19"/>
  <c r="N101" i="19"/>
  <c r="N102" i="19"/>
  <c r="N103" i="19"/>
  <c r="AY10" i="19"/>
  <c r="AZ10" i="19"/>
  <c r="BA10" i="19"/>
  <c r="BB10" i="19"/>
  <c r="BB16" i="19" s="1"/>
  <c r="BC10" i="19"/>
  <c r="BB6" i="19"/>
  <c r="BC6" i="19"/>
  <c r="BO11" i="19" l="1"/>
  <c r="BC16" i="19"/>
  <c r="AZ16" i="19"/>
  <c r="AY16" i="19"/>
  <c r="BA16" i="19"/>
  <c r="BB11" i="19"/>
  <c r="BB12" i="19" s="1"/>
  <c r="BC11" i="19"/>
  <c r="BC12" i="19" s="1"/>
  <c r="BO29" i="19" l="1"/>
  <c r="AX10" i="19" l="1"/>
  <c r="AX16" i="19" l="1"/>
  <c r="K195" i="19"/>
  <c r="L195" i="19"/>
  <c r="M195" i="19"/>
  <c r="B195" i="19"/>
  <c r="C195" i="19"/>
  <c r="D195" i="19"/>
  <c r="E195" i="19"/>
  <c r="F195" i="19"/>
  <c r="G195" i="19"/>
  <c r="H195" i="19"/>
  <c r="I195" i="19"/>
  <c r="BI17" i="19" l="1"/>
  <c r="BI18" i="19" s="1"/>
  <c r="BI20" i="19" s="1"/>
  <c r="BI29" i="19" s="1"/>
  <c r="AW10" i="19"/>
  <c r="AR10" i="19"/>
  <c r="AS10" i="19"/>
  <c r="AT10" i="19"/>
  <c r="AU10" i="19"/>
  <c r="AV10" i="19"/>
  <c r="AT6" i="19"/>
  <c r="AU6" i="19"/>
  <c r="AV6" i="19"/>
  <c r="AV16" i="19" l="1"/>
  <c r="AU16" i="19"/>
  <c r="AT16" i="19"/>
  <c r="AW16" i="19"/>
  <c r="AS16" i="19"/>
  <c r="AS11" i="19"/>
  <c r="AS12" i="19" s="1"/>
  <c r="AR16" i="19"/>
  <c r="AR11" i="19"/>
  <c r="AR12" i="19" s="1"/>
  <c r="AV11" i="19"/>
  <c r="AU11" i="19"/>
  <c r="AU12" i="19" s="1"/>
  <c r="AT11" i="19"/>
  <c r="AT12" i="19" s="1"/>
  <c r="I296" i="19"/>
  <c r="J296" i="19"/>
  <c r="K296" i="19"/>
  <c r="L296" i="19"/>
  <c r="M296" i="19"/>
  <c r="H296" i="19"/>
  <c r="C296" i="19"/>
  <c r="E296" i="19"/>
  <c r="G296" i="19"/>
  <c r="AV12" i="19" l="1"/>
  <c r="N182" i="19"/>
  <c r="N186" i="19"/>
  <c r="N183" i="19"/>
  <c r="N78" i="19"/>
  <c r="N79" i="19"/>
  <c r="N80" i="19"/>
  <c r="N81" i="19"/>
  <c r="N82" i="19"/>
  <c r="N83" i="19"/>
  <c r="N84" i="19"/>
  <c r="N85" i="19"/>
  <c r="N86" i="19"/>
  <c r="N87" i="19"/>
  <c r="N88" i="19"/>
  <c r="N89" i="19"/>
  <c r="N90" i="19"/>
  <c r="N91" i="19"/>
  <c r="N185" i="19" l="1"/>
  <c r="N187" i="19"/>
  <c r="N184" i="19"/>
  <c r="AM10" i="19"/>
  <c r="AM16" i="19" s="1"/>
  <c r="AN10" i="19"/>
  <c r="AO10" i="19"/>
  <c r="AP10" i="19"/>
  <c r="AQ10" i="19"/>
  <c r="AO11" i="19" l="1"/>
  <c r="AO12" i="19" s="1"/>
  <c r="AP11" i="19"/>
  <c r="AP12" i="19" s="1"/>
  <c r="AQ16" i="19"/>
  <c r="AQ11" i="19"/>
  <c r="AN16" i="19"/>
  <c r="AN11" i="19"/>
  <c r="AN12" i="19" s="1"/>
  <c r="AM11" i="19"/>
  <c r="AM12" i="19" s="1"/>
  <c r="AP16" i="19"/>
  <c r="AO16" i="19"/>
  <c r="AQ12" i="19" l="1"/>
  <c r="N179" i="19"/>
  <c r="N180" i="19"/>
  <c r="N177" i="19"/>
  <c r="N181" i="19" l="1"/>
  <c r="N178" i="19"/>
  <c r="N176" i="19" l="1"/>
  <c r="AI16" i="19" l="1"/>
  <c r="AK16" i="19"/>
  <c r="AF16" i="19"/>
  <c r="AG16" i="19"/>
  <c r="AH16" i="19"/>
  <c r="AJ16" i="19" l="1"/>
  <c r="N172" i="19" l="1"/>
  <c r="N169" i="19"/>
  <c r="N170" i="19"/>
  <c r="N175" i="19"/>
  <c r="N171" i="19"/>
  <c r="N173" i="19"/>
  <c r="N168" i="19" l="1"/>
  <c r="N174" i="19"/>
  <c r="N77" i="19" l="1"/>
  <c r="B104" i="19" l="1"/>
  <c r="C104" i="19"/>
  <c r="D104" i="19"/>
  <c r="E104" i="19"/>
  <c r="F104" i="19"/>
  <c r="G104" i="19"/>
  <c r="H104" i="19"/>
  <c r="I104" i="19"/>
  <c r="J104" i="19"/>
  <c r="K104" i="19"/>
  <c r="L104" i="19"/>
  <c r="M104" i="19"/>
  <c r="AE16" i="19" l="1"/>
  <c r="N76" i="19" l="1"/>
  <c r="AD16" i="19" l="1"/>
  <c r="N75" i="19"/>
  <c r="N74" i="19"/>
  <c r="N73" i="19" l="1"/>
  <c r="AC16" i="19"/>
  <c r="N72" i="19" l="1"/>
  <c r="AB16" i="19" l="1"/>
  <c r="K309" i="19" l="1"/>
  <c r="AA16" i="19" l="1"/>
  <c r="N71" i="19"/>
  <c r="N70" i="19"/>
  <c r="N69" i="19"/>
  <c r="Z16" i="19" l="1"/>
  <c r="N68" i="19" l="1"/>
  <c r="N67" i="19"/>
  <c r="N66" i="19"/>
  <c r="N65" i="19"/>
  <c r="X16" i="19" l="1"/>
  <c r="W16" i="19"/>
  <c r="N40" i="19" l="1"/>
  <c r="N64" i="19" l="1"/>
  <c r="N63" i="19" l="1"/>
  <c r="N62" i="19" l="1"/>
  <c r="N61" i="19"/>
  <c r="N60" i="19"/>
  <c r="N59" i="19" l="1"/>
  <c r="M309" i="19" l="1"/>
  <c r="N36" i="19"/>
  <c r="N37" i="19"/>
  <c r="N38" i="19"/>
  <c r="N39" i="19"/>
  <c r="N41" i="19"/>
  <c r="N42" i="19"/>
  <c r="N43" i="19"/>
  <c r="N44" i="19"/>
  <c r="N45" i="19"/>
  <c r="N46" i="19"/>
  <c r="N47" i="19"/>
  <c r="N48" i="19"/>
  <c r="N49" i="19"/>
  <c r="N50" i="19"/>
  <c r="N51" i="19"/>
  <c r="N52" i="19"/>
  <c r="N53" i="19"/>
  <c r="N54" i="19"/>
  <c r="N55" i="19"/>
  <c r="N56" i="19"/>
  <c r="N57" i="19"/>
  <c r="N58" i="19"/>
  <c r="N35" i="19"/>
  <c r="N107" i="19"/>
  <c r="N108" i="19"/>
  <c r="N106" i="19"/>
  <c r="C317" i="19"/>
  <c r="D317" i="19"/>
  <c r="E317" i="19"/>
  <c r="F317" i="19"/>
  <c r="G317" i="19"/>
  <c r="H317" i="19"/>
  <c r="I317" i="19"/>
  <c r="J317" i="19"/>
  <c r="K317" i="19"/>
  <c r="L317" i="19"/>
  <c r="M317" i="19"/>
  <c r="E309" i="19"/>
  <c r="F309" i="19"/>
  <c r="G309" i="19"/>
  <c r="H309" i="19"/>
  <c r="L309" i="19"/>
  <c r="N104" i="19" l="1"/>
  <c r="H318" i="19"/>
  <c r="N110" i="19"/>
  <c r="N163" i="19" l="1"/>
  <c r="N165" i="19"/>
  <c r="J309" i="19" l="1"/>
  <c r="N161" i="19" l="1"/>
  <c r="N160" i="19"/>
  <c r="N159" i="19"/>
  <c r="N162" i="19" l="1"/>
  <c r="N158" i="19"/>
  <c r="I309" i="19"/>
  <c r="I110" i="19" l="1"/>
  <c r="J110" i="19"/>
  <c r="K110" i="19"/>
  <c r="L110" i="19"/>
  <c r="M110" i="19"/>
  <c r="N157" i="19" l="1"/>
  <c r="N155" i="19" l="1"/>
  <c r="N156" i="19"/>
  <c r="N274" i="21"/>
  <c r="M274" i="21"/>
  <c r="L274" i="21"/>
  <c r="K274" i="21"/>
  <c r="J274" i="21"/>
  <c r="I274" i="21"/>
  <c r="H274" i="21"/>
  <c r="G274" i="21"/>
  <c r="F274" i="21"/>
  <c r="E274" i="21"/>
  <c r="D274" i="21"/>
  <c r="C274" i="21"/>
  <c r="B274" i="21"/>
  <c r="N264" i="21"/>
  <c r="M264" i="21"/>
  <c r="L264" i="21"/>
  <c r="K264" i="21"/>
  <c r="J264" i="21"/>
  <c r="I264" i="21"/>
  <c r="H264" i="21"/>
  <c r="G264" i="21"/>
  <c r="F264" i="21"/>
  <c r="E264" i="21"/>
  <c r="D264" i="21"/>
  <c r="C264" i="21"/>
  <c r="B264" i="21"/>
  <c r="A263" i="21"/>
  <c r="A262" i="21"/>
  <c r="A261" i="21"/>
  <c r="A260" i="21"/>
  <c r="A259" i="21"/>
  <c r="A258" i="21"/>
  <c r="A257" i="21"/>
  <c r="A256" i="21"/>
  <c r="A255" i="21"/>
  <c r="A254" i="21"/>
  <c r="A253" i="21"/>
  <c r="A252" i="21"/>
  <c r="A251" i="21"/>
  <c r="A250" i="21"/>
  <c r="N248" i="21"/>
  <c r="M248" i="21"/>
  <c r="L248" i="21"/>
  <c r="K248" i="21"/>
  <c r="J248" i="21"/>
  <c r="I248" i="21"/>
  <c r="H248" i="21"/>
  <c r="G248" i="21"/>
  <c r="F248" i="21"/>
  <c r="E248" i="21"/>
  <c r="D248" i="21"/>
  <c r="C248" i="21"/>
  <c r="B248" i="21"/>
  <c r="N244" i="21"/>
  <c r="M244" i="21"/>
  <c r="L244" i="21"/>
  <c r="K244" i="21"/>
  <c r="J244" i="21"/>
  <c r="I244" i="21"/>
  <c r="H244" i="21"/>
  <c r="G244" i="21"/>
  <c r="F244" i="21"/>
  <c r="E244" i="21"/>
  <c r="D244" i="21"/>
  <c r="C244" i="21"/>
  <c r="B244" i="21"/>
  <c r="M240" i="21"/>
  <c r="L240" i="21"/>
  <c r="K240" i="21"/>
  <c r="J240" i="21"/>
  <c r="I240" i="21"/>
  <c r="H240" i="21"/>
  <c r="G240" i="21"/>
  <c r="F240" i="21"/>
  <c r="E240" i="21"/>
  <c r="D240" i="21"/>
  <c r="C240" i="21"/>
  <c r="B240" i="21"/>
  <c r="N239" i="21"/>
  <c r="A239" i="21"/>
  <c r="N238" i="21"/>
  <c r="A238" i="21"/>
  <c r="N237" i="21"/>
  <c r="A237" i="21"/>
  <c r="N236" i="21"/>
  <c r="A236" i="21"/>
  <c r="N235" i="21"/>
  <c r="A235" i="21"/>
  <c r="A234" i="21"/>
  <c r="M232" i="21"/>
  <c r="L232" i="21"/>
  <c r="K232" i="21"/>
  <c r="J232" i="21"/>
  <c r="I232" i="21"/>
  <c r="H232" i="21"/>
  <c r="G232" i="21"/>
  <c r="F232" i="21"/>
  <c r="E232" i="21"/>
  <c r="D231" i="21"/>
  <c r="D232" i="21" s="1"/>
  <c r="C231" i="21"/>
  <c r="C232" i="21" s="1"/>
  <c r="B231" i="21"/>
  <c r="B232" i="21" s="1"/>
  <c r="N230" i="21"/>
  <c r="N229" i="21"/>
  <c r="A229" i="21"/>
  <c r="A273" i="21" s="1"/>
  <c r="N228" i="21"/>
  <c r="A228" i="21"/>
  <c r="N227" i="21"/>
  <c r="A227" i="21"/>
  <c r="A272" i="21" s="1"/>
  <c r="N226" i="21"/>
  <c r="A226" i="21"/>
  <c r="A271" i="21" s="1"/>
  <c r="N225" i="21"/>
  <c r="A225" i="21"/>
  <c r="A270" i="21" s="1"/>
  <c r="N224" i="21"/>
  <c r="A224" i="21"/>
  <c r="A269" i="21" s="1"/>
  <c r="N223" i="21"/>
  <c r="A223" i="21"/>
  <c r="A268" i="21" s="1"/>
  <c r="N222" i="21"/>
  <c r="A222" i="21"/>
  <c r="A267" i="21" s="1"/>
  <c r="N221" i="21"/>
  <c r="A221" i="21"/>
  <c r="A266" i="21" s="1"/>
  <c r="A220" i="21"/>
  <c r="M219" i="21"/>
  <c r="L219" i="21"/>
  <c r="K219" i="21"/>
  <c r="J219" i="21"/>
  <c r="I219" i="21"/>
  <c r="H219" i="21"/>
  <c r="G219" i="21"/>
  <c r="E219" i="21"/>
  <c r="D219" i="21"/>
  <c r="C219" i="21"/>
  <c r="B219" i="21"/>
  <c r="N218" i="21"/>
  <c r="AT16" i="21" s="1"/>
  <c r="AT11" i="21" s="1"/>
  <c r="AT12" i="21" s="1"/>
  <c r="AT18" i="21" s="1"/>
  <c r="N217" i="21"/>
  <c r="AS34" i="21" s="1"/>
  <c r="N216" i="21"/>
  <c r="AR34" i="21" s="1"/>
  <c r="N215" i="21"/>
  <c r="AQ34" i="21" s="1"/>
  <c r="N214" i="21"/>
  <c r="AP16" i="21" s="1"/>
  <c r="AP36" i="21" s="1"/>
  <c r="N213" i="21"/>
  <c r="AO16" i="21" s="1"/>
  <c r="AO36" i="21" s="1"/>
  <c r="N212" i="21"/>
  <c r="AN34" i="21" s="1"/>
  <c r="N211" i="21"/>
  <c r="AM34" i="21" s="1"/>
  <c r="N210" i="21"/>
  <c r="AL34" i="21" s="1"/>
  <c r="N209" i="21"/>
  <c r="AK34" i="21" s="1"/>
  <c r="N208" i="21"/>
  <c r="AJ34" i="21" s="1"/>
  <c r="N207" i="21"/>
  <c r="AI34" i="21" s="1"/>
  <c r="N206" i="21"/>
  <c r="AH16" i="21" s="1"/>
  <c r="AH36" i="21" s="1"/>
  <c r="N205" i="21"/>
  <c r="AG34" i="21" s="1"/>
  <c r="N204" i="21"/>
  <c r="AF34" i="21" s="1"/>
  <c r="N203" i="21"/>
  <c r="AE34" i="21" s="1"/>
  <c r="N202" i="21"/>
  <c r="AD34" i="21" s="1"/>
  <c r="N201" i="21"/>
  <c r="AC34" i="21" s="1"/>
  <c r="N200" i="21"/>
  <c r="AB34" i="21" s="1"/>
  <c r="N199" i="21"/>
  <c r="AA34" i="21" s="1"/>
  <c r="N198" i="21"/>
  <c r="Z16" i="21" s="1"/>
  <c r="Z36" i="21" s="1"/>
  <c r="N197" i="21"/>
  <c r="Y16" i="21" s="1"/>
  <c r="Y36" i="21" s="1"/>
  <c r="N196" i="21"/>
  <c r="X34" i="21" s="1"/>
  <c r="N195" i="21"/>
  <c r="W34" i="21" s="1"/>
  <c r="N194" i="21"/>
  <c r="V34" i="21" s="1"/>
  <c r="N193" i="21"/>
  <c r="U34" i="21" s="1"/>
  <c r="N192" i="21"/>
  <c r="T34" i="21" s="1"/>
  <c r="N191" i="21"/>
  <c r="S34" i="21" s="1"/>
  <c r="N190" i="21"/>
  <c r="R16" i="21" s="1"/>
  <c r="N189" i="21"/>
  <c r="Q34" i="21" s="1"/>
  <c r="N188" i="21"/>
  <c r="P34" i="21" s="1"/>
  <c r="N187" i="21"/>
  <c r="O34" i="21" s="1"/>
  <c r="N186" i="21"/>
  <c r="N34" i="21" s="1"/>
  <c r="N185" i="21"/>
  <c r="M34" i="21" s="1"/>
  <c r="N184" i="21"/>
  <c r="L34" i="21" s="1"/>
  <c r="N183" i="21"/>
  <c r="K34" i="21" s="1"/>
  <c r="N182" i="21"/>
  <c r="J16" i="21" s="1"/>
  <c r="J36" i="21" s="1"/>
  <c r="F181" i="21"/>
  <c r="N181" i="21" s="1"/>
  <c r="I16" i="21" s="1"/>
  <c r="I36" i="21" s="1"/>
  <c r="N180" i="21"/>
  <c r="H34" i="21" s="1"/>
  <c r="N179" i="21"/>
  <c r="G34" i="21" s="1"/>
  <c r="N178" i="21"/>
  <c r="F34" i="21" s="1"/>
  <c r="N177" i="21"/>
  <c r="E34" i="21" s="1"/>
  <c r="N176" i="21"/>
  <c r="D34" i="21" s="1"/>
  <c r="N175" i="21"/>
  <c r="C34" i="21" s="1"/>
  <c r="N174" i="21"/>
  <c r="B16" i="21" s="1"/>
  <c r="B36" i="21" s="1"/>
  <c r="N171" i="21"/>
  <c r="M168" i="21"/>
  <c r="L168" i="21"/>
  <c r="K168" i="21"/>
  <c r="J168" i="21"/>
  <c r="I168" i="21"/>
  <c r="H168" i="21"/>
  <c r="G168" i="21"/>
  <c r="F168" i="21"/>
  <c r="E168" i="21"/>
  <c r="D168" i="21"/>
  <c r="C168" i="21"/>
  <c r="B168" i="21"/>
  <c r="N167" i="21"/>
  <c r="N166" i="21"/>
  <c r="N165" i="21"/>
  <c r="N164" i="21"/>
  <c r="N163" i="21"/>
  <c r="A163" i="21"/>
  <c r="N162" i="21"/>
  <c r="A162" i="21"/>
  <c r="N161" i="21"/>
  <c r="A161" i="21"/>
  <c r="N160" i="21"/>
  <c r="A160" i="21"/>
  <c r="N159" i="21"/>
  <c r="A159" i="21"/>
  <c r="N158" i="21"/>
  <c r="A158" i="21"/>
  <c r="N157" i="21"/>
  <c r="A157" i="21"/>
  <c r="N156" i="21"/>
  <c r="A156" i="21"/>
  <c r="M154" i="21"/>
  <c r="M169" i="21" s="1"/>
  <c r="L154" i="21"/>
  <c r="L169" i="21" s="1"/>
  <c r="K154" i="21"/>
  <c r="K169" i="21" s="1"/>
  <c r="J154" i="21"/>
  <c r="I154" i="21"/>
  <c r="H154" i="21"/>
  <c r="H169" i="21" s="1"/>
  <c r="G154" i="21"/>
  <c r="G169" i="21" s="1"/>
  <c r="E154" i="21"/>
  <c r="D154" i="21"/>
  <c r="C154" i="21"/>
  <c r="B154" i="21"/>
  <c r="M101" i="21"/>
  <c r="L101" i="21"/>
  <c r="K101" i="21"/>
  <c r="J101" i="21"/>
  <c r="I101" i="21"/>
  <c r="H101" i="21"/>
  <c r="G101" i="21"/>
  <c r="F101" i="21"/>
  <c r="E101" i="21"/>
  <c r="D101" i="21"/>
  <c r="C101" i="21"/>
  <c r="B101" i="21"/>
  <c r="N99" i="21"/>
  <c r="N98" i="21"/>
  <c r="N97" i="21"/>
  <c r="N96" i="21"/>
  <c r="M94" i="21"/>
  <c r="L94" i="21"/>
  <c r="K94" i="21"/>
  <c r="J94" i="21"/>
  <c r="I94" i="21"/>
  <c r="H94" i="21"/>
  <c r="G94" i="21"/>
  <c r="F94" i="21"/>
  <c r="E94" i="21"/>
  <c r="D94" i="21"/>
  <c r="C94" i="21"/>
  <c r="B94" i="21"/>
  <c r="N93" i="21"/>
  <c r="N92" i="21"/>
  <c r="Q90" i="21"/>
  <c r="O90" i="21"/>
  <c r="M90" i="21"/>
  <c r="M102" i="21" s="1"/>
  <c r="L90" i="21"/>
  <c r="K90" i="21"/>
  <c r="K102" i="21" s="1"/>
  <c r="J90" i="21"/>
  <c r="I90" i="21"/>
  <c r="I102" i="21" s="1"/>
  <c r="H90" i="21"/>
  <c r="H102" i="21" s="1"/>
  <c r="G90" i="21"/>
  <c r="F90" i="21"/>
  <c r="F102" i="21" s="1"/>
  <c r="E90" i="21"/>
  <c r="E102" i="21" s="1"/>
  <c r="D90" i="21"/>
  <c r="C90" i="21"/>
  <c r="C102" i="21" s="1"/>
  <c r="B90" i="21"/>
  <c r="B103" i="21" s="1"/>
  <c r="P89" i="21"/>
  <c r="R89" i="21" s="1"/>
  <c r="N89" i="21"/>
  <c r="P88" i="21"/>
  <c r="R88" i="21" s="1"/>
  <c r="N88" i="21"/>
  <c r="P87" i="21"/>
  <c r="R87" i="21" s="1"/>
  <c r="N87" i="21"/>
  <c r="P86" i="21"/>
  <c r="R86" i="21" s="1"/>
  <c r="N86" i="21"/>
  <c r="P85" i="21"/>
  <c r="R85" i="21" s="1"/>
  <c r="N85" i="21"/>
  <c r="P84" i="21"/>
  <c r="R84" i="21" s="1"/>
  <c r="N84" i="21"/>
  <c r="P83" i="21"/>
  <c r="R83" i="21" s="1"/>
  <c r="N83" i="21"/>
  <c r="P82" i="21"/>
  <c r="R82" i="21" s="1"/>
  <c r="N82" i="21"/>
  <c r="P81" i="21"/>
  <c r="R81" i="21" s="1"/>
  <c r="N81" i="21"/>
  <c r="P80" i="21"/>
  <c r="R80" i="21" s="1"/>
  <c r="N80" i="21"/>
  <c r="P79" i="21"/>
  <c r="R79" i="21" s="1"/>
  <c r="N79" i="21"/>
  <c r="P78" i="21"/>
  <c r="R78" i="21" s="1"/>
  <c r="N78" i="21"/>
  <c r="P77" i="21"/>
  <c r="R77" i="21" s="1"/>
  <c r="N77" i="21"/>
  <c r="P76" i="21"/>
  <c r="R76" i="21" s="1"/>
  <c r="N76" i="21"/>
  <c r="P75" i="21"/>
  <c r="R75" i="21" s="1"/>
  <c r="N75" i="21"/>
  <c r="P74" i="21"/>
  <c r="R74" i="21" s="1"/>
  <c r="N74" i="21"/>
  <c r="P73" i="21"/>
  <c r="R73" i="21" s="1"/>
  <c r="N73" i="21"/>
  <c r="P72" i="21"/>
  <c r="R72" i="21" s="1"/>
  <c r="N72" i="21"/>
  <c r="P71" i="21"/>
  <c r="R71" i="21" s="1"/>
  <c r="N71" i="21"/>
  <c r="P70" i="21"/>
  <c r="R70" i="21" s="1"/>
  <c r="N70" i="21"/>
  <c r="P69" i="21"/>
  <c r="R69" i="21" s="1"/>
  <c r="N69" i="21"/>
  <c r="P68" i="21"/>
  <c r="R68" i="21" s="1"/>
  <c r="N68" i="21"/>
  <c r="P67" i="21"/>
  <c r="R67" i="21" s="1"/>
  <c r="N67" i="21"/>
  <c r="P66" i="21"/>
  <c r="R66" i="21" s="1"/>
  <c r="N66" i="21"/>
  <c r="P65" i="21"/>
  <c r="R65" i="21" s="1"/>
  <c r="N65" i="21"/>
  <c r="P64" i="21"/>
  <c r="R64" i="21" s="1"/>
  <c r="N64" i="21"/>
  <c r="P63" i="21"/>
  <c r="R63" i="21" s="1"/>
  <c r="N63" i="21"/>
  <c r="P62" i="21"/>
  <c r="R62" i="21" s="1"/>
  <c r="N62" i="21"/>
  <c r="P61" i="21"/>
  <c r="R61" i="21" s="1"/>
  <c r="N61" i="21"/>
  <c r="P60" i="21"/>
  <c r="R60" i="21" s="1"/>
  <c r="N60" i="21"/>
  <c r="P59" i="21"/>
  <c r="R59" i="21" s="1"/>
  <c r="N59" i="21"/>
  <c r="P58" i="21"/>
  <c r="R58" i="21" s="1"/>
  <c r="N58" i="21"/>
  <c r="P57" i="21"/>
  <c r="R57" i="21" s="1"/>
  <c r="N57" i="21"/>
  <c r="P56" i="21"/>
  <c r="R56" i="21" s="1"/>
  <c r="N56" i="21"/>
  <c r="P55" i="21"/>
  <c r="R55" i="21" s="1"/>
  <c r="N55" i="21"/>
  <c r="P54" i="21"/>
  <c r="R54" i="21" s="1"/>
  <c r="N54" i="21"/>
  <c r="P53" i="21"/>
  <c r="R53" i="21" s="1"/>
  <c r="N53" i="21"/>
  <c r="P52" i="21"/>
  <c r="R52" i="21" s="1"/>
  <c r="N52" i="21"/>
  <c r="P51" i="21"/>
  <c r="R51" i="21" s="1"/>
  <c r="N51" i="21"/>
  <c r="P50" i="21"/>
  <c r="R50" i="21" s="1"/>
  <c r="N50" i="21"/>
  <c r="P49" i="21"/>
  <c r="R49" i="21" s="1"/>
  <c r="N49" i="21"/>
  <c r="P48" i="21"/>
  <c r="R48" i="21" s="1"/>
  <c r="N48" i="21"/>
  <c r="P47" i="21"/>
  <c r="R47" i="21" s="1"/>
  <c r="N47" i="21"/>
  <c r="P46" i="21"/>
  <c r="R46" i="21" s="1"/>
  <c r="N46" i="21"/>
  <c r="P45" i="21"/>
  <c r="R45" i="21" s="1"/>
  <c r="N45" i="21"/>
  <c r="AU29" i="21"/>
  <c r="AU28" i="21"/>
  <c r="AU27" i="21"/>
  <c r="AU26" i="21"/>
  <c r="AU25" i="21"/>
  <c r="AU24" i="21"/>
  <c r="AU23" i="21"/>
  <c r="AU17" i="21"/>
  <c r="AQ16" i="21"/>
  <c r="AQ36" i="21" s="1"/>
  <c r="AI16" i="21"/>
  <c r="AI36" i="21" s="1"/>
  <c r="AE16" i="21"/>
  <c r="W16" i="21"/>
  <c r="W36" i="21" s="1"/>
  <c r="V16" i="21"/>
  <c r="N16" i="21"/>
  <c r="N11" i="21" s="1"/>
  <c r="N12" i="21" s="1"/>
  <c r="N18" i="21" s="1"/>
  <c r="K16" i="21"/>
  <c r="K36" i="21" s="1"/>
  <c r="AU15" i="21"/>
  <c r="AR12" i="21"/>
  <c r="AR18" i="21" s="1"/>
  <c r="AQ12" i="21"/>
  <c r="AQ18" i="21" s="1"/>
  <c r="AP12" i="21"/>
  <c r="AP18" i="21" s="1"/>
  <c r="AO12" i="21"/>
  <c r="AO18" i="21" s="1"/>
  <c r="AM12" i="21"/>
  <c r="AM18" i="21" s="1"/>
  <c r="AI12" i="21"/>
  <c r="AI18" i="21" s="1"/>
  <c r="AG12" i="21"/>
  <c r="AG18" i="21" s="1"/>
  <c r="AE12" i="21"/>
  <c r="AE18" i="21" s="1"/>
  <c r="AB12" i="21"/>
  <c r="AB18" i="21" s="1"/>
  <c r="AN11" i="21"/>
  <c r="AN12" i="21" s="1"/>
  <c r="AN18" i="21" s="1"/>
  <c r="AJ11" i="21"/>
  <c r="AJ12" i="21" s="1"/>
  <c r="AH11" i="21"/>
  <c r="AH12" i="21" s="1"/>
  <c r="AF11" i="21"/>
  <c r="AF12" i="21" s="1"/>
  <c r="AF18" i="21" s="1"/>
  <c r="AD11" i="21"/>
  <c r="AD12" i="21" s="1"/>
  <c r="AD18" i="21" s="1"/>
  <c r="AC11" i="21"/>
  <c r="AC12" i="21" s="1"/>
  <c r="AC18" i="21" s="1"/>
  <c r="AA11" i="21"/>
  <c r="AA12" i="21" s="1"/>
  <c r="AA18" i="21" s="1"/>
  <c r="Z11" i="21"/>
  <c r="Z12" i="21" s="1"/>
  <c r="Z18" i="21" s="1"/>
  <c r="Y11" i="21"/>
  <c r="Y12" i="21" s="1"/>
  <c r="Y18" i="21" s="1"/>
  <c r="X11" i="21"/>
  <c r="X12" i="21" s="1"/>
  <c r="X18" i="21" s="1"/>
  <c r="W11" i="21"/>
  <c r="W12" i="21" s="1"/>
  <c r="W18" i="21" s="1"/>
  <c r="V11" i="21"/>
  <c r="V12" i="21" s="1"/>
  <c r="V18" i="21" s="1"/>
  <c r="T11" i="21"/>
  <c r="T12" i="21" s="1"/>
  <c r="T18" i="21" s="1"/>
  <c r="S11" i="21"/>
  <c r="S12" i="21" s="1"/>
  <c r="S18" i="21" s="1"/>
  <c r="Q11" i="21"/>
  <c r="Q12" i="21" s="1"/>
  <c r="Q18" i="21" s="1"/>
  <c r="O11" i="21"/>
  <c r="O12" i="21" s="1"/>
  <c r="O18" i="21" s="1"/>
  <c r="M11" i="21"/>
  <c r="M12" i="21" s="1"/>
  <c r="M18" i="21" s="1"/>
  <c r="L11" i="21"/>
  <c r="L12" i="21" s="1"/>
  <c r="L18" i="21" s="1"/>
  <c r="J11" i="21"/>
  <c r="J12" i="21" s="1"/>
  <c r="J18" i="21" s="1"/>
  <c r="I11" i="21"/>
  <c r="I12" i="21" s="1"/>
  <c r="I18" i="21" s="1"/>
  <c r="H11" i="21"/>
  <c r="H12" i="21" s="1"/>
  <c r="H18" i="21" s="1"/>
  <c r="G11" i="21"/>
  <c r="G12" i="21" s="1"/>
  <c r="G18" i="21" s="1"/>
  <c r="E11" i="21"/>
  <c r="D11" i="21"/>
  <c r="D12" i="21" s="1"/>
  <c r="D18" i="21" s="1"/>
  <c r="C11" i="21"/>
  <c r="C12" i="21" s="1"/>
  <c r="C18" i="21" s="1"/>
  <c r="B11" i="21"/>
  <c r="B12" i="21" s="1"/>
  <c r="B18" i="21" s="1"/>
  <c r="U10" i="21"/>
  <c r="AR8" i="21"/>
  <c r="AQ8" i="21"/>
  <c r="AQ13" i="21" s="1"/>
  <c r="AQ14" i="21" s="1"/>
  <c r="AP8" i="21"/>
  <c r="AP13" i="21" s="1"/>
  <c r="AP14" i="21" s="1"/>
  <c r="AO8" i="21"/>
  <c r="AM8" i="21"/>
  <c r="AJ8" i="21"/>
  <c r="AI8" i="21"/>
  <c r="AG8" i="21"/>
  <c r="AB8" i="21"/>
  <c r="V8" i="21"/>
  <c r="K8" i="21"/>
  <c r="AT7" i="21"/>
  <c r="AT8" i="21" s="1"/>
  <c r="AS7" i="21"/>
  <c r="AS8" i="21" s="1"/>
  <c r="AN7" i="21"/>
  <c r="AN8" i="21" s="1"/>
  <c r="AL7" i="21"/>
  <c r="AL8" i="21" s="1"/>
  <c r="AK7" i="21"/>
  <c r="AK8" i="21" s="1"/>
  <c r="AH7" i="21"/>
  <c r="AH8" i="21" s="1"/>
  <c r="AF7" i="21"/>
  <c r="AF8" i="21" s="1"/>
  <c r="AE7" i="21"/>
  <c r="AE8" i="21" s="1"/>
  <c r="AD7" i="21"/>
  <c r="AD8" i="21" s="1"/>
  <c r="AC7" i="21"/>
  <c r="AC8" i="21" s="1"/>
  <c r="AA7" i="21"/>
  <c r="AA8" i="21" s="1"/>
  <c r="Z7" i="21"/>
  <c r="Z8" i="21" s="1"/>
  <c r="Y7" i="21"/>
  <c r="Y8" i="21" s="1"/>
  <c r="X7" i="21"/>
  <c r="X8" i="21" s="1"/>
  <c r="W7" i="21"/>
  <c r="W8" i="21" s="1"/>
  <c r="U7" i="21"/>
  <c r="U8" i="21" s="1"/>
  <c r="T7" i="21"/>
  <c r="T8" i="21" s="1"/>
  <c r="S7" i="21"/>
  <c r="S8" i="21" s="1"/>
  <c r="R7" i="21"/>
  <c r="R8" i="21" s="1"/>
  <c r="Q7" i="21"/>
  <c r="Q8" i="21" s="1"/>
  <c r="P7" i="21"/>
  <c r="P8" i="21" s="1"/>
  <c r="O7" i="21"/>
  <c r="O8" i="21" s="1"/>
  <c r="N7" i="21"/>
  <c r="N8" i="21" s="1"/>
  <c r="M7" i="21"/>
  <c r="M8" i="21" s="1"/>
  <c r="L7" i="21"/>
  <c r="L8" i="21" s="1"/>
  <c r="J7" i="21"/>
  <c r="J8" i="21" s="1"/>
  <c r="I7" i="21"/>
  <c r="I8" i="21" s="1"/>
  <c r="H7" i="21"/>
  <c r="H8" i="21" s="1"/>
  <c r="G7" i="21"/>
  <c r="G8" i="21" s="1"/>
  <c r="F7" i="21"/>
  <c r="F8" i="21" s="1"/>
  <c r="E7" i="21"/>
  <c r="E8" i="21" s="1"/>
  <c r="D7" i="21"/>
  <c r="D8" i="21" s="1"/>
  <c r="C7" i="21"/>
  <c r="C8" i="21" s="1"/>
  <c r="B7" i="21"/>
  <c r="B8" i="21" s="1"/>
  <c r="AU6" i="21"/>
  <c r="N167" i="19" l="1"/>
  <c r="B275" i="21"/>
  <c r="J275" i="21"/>
  <c r="O13" i="21"/>
  <c r="O14" i="21" s="1"/>
  <c r="AB13" i="21"/>
  <c r="AB14" i="21" s="1"/>
  <c r="AR13" i="21"/>
  <c r="AR14" i="21" s="1"/>
  <c r="AA16" i="21"/>
  <c r="AA36" i="21" s="1"/>
  <c r="O16" i="21"/>
  <c r="C16" i="21"/>
  <c r="C36" i="21" s="1"/>
  <c r="AS16" i="21"/>
  <c r="AS36" i="21" s="1"/>
  <c r="F16" i="21"/>
  <c r="F11" i="21" s="1"/>
  <c r="F12" i="21" s="1"/>
  <c r="F18" i="21" s="1"/>
  <c r="C169" i="21"/>
  <c r="AI13" i="21"/>
  <c r="AI14" i="21" s="1"/>
  <c r="G16" i="21"/>
  <c r="G36" i="21" s="1"/>
  <c r="S16" i="21"/>
  <c r="AD16" i="21"/>
  <c r="AD36" i="21" s="1"/>
  <c r="AM16" i="21"/>
  <c r="AM36" i="21" s="1"/>
  <c r="C241" i="21"/>
  <c r="H241" i="21"/>
  <c r="L241" i="21"/>
  <c r="D275" i="21"/>
  <c r="L275" i="21"/>
  <c r="AL16" i="21"/>
  <c r="G241" i="21"/>
  <c r="N13" i="21"/>
  <c r="N14" i="21" s="1"/>
  <c r="AN16" i="21"/>
  <c r="AN36" i="21" s="1"/>
  <c r="H16" i="21"/>
  <c r="H19" i="21" s="1"/>
  <c r="H20" i="21" s="1"/>
  <c r="H22" i="21" s="1"/>
  <c r="H30" i="21" s="1"/>
  <c r="M241" i="21"/>
  <c r="AG13" i="21"/>
  <c r="AG14" i="21" s="1"/>
  <c r="AO13" i="21"/>
  <c r="AO14" i="21" s="1"/>
  <c r="U16" i="21"/>
  <c r="U36" i="21" s="1"/>
  <c r="E241" i="21"/>
  <c r="I241" i="21"/>
  <c r="AA13" i="21"/>
  <c r="AA14" i="21" s="1"/>
  <c r="L16" i="21"/>
  <c r="AK16" i="21"/>
  <c r="AK36" i="21" s="1"/>
  <c r="K11" i="21"/>
  <c r="K12" i="21" s="1"/>
  <c r="K18" i="21" s="1"/>
  <c r="M16" i="21"/>
  <c r="M36" i="21" s="1"/>
  <c r="AC13" i="21"/>
  <c r="AC14" i="21" s="1"/>
  <c r="C13" i="21"/>
  <c r="C14" i="21" s="1"/>
  <c r="D16" i="21"/>
  <c r="D36" i="21" s="1"/>
  <c r="AB16" i="21"/>
  <c r="AB19" i="21" s="1"/>
  <c r="AB20" i="21" s="1"/>
  <c r="AB22" i="21" s="1"/>
  <c r="AB30" i="21" s="1"/>
  <c r="AJ16" i="21"/>
  <c r="AJ19" i="21" s="1"/>
  <c r="S13" i="21"/>
  <c r="S14" i="21" s="1"/>
  <c r="E16" i="21"/>
  <c r="E36" i="21" s="1"/>
  <c r="AC16" i="21"/>
  <c r="AC36" i="21" s="1"/>
  <c r="J103" i="21"/>
  <c r="J243" i="21" s="1"/>
  <c r="T16" i="21"/>
  <c r="T36" i="21" s="1"/>
  <c r="AR16" i="21"/>
  <c r="AR36" i="21" s="1"/>
  <c r="H13" i="21"/>
  <c r="H14" i="21" s="1"/>
  <c r="AE19" i="21"/>
  <c r="AE20" i="21" s="1"/>
  <c r="AE22" i="21" s="1"/>
  <c r="AE30" i="21" s="1"/>
  <c r="AE33" i="21" s="1"/>
  <c r="E169" i="21"/>
  <c r="D241" i="21"/>
  <c r="AF16" i="21"/>
  <c r="AF19" i="21" s="1"/>
  <c r="AF20" i="21" s="1"/>
  <c r="AF22" i="21" s="1"/>
  <c r="AF30" i="21" s="1"/>
  <c r="D103" i="21"/>
  <c r="D104" i="21" s="1"/>
  <c r="X16" i="21"/>
  <c r="X36" i="21" s="1"/>
  <c r="I103" i="21"/>
  <c r="I243" i="21" s="1"/>
  <c r="AE13" i="21"/>
  <c r="AE14" i="21" s="1"/>
  <c r="N101" i="21"/>
  <c r="M103" i="21"/>
  <c r="M243" i="21" s="1"/>
  <c r="B169" i="21"/>
  <c r="H275" i="21"/>
  <c r="P16" i="21"/>
  <c r="P11" i="21" s="1"/>
  <c r="P12" i="21" s="1"/>
  <c r="P18" i="21" s="1"/>
  <c r="N94" i="21"/>
  <c r="R36" i="21"/>
  <c r="R11" i="21"/>
  <c r="R12" i="21" s="1"/>
  <c r="R19" i="21" s="1"/>
  <c r="AF13" i="21"/>
  <c r="AF14" i="21" s="1"/>
  <c r="J169" i="21"/>
  <c r="G275" i="21"/>
  <c r="Y13" i="21"/>
  <c r="Y14" i="21" s="1"/>
  <c r="L103" i="21"/>
  <c r="L243" i="21" s="1"/>
  <c r="F219" i="21"/>
  <c r="F241" i="21" s="1"/>
  <c r="AM13" i="21"/>
  <c r="AM14" i="21" s="1"/>
  <c r="AO34" i="21"/>
  <c r="I13" i="21"/>
  <c r="I14" i="21" s="1"/>
  <c r="AN13" i="21"/>
  <c r="AN14" i="21" s="1"/>
  <c r="B102" i="21"/>
  <c r="D169" i="21"/>
  <c r="B276" i="21"/>
  <c r="B34" i="21"/>
  <c r="J34" i="21"/>
  <c r="R34" i="21"/>
  <c r="Z34" i="21"/>
  <c r="AH34" i="21"/>
  <c r="AP34" i="21"/>
  <c r="X13" i="21"/>
  <c r="X14" i="21" s="1"/>
  <c r="Q13" i="21"/>
  <c r="Q14" i="21" s="1"/>
  <c r="N240" i="21"/>
  <c r="I275" i="21"/>
  <c r="I34" i="21"/>
  <c r="Y34" i="21"/>
  <c r="B13" i="21"/>
  <c r="B14" i="21" s="1"/>
  <c r="J13" i="21"/>
  <c r="J14" i="21" s="1"/>
  <c r="Q16" i="21"/>
  <c r="Q36" i="21" s="1"/>
  <c r="AG16" i="21"/>
  <c r="AG36" i="21" s="1"/>
  <c r="C275" i="21"/>
  <c r="K275" i="21"/>
  <c r="L13" i="21"/>
  <c r="L14" i="21" s="1"/>
  <c r="T13" i="21"/>
  <c r="T14" i="21" s="1"/>
  <c r="J102" i="21"/>
  <c r="N168" i="21"/>
  <c r="I169" i="21"/>
  <c r="N231" i="21"/>
  <c r="N232" i="21" s="1"/>
  <c r="Z13" i="21"/>
  <c r="Z14" i="21" s="1"/>
  <c r="E103" i="21"/>
  <c r="E243" i="21" s="1"/>
  <c r="K241" i="21"/>
  <c r="E275" i="21"/>
  <c r="M275" i="21"/>
  <c r="D13" i="21"/>
  <c r="D14" i="21" s="1"/>
  <c r="V13" i="21"/>
  <c r="V14" i="21" s="1"/>
  <c r="AT13" i="21"/>
  <c r="AT14" i="21" s="1"/>
  <c r="AJ18" i="21"/>
  <c r="AJ13" i="21"/>
  <c r="AJ14" i="21" s="1"/>
  <c r="F13" i="21"/>
  <c r="F14" i="21" s="1"/>
  <c r="W13" i="21"/>
  <c r="W14" i="21" s="1"/>
  <c r="AH18" i="21"/>
  <c r="AH19" i="21"/>
  <c r="AH13" i="21"/>
  <c r="AH14" i="21" s="1"/>
  <c r="G13" i="21"/>
  <c r="G14" i="21" s="1"/>
  <c r="M13" i="21"/>
  <c r="M14" i="21" s="1"/>
  <c r="AD13" i="21"/>
  <c r="AD14" i="21" s="1"/>
  <c r="AL36" i="21"/>
  <c r="B19" i="21"/>
  <c r="B20" i="21" s="1"/>
  <c r="B22" i="21" s="1"/>
  <c r="Y19" i="21"/>
  <c r="Y20" i="21" s="1"/>
  <c r="Y22" i="21" s="1"/>
  <c r="Y30" i="21" s="1"/>
  <c r="H36" i="21"/>
  <c r="AE36" i="21"/>
  <c r="G102" i="21"/>
  <c r="G103" i="21"/>
  <c r="J241" i="21"/>
  <c r="F36" i="21"/>
  <c r="F19" i="21"/>
  <c r="F20" i="21" s="1"/>
  <c r="F22" i="21" s="1"/>
  <c r="F30" i="21" s="1"/>
  <c r="AP19" i="21"/>
  <c r="AP20" i="21" s="1"/>
  <c r="AP22" i="21" s="1"/>
  <c r="AP30" i="21" s="1"/>
  <c r="P90" i="21"/>
  <c r="R90" i="21" s="1"/>
  <c r="AU7" i="21"/>
  <c r="AU8" i="21" s="1"/>
  <c r="AU10" i="21"/>
  <c r="Z19" i="21"/>
  <c r="Z20" i="21" s="1"/>
  <c r="Z22" i="21" s="1"/>
  <c r="Z30" i="21" s="1"/>
  <c r="O19" i="21"/>
  <c r="O20" i="21" s="1"/>
  <c r="O22" i="21" s="1"/>
  <c r="O30" i="21" s="1"/>
  <c r="W19" i="21"/>
  <c r="W20" i="21" s="1"/>
  <c r="W22" i="21" s="1"/>
  <c r="W30" i="21" s="1"/>
  <c r="AL11" i="21"/>
  <c r="AL12" i="21" s="1"/>
  <c r="AL18" i="21" s="1"/>
  <c r="E12" i="21"/>
  <c r="E18" i="21" s="1"/>
  <c r="I19" i="21"/>
  <c r="I20" i="21" s="1"/>
  <c r="I22" i="21" s="1"/>
  <c r="I30" i="21" s="1"/>
  <c r="O36" i="21"/>
  <c r="B241" i="21"/>
  <c r="B242" i="21" s="1"/>
  <c r="B243" i="21" s="1"/>
  <c r="V36" i="21"/>
  <c r="V19" i="21"/>
  <c r="V20" i="21" s="1"/>
  <c r="V22" i="21" s="1"/>
  <c r="V30" i="21" s="1"/>
  <c r="S19" i="21"/>
  <c r="S20" i="21" s="1"/>
  <c r="S22" i="21" s="1"/>
  <c r="S30" i="21" s="1"/>
  <c r="AA19" i="21"/>
  <c r="AA20" i="21" s="1"/>
  <c r="AA22" i="21" s="1"/>
  <c r="AA30" i="21" s="1"/>
  <c r="AI19" i="21"/>
  <c r="AI20" i="21" s="1"/>
  <c r="AI22" i="21" s="1"/>
  <c r="AI30" i="21" s="1"/>
  <c r="AQ19" i="21"/>
  <c r="AQ20" i="21" s="1"/>
  <c r="AQ22" i="21" s="1"/>
  <c r="AQ30" i="21" s="1"/>
  <c r="J19" i="21"/>
  <c r="J20" i="21" s="1"/>
  <c r="J22" i="21" s="1"/>
  <c r="J30" i="21" s="1"/>
  <c r="B104" i="21"/>
  <c r="N219" i="21"/>
  <c r="F275" i="21"/>
  <c r="N275" i="21"/>
  <c r="AD19" i="21"/>
  <c r="AD20" i="21" s="1"/>
  <c r="AD22" i="21" s="1"/>
  <c r="AD30" i="21" s="1"/>
  <c r="G19" i="21"/>
  <c r="G20" i="21" s="1"/>
  <c r="G22" i="21" s="1"/>
  <c r="G30" i="21" s="1"/>
  <c r="AS11" i="21"/>
  <c r="AS12" i="21" s="1"/>
  <c r="AS18" i="21" s="1"/>
  <c r="D19" i="21"/>
  <c r="D20" i="21" s="1"/>
  <c r="D22" i="21" s="1"/>
  <c r="D30" i="21" s="1"/>
  <c r="L36" i="21"/>
  <c r="L19" i="21"/>
  <c r="L20" i="21" s="1"/>
  <c r="L22" i="21" s="1"/>
  <c r="L30" i="21" s="1"/>
  <c r="AJ36" i="21"/>
  <c r="S36" i="21"/>
  <c r="N90" i="21"/>
  <c r="N36" i="21"/>
  <c r="N19" i="21"/>
  <c r="N20" i="21" s="1"/>
  <c r="N22" i="21" s="1"/>
  <c r="N30" i="21" s="1"/>
  <c r="AT36" i="21"/>
  <c r="AT19" i="21"/>
  <c r="AT20" i="21" s="1"/>
  <c r="AT22" i="21" s="1"/>
  <c r="AT30" i="21" s="1"/>
  <c r="AO19" i="21"/>
  <c r="AO20" i="21" s="1"/>
  <c r="AO22" i="21" s="1"/>
  <c r="AO30" i="21" s="1"/>
  <c r="D102" i="21"/>
  <c r="L102" i="21"/>
  <c r="H103" i="21"/>
  <c r="C103" i="21"/>
  <c r="K103" i="21"/>
  <c r="R18" i="21" l="1"/>
  <c r="AG19" i="21"/>
  <c r="AG20" i="21" s="1"/>
  <c r="AG22" i="21" s="1"/>
  <c r="AG30" i="21" s="1"/>
  <c r="M104" i="21"/>
  <c r="AK11" i="21"/>
  <c r="AK12" i="21" s="1"/>
  <c r="AK18" i="21" s="1"/>
  <c r="AM19" i="21"/>
  <c r="AM20" i="21" s="1"/>
  <c r="AM22" i="21" s="1"/>
  <c r="AM30" i="21" s="1"/>
  <c r="AM31" i="21" s="1"/>
  <c r="J104" i="21"/>
  <c r="C19" i="21"/>
  <c r="C20" i="21" s="1"/>
  <c r="C22" i="21" s="1"/>
  <c r="C30" i="21" s="1"/>
  <c r="E104" i="21"/>
  <c r="AR19" i="21"/>
  <c r="AR20" i="21" s="1"/>
  <c r="AR22" i="21" s="1"/>
  <c r="AR30" i="21" s="1"/>
  <c r="AB36" i="21"/>
  <c r="AF36" i="21"/>
  <c r="AN19" i="21"/>
  <c r="AN20" i="21" s="1"/>
  <c r="AN22" i="21" s="1"/>
  <c r="AN30" i="21" s="1"/>
  <c r="F147" i="21" s="1"/>
  <c r="N147" i="21" s="1"/>
  <c r="R13" i="21"/>
  <c r="R14" i="21" s="1"/>
  <c r="M19" i="21"/>
  <c r="M20" i="21" s="1"/>
  <c r="M22" i="21" s="1"/>
  <c r="M30" i="21" s="1"/>
  <c r="F120" i="21" s="1"/>
  <c r="N120" i="21" s="1"/>
  <c r="AC19" i="21"/>
  <c r="AC20" i="21" s="1"/>
  <c r="AC22" i="21" s="1"/>
  <c r="AC30" i="21" s="1"/>
  <c r="AC31" i="21" s="1"/>
  <c r="I104" i="21"/>
  <c r="K19" i="21"/>
  <c r="K20" i="21" s="1"/>
  <c r="K22" i="21" s="1"/>
  <c r="K30" i="21" s="1"/>
  <c r="F118" i="21" s="1"/>
  <c r="N118" i="21" s="1"/>
  <c r="K13" i="21"/>
  <c r="K14" i="21" s="1"/>
  <c r="U11" i="21"/>
  <c r="U12" i="21" s="1"/>
  <c r="U19" i="21" s="1"/>
  <c r="N241" i="21"/>
  <c r="N102" i="21"/>
  <c r="X19" i="21"/>
  <c r="X20" i="21" s="1"/>
  <c r="X22" i="21" s="1"/>
  <c r="X30" i="21" s="1"/>
  <c r="F131" i="21" s="1"/>
  <c r="N131" i="21" s="1"/>
  <c r="L104" i="21"/>
  <c r="T19" i="21"/>
  <c r="T20" i="21" s="1"/>
  <c r="T22" i="21" s="1"/>
  <c r="T30" i="21" s="1"/>
  <c r="T33" i="21" s="1"/>
  <c r="T38" i="21" s="1"/>
  <c r="AU16" i="21"/>
  <c r="AU36" i="21" s="1"/>
  <c r="Q19" i="21"/>
  <c r="Q20" i="21" s="1"/>
  <c r="Q22" i="21" s="1"/>
  <c r="Q30" i="21" s="1"/>
  <c r="F124" i="21" s="1"/>
  <c r="N124" i="21" s="1"/>
  <c r="D242" i="21"/>
  <c r="D243" i="21" s="1"/>
  <c r="P36" i="21"/>
  <c r="P19" i="21"/>
  <c r="P20" i="21" s="1"/>
  <c r="P22" i="21" s="1"/>
  <c r="P30" i="21" s="1"/>
  <c r="P33" i="21" s="1"/>
  <c r="P13" i="21"/>
  <c r="P14" i="21" s="1"/>
  <c r="E13" i="21"/>
  <c r="E14" i="21" s="1"/>
  <c r="AM33" i="21"/>
  <c r="AM38" i="21" s="1"/>
  <c r="AH20" i="21"/>
  <c r="AH22" i="21" s="1"/>
  <c r="AH30" i="21" s="1"/>
  <c r="F141" i="21" s="1"/>
  <c r="N141" i="21" s="1"/>
  <c r="F138" i="21"/>
  <c r="N138" i="21" s="1"/>
  <c r="AS13" i="21"/>
  <c r="AS14" i="21" s="1"/>
  <c r="AE31" i="21"/>
  <c r="R20" i="21"/>
  <c r="R22" i="21" s="1"/>
  <c r="R30" i="21" s="1"/>
  <c r="F125" i="21" s="1"/>
  <c r="N125" i="21" s="1"/>
  <c r="AQ33" i="21"/>
  <c r="AQ38" i="21" s="1"/>
  <c r="F150" i="21"/>
  <c r="N150" i="21" s="1"/>
  <c r="AQ31" i="21"/>
  <c r="F149" i="21"/>
  <c r="N149" i="21" s="1"/>
  <c r="AP33" i="21"/>
  <c r="AP38" i="21" s="1"/>
  <c r="AP31" i="21"/>
  <c r="AA33" i="21"/>
  <c r="AA38" i="21" s="1"/>
  <c r="F134" i="21"/>
  <c r="N134" i="21" s="1"/>
  <c r="AA31" i="21"/>
  <c r="F113" i="21"/>
  <c r="N113" i="21" s="1"/>
  <c r="F33" i="21"/>
  <c r="F38" i="21" s="1"/>
  <c r="F31" i="21"/>
  <c r="B30" i="21"/>
  <c r="W31" i="21"/>
  <c r="F130" i="21"/>
  <c r="N130" i="21" s="1"/>
  <c r="W33" i="21"/>
  <c r="W38" i="21" s="1"/>
  <c r="O31" i="21"/>
  <c r="F122" i="21"/>
  <c r="N122" i="21" s="1"/>
  <c r="O33" i="21"/>
  <c r="O38" i="21" s="1"/>
  <c r="F137" i="21"/>
  <c r="N137" i="21" s="1"/>
  <c r="AD31" i="21"/>
  <c r="AD33" i="21"/>
  <c r="AD38" i="21" s="1"/>
  <c r="S33" i="21"/>
  <c r="S38" i="21" s="1"/>
  <c r="F126" i="21"/>
  <c r="N126" i="21" s="1"/>
  <c r="S31" i="21"/>
  <c r="AN33" i="21"/>
  <c r="AN38" i="21" s="1"/>
  <c r="D33" i="21"/>
  <c r="D38" i="21" s="1"/>
  <c r="F111" i="21"/>
  <c r="N111" i="21" s="1"/>
  <c r="D31" i="21"/>
  <c r="AI33" i="21"/>
  <c r="AI38" i="21" s="1"/>
  <c r="F142" i="21"/>
  <c r="N142" i="21" s="1"/>
  <c r="AI31" i="21"/>
  <c r="F148" i="21"/>
  <c r="N148" i="21" s="1"/>
  <c r="AO31" i="21"/>
  <c r="AO33" i="21"/>
  <c r="AO38" i="21" s="1"/>
  <c r="F133" i="21"/>
  <c r="N133" i="21" s="1"/>
  <c r="Z33" i="21"/>
  <c r="Z38" i="21" s="1"/>
  <c r="Z31" i="21"/>
  <c r="AF31" i="21"/>
  <c r="F139" i="21"/>
  <c r="N139" i="21" s="1"/>
  <c r="AF33" i="21"/>
  <c r="F117" i="21"/>
  <c r="N117" i="21" s="1"/>
  <c r="J33" i="21"/>
  <c r="J38" i="21" s="1"/>
  <c r="J31" i="21"/>
  <c r="AB33" i="21"/>
  <c r="F135" i="21"/>
  <c r="N135" i="21" s="1"/>
  <c r="AB31" i="21"/>
  <c r="AR33" i="21"/>
  <c r="AR38" i="21" s="1"/>
  <c r="F151" i="21"/>
  <c r="N151" i="21" s="1"/>
  <c r="AR31" i="21"/>
  <c r="L33" i="21"/>
  <c r="L38" i="21" s="1"/>
  <c r="F119" i="21"/>
  <c r="N119" i="21" s="1"/>
  <c r="L31" i="21"/>
  <c r="X31" i="21"/>
  <c r="F153" i="21"/>
  <c r="N153" i="21" s="1"/>
  <c r="AT33" i="21"/>
  <c r="AT38" i="21" s="1"/>
  <c r="F140" i="21"/>
  <c r="N140" i="21" s="1"/>
  <c r="AG31" i="21"/>
  <c r="AG33" i="21"/>
  <c r="AG38" i="21" s="1"/>
  <c r="G31" i="21"/>
  <c r="F114" i="21"/>
  <c r="N114" i="21" s="1"/>
  <c r="G33" i="21"/>
  <c r="G38" i="21" s="1"/>
  <c r="F129" i="21"/>
  <c r="N129" i="21" s="1"/>
  <c r="V33" i="21"/>
  <c r="V38" i="21" s="1"/>
  <c r="V31" i="21"/>
  <c r="K243" i="21"/>
  <c r="K104" i="21"/>
  <c r="AS19" i="21"/>
  <c r="AS20" i="21" s="1"/>
  <c r="AS22" i="21" s="1"/>
  <c r="AS30" i="21" s="1"/>
  <c r="H31" i="21"/>
  <c r="F115" i="21"/>
  <c r="N115" i="21" s="1"/>
  <c r="H33" i="21"/>
  <c r="H38" i="21" s="1"/>
  <c r="C242" i="21"/>
  <c r="C243" i="21" s="1"/>
  <c r="C104" i="21"/>
  <c r="E19" i="21"/>
  <c r="E20" i="21" s="1"/>
  <c r="E22" i="21" s="1"/>
  <c r="AL19" i="21"/>
  <c r="AL20" i="21" s="1"/>
  <c r="AL22" i="21" s="1"/>
  <c r="AL30" i="21" s="1"/>
  <c r="F121" i="21"/>
  <c r="N121" i="21" s="1"/>
  <c r="N33" i="21"/>
  <c r="N38" i="21" s="1"/>
  <c r="N31" i="21"/>
  <c r="C33" i="21"/>
  <c r="C38" i="21" s="1"/>
  <c r="F110" i="21"/>
  <c r="N110" i="21" s="1"/>
  <c r="C31" i="21"/>
  <c r="H243" i="21"/>
  <c r="H104" i="21"/>
  <c r="F132" i="21"/>
  <c r="N132" i="21" s="1"/>
  <c r="Y31" i="21"/>
  <c r="Y33" i="21"/>
  <c r="Y38" i="21" s="1"/>
  <c r="AK13" i="21"/>
  <c r="AK14" i="21" s="1"/>
  <c r="AJ20" i="21"/>
  <c r="AJ22" i="21" s="1"/>
  <c r="AJ30" i="21" s="1"/>
  <c r="AE38" i="21"/>
  <c r="F116" i="21"/>
  <c r="N116" i="21" s="1"/>
  <c r="I31" i="21"/>
  <c r="I33" i="21"/>
  <c r="I38" i="21" s="1"/>
  <c r="G243" i="21"/>
  <c r="G104" i="21"/>
  <c r="AL13" i="21"/>
  <c r="AL14" i="21" s="1"/>
  <c r="AH31" i="21" l="1"/>
  <c r="AH33" i="21"/>
  <c r="AH38" i="21" s="1"/>
  <c r="F123" i="21"/>
  <c r="N123" i="21" s="1"/>
  <c r="AC33" i="21"/>
  <c r="AC38" i="21" s="1"/>
  <c r="U18" i="21"/>
  <c r="P31" i="21"/>
  <c r="F136" i="21"/>
  <c r="N136" i="21" s="1"/>
  <c r="AU11" i="21"/>
  <c r="AU12" i="21" s="1"/>
  <c r="AU18" i="21" s="1"/>
  <c r="M33" i="21"/>
  <c r="M38" i="21" s="1"/>
  <c r="AN31" i="21"/>
  <c r="F146" i="21"/>
  <c r="N146" i="21" s="1"/>
  <c r="AK19" i="21"/>
  <c r="AK20" i="21" s="1"/>
  <c r="AK22" i="21" s="1"/>
  <c r="AK30" i="21" s="1"/>
  <c r="F144" i="21" s="1"/>
  <c r="N144" i="21" s="1"/>
  <c r="T31" i="21"/>
  <c r="M31" i="21"/>
  <c r="P38" i="21"/>
  <c r="F127" i="21"/>
  <c r="N127" i="21" s="1"/>
  <c r="AB38" i="21"/>
  <c r="AF38" i="21"/>
  <c r="AU31" i="21"/>
  <c r="U13" i="21"/>
  <c r="U14" i="21" s="1"/>
  <c r="N166" i="19"/>
  <c r="X33" i="21"/>
  <c r="X38" i="21" s="1"/>
  <c r="Q33" i="21"/>
  <c r="Q38" i="21" s="1"/>
  <c r="Q31" i="21"/>
  <c r="K33" i="21"/>
  <c r="K38" i="21" s="1"/>
  <c r="U20" i="21"/>
  <c r="U22" i="21" s="1"/>
  <c r="U30" i="21" s="1"/>
  <c r="K31" i="21"/>
  <c r="R31" i="21"/>
  <c r="R33" i="21"/>
  <c r="R38" i="21" s="1"/>
  <c r="E30" i="21"/>
  <c r="F145" i="21"/>
  <c r="N145" i="21" s="1"/>
  <c r="AL33" i="21"/>
  <c r="AL38" i="21" s="1"/>
  <c r="AL31" i="21"/>
  <c r="AJ33" i="21"/>
  <c r="AJ38" i="21" s="1"/>
  <c r="F143" i="21"/>
  <c r="N143" i="21" s="1"/>
  <c r="AJ31" i="21"/>
  <c r="AK31" i="21"/>
  <c r="AK33" i="21"/>
  <c r="AK38" i="21" s="1"/>
  <c r="F109" i="21"/>
  <c r="B33" i="21"/>
  <c r="B31" i="21"/>
  <c r="F152" i="21"/>
  <c r="N152" i="21" s="1"/>
  <c r="AS33" i="21"/>
  <c r="AS38" i="21" s="1"/>
  <c r="AU19" i="21" l="1"/>
  <c r="AU20" i="21" s="1"/>
  <c r="AU13" i="21"/>
  <c r="AU14" i="21" s="1"/>
  <c r="N164" i="19"/>
  <c r="AU22" i="21"/>
  <c r="F128" i="21"/>
  <c r="N128" i="21" s="1"/>
  <c r="U33" i="21"/>
  <c r="U38" i="21" s="1"/>
  <c r="U31" i="21"/>
  <c r="Q39" i="21"/>
  <c r="F112" i="21"/>
  <c r="N112" i="21" s="1"/>
  <c r="E31" i="21"/>
  <c r="E33" i="21"/>
  <c r="E38" i="21" s="1"/>
  <c r="AU30" i="21"/>
  <c r="BW31" i="21" s="1"/>
  <c r="N109" i="21"/>
  <c r="B38" i="21"/>
  <c r="AU33" i="21" l="1"/>
  <c r="AU38" i="21" s="1"/>
  <c r="N154" i="21"/>
  <c r="N169" i="21" s="1"/>
  <c r="F154" i="21"/>
  <c r="F103" i="21" l="1"/>
  <c r="F169" i="21"/>
  <c r="F243" i="21" l="1"/>
  <c r="F104" i="21"/>
  <c r="N103" i="21"/>
  <c r="O105" i="21" l="1"/>
  <c r="N243" i="21"/>
  <c r="N104" i="21"/>
  <c r="O241" i="21"/>
  <c r="O219" i="21"/>
  <c r="P219" i="21" s="1"/>
  <c r="O103" i="21"/>
  <c r="O278" i="21" l="1"/>
  <c r="O279" i="21" s="1"/>
  <c r="O242" i="21"/>
  <c r="D309" i="19" l="1"/>
  <c r="C309" i="19" l="1"/>
  <c r="N154" i="19" l="1"/>
  <c r="B309" i="19"/>
  <c r="N153" i="19" l="1"/>
  <c r="N152" i="19"/>
  <c r="N150" i="19"/>
  <c r="N151" i="19"/>
  <c r="C3" i="20"/>
  <c r="D3" i="20" s="1"/>
  <c r="C4" i="20"/>
  <c r="D4" i="20" s="1"/>
  <c r="C5" i="20"/>
  <c r="D5" i="20" s="1"/>
  <c r="C6" i="20"/>
  <c r="D6" i="20" s="1"/>
  <c r="C7" i="20"/>
  <c r="D7" i="20" s="1"/>
  <c r="C8" i="20"/>
  <c r="D8" i="20" s="1"/>
  <c r="C9" i="20"/>
  <c r="D9" i="20" s="1"/>
  <c r="C10" i="20"/>
  <c r="D10" i="20" s="1"/>
  <c r="C11" i="20"/>
  <c r="D11" i="20" s="1"/>
  <c r="C12" i="20"/>
  <c r="D12" i="20" s="1"/>
  <c r="C13" i="20"/>
  <c r="D13" i="20" s="1"/>
  <c r="C14" i="20"/>
  <c r="D14" i="20" s="1"/>
  <c r="C15" i="20"/>
  <c r="D15" i="20" s="1"/>
  <c r="C16" i="20"/>
  <c r="D16" i="20" s="1"/>
  <c r="C17" i="20"/>
  <c r="D17" i="20" s="1"/>
  <c r="C18" i="20"/>
  <c r="D18" i="20" s="1"/>
  <c r="C19" i="20"/>
  <c r="D19" i="20" s="1"/>
  <c r="C20" i="20"/>
  <c r="D20" i="20" s="1"/>
  <c r="C21" i="20"/>
  <c r="D21" i="20" s="1"/>
  <c r="C22" i="20"/>
  <c r="D22" i="20" s="1"/>
  <c r="C23" i="20"/>
  <c r="D23" i="20" s="1"/>
  <c r="C24" i="20"/>
  <c r="D24" i="20" s="1"/>
  <c r="C25" i="20"/>
  <c r="D25" i="20" s="1"/>
  <c r="C26" i="20"/>
  <c r="D26" i="20" s="1"/>
  <c r="C27" i="20"/>
  <c r="D27" i="20" s="1"/>
  <c r="C28" i="20"/>
  <c r="D28" i="20" s="1"/>
  <c r="C29" i="20"/>
  <c r="D29" i="20" s="1"/>
  <c r="C30" i="20"/>
  <c r="D30" i="20" s="1"/>
  <c r="C31" i="20"/>
  <c r="D31" i="20" s="1"/>
  <c r="C32" i="20"/>
  <c r="D32" i="20" s="1"/>
  <c r="C33" i="20"/>
  <c r="D33" i="20" s="1"/>
  <c r="C34" i="20"/>
  <c r="D34" i="20" s="1"/>
  <c r="C35" i="20"/>
  <c r="D35" i="20" s="1"/>
  <c r="C36" i="20"/>
  <c r="D36" i="20" s="1"/>
  <c r="C37" i="20"/>
  <c r="D37" i="20" s="1"/>
  <c r="C38" i="20"/>
  <c r="D38" i="20" s="1"/>
  <c r="C39" i="20"/>
  <c r="D39" i="20" s="1"/>
  <c r="C40" i="20"/>
  <c r="D40" i="20" s="1"/>
  <c r="C41" i="20"/>
  <c r="D41" i="20" s="1"/>
  <c r="C42" i="20"/>
  <c r="D42" i="20" s="1"/>
  <c r="C43" i="20"/>
  <c r="D43" i="20" s="1"/>
  <c r="C44" i="20"/>
  <c r="D44" i="20" s="1"/>
  <c r="C45" i="20"/>
  <c r="D45" i="20" s="1"/>
  <c r="C46" i="20"/>
  <c r="D46" i="20" s="1"/>
  <c r="C47" i="20"/>
  <c r="D47" i="20" s="1"/>
  <c r="C48" i="20"/>
  <c r="D48" i="20" s="1"/>
  <c r="C49" i="20"/>
  <c r="D49" i="20" s="1"/>
  <c r="C50" i="20"/>
  <c r="D50" i="20" s="1"/>
  <c r="C51" i="20"/>
  <c r="D51" i="20" s="1"/>
  <c r="C52" i="20"/>
  <c r="D52" i="20" s="1"/>
  <c r="C53" i="20"/>
  <c r="D53" i="20" s="1"/>
  <c r="C54" i="20"/>
  <c r="D54" i="20" s="1"/>
  <c r="C55" i="20"/>
  <c r="D55" i="20" s="1"/>
  <c r="C56" i="20"/>
  <c r="D56" i="20" s="1"/>
  <c r="C57" i="20"/>
  <c r="D57" i="20" s="1"/>
  <c r="C58" i="20"/>
  <c r="D58" i="20" s="1"/>
  <c r="C59" i="20"/>
  <c r="D59" i="20" s="1"/>
  <c r="C60" i="20"/>
  <c r="D60" i="20" s="1"/>
  <c r="C61" i="20"/>
  <c r="D61" i="20" s="1"/>
  <c r="C62" i="20"/>
  <c r="D62" i="20" s="1"/>
  <c r="C63" i="20"/>
  <c r="D63" i="20" s="1"/>
  <c r="C64" i="20"/>
  <c r="D64" i="20" s="1"/>
  <c r="C65" i="20"/>
  <c r="D65" i="20" s="1"/>
  <c r="C2" i="20"/>
  <c r="D2" i="20" s="1"/>
  <c r="C110" i="19" l="1"/>
  <c r="D110" i="19"/>
  <c r="E110" i="19"/>
  <c r="F110" i="19"/>
  <c r="G110" i="19"/>
  <c r="H110" i="19"/>
  <c r="B110" i="19"/>
  <c r="N351" i="19" l="1"/>
  <c r="M351" i="19"/>
  <c r="L351" i="19"/>
  <c r="K351" i="19"/>
  <c r="J351" i="19"/>
  <c r="I351" i="19"/>
  <c r="H351" i="19"/>
  <c r="G351" i="19"/>
  <c r="F351" i="19"/>
  <c r="E351" i="19"/>
  <c r="D351" i="19"/>
  <c r="C351" i="19"/>
  <c r="B351" i="19"/>
  <c r="N341" i="19"/>
  <c r="M341" i="19"/>
  <c r="L341" i="19"/>
  <c r="K341" i="19"/>
  <c r="J341" i="19"/>
  <c r="I341" i="19"/>
  <c r="H341" i="19"/>
  <c r="G341" i="19"/>
  <c r="F341" i="19"/>
  <c r="E341" i="19"/>
  <c r="D341" i="19"/>
  <c r="C341" i="19"/>
  <c r="B341" i="19"/>
  <c r="N325" i="19"/>
  <c r="M325" i="19"/>
  <c r="L325" i="19"/>
  <c r="K325" i="19"/>
  <c r="J325" i="19"/>
  <c r="I325" i="19"/>
  <c r="H325" i="19"/>
  <c r="G325" i="19"/>
  <c r="F325" i="19"/>
  <c r="E325" i="19"/>
  <c r="D325" i="19"/>
  <c r="C325" i="19"/>
  <c r="B325" i="19"/>
  <c r="N321" i="19"/>
  <c r="M321" i="19"/>
  <c r="L321" i="19"/>
  <c r="K321" i="19"/>
  <c r="J321" i="19"/>
  <c r="I321" i="19"/>
  <c r="H321" i="19"/>
  <c r="G321" i="19"/>
  <c r="F321" i="19"/>
  <c r="E321" i="19"/>
  <c r="D321" i="19"/>
  <c r="C321" i="19"/>
  <c r="B321" i="19"/>
  <c r="N316" i="19"/>
  <c r="A316" i="19"/>
  <c r="N315" i="19"/>
  <c r="A315" i="19"/>
  <c r="N314" i="19"/>
  <c r="A314" i="19"/>
  <c r="A313" i="19"/>
  <c r="N312" i="19"/>
  <c r="A312" i="19"/>
  <c r="A311" i="19"/>
  <c r="M318" i="19"/>
  <c r="L318" i="19"/>
  <c r="K318" i="19"/>
  <c r="J318" i="19"/>
  <c r="I318" i="19"/>
  <c r="E318" i="19"/>
  <c r="N307" i="19"/>
  <c r="N306" i="19"/>
  <c r="A306" i="19"/>
  <c r="A350" i="19" s="1"/>
  <c r="N305" i="19"/>
  <c r="A305" i="19"/>
  <c r="N304" i="19"/>
  <c r="A304" i="19"/>
  <c r="A349" i="19" s="1"/>
  <c r="N303" i="19"/>
  <c r="A303" i="19"/>
  <c r="A348" i="19" s="1"/>
  <c r="N302" i="19"/>
  <c r="A302" i="19"/>
  <c r="A347" i="19" s="1"/>
  <c r="N301" i="19"/>
  <c r="A301" i="19"/>
  <c r="A346" i="19" s="1"/>
  <c r="N300" i="19"/>
  <c r="A300" i="19"/>
  <c r="A345" i="19" s="1"/>
  <c r="N299" i="19"/>
  <c r="A299" i="19"/>
  <c r="A344" i="19" s="1"/>
  <c r="N298" i="19"/>
  <c r="A298" i="19"/>
  <c r="A343" i="19" s="1"/>
  <c r="A297" i="19"/>
  <c r="N212" i="19"/>
  <c r="M209" i="19"/>
  <c r="L209" i="19"/>
  <c r="K209" i="19"/>
  <c r="J209" i="19"/>
  <c r="I209" i="19"/>
  <c r="H209" i="19"/>
  <c r="G209" i="19"/>
  <c r="F209" i="19"/>
  <c r="E209" i="19"/>
  <c r="D209" i="19"/>
  <c r="C209" i="19"/>
  <c r="B209" i="19"/>
  <c r="N208" i="19"/>
  <c r="N207" i="19"/>
  <c r="N206" i="19"/>
  <c r="N205" i="19"/>
  <c r="N204" i="19"/>
  <c r="A204" i="19"/>
  <c r="N203" i="19"/>
  <c r="A203" i="19"/>
  <c r="N202" i="19"/>
  <c r="A202" i="19"/>
  <c r="N201" i="19"/>
  <c r="A201" i="19"/>
  <c r="N200" i="19"/>
  <c r="A200" i="19"/>
  <c r="N199" i="19"/>
  <c r="A199" i="19"/>
  <c r="N198" i="19"/>
  <c r="A198" i="19"/>
  <c r="N197" i="19"/>
  <c r="A197" i="19"/>
  <c r="M117" i="19"/>
  <c r="M118" i="19" s="1"/>
  <c r="L117" i="19"/>
  <c r="L118" i="19" s="1"/>
  <c r="K117" i="19"/>
  <c r="K118" i="19" s="1"/>
  <c r="J117" i="19"/>
  <c r="J118" i="19" s="1"/>
  <c r="I117" i="19"/>
  <c r="I118" i="19" s="1"/>
  <c r="H117" i="19"/>
  <c r="H118" i="19" s="1"/>
  <c r="G117" i="19"/>
  <c r="G118" i="19" s="1"/>
  <c r="F117" i="19"/>
  <c r="F118" i="19" s="1"/>
  <c r="E117" i="19"/>
  <c r="E118" i="19" s="1"/>
  <c r="D117" i="19"/>
  <c r="D118" i="19" s="1"/>
  <c r="C117" i="19"/>
  <c r="C118" i="19" s="1"/>
  <c r="B117" i="19"/>
  <c r="B118" i="19" s="1"/>
  <c r="N115" i="19"/>
  <c r="N114" i="19"/>
  <c r="N113" i="19"/>
  <c r="N112" i="19"/>
  <c r="A340" i="19"/>
  <c r="A336" i="19"/>
  <c r="A335" i="19"/>
  <c r="A332" i="19"/>
  <c r="A331" i="19"/>
  <c r="A328" i="19"/>
  <c r="A327" i="19"/>
  <c r="N147" i="19" l="1"/>
  <c r="N117" i="19"/>
  <c r="N309" i="19"/>
  <c r="I352" i="19"/>
  <c r="E352" i="19"/>
  <c r="C352" i="19"/>
  <c r="G352" i="19"/>
  <c r="K352" i="19"/>
  <c r="M352" i="19"/>
  <c r="D352" i="19"/>
  <c r="H352" i="19"/>
  <c r="L352" i="19"/>
  <c r="B352" i="19"/>
  <c r="B353" i="19" s="1"/>
  <c r="F352" i="19"/>
  <c r="J352" i="19"/>
  <c r="N352" i="19"/>
  <c r="N209" i="19"/>
  <c r="A339" i="19"/>
  <c r="A337" i="19"/>
  <c r="A330" i="19"/>
  <c r="A338" i="19"/>
  <c r="A334" i="19"/>
  <c r="A329" i="19"/>
  <c r="A333" i="19"/>
  <c r="G318" i="19"/>
  <c r="N118" i="19" l="1"/>
  <c r="N148" i="19" l="1"/>
  <c r="N133" i="19" l="1"/>
  <c r="N132" i="19"/>
  <c r="N141" i="19"/>
  <c r="N144" i="19"/>
  <c r="N127" i="19"/>
  <c r="N143" i="19"/>
  <c r="N131" i="19"/>
  <c r="N142" i="19"/>
  <c r="N137" i="19"/>
  <c r="N149" i="19"/>
  <c r="N135" i="19"/>
  <c r="N139" i="19"/>
  <c r="N140" i="19"/>
  <c r="N145" i="19"/>
  <c r="N138" i="19"/>
  <c r="J195" i="19" l="1"/>
  <c r="N130" i="19"/>
  <c r="N126" i="19"/>
  <c r="N136" i="19"/>
  <c r="N146" i="19"/>
  <c r="N134" i="19"/>
  <c r="N129" i="19" l="1"/>
  <c r="N125" i="19"/>
  <c r="E41" i="18"/>
  <c r="E42" i="18"/>
  <c r="E43" i="18"/>
  <c r="E44" i="18"/>
  <c r="E45" i="18"/>
  <c r="E46" i="18"/>
  <c r="E47" i="18"/>
  <c r="E48" i="18"/>
  <c r="E49" i="18"/>
  <c r="E50" i="18"/>
  <c r="E51" i="18"/>
  <c r="E38" i="18"/>
  <c r="E39" i="18"/>
  <c r="E40" i="18"/>
  <c r="E36" i="18"/>
  <c r="E37" i="18"/>
  <c r="E26" i="18"/>
  <c r="E27" i="18"/>
  <c r="E28" i="18"/>
  <c r="E29" i="18"/>
  <c r="E30" i="18"/>
  <c r="E31" i="18"/>
  <c r="E32" i="18"/>
  <c r="E33" i="18"/>
  <c r="E34" i="18"/>
  <c r="E35" i="18"/>
  <c r="E13" i="18"/>
  <c r="E14" i="18"/>
  <c r="E15" i="18"/>
  <c r="E16" i="18"/>
  <c r="E17" i="18"/>
  <c r="E18" i="18"/>
  <c r="E19" i="18"/>
  <c r="E20" i="18"/>
  <c r="E21" i="18"/>
  <c r="E22" i="18"/>
  <c r="E23" i="18"/>
  <c r="E24" i="18"/>
  <c r="E25" i="18"/>
  <c r="E3" i="18"/>
  <c r="E4" i="18"/>
  <c r="E5" i="18"/>
  <c r="E6" i="18"/>
  <c r="E7" i="18"/>
  <c r="E8" i="18"/>
  <c r="E9" i="18"/>
  <c r="E10" i="18"/>
  <c r="E11" i="18"/>
  <c r="E12" i="18"/>
  <c r="E2" i="18"/>
  <c r="E8" i="15" l="1"/>
  <c r="E7" i="15"/>
  <c r="E6" i="15"/>
  <c r="E5" i="15"/>
  <c r="E4" i="15"/>
  <c r="E3" i="15"/>
  <c r="E2" i="15"/>
  <c r="J11" i="14"/>
  <c r="J12" i="14"/>
  <c r="J13" i="14"/>
  <c r="J14" i="14"/>
  <c r="J15" i="14"/>
  <c r="J16" i="14"/>
  <c r="J17" i="14"/>
  <c r="J18" i="14"/>
  <c r="J19" i="14"/>
  <c r="J20" i="14"/>
  <c r="J21" i="14"/>
  <c r="J22" i="14"/>
  <c r="J23" i="14"/>
  <c r="J24" i="14"/>
  <c r="J25" i="14"/>
  <c r="J26" i="14"/>
  <c r="J27" i="14"/>
  <c r="J28" i="14"/>
  <c r="J29" i="14"/>
  <c r="J30" i="14"/>
  <c r="J31" i="14"/>
  <c r="J32" i="14"/>
  <c r="J33" i="14"/>
  <c r="J34" i="14"/>
  <c r="J36" i="14"/>
  <c r="J37" i="14"/>
  <c r="J38" i="14"/>
  <c r="J4" i="14"/>
  <c r="J5" i="14"/>
  <c r="J6" i="14"/>
  <c r="J7" i="14"/>
  <c r="J8" i="14"/>
  <c r="J9" i="14"/>
  <c r="J10" i="14"/>
  <c r="G35" i="14"/>
  <c r="H35" i="14"/>
  <c r="I35" i="14"/>
  <c r="J3" i="14"/>
  <c r="J2" i="14"/>
  <c r="J35" i="14" l="1"/>
  <c r="G43" i="13"/>
  <c r="J8" i="7" l="1"/>
  <c r="V4" i="7" l="1"/>
  <c r="G193" i="7"/>
  <c r="H181" i="7"/>
  <c r="I181" i="7"/>
  <c r="J181" i="7"/>
  <c r="K181" i="7"/>
  <c r="L181" i="7"/>
  <c r="M181" i="7"/>
  <c r="B181" i="7"/>
  <c r="E181" i="7"/>
  <c r="F181" i="7"/>
  <c r="G180" i="7"/>
  <c r="N180" i="7" s="1"/>
  <c r="AI13" i="7" s="1"/>
  <c r="H128" i="7"/>
  <c r="I128" i="7"/>
  <c r="J128" i="7"/>
  <c r="K128" i="7"/>
  <c r="L128" i="7"/>
  <c r="M128" i="7"/>
  <c r="B128" i="7"/>
  <c r="C128" i="7"/>
  <c r="D128" i="7"/>
  <c r="E128" i="7"/>
  <c r="F128" i="7"/>
  <c r="E66" i="7"/>
  <c r="G66" i="7"/>
  <c r="H66" i="7"/>
  <c r="I66" i="7"/>
  <c r="J66" i="7"/>
  <c r="K66" i="7"/>
  <c r="L66" i="7"/>
  <c r="M66" i="7"/>
  <c r="F66" i="7"/>
  <c r="N65" i="7"/>
  <c r="AJ21" i="7"/>
  <c r="AJ22" i="7"/>
  <c r="AJ23" i="7"/>
  <c r="AJ24" i="7"/>
  <c r="AJ20" i="7"/>
  <c r="AJ12" i="7"/>
  <c r="AI9" i="7"/>
  <c r="AI15" i="7" s="1"/>
  <c r="AI5" i="7"/>
  <c r="AI10" i="7" l="1"/>
  <c r="AI11" i="7" s="1"/>
  <c r="G181" i="7"/>
  <c r="AI16" i="7"/>
  <c r="AI17" i="7" s="1"/>
  <c r="AI19" i="7" s="1"/>
  <c r="AI25" i="7" s="1"/>
  <c r="AI26" i="7" l="1"/>
  <c r="G127" i="7"/>
  <c r="N127" i="7" l="1"/>
  <c r="M8" i="7" l="1"/>
  <c r="E193" i="7"/>
  <c r="M4" i="7"/>
  <c r="AH7" i="7"/>
  <c r="AB7" i="7"/>
  <c r="F194" i="7"/>
  <c r="AD9" i="7" l="1"/>
  <c r="AE9" i="7"/>
  <c r="AE15" i="7" s="1"/>
  <c r="AF9" i="7"/>
  <c r="AG9" i="7"/>
  <c r="AG15" i="7" s="1"/>
  <c r="AH9" i="7"/>
  <c r="AH15" i="7" s="1"/>
  <c r="AD5" i="7"/>
  <c r="AE5" i="7"/>
  <c r="AF5" i="7"/>
  <c r="AG5" i="7"/>
  <c r="AH5" i="7"/>
  <c r="N179" i="7"/>
  <c r="AH13" i="7" s="1"/>
  <c r="N178" i="7"/>
  <c r="AG13" i="7" s="1"/>
  <c r="N177" i="7"/>
  <c r="AF13" i="7" s="1"/>
  <c r="N176" i="7"/>
  <c r="AE13" i="7" s="1"/>
  <c r="N61" i="7"/>
  <c r="N62" i="7"/>
  <c r="N63" i="7"/>
  <c r="N64" i="7"/>
  <c r="AD10" i="7" l="1"/>
  <c r="AE10" i="7"/>
  <c r="AE11" i="7" s="1"/>
  <c r="AG10" i="7"/>
  <c r="AG11" i="7" s="1"/>
  <c r="AG16" i="7"/>
  <c r="AG17" i="7" s="1"/>
  <c r="AG19" i="7" s="1"/>
  <c r="AG25" i="7" s="1"/>
  <c r="G125" i="7" s="1"/>
  <c r="AE16" i="7"/>
  <c r="AE17" i="7" s="1"/>
  <c r="AE19" i="7" s="1"/>
  <c r="AE25" i="7" s="1"/>
  <c r="G123" i="7" s="1"/>
  <c r="AH10" i="7"/>
  <c r="AH11" i="7" s="1"/>
  <c r="AF10" i="7"/>
  <c r="AF16" i="7"/>
  <c r="AF15" i="7"/>
  <c r="AH16" i="7"/>
  <c r="AH17" i="7" s="1"/>
  <c r="AH19" i="7" s="1"/>
  <c r="AH25" i="7" s="1"/>
  <c r="G126" i="7" s="1"/>
  <c r="N125" i="7" l="1"/>
  <c r="N123" i="7"/>
  <c r="N126" i="7"/>
  <c r="AF17" i="7"/>
  <c r="AF19" i="7" s="1"/>
  <c r="AF25" i="7" s="1"/>
  <c r="G124" i="7" s="1"/>
  <c r="AF11" i="7"/>
  <c r="O7" i="7"/>
  <c r="AJ7" i="7" s="1"/>
  <c r="O3" i="7"/>
  <c r="Y3" i="7"/>
  <c r="AJ3" i="7" l="1"/>
  <c r="N124" i="7"/>
  <c r="Z4" i="7"/>
  <c r="AJ4" i="7" s="1"/>
  <c r="AJ5" i="7" l="1"/>
  <c r="D156" i="7"/>
  <c r="D158" i="7" l="1"/>
  <c r="D157" i="7"/>
  <c r="D154" i="7"/>
  <c r="D152" i="7"/>
  <c r="D150" i="7"/>
  <c r="D165" i="7"/>
  <c r="D160" i="7"/>
  <c r="D159" i="7"/>
  <c r="D167" i="7"/>
  <c r="D181" i="7" l="1"/>
  <c r="D33" i="7"/>
  <c r="D66" i="7" s="1"/>
  <c r="AD11" i="7" l="1"/>
  <c r="N98" i="11" l="1"/>
  <c r="N99" i="11"/>
  <c r="N100" i="11"/>
  <c r="N101" i="11"/>
  <c r="N102" i="11"/>
  <c r="N103" i="11"/>
  <c r="N104" i="11"/>
  <c r="N97" i="11"/>
  <c r="C105" i="11"/>
  <c r="D105" i="11"/>
  <c r="E105" i="11"/>
  <c r="F105" i="11"/>
  <c r="G105" i="11"/>
  <c r="H105" i="11"/>
  <c r="I105" i="11"/>
  <c r="J105" i="11"/>
  <c r="K105" i="11"/>
  <c r="L105" i="11"/>
  <c r="M105" i="11"/>
  <c r="B105" i="11"/>
  <c r="B95" i="11"/>
  <c r="C95" i="11"/>
  <c r="D95" i="11"/>
  <c r="E95" i="11"/>
  <c r="F95" i="11"/>
  <c r="G95" i="11"/>
  <c r="H95" i="11"/>
  <c r="I95" i="11"/>
  <c r="J95" i="11"/>
  <c r="K95" i="11"/>
  <c r="L95" i="11"/>
  <c r="M95" i="11"/>
  <c r="N85" i="11"/>
  <c r="C13" i="11" s="1"/>
  <c r="C8" i="11" s="1"/>
  <c r="N86" i="11"/>
  <c r="N87" i="11"/>
  <c r="N88" i="11"/>
  <c r="N89" i="11"/>
  <c r="N90" i="11"/>
  <c r="N91" i="11"/>
  <c r="N92" i="11"/>
  <c r="N93" i="11"/>
  <c r="N94" i="11"/>
  <c r="N84" i="11"/>
  <c r="B13" i="11" s="1"/>
  <c r="B8" i="11" s="1"/>
  <c r="L13" i="11"/>
  <c r="L8" i="11" s="1"/>
  <c r="M22" i="11"/>
  <c r="M23" i="11"/>
  <c r="M24" i="11"/>
  <c r="M25" i="11"/>
  <c r="M12" i="11"/>
  <c r="M7" i="11"/>
  <c r="M3" i="11"/>
  <c r="L5" i="11"/>
  <c r="L106" i="11" l="1"/>
  <c r="D106" i="11"/>
  <c r="H106" i="11"/>
  <c r="M106" i="11"/>
  <c r="I106" i="11"/>
  <c r="E106" i="11"/>
  <c r="N105" i="11"/>
  <c r="J106" i="11"/>
  <c r="F106" i="11"/>
  <c r="B106" i="11"/>
  <c r="N95" i="11"/>
  <c r="K106" i="11"/>
  <c r="G106" i="11"/>
  <c r="C106" i="11"/>
  <c r="L9" i="11"/>
  <c r="N106" i="11" l="1"/>
  <c r="L16" i="11"/>
  <c r="L15" i="11"/>
  <c r="L10" i="11"/>
  <c r="L17" i="11" l="1"/>
  <c r="L19" i="11" s="1"/>
  <c r="L26" i="11" s="1"/>
  <c r="M21" i="11"/>
  <c r="M20" i="11"/>
  <c r="B67" i="11" l="1"/>
  <c r="C67" i="11" s="1"/>
  <c r="D68" i="11"/>
  <c r="E68" i="11"/>
  <c r="F68" i="11"/>
  <c r="G68" i="11"/>
  <c r="H68" i="11"/>
  <c r="I68" i="11"/>
  <c r="J68" i="11"/>
  <c r="K68" i="11"/>
  <c r="L68" i="11"/>
  <c r="M68" i="11"/>
  <c r="J4" i="11"/>
  <c r="J5" i="11" s="1"/>
  <c r="I4" i="11"/>
  <c r="I5" i="11" s="1"/>
  <c r="H4" i="11"/>
  <c r="H5" i="11" s="1"/>
  <c r="F4" i="11"/>
  <c r="F5" i="11" s="1"/>
  <c r="C4" i="11"/>
  <c r="C5" i="11" s="1"/>
  <c r="B4" i="11"/>
  <c r="C44" i="11"/>
  <c r="D44" i="11"/>
  <c r="E44" i="11"/>
  <c r="F44" i="11"/>
  <c r="G44" i="11"/>
  <c r="H44" i="11"/>
  <c r="I44" i="11"/>
  <c r="J44" i="11"/>
  <c r="K44" i="11"/>
  <c r="L44" i="11"/>
  <c r="M44" i="11"/>
  <c r="B44" i="11"/>
  <c r="N34" i="11"/>
  <c r="N35" i="11"/>
  <c r="D13" i="11" s="1"/>
  <c r="D8" i="11" s="1"/>
  <c r="D9" i="11" s="1"/>
  <c r="D15" i="11" s="1"/>
  <c r="N36" i="11"/>
  <c r="E13" i="11" s="1"/>
  <c r="E8" i="11" s="1"/>
  <c r="E9" i="11" s="1"/>
  <c r="E15" i="11" s="1"/>
  <c r="N37" i="11"/>
  <c r="F13" i="11" s="1"/>
  <c r="F8" i="11" s="1"/>
  <c r="F9" i="11" s="1"/>
  <c r="F15" i="11" s="1"/>
  <c r="N38" i="11"/>
  <c r="G13" i="11" s="1"/>
  <c r="G8" i="11" s="1"/>
  <c r="G9" i="11" s="1"/>
  <c r="G15" i="11" s="1"/>
  <c r="N39" i="11"/>
  <c r="H13" i="11" s="1"/>
  <c r="H8" i="11" s="1"/>
  <c r="H9" i="11" s="1"/>
  <c r="H15" i="11" s="1"/>
  <c r="N40" i="11"/>
  <c r="N41" i="11"/>
  <c r="N42" i="11"/>
  <c r="N33" i="11"/>
  <c r="C9" i="11"/>
  <c r="C15" i="11" s="1"/>
  <c r="B9" i="11"/>
  <c r="B15" i="11" s="1"/>
  <c r="D5" i="11"/>
  <c r="E5" i="11"/>
  <c r="G5" i="11"/>
  <c r="K5" i="11"/>
  <c r="N44" i="11" l="1"/>
  <c r="N76" i="11" s="1"/>
  <c r="N67" i="11"/>
  <c r="C16" i="11"/>
  <c r="C17" i="11" s="1"/>
  <c r="C19" i="11" s="1"/>
  <c r="C26" i="11" s="1"/>
  <c r="K13" i="11"/>
  <c r="K8" i="11" s="1"/>
  <c r="K9" i="11" s="1"/>
  <c r="K15" i="11" s="1"/>
  <c r="J13" i="11"/>
  <c r="I13" i="11"/>
  <c r="I8" i="11" s="1"/>
  <c r="I9" i="11" s="1"/>
  <c r="I15" i="11" s="1"/>
  <c r="H77" i="11"/>
  <c r="H78" i="11" s="1"/>
  <c r="H76" i="11"/>
  <c r="K76" i="11"/>
  <c r="K77" i="11"/>
  <c r="K78" i="11" s="1"/>
  <c r="G76" i="11"/>
  <c r="G77" i="11"/>
  <c r="G78" i="11" s="1"/>
  <c r="C76" i="11"/>
  <c r="L77" i="11"/>
  <c r="L78" i="11" s="1"/>
  <c r="L76" i="11"/>
  <c r="B76" i="11"/>
  <c r="J76" i="11"/>
  <c r="J77" i="11"/>
  <c r="J78" i="11" s="1"/>
  <c r="F76" i="11"/>
  <c r="F77" i="11"/>
  <c r="F78" i="11" s="1"/>
  <c r="D77" i="11"/>
  <c r="D78" i="11" s="1"/>
  <c r="D76" i="11"/>
  <c r="M77" i="11"/>
  <c r="M78" i="11" s="1"/>
  <c r="M76" i="11"/>
  <c r="I77" i="11"/>
  <c r="I78" i="11" s="1"/>
  <c r="I76" i="11"/>
  <c r="E77" i="11"/>
  <c r="E78" i="11" s="1"/>
  <c r="E76" i="11"/>
  <c r="D10" i="11"/>
  <c r="E10" i="11"/>
  <c r="B5" i="11"/>
  <c r="B10" i="11" s="1"/>
  <c r="M4" i="11"/>
  <c r="M5" i="11" s="1"/>
  <c r="B16" i="11"/>
  <c r="B17" i="11" s="1"/>
  <c r="H16" i="11"/>
  <c r="H17" i="11" s="1"/>
  <c r="H19" i="11" s="1"/>
  <c r="H26" i="11" s="1"/>
  <c r="D16" i="11"/>
  <c r="D17" i="11" s="1"/>
  <c r="D19" i="11" s="1"/>
  <c r="D26" i="11" s="1"/>
  <c r="G16" i="11"/>
  <c r="G17" i="11" s="1"/>
  <c r="G19" i="11" s="1"/>
  <c r="G26" i="11" s="1"/>
  <c r="F16" i="11"/>
  <c r="F17" i="11" s="1"/>
  <c r="F19" i="11" s="1"/>
  <c r="F26" i="11" s="1"/>
  <c r="F10" i="11"/>
  <c r="G10" i="11"/>
  <c r="E16" i="11"/>
  <c r="E17" i="11" s="1"/>
  <c r="E19" i="11" s="1"/>
  <c r="E26" i="11" s="1"/>
  <c r="H10" i="11"/>
  <c r="C10" i="11"/>
  <c r="I10" i="11" l="1"/>
  <c r="I16" i="11"/>
  <c r="I17" i="11" s="1"/>
  <c r="I19" i="11" s="1"/>
  <c r="I26" i="11" s="1"/>
  <c r="B64" i="11" s="1"/>
  <c r="K10" i="11"/>
  <c r="K16" i="11"/>
  <c r="K17" i="11" s="1"/>
  <c r="K19" i="11" s="1"/>
  <c r="K26" i="11" s="1"/>
  <c r="B66" i="11" s="1"/>
  <c r="B61" i="11"/>
  <c r="C61" i="11"/>
  <c r="B63" i="11"/>
  <c r="J8" i="11"/>
  <c r="J9" i="11" s="1"/>
  <c r="B58" i="11"/>
  <c r="B19" i="11"/>
  <c r="B59" i="11"/>
  <c r="C59" i="11" s="1"/>
  <c r="B60" i="11"/>
  <c r="C60" i="11" s="1"/>
  <c r="B62" i="11"/>
  <c r="C62" i="11" s="1"/>
  <c r="M13" i="11"/>
  <c r="C66" i="11" l="1"/>
  <c r="N66" i="11" s="1"/>
  <c r="N60" i="11"/>
  <c r="J15" i="11"/>
  <c r="J10" i="11"/>
  <c r="C64" i="11"/>
  <c r="N64" i="11" s="1"/>
  <c r="J16" i="11"/>
  <c r="N61" i="11"/>
  <c r="B26" i="11"/>
  <c r="M8" i="11"/>
  <c r="M9" i="11" s="1"/>
  <c r="M16" i="11" s="1"/>
  <c r="N62" i="11"/>
  <c r="N59" i="11"/>
  <c r="C58" i="11"/>
  <c r="N58" i="11" s="1"/>
  <c r="C63" i="11"/>
  <c r="N63" i="11" s="1"/>
  <c r="N175" i="7"/>
  <c r="AD15" i="7"/>
  <c r="N60" i="7"/>
  <c r="J17" i="11" l="1"/>
  <c r="J19" i="11" s="1"/>
  <c r="J26" i="11" s="1"/>
  <c r="B65" i="11" s="1"/>
  <c r="B57" i="11"/>
  <c r="M15" i="11"/>
  <c r="M17" i="11" s="1"/>
  <c r="M10" i="11"/>
  <c r="AD13" i="7"/>
  <c r="N174" i="7"/>
  <c r="N59" i="7"/>
  <c r="AC9" i="7"/>
  <c r="AC15" i="7" s="1"/>
  <c r="AC5" i="7"/>
  <c r="M19" i="11" l="1"/>
  <c r="M26" i="11"/>
  <c r="B68" i="11"/>
  <c r="B77" i="11" s="1"/>
  <c r="B78" i="11" s="1"/>
  <c r="C65" i="11"/>
  <c r="N65" i="11" s="1"/>
  <c r="C57" i="11"/>
  <c r="AC13" i="7"/>
  <c r="AC16" i="7" s="1"/>
  <c r="AC17" i="7" s="1"/>
  <c r="AC19" i="7" s="1"/>
  <c r="AC10" i="7"/>
  <c r="AC11" i="7" s="1"/>
  <c r="C41" i="7"/>
  <c r="C66" i="7" s="1"/>
  <c r="C68" i="11" l="1"/>
  <c r="C77" i="11" s="1"/>
  <c r="C78" i="11" s="1"/>
  <c r="N57" i="11"/>
  <c r="N68" i="11" s="1"/>
  <c r="N77" i="11" s="1"/>
  <c r="N78" i="11" s="1"/>
  <c r="AD16" i="7"/>
  <c r="AD17" i="7" s="1"/>
  <c r="AD19" i="7" s="1"/>
  <c r="AD25" i="7" s="1"/>
  <c r="G122" i="7" s="1"/>
  <c r="AC25" i="7"/>
  <c r="C156" i="7"/>
  <c r="C154" i="7"/>
  <c r="C158" i="7"/>
  <c r="C160" i="7"/>
  <c r="C162" i="7"/>
  <c r="C147" i="7"/>
  <c r="C167" i="7"/>
  <c r="C172" i="7"/>
  <c r="C157" i="7"/>
  <c r="C170" i="7"/>
  <c r="C171" i="7"/>
  <c r="C165" i="7"/>
  <c r="C181" i="7" l="1"/>
  <c r="G121" i="7"/>
  <c r="N121" i="7" s="1"/>
  <c r="AC26" i="7"/>
  <c r="N122" i="7"/>
  <c r="C193" i="7"/>
  <c r="C140" i="7"/>
  <c r="C139" i="7"/>
  <c r="C138" i="7"/>
  <c r="C137" i="7"/>
  <c r="C136" i="7"/>
  <c r="C135" i="7"/>
  <c r="C134" i="7"/>
  <c r="C133" i="7"/>
  <c r="C132" i="7"/>
  <c r="C131" i="7"/>
  <c r="C130" i="7"/>
  <c r="B136" i="7" l="1"/>
  <c r="G210" i="7" l="1"/>
  <c r="B192" i="7" l="1"/>
  <c r="N58" i="7" l="1"/>
  <c r="N173" i="7"/>
  <c r="AB9" i="7"/>
  <c r="AB15" i="7" s="1"/>
  <c r="AB5" i="7"/>
  <c r="AB10" i="7" l="1"/>
  <c r="AB13" i="7"/>
  <c r="AB16" i="7" s="1"/>
  <c r="AB17" i="7" s="1"/>
  <c r="AB19" i="7" s="1"/>
  <c r="AB25" i="7" l="1"/>
  <c r="G120" i="7" s="1"/>
  <c r="AB11" i="7"/>
  <c r="N57" i="7"/>
  <c r="N120" i="7" l="1"/>
  <c r="AB26" i="7"/>
  <c r="N172" i="7"/>
  <c r="AA9" i="7"/>
  <c r="AA15" i="7" s="1"/>
  <c r="AA5" i="7"/>
  <c r="AA13" i="7" l="1"/>
  <c r="AA16" i="7" s="1"/>
  <c r="AA17" i="7" s="1"/>
  <c r="AA19" i="7" s="1"/>
  <c r="AA25" i="7" s="1"/>
  <c r="G119" i="7" s="1"/>
  <c r="AA10" i="7"/>
  <c r="AA11" i="7" s="1"/>
  <c r="B56" i="7"/>
  <c r="AA26" i="7" l="1"/>
  <c r="N119" i="7" l="1"/>
  <c r="B131" i="7"/>
  <c r="B132" i="7"/>
  <c r="B133" i="7"/>
  <c r="B134" i="7"/>
  <c r="B135" i="7"/>
  <c r="B137" i="7"/>
  <c r="B138" i="7"/>
  <c r="B139" i="7"/>
  <c r="B140" i="7"/>
  <c r="B52" i="7" l="1"/>
  <c r="B66" i="7" s="1"/>
  <c r="F136" i="7" l="1"/>
  <c r="G136" i="7"/>
  <c r="H136" i="7"/>
  <c r="I136" i="7"/>
  <c r="J136" i="7"/>
  <c r="K136" i="7"/>
  <c r="L136" i="7"/>
  <c r="M136" i="7"/>
  <c r="F137" i="7"/>
  <c r="G137" i="7"/>
  <c r="H137" i="7"/>
  <c r="I137" i="7"/>
  <c r="J137" i="7"/>
  <c r="K137" i="7"/>
  <c r="L137" i="7"/>
  <c r="M137" i="7"/>
  <c r="F138" i="7"/>
  <c r="G138" i="7"/>
  <c r="H138" i="7"/>
  <c r="I138" i="7"/>
  <c r="J138" i="7"/>
  <c r="K138" i="7"/>
  <c r="L138" i="7"/>
  <c r="M138" i="7"/>
  <c r="F139" i="7"/>
  <c r="G139" i="7"/>
  <c r="H139" i="7"/>
  <c r="I139" i="7"/>
  <c r="J139" i="7"/>
  <c r="K139" i="7"/>
  <c r="L139" i="7"/>
  <c r="M139" i="7"/>
  <c r="F140" i="7"/>
  <c r="G140" i="7"/>
  <c r="H140" i="7"/>
  <c r="I140" i="7"/>
  <c r="J140" i="7"/>
  <c r="K140" i="7"/>
  <c r="L140" i="7"/>
  <c r="M140" i="7"/>
  <c r="L135" i="7"/>
  <c r="M135" i="7"/>
  <c r="H135" i="7"/>
  <c r="I135" i="7"/>
  <c r="J135" i="7"/>
  <c r="K135" i="7"/>
  <c r="G135" i="7"/>
  <c r="N69" i="7" l="1"/>
  <c r="J5" i="7" l="1"/>
  <c r="C194" i="7" l="1"/>
  <c r="G194" i="7"/>
  <c r="I194" i="7"/>
  <c r="L194" i="7"/>
  <c r="M194" i="7"/>
  <c r="B194" i="7"/>
  <c r="N171" i="7"/>
  <c r="N170" i="7"/>
  <c r="N169" i="7"/>
  <c r="N168" i="7"/>
  <c r="N147" i="7"/>
  <c r="N54" i="7"/>
  <c r="N55" i="7"/>
  <c r="N56" i="7"/>
  <c r="N53" i="7"/>
  <c r="Z9" i="7"/>
  <c r="Z15" i="7" s="1"/>
  <c r="Y9" i="7"/>
  <c r="Y15" i="7" s="1"/>
  <c r="X9" i="7"/>
  <c r="Z5" i="7"/>
  <c r="Y5" i="7"/>
  <c r="X5" i="7"/>
  <c r="X10" i="7" l="1"/>
  <c r="X11" i="7" s="1"/>
  <c r="Y10" i="7"/>
  <c r="Y11" i="7" s="1"/>
  <c r="Z10" i="7"/>
  <c r="Z11" i="7" s="1"/>
  <c r="X15" i="7"/>
  <c r="Z13" i="7"/>
  <c r="Z16" i="7" s="1"/>
  <c r="Z17" i="7" s="1"/>
  <c r="Y13" i="7"/>
  <c r="Y16" i="7" s="1"/>
  <c r="Y17" i="7" s="1"/>
  <c r="Y19" i="7" s="1"/>
  <c r="X13" i="7"/>
  <c r="X16" i="7" l="1"/>
  <c r="X17" i="7" s="1"/>
  <c r="X19" i="7" s="1"/>
  <c r="Z19" i="7"/>
  <c r="Z25" i="7" s="1"/>
  <c r="G118" i="7" s="1"/>
  <c r="Y25" i="7"/>
  <c r="G117" i="7" s="1"/>
  <c r="M134" i="7"/>
  <c r="M133" i="7"/>
  <c r="M132" i="7"/>
  <c r="M130" i="7"/>
  <c r="Y26" i="7" l="1"/>
  <c r="Z26" i="7"/>
  <c r="X25" i="7"/>
  <c r="G116" i="7" s="1"/>
  <c r="M141" i="7"/>
  <c r="L79" i="7"/>
  <c r="X26" i="7" l="1"/>
  <c r="N118" i="7"/>
  <c r="N117" i="7"/>
  <c r="L88" i="7"/>
  <c r="N48" i="7"/>
  <c r="P9" i="7"/>
  <c r="P5" i="7"/>
  <c r="N116" i="7" l="1"/>
  <c r="L134" i="7"/>
  <c r="L133" i="7"/>
  <c r="L132" i="7"/>
  <c r="L131" i="7"/>
  <c r="L130" i="7"/>
  <c r="L141" i="7" l="1"/>
  <c r="L142" i="7" s="1"/>
  <c r="K194" i="7"/>
  <c r="K131" i="7" l="1"/>
  <c r="K132" i="7"/>
  <c r="K133" i="7"/>
  <c r="K134" i="7"/>
  <c r="K130" i="7"/>
  <c r="E41" i="10" l="1"/>
  <c r="R5" i="7" l="1"/>
  <c r="F5" i="9" l="1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4" i="9"/>
  <c r="F38" i="9" l="1"/>
  <c r="J194" i="7"/>
  <c r="N42" i="7"/>
  <c r="N236" i="7"/>
  <c r="M236" i="7"/>
  <c r="L236" i="7"/>
  <c r="K236" i="7"/>
  <c r="J236" i="7"/>
  <c r="I236" i="7"/>
  <c r="H236" i="7"/>
  <c r="G236" i="7"/>
  <c r="F236" i="7"/>
  <c r="E236" i="7"/>
  <c r="D236" i="7"/>
  <c r="C236" i="7"/>
  <c r="B236" i="7"/>
  <c r="N226" i="7"/>
  <c r="M226" i="7"/>
  <c r="L226" i="7"/>
  <c r="K226" i="7"/>
  <c r="J226" i="7"/>
  <c r="I226" i="7"/>
  <c r="H226" i="7"/>
  <c r="G226" i="7"/>
  <c r="F226" i="7"/>
  <c r="E226" i="7"/>
  <c r="D226" i="7"/>
  <c r="C226" i="7"/>
  <c r="B226" i="7"/>
  <c r="N210" i="7"/>
  <c r="M210" i="7"/>
  <c r="L210" i="7"/>
  <c r="K210" i="7"/>
  <c r="J210" i="7"/>
  <c r="I210" i="7"/>
  <c r="H210" i="7"/>
  <c r="F210" i="7"/>
  <c r="E210" i="7"/>
  <c r="D210" i="7"/>
  <c r="C210" i="7"/>
  <c r="B210" i="7"/>
  <c r="N206" i="7"/>
  <c r="M206" i="7"/>
  <c r="L206" i="7"/>
  <c r="K206" i="7"/>
  <c r="J206" i="7"/>
  <c r="I206" i="7"/>
  <c r="H206" i="7"/>
  <c r="G206" i="7"/>
  <c r="F206" i="7"/>
  <c r="E206" i="7"/>
  <c r="D206" i="7"/>
  <c r="C206" i="7"/>
  <c r="B206" i="7"/>
  <c r="M202" i="7"/>
  <c r="L202" i="7"/>
  <c r="K202" i="7"/>
  <c r="J202" i="7"/>
  <c r="I202" i="7"/>
  <c r="H202" i="7"/>
  <c r="G202" i="7"/>
  <c r="G203" i="7" s="1"/>
  <c r="G205" i="7" s="1"/>
  <c r="F202" i="7"/>
  <c r="E202" i="7"/>
  <c r="D202" i="7"/>
  <c r="C202" i="7"/>
  <c r="C203" i="7" s="1"/>
  <c r="C205" i="7" s="1"/>
  <c r="B202" i="7"/>
  <c r="B203" i="7" s="1"/>
  <c r="B205" i="7" s="1"/>
  <c r="N201" i="7"/>
  <c r="A201" i="7"/>
  <c r="N200" i="7"/>
  <c r="A200" i="7"/>
  <c r="N199" i="7"/>
  <c r="A199" i="7"/>
  <c r="N198" i="7"/>
  <c r="A198" i="7"/>
  <c r="N197" i="7"/>
  <c r="A197" i="7"/>
  <c r="A196" i="7"/>
  <c r="H194" i="7"/>
  <c r="E194" i="7"/>
  <c r="N192" i="7"/>
  <c r="N191" i="7"/>
  <c r="A191" i="7"/>
  <c r="A235" i="7" s="1"/>
  <c r="N190" i="7"/>
  <c r="A190" i="7"/>
  <c r="N189" i="7"/>
  <c r="A189" i="7"/>
  <c r="A234" i="7" s="1"/>
  <c r="N188" i="7"/>
  <c r="A188" i="7"/>
  <c r="A233" i="7" s="1"/>
  <c r="N187" i="7"/>
  <c r="A187" i="7"/>
  <c r="A232" i="7" s="1"/>
  <c r="N186" i="7"/>
  <c r="A186" i="7"/>
  <c r="A231" i="7" s="1"/>
  <c r="N185" i="7"/>
  <c r="A185" i="7"/>
  <c r="A230" i="7" s="1"/>
  <c r="N184" i="7"/>
  <c r="A184" i="7"/>
  <c r="A229" i="7" s="1"/>
  <c r="A183" i="7"/>
  <c r="A228" i="7" s="1"/>
  <c r="A182" i="7"/>
  <c r="N167" i="7"/>
  <c r="N166" i="7"/>
  <c r="N165" i="7"/>
  <c r="N164" i="7"/>
  <c r="N163" i="7"/>
  <c r="N162" i="7"/>
  <c r="N161" i="7"/>
  <c r="N160" i="7"/>
  <c r="N159" i="7"/>
  <c r="N157" i="7"/>
  <c r="N156" i="7"/>
  <c r="N155" i="7"/>
  <c r="N154" i="7"/>
  <c r="N153" i="7"/>
  <c r="N152" i="7"/>
  <c r="N151" i="7"/>
  <c r="N150" i="7"/>
  <c r="N149" i="7"/>
  <c r="N148" i="7"/>
  <c r="N144" i="7"/>
  <c r="K141" i="7"/>
  <c r="E140" i="7"/>
  <c r="E139" i="7"/>
  <c r="E138" i="7"/>
  <c r="A138" i="7"/>
  <c r="E137" i="7"/>
  <c r="A137" i="7"/>
  <c r="E136" i="7"/>
  <c r="A136" i="7"/>
  <c r="F135" i="7"/>
  <c r="E135" i="7"/>
  <c r="A135" i="7"/>
  <c r="J134" i="7"/>
  <c r="I134" i="7"/>
  <c r="G134" i="7"/>
  <c r="F134" i="7"/>
  <c r="E134" i="7"/>
  <c r="D134" i="7"/>
  <c r="A134" i="7"/>
  <c r="J133" i="7"/>
  <c r="I133" i="7"/>
  <c r="H133" i="7"/>
  <c r="G133" i="7"/>
  <c r="F133" i="7"/>
  <c r="E133" i="7"/>
  <c r="D133" i="7"/>
  <c r="A133" i="7"/>
  <c r="J132" i="7"/>
  <c r="I132" i="7"/>
  <c r="H132" i="7"/>
  <c r="G132" i="7"/>
  <c r="F132" i="7"/>
  <c r="E132" i="7"/>
  <c r="D132" i="7"/>
  <c r="A132" i="7"/>
  <c r="I131" i="7"/>
  <c r="H131" i="7"/>
  <c r="F131" i="7"/>
  <c r="E131" i="7"/>
  <c r="D131" i="7"/>
  <c r="A131" i="7"/>
  <c r="J130" i="7"/>
  <c r="I130" i="7"/>
  <c r="H130" i="7"/>
  <c r="G130" i="7"/>
  <c r="F130" i="7"/>
  <c r="E130" i="7"/>
  <c r="D130" i="7"/>
  <c r="B130" i="7"/>
  <c r="A130" i="7"/>
  <c r="M86" i="7"/>
  <c r="L86" i="7"/>
  <c r="K86" i="7"/>
  <c r="J86" i="7"/>
  <c r="I86" i="7"/>
  <c r="H86" i="7"/>
  <c r="G86" i="7"/>
  <c r="F86" i="7"/>
  <c r="E86" i="7"/>
  <c r="D86" i="7"/>
  <c r="C86" i="7"/>
  <c r="B86" i="7"/>
  <c r="N85" i="7"/>
  <c r="N84" i="7"/>
  <c r="N83" i="7"/>
  <c r="N82" i="7"/>
  <c r="N81" i="7"/>
  <c r="M79" i="7"/>
  <c r="K79" i="7"/>
  <c r="J79" i="7"/>
  <c r="H79" i="7"/>
  <c r="G79" i="7"/>
  <c r="F79" i="7"/>
  <c r="E79" i="7"/>
  <c r="D79" i="7"/>
  <c r="C79" i="7"/>
  <c r="B79" i="7"/>
  <c r="N78" i="7"/>
  <c r="N77" i="7"/>
  <c r="N76" i="7"/>
  <c r="N75" i="7"/>
  <c r="N74" i="7"/>
  <c r="N73" i="7"/>
  <c r="N72" i="7"/>
  <c r="N71" i="7"/>
  <c r="N70" i="7"/>
  <c r="N68" i="7"/>
  <c r="K88" i="7"/>
  <c r="N52" i="7"/>
  <c r="N51" i="7"/>
  <c r="N50" i="7"/>
  <c r="N49" i="7"/>
  <c r="N47" i="7"/>
  <c r="N46" i="7"/>
  <c r="N45" i="7"/>
  <c r="A45" i="7"/>
  <c r="A160" i="7" s="1"/>
  <c r="A225" i="7" s="1"/>
  <c r="N44" i="7"/>
  <c r="A44" i="7"/>
  <c r="A43" i="7"/>
  <c r="A105" i="7" s="1"/>
  <c r="A42" i="7"/>
  <c r="N41" i="7"/>
  <c r="A41" i="7"/>
  <c r="A103" i="7" s="1"/>
  <c r="N40" i="7"/>
  <c r="A40" i="7"/>
  <c r="N39" i="7"/>
  <c r="A39" i="7"/>
  <c r="A154" i="7" s="1"/>
  <c r="A219" i="7" s="1"/>
  <c r="N38" i="7"/>
  <c r="A38" i="7"/>
  <c r="A153" i="7" s="1"/>
  <c r="A218" i="7" s="1"/>
  <c r="N37" i="7"/>
  <c r="A37" i="7"/>
  <c r="A152" i="7" s="1"/>
  <c r="A217" i="7" s="1"/>
  <c r="N36" i="7"/>
  <c r="A36" i="7"/>
  <c r="A98" i="7" s="1"/>
  <c r="N35" i="7"/>
  <c r="A35" i="7"/>
  <c r="A34" i="7"/>
  <c r="A96" i="7" s="1"/>
  <c r="N33" i="7"/>
  <c r="A33" i="7"/>
  <c r="A148" i="7" s="1"/>
  <c r="A213" i="7" s="1"/>
  <c r="N32" i="7"/>
  <c r="A32" i="7"/>
  <c r="W9" i="7"/>
  <c r="W15" i="7" s="1"/>
  <c r="U9" i="7"/>
  <c r="T9" i="7"/>
  <c r="Q9" i="7"/>
  <c r="P15" i="7"/>
  <c r="O9" i="7"/>
  <c r="L9" i="7"/>
  <c r="L15" i="7" s="1"/>
  <c r="I9" i="7"/>
  <c r="K9" i="7"/>
  <c r="J9" i="7"/>
  <c r="G9" i="7"/>
  <c r="D9" i="7"/>
  <c r="D15" i="7" s="1"/>
  <c r="W5" i="7"/>
  <c r="V5" i="7"/>
  <c r="U5" i="7"/>
  <c r="T5" i="7"/>
  <c r="S5" i="7"/>
  <c r="Q5" i="7"/>
  <c r="O5" i="7"/>
  <c r="L5" i="7"/>
  <c r="K5" i="7"/>
  <c r="I5" i="7"/>
  <c r="H5" i="7"/>
  <c r="G5" i="7"/>
  <c r="E5" i="7"/>
  <c r="N5" i="7"/>
  <c r="M5" i="7"/>
  <c r="F5" i="7"/>
  <c r="D5" i="7"/>
  <c r="C5" i="7"/>
  <c r="N86" i="7" l="1"/>
  <c r="F141" i="7"/>
  <c r="E141" i="7"/>
  <c r="N79" i="7"/>
  <c r="T15" i="7"/>
  <c r="S9" i="7"/>
  <c r="S15" i="7" s="1"/>
  <c r="B5" i="7"/>
  <c r="N183" i="7"/>
  <c r="D194" i="7"/>
  <c r="N137" i="7"/>
  <c r="F87" i="7"/>
  <c r="Q15" i="7"/>
  <c r="K15" i="7"/>
  <c r="J15" i="7"/>
  <c r="I15" i="7"/>
  <c r="G15" i="7"/>
  <c r="V13" i="7"/>
  <c r="U15" i="7"/>
  <c r="O15" i="7"/>
  <c r="G13" i="7"/>
  <c r="G16" i="7" s="1"/>
  <c r="S13" i="7"/>
  <c r="N136" i="7"/>
  <c r="B237" i="7"/>
  <c r="B238" i="7" s="1"/>
  <c r="N34" i="7"/>
  <c r="B87" i="7"/>
  <c r="N202" i="7"/>
  <c r="E13" i="7"/>
  <c r="N13" i="7"/>
  <c r="N8" i="7" s="1"/>
  <c r="P13" i="7"/>
  <c r="P16" i="7" s="1"/>
  <c r="P17" i="7" s="1"/>
  <c r="P19" i="7" s="1"/>
  <c r="P25" i="7" s="1"/>
  <c r="G110" i="7" s="1"/>
  <c r="C13" i="7"/>
  <c r="K13" i="7"/>
  <c r="K16" i="7" s="1"/>
  <c r="R13" i="7"/>
  <c r="R8" i="7" s="1"/>
  <c r="R9" i="7" s="1"/>
  <c r="W13" i="7"/>
  <c r="W16" i="7" s="1"/>
  <c r="W17" i="7" s="1"/>
  <c r="W19" i="7" s="1"/>
  <c r="W25" i="7" s="1"/>
  <c r="G115" i="7" s="1"/>
  <c r="D13" i="7"/>
  <c r="D16" i="7" s="1"/>
  <c r="D17" i="7" s="1"/>
  <c r="D19" i="7" s="1"/>
  <c r="D25" i="7" s="1"/>
  <c r="H13" i="7"/>
  <c r="L13" i="7"/>
  <c r="L16" i="7" s="1"/>
  <c r="L17" i="7" s="1"/>
  <c r="L19" i="7" s="1"/>
  <c r="L25" i="7" s="1"/>
  <c r="G104" i="7" s="1"/>
  <c r="Q13" i="7"/>
  <c r="Q16" i="7" s="1"/>
  <c r="T13" i="7"/>
  <c r="T16" i="7" s="1"/>
  <c r="I13" i="7"/>
  <c r="I16" i="7" s="1"/>
  <c r="U13" i="7"/>
  <c r="U16" i="7" s="1"/>
  <c r="F13" i="7"/>
  <c r="J13" i="7"/>
  <c r="J16" i="7" s="1"/>
  <c r="O13" i="7"/>
  <c r="O16" i="7" s="1"/>
  <c r="J141" i="7"/>
  <c r="L87" i="7"/>
  <c r="G10" i="7"/>
  <c r="G11" i="7" s="1"/>
  <c r="A99" i="7"/>
  <c r="F237" i="7"/>
  <c r="J237" i="7"/>
  <c r="N237" i="7"/>
  <c r="D237" i="7"/>
  <c r="H237" i="7"/>
  <c r="L237" i="7"/>
  <c r="D10" i="7"/>
  <c r="D11" i="7" s="1"/>
  <c r="P10" i="7"/>
  <c r="P11" i="7" s="1"/>
  <c r="U10" i="7"/>
  <c r="U11" i="7" s="1"/>
  <c r="L10" i="7"/>
  <c r="L11" i="7" s="1"/>
  <c r="A107" i="7"/>
  <c r="H141" i="7"/>
  <c r="H142" i="7" s="1"/>
  <c r="A158" i="7"/>
  <c r="A223" i="7" s="1"/>
  <c r="K203" i="7"/>
  <c r="I88" i="7"/>
  <c r="A95" i="7"/>
  <c r="N138" i="7"/>
  <c r="A156" i="7"/>
  <c r="A221" i="7" s="1"/>
  <c r="H203" i="7"/>
  <c r="F203" i="7"/>
  <c r="F205" i="7" s="1"/>
  <c r="H88" i="7"/>
  <c r="K10" i="7"/>
  <c r="K11" i="7" s="1"/>
  <c r="A151" i="7"/>
  <c r="A216" i="7" s="1"/>
  <c r="L203" i="7"/>
  <c r="J10" i="7"/>
  <c r="J11" i="7" s="1"/>
  <c r="O10" i="7"/>
  <c r="O11" i="7" s="1"/>
  <c r="T10" i="7"/>
  <c r="T11" i="7" s="1"/>
  <c r="K87" i="7"/>
  <c r="G87" i="7"/>
  <c r="N133" i="7"/>
  <c r="N140" i="7"/>
  <c r="C237" i="7"/>
  <c r="G237" i="7"/>
  <c r="K237" i="7"/>
  <c r="Q10" i="7"/>
  <c r="Q11" i="7" s="1"/>
  <c r="N130" i="7"/>
  <c r="N134" i="7"/>
  <c r="N131" i="7"/>
  <c r="B141" i="7"/>
  <c r="G141" i="7"/>
  <c r="N139" i="7"/>
  <c r="C141" i="7"/>
  <c r="W10" i="7"/>
  <c r="W11" i="7" s="1"/>
  <c r="A147" i="7"/>
  <c r="A212" i="7" s="1"/>
  <c r="A94" i="7"/>
  <c r="A97" i="7"/>
  <c r="A150" i="7"/>
  <c r="A215" i="7" s="1"/>
  <c r="E87" i="7"/>
  <c r="A159" i="7"/>
  <c r="A224" i="7" s="1"/>
  <c r="A106" i="7"/>
  <c r="N132" i="7"/>
  <c r="J203" i="7"/>
  <c r="I10" i="7"/>
  <c r="I11" i="7" s="1"/>
  <c r="M203" i="7"/>
  <c r="A155" i="7"/>
  <c r="A220" i="7" s="1"/>
  <c r="A102" i="7"/>
  <c r="A157" i="7"/>
  <c r="A222" i="7" s="1"/>
  <c r="A104" i="7"/>
  <c r="M87" i="7"/>
  <c r="A100" i="7"/>
  <c r="D141" i="7"/>
  <c r="A149" i="7"/>
  <c r="A214" i="7" s="1"/>
  <c r="I203" i="7"/>
  <c r="N193" i="7"/>
  <c r="N43" i="7"/>
  <c r="N135" i="7"/>
  <c r="I79" i="7"/>
  <c r="E203" i="7"/>
  <c r="E205" i="7" s="1"/>
  <c r="E237" i="7"/>
  <c r="I237" i="7"/>
  <c r="M237" i="7"/>
  <c r="A101" i="7"/>
  <c r="N66" i="7" l="1"/>
  <c r="N194" i="7"/>
  <c r="C8" i="7"/>
  <c r="C9" i="7" s="1"/>
  <c r="C16" i="7" s="1"/>
  <c r="V14" i="7"/>
  <c r="V8" i="7" s="1"/>
  <c r="V9" i="7" s="1"/>
  <c r="V16" i="7" s="1"/>
  <c r="N141" i="7"/>
  <c r="G96" i="7"/>
  <c r="N87" i="7"/>
  <c r="E8" i="7"/>
  <c r="E9" i="7" s="1"/>
  <c r="E16" i="7" s="1"/>
  <c r="W26" i="7"/>
  <c r="F8" i="7"/>
  <c r="R15" i="7"/>
  <c r="R10" i="7"/>
  <c r="R11" i="7" s="1"/>
  <c r="H8" i="7"/>
  <c r="H9" i="7" s="1"/>
  <c r="H16" i="7" s="1"/>
  <c r="N9" i="7"/>
  <c r="S16" i="7"/>
  <c r="S17" i="7" s="1"/>
  <c r="S19" i="7" s="1"/>
  <c r="T17" i="7"/>
  <c r="T19" i="7" s="1"/>
  <c r="T25" i="7" s="1"/>
  <c r="G112" i="7" s="1"/>
  <c r="S10" i="7"/>
  <c r="S11" i="7" s="1"/>
  <c r="R16" i="7"/>
  <c r="I17" i="7"/>
  <c r="I19" i="7" s="1"/>
  <c r="I25" i="7" s="1"/>
  <c r="G101" i="7" s="1"/>
  <c r="G17" i="7"/>
  <c r="G19" i="7" s="1"/>
  <c r="G25" i="7" s="1"/>
  <c r="G99" i="7" s="1"/>
  <c r="J87" i="7"/>
  <c r="J88" i="7"/>
  <c r="U17" i="7"/>
  <c r="U19" i="7" s="1"/>
  <c r="Q17" i="7"/>
  <c r="Q19" i="7" s="1"/>
  <c r="O17" i="7"/>
  <c r="O19" i="7" s="1"/>
  <c r="O25" i="7" s="1"/>
  <c r="G107" i="7" s="1"/>
  <c r="K17" i="7"/>
  <c r="K19" i="7" s="1"/>
  <c r="J17" i="7"/>
  <c r="J19" i="7" s="1"/>
  <c r="D87" i="7"/>
  <c r="I87" i="7"/>
  <c r="H89" i="7"/>
  <c r="H87" i="7"/>
  <c r="I141" i="7"/>
  <c r="I142" i="7" s="1"/>
  <c r="D26" i="7"/>
  <c r="P26" i="7"/>
  <c r="B13" i="7"/>
  <c r="C87" i="7"/>
  <c r="V10" i="7" l="1"/>
  <c r="V11" i="7" s="1"/>
  <c r="V15" i="7"/>
  <c r="V17" i="7" s="1"/>
  <c r="V19" i="7" s="1"/>
  <c r="M9" i="7"/>
  <c r="B8" i="7"/>
  <c r="AJ8" i="7" s="1"/>
  <c r="E15" i="7"/>
  <c r="E17" i="7" s="1"/>
  <c r="E19" i="7" s="1"/>
  <c r="E25" i="7" s="1"/>
  <c r="G97" i="7" s="1"/>
  <c r="E10" i="7"/>
  <c r="E11" i="7" s="1"/>
  <c r="F9" i="7"/>
  <c r="F10" i="7" s="1"/>
  <c r="F11" i="7" s="1"/>
  <c r="R17" i="7"/>
  <c r="R19" i="7" s="1"/>
  <c r="R25" i="7" s="1"/>
  <c r="G108" i="7" s="1"/>
  <c r="H15" i="7"/>
  <c r="H17" i="7" s="1"/>
  <c r="H19" i="7" s="1"/>
  <c r="H25" i="7" s="1"/>
  <c r="G100" i="7" s="1"/>
  <c r="H10" i="7"/>
  <c r="H11" i="7" s="1"/>
  <c r="N15" i="7"/>
  <c r="N10" i="7"/>
  <c r="N11" i="7" s="1"/>
  <c r="N16" i="7"/>
  <c r="N115" i="7"/>
  <c r="I26" i="7"/>
  <c r="G26" i="7"/>
  <c r="U25" i="7"/>
  <c r="G113" i="7" s="1"/>
  <c r="S25" i="7"/>
  <c r="G111" i="7" s="1"/>
  <c r="V25" i="7"/>
  <c r="G114" i="7" s="1"/>
  <c r="Q25" i="7"/>
  <c r="G109" i="7" s="1"/>
  <c r="J25" i="7"/>
  <c r="G102" i="7" s="1"/>
  <c r="K25" i="7"/>
  <c r="G103" i="7" s="1"/>
  <c r="C10" i="7"/>
  <c r="N104" i="7"/>
  <c r="L26" i="7"/>
  <c r="T26" i="7"/>
  <c r="O26" i="7"/>
  <c r="C15" i="7"/>
  <c r="C17" i="7" s="1"/>
  <c r="C19" i="7" s="1"/>
  <c r="N110" i="7"/>
  <c r="I89" i="7"/>
  <c r="AJ9" i="7" l="1"/>
  <c r="AJ15" i="7" s="1"/>
  <c r="C11" i="7"/>
  <c r="N108" i="7"/>
  <c r="E26" i="7"/>
  <c r="R26" i="7"/>
  <c r="H26" i="7"/>
  <c r="F16" i="7"/>
  <c r="F15" i="7"/>
  <c r="M15" i="7"/>
  <c r="M10" i="7"/>
  <c r="B9" i="7"/>
  <c r="N101" i="7"/>
  <c r="N17" i="7"/>
  <c r="N19" i="7" s="1"/>
  <c r="N25" i="7" s="1"/>
  <c r="G106" i="7" s="1"/>
  <c r="C25" i="7"/>
  <c r="G95" i="7" s="1"/>
  <c r="U26" i="7"/>
  <c r="S26" i="7"/>
  <c r="Q26" i="7"/>
  <c r="K26" i="7"/>
  <c r="V26" i="7"/>
  <c r="J26" i="7"/>
  <c r="N107" i="7"/>
  <c r="N106" i="7" l="1"/>
  <c r="M11" i="7"/>
  <c r="F17" i="7"/>
  <c r="F19" i="7" s="1"/>
  <c r="C26" i="7"/>
  <c r="N96" i="7"/>
  <c r="B15" i="7"/>
  <c r="B10" i="7"/>
  <c r="B16" i="7"/>
  <c r="N99" i="7"/>
  <c r="N100" i="7"/>
  <c r="N112" i="7"/>
  <c r="N109" i="7"/>
  <c r="N26" i="7"/>
  <c r="N103" i="7"/>
  <c r="N113" i="7"/>
  <c r="N111" i="7"/>
  <c r="N130" i="5"/>
  <c r="H13" i="5" s="1"/>
  <c r="N159" i="5"/>
  <c r="N199" i="5"/>
  <c r="M199" i="5"/>
  <c r="L199" i="5"/>
  <c r="K199" i="5"/>
  <c r="J199" i="5"/>
  <c r="I199" i="5"/>
  <c r="H199" i="5"/>
  <c r="G199" i="5"/>
  <c r="F199" i="5"/>
  <c r="E199" i="5"/>
  <c r="D199" i="5"/>
  <c r="C199" i="5"/>
  <c r="B199" i="5"/>
  <c r="A197" i="5"/>
  <c r="N188" i="5"/>
  <c r="M188" i="5"/>
  <c r="L188" i="5"/>
  <c r="K188" i="5"/>
  <c r="J188" i="5"/>
  <c r="I188" i="5"/>
  <c r="H188" i="5"/>
  <c r="G188" i="5"/>
  <c r="F188" i="5"/>
  <c r="E188" i="5"/>
  <c r="D188" i="5"/>
  <c r="C188" i="5"/>
  <c r="B188" i="5"/>
  <c r="N172" i="5"/>
  <c r="M172" i="5"/>
  <c r="L172" i="5"/>
  <c r="K172" i="5"/>
  <c r="J172" i="5"/>
  <c r="I172" i="5"/>
  <c r="H172" i="5"/>
  <c r="G172" i="5"/>
  <c r="F172" i="5"/>
  <c r="E172" i="5"/>
  <c r="D172" i="5"/>
  <c r="C172" i="5"/>
  <c r="B172" i="5"/>
  <c r="N168" i="5"/>
  <c r="M168" i="5"/>
  <c r="L168" i="5"/>
  <c r="K168" i="5"/>
  <c r="J168" i="5"/>
  <c r="I168" i="5"/>
  <c r="H168" i="5"/>
  <c r="G168" i="5"/>
  <c r="F168" i="5"/>
  <c r="E168" i="5"/>
  <c r="D168" i="5"/>
  <c r="C168" i="5"/>
  <c r="B168" i="5"/>
  <c r="M164" i="5"/>
  <c r="L164" i="5"/>
  <c r="K164" i="5"/>
  <c r="J164" i="5"/>
  <c r="I164" i="5"/>
  <c r="H164" i="5"/>
  <c r="G164" i="5"/>
  <c r="F164" i="5"/>
  <c r="E164" i="5"/>
  <c r="D164" i="5"/>
  <c r="C164" i="5"/>
  <c r="B164" i="5"/>
  <c r="A163" i="5"/>
  <c r="A162" i="5"/>
  <c r="A161" i="5"/>
  <c r="M159" i="5"/>
  <c r="L159" i="5"/>
  <c r="K159" i="5"/>
  <c r="I159" i="5"/>
  <c r="G159" i="5"/>
  <c r="F159" i="5"/>
  <c r="C159" i="5"/>
  <c r="B159" i="5"/>
  <c r="J158" i="5"/>
  <c r="J159" i="5" s="1"/>
  <c r="H158" i="5"/>
  <c r="H159" i="5" s="1"/>
  <c r="E158" i="5"/>
  <c r="E159" i="5" s="1"/>
  <c r="D158" i="5"/>
  <c r="A156" i="5"/>
  <c r="A198" i="5" s="1"/>
  <c r="A155" i="5"/>
  <c r="D154" i="5"/>
  <c r="A154" i="5"/>
  <c r="A196" i="5" s="1"/>
  <c r="D153" i="5"/>
  <c r="A153" i="5"/>
  <c r="A195" i="5" s="1"/>
  <c r="A152" i="5"/>
  <c r="A194" i="5" s="1"/>
  <c r="D151" i="5"/>
  <c r="A151" i="5"/>
  <c r="A193" i="5" s="1"/>
  <c r="A150" i="5"/>
  <c r="A192" i="5" s="1"/>
  <c r="A149" i="5"/>
  <c r="A191" i="5" s="1"/>
  <c r="D148" i="5"/>
  <c r="A148" i="5"/>
  <c r="A190" i="5" s="1"/>
  <c r="A147" i="5"/>
  <c r="M146" i="5"/>
  <c r="L146" i="5"/>
  <c r="K146" i="5"/>
  <c r="I146" i="5"/>
  <c r="G146" i="5"/>
  <c r="F146" i="5"/>
  <c r="E146" i="5"/>
  <c r="C146" i="5"/>
  <c r="B146" i="5"/>
  <c r="H142" i="5"/>
  <c r="H146" i="5" s="1"/>
  <c r="J135" i="5"/>
  <c r="J146" i="5" s="1"/>
  <c r="D131" i="5"/>
  <c r="D130" i="5"/>
  <c r="D124" i="5"/>
  <c r="N121" i="5"/>
  <c r="M121" i="5"/>
  <c r="L121" i="5"/>
  <c r="K121" i="5"/>
  <c r="J121" i="5"/>
  <c r="I121" i="5"/>
  <c r="H121" i="5"/>
  <c r="G121" i="5"/>
  <c r="F121" i="5"/>
  <c r="E121" i="5"/>
  <c r="D121" i="5"/>
  <c r="C121" i="5"/>
  <c r="B121" i="5"/>
  <c r="M118" i="5"/>
  <c r="L118" i="5"/>
  <c r="K118" i="5"/>
  <c r="J117" i="5"/>
  <c r="I117" i="5"/>
  <c r="H117" i="5"/>
  <c r="G117" i="5"/>
  <c r="F117" i="5"/>
  <c r="E117" i="5"/>
  <c r="D117" i="5"/>
  <c r="J116" i="5"/>
  <c r="I116" i="5"/>
  <c r="H116" i="5"/>
  <c r="F116" i="5"/>
  <c r="E116" i="5"/>
  <c r="D116" i="5"/>
  <c r="J115" i="5"/>
  <c r="I115" i="5"/>
  <c r="G115" i="5"/>
  <c r="F115" i="5"/>
  <c r="E115" i="5"/>
  <c r="D115" i="5"/>
  <c r="A115" i="5"/>
  <c r="J114" i="5"/>
  <c r="G114" i="5"/>
  <c r="F114" i="5"/>
  <c r="E114" i="5"/>
  <c r="D114" i="5"/>
  <c r="B114" i="5"/>
  <c r="A114" i="5"/>
  <c r="J113" i="5"/>
  <c r="I113" i="5"/>
  <c r="H113" i="5"/>
  <c r="G113" i="5"/>
  <c r="F113" i="5"/>
  <c r="E113" i="5"/>
  <c r="D113" i="5"/>
  <c r="B113" i="5"/>
  <c r="A113" i="5"/>
  <c r="J112" i="5"/>
  <c r="I112" i="5"/>
  <c r="G112" i="5"/>
  <c r="F112" i="5"/>
  <c r="E112" i="5"/>
  <c r="B112" i="5"/>
  <c r="A112" i="5"/>
  <c r="J111" i="5"/>
  <c r="I111" i="5"/>
  <c r="G111" i="5"/>
  <c r="F111" i="5"/>
  <c r="E111" i="5"/>
  <c r="D111" i="5"/>
  <c r="B111" i="5"/>
  <c r="A111" i="5"/>
  <c r="J110" i="5"/>
  <c r="I110" i="5"/>
  <c r="H110" i="5"/>
  <c r="G110" i="5"/>
  <c r="F110" i="5"/>
  <c r="E110" i="5"/>
  <c r="D110" i="5"/>
  <c r="C110" i="5"/>
  <c r="C118" i="5" s="1"/>
  <c r="B110" i="5"/>
  <c r="A110" i="5"/>
  <c r="J109" i="5"/>
  <c r="I109" i="5"/>
  <c r="H109" i="5"/>
  <c r="G109" i="5"/>
  <c r="F109" i="5"/>
  <c r="E109" i="5"/>
  <c r="D109" i="5"/>
  <c r="B109" i="5"/>
  <c r="A109" i="5"/>
  <c r="J108" i="5"/>
  <c r="I108" i="5"/>
  <c r="H108" i="5"/>
  <c r="G108" i="5"/>
  <c r="F108" i="5"/>
  <c r="E108" i="5"/>
  <c r="D108" i="5"/>
  <c r="B108" i="5"/>
  <c r="A108" i="5"/>
  <c r="J107" i="5"/>
  <c r="I107" i="5"/>
  <c r="G107" i="5"/>
  <c r="F107" i="5"/>
  <c r="E107" i="5"/>
  <c r="D107" i="5"/>
  <c r="B107" i="5"/>
  <c r="A107" i="5"/>
  <c r="M105" i="5"/>
  <c r="L105" i="5"/>
  <c r="K105" i="5"/>
  <c r="I105" i="5"/>
  <c r="H105" i="5"/>
  <c r="G105" i="5"/>
  <c r="F105" i="5"/>
  <c r="E105" i="5"/>
  <c r="D105" i="5"/>
  <c r="C105" i="5"/>
  <c r="B105" i="5"/>
  <c r="N96" i="5"/>
  <c r="M74" i="5"/>
  <c r="L74" i="5"/>
  <c r="K74" i="5"/>
  <c r="J74" i="5"/>
  <c r="I74" i="5"/>
  <c r="H74" i="5"/>
  <c r="G74" i="5"/>
  <c r="F74" i="5"/>
  <c r="E74" i="5"/>
  <c r="D74" i="5"/>
  <c r="C74" i="5"/>
  <c r="B74" i="5"/>
  <c r="N73" i="5"/>
  <c r="N72" i="5"/>
  <c r="N71" i="5"/>
  <c r="N70" i="5"/>
  <c r="N69" i="5"/>
  <c r="M67" i="5"/>
  <c r="L67" i="5"/>
  <c r="K67" i="5"/>
  <c r="J67" i="5"/>
  <c r="I67" i="5"/>
  <c r="H67" i="5"/>
  <c r="G67" i="5"/>
  <c r="F67" i="5"/>
  <c r="E67" i="5"/>
  <c r="D67" i="5"/>
  <c r="C67" i="5"/>
  <c r="B67" i="5"/>
  <c r="N66" i="5"/>
  <c r="N65" i="5"/>
  <c r="N64" i="5"/>
  <c r="N63" i="5"/>
  <c r="N62" i="5"/>
  <c r="N61" i="5"/>
  <c r="N60" i="5"/>
  <c r="N59" i="5"/>
  <c r="N58" i="5"/>
  <c r="N57" i="5"/>
  <c r="N56" i="5"/>
  <c r="M54" i="5"/>
  <c r="L54" i="5"/>
  <c r="K54" i="5"/>
  <c r="I54" i="5"/>
  <c r="H54" i="5"/>
  <c r="G54" i="5"/>
  <c r="G76" i="5" s="1"/>
  <c r="F54" i="5"/>
  <c r="E54" i="5"/>
  <c r="B54" i="5"/>
  <c r="N53" i="5"/>
  <c r="N52" i="5"/>
  <c r="N51" i="5"/>
  <c r="N50" i="5"/>
  <c r="N49" i="5"/>
  <c r="N48" i="5"/>
  <c r="N47" i="5"/>
  <c r="N46" i="5"/>
  <c r="N45" i="5"/>
  <c r="N44" i="5"/>
  <c r="A44" i="5"/>
  <c r="A137" i="5" s="1"/>
  <c r="A187" i="5" s="1"/>
  <c r="N43" i="5"/>
  <c r="A43" i="5"/>
  <c r="J42" i="5"/>
  <c r="J54" i="5" s="1"/>
  <c r="D42" i="5"/>
  <c r="C42" i="5"/>
  <c r="A42" i="5"/>
  <c r="N41" i="5"/>
  <c r="A41" i="5"/>
  <c r="A134" i="5" s="1"/>
  <c r="A184" i="5" s="1"/>
  <c r="N40" i="5"/>
  <c r="A40" i="5"/>
  <c r="A91" i="5" s="1"/>
  <c r="O39" i="5"/>
  <c r="N39" i="5"/>
  <c r="A39" i="5"/>
  <c r="N38" i="5"/>
  <c r="A38" i="5"/>
  <c r="A131" i="5" s="1"/>
  <c r="A181" i="5" s="1"/>
  <c r="N37" i="5"/>
  <c r="A37" i="5"/>
  <c r="N36" i="5"/>
  <c r="A36" i="5"/>
  <c r="A129" i="5" s="1"/>
  <c r="A179" i="5" s="1"/>
  <c r="C35" i="5"/>
  <c r="N35" i="5" s="1"/>
  <c r="A35" i="5"/>
  <c r="C34" i="5"/>
  <c r="N34" i="5" s="1"/>
  <c r="A34" i="5"/>
  <c r="A127" i="5" s="1"/>
  <c r="A177" i="5" s="1"/>
  <c r="D33" i="5"/>
  <c r="N33" i="5" s="1"/>
  <c r="A33" i="5"/>
  <c r="A126" i="5" s="1"/>
  <c r="A176" i="5" s="1"/>
  <c r="N32" i="5"/>
  <c r="A32" i="5"/>
  <c r="N31" i="5"/>
  <c r="A31" i="5"/>
  <c r="A124" i="5" s="1"/>
  <c r="A174" i="5" s="1"/>
  <c r="X23" i="5"/>
  <c r="X22" i="5"/>
  <c r="X21" i="5"/>
  <c r="X20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G13" i="5"/>
  <c r="F13" i="5"/>
  <c r="F8" i="5" s="1"/>
  <c r="F9" i="5" s="1"/>
  <c r="E13" i="5"/>
  <c r="D13" i="5"/>
  <c r="C13" i="5"/>
  <c r="B13" i="5"/>
  <c r="X12" i="5"/>
  <c r="W9" i="5"/>
  <c r="W15" i="5" s="1"/>
  <c r="V9" i="5"/>
  <c r="V15" i="5" s="1"/>
  <c r="U9" i="5"/>
  <c r="U15" i="5" s="1"/>
  <c r="T9" i="5"/>
  <c r="T15" i="5" s="1"/>
  <c r="R9" i="5"/>
  <c r="R15" i="5" s="1"/>
  <c r="Q9" i="5"/>
  <c r="Q15" i="5" s="1"/>
  <c r="P9" i="5"/>
  <c r="P15" i="5" s="1"/>
  <c r="O9" i="5"/>
  <c r="O15" i="5" s="1"/>
  <c r="L9" i="5"/>
  <c r="I9" i="5"/>
  <c r="I15" i="5" s="1"/>
  <c r="H9" i="5"/>
  <c r="H15" i="5" s="1"/>
  <c r="N8" i="5"/>
  <c r="N9" i="5" s="1"/>
  <c r="N15" i="5" s="1"/>
  <c r="M8" i="5"/>
  <c r="M9" i="5" s="1"/>
  <c r="M15" i="5" s="1"/>
  <c r="K8" i="5"/>
  <c r="K9" i="5" s="1"/>
  <c r="K15" i="5" s="1"/>
  <c r="J8" i="5"/>
  <c r="J9" i="5" s="1"/>
  <c r="J15" i="5" s="1"/>
  <c r="G8" i="5"/>
  <c r="G9" i="5" s="1"/>
  <c r="G15" i="5" s="1"/>
  <c r="E8" i="5"/>
  <c r="E9" i="5" s="1"/>
  <c r="E15" i="5" s="1"/>
  <c r="D8" i="5"/>
  <c r="D9" i="5" s="1"/>
  <c r="D15" i="5" s="1"/>
  <c r="C8" i="5"/>
  <c r="C9" i="5" s="1"/>
  <c r="C15" i="5" s="1"/>
  <c r="B8" i="5"/>
  <c r="S7" i="5"/>
  <c r="S9" i="5" s="1"/>
  <c r="S15" i="5" s="1"/>
  <c r="W5" i="5"/>
  <c r="V5" i="5"/>
  <c r="U5" i="5"/>
  <c r="T5" i="5"/>
  <c r="S5" i="5"/>
  <c r="R5" i="5"/>
  <c r="Q5" i="5"/>
  <c r="P5" i="5"/>
  <c r="O5" i="5"/>
  <c r="L5" i="5"/>
  <c r="K5" i="5"/>
  <c r="I5" i="5"/>
  <c r="H5" i="5"/>
  <c r="G5" i="5"/>
  <c r="E5" i="5"/>
  <c r="N4" i="5"/>
  <c r="N5" i="5" s="1"/>
  <c r="M4" i="5"/>
  <c r="M5" i="5" s="1"/>
  <c r="J4" i="5"/>
  <c r="J5" i="5" s="1"/>
  <c r="F4" i="5"/>
  <c r="F5" i="5" s="1"/>
  <c r="D4" i="5"/>
  <c r="D5" i="5" s="1"/>
  <c r="C4" i="5"/>
  <c r="C5" i="5" s="1"/>
  <c r="B4" i="5"/>
  <c r="B5" i="5" s="1"/>
  <c r="X3" i="5"/>
  <c r="R10" i="5" l="1"/>
  <c r="E10" i="5"/>
  <c r="B75" i="5"/>
  <c r="O10" i="5"/>
  <c r="L10" i="5"/>
  <c r="I200" i="5"/>
  <c r="C200" i="5"/>
  <c r="G200" i="5"/>
  <c r="K200" i="5"/>
  <c r="P10" i="5"/>
  <c r="H10" i="5"/>
  <c r="V10" i="5"/>
  <c r="E16" i="5"/>
  <c r="E17" i="5" s="1"/>
  <c r="E19" i="5" s="1"/>
  <c r="E24" i="5" s="1"/>
  <c r="E25" i="5" s="1"/>
  <c r="AJ10" i="7"/>
  <c r="AJ11" i="7" s="1"/>
  <c r="T10" i="5"/>
  <c r="O16" i="5"/>
  <c r="O17" i="5" s="1"/>
  <c r="O19" i="5" s="1"/>
  <c r="O24" i="5" s="1"/>
  <c r="X7" i="5"/>
  <c r="P16" i="5"/>
  <c r="P17" i="5" s="1"/>
  <c r="P19" i="5" s="1"/>
  <c r="P24" i="5" s="1"/>
  <c r="T16" i="5"/>
  <c r="T17" i="5" s="1"/>
  <c r="T19" i="5" s="1"/>
  <c r="T24" i="5" s="1"/>
  <c r="F25" i="7"/>
  <c r="G98" i="7" s="1"/>
  <c r="B11" i="7"/>
  <c r="B17" i="7"/>
  <c r="B19" i="7" s="1"/>
  <c r="N97" i="7"/>
  <c r="N102" i="7"/>
  <c r="N114" i="7"/>
  <c r="B88" i="7"/>
  <c r="B89" i="7" s="1"/>
  <c r="M88" i="7"/>
  <c r="M89" i="7" s="1"/>
  <c r="M142" i="7"/>
  <c r="L89" i="7"/>
  <c r="X8" i="5"/>
  <c r="D10" i="5"/>
  <c r="I10" i="5"/>
  <c r="W10" i="5"/>
  <c r="C54" i="5"/>
  <c r="C75" i="5" s="1"/>
  <c r="F76" i="5"/>
  <c r="K119" i="5"/>
  <c r="I165" i="5"/>
  <c r="D54" i="5"/>
  <c r="D75" i="5" s="1"/>
  <c r="E76" i="5"/>
  <c r="A85" i="5"/>
  <c r="C119" i="5"/>
  <c r="I118" i="5"/>
  <c r="I119" i="5" s="1"/>
  <c r="E165" i="5"/>
  <c r="K165" i="5"/>
  <c r="E200" i="5"/>
  <c r="M200" i="5"/>
  <c r="A87" i="5"/>
  <c r="B200" i="5"/>
  <c r="B201" i="5" s="1"/>
  <c r="F200" i="5"/>
  <c r="J200" i="5"/>
  <c r="N200" i="5"/>
  <c r="K142" i="7"/>
  <c r="N10" i="5"/>
  <c r="S16" i="5"/>
  <c r="S17" i="5" s="1"/>
  <c r="S19" i="5" s="1"/>
  <c r="S24" i="5" s="1"/>
  <c r="L15" i="5"/>
  <c r="H75" i="5"/>
  <c r="M165" i="5"/>
  <c r="C10" i="5"/>
  <c r="M10" i="5"/>
  <c r="D16" i="5"/>
  <c r="D17" i="5" s="1"/>
  <c r="D19" i="5" s="1"/>
  <c r="D24" i="5" s="1"/>
  <c r="I16" i="5"/>
  <c r="U16" i="5"/>
  <c r="U17" i="5" s="1"/>
  <c r="U19" i="5" s="1"/>
  <c r="U24" i="5" s="1"/>
  <c r="J75" i="5"/>
  <c r="N67" i="5"/>
  <c r="K75" i="5"/>
  <c r="E75" i="5"/>
  <c r="H76" i="5"/>
  <c r="A95" i="5"/>
  <c r="E118" i="5"/>
  <c r="E119" i="5" s="1"/>
  <c r="N117" i="5"/>
  <c r="H165" i="5"/>
  <c r="F165" i="5"/>
  <c r="L165" i="5"/>
  <c r="H16" i="5"/>
  <c r="H17" i="5" s="1"/>
  <c r="H19" i="5" s="1"/>
  <c r="H24" i="5" s="1"/>
  <c r="J88" i="5" s="1"/>
  <c r="N88" i="5" s="1"/>
  <c r="B76" i="5"/>
  <c r="S10" i="5"/>
  <c r="L16" i="5"/>
  <c r="M75" i="5"/>
  <c r="L119" i="5"/>
  <c r="Q10" i="5"/>
  <c r="U10" i="5"/>
  <c r="F75" i="5"/>
  <c r="G75" i="5"/>
  <c r="A82" i="5"/>
  <c r="F118" i="5"/>
  <c r="F119" i="5" s="1"/>
  <c r="G118" i="5"/>
  <c r="G77" i="5" s="1"/>
  <c r="N116" i="5"/>
  <c r="B165" i="5"/>
  <c r="N146" i="5"/>
  <c r="N165" i="5" s="1"/>
  <c r="P165" i="5" s="1"/>
  <c r="Q16" i="5"/>
  <c r="Q17" i="5" s="1"/>
  <c r="Q19" i="5" s="1"/>
  <c r="Q24" i="5" s="1"/>
  <c r="J98" i="5" s="1"/>
  <c r="N98" i="5" s="1"/>
  <c r="I17" i="5"/>
  <c r="I19" i="5" s="1"/>
  <c r="I24" i="5" s="1"/>
  <c r="J89" i="5" s="1"/>
  <c r="N89" i="5" s="1"/>
  <c r="F15" i="5"/>
  <c r="F16" i="5"/>
  <c r="J10" i="5"/>
  <c r="K10" i="5"/>
  <c r="M16" i="5"/>
  <c r="M17" i="5" s="1"/>
  <c r="M19" i="5" s="1"/>
  <c r="M24" i="5" s="1"/>
  <c r="B9" i="5"/>
  <c r="A93" i="5"/>
  <c r="A135" i="5"/>
  <c r="A185" i="5" s="1"/>
  <c r="N42" i="5"/>
  <c r="N54" i="5" s="1"/>
  <c r="I76" i="5"/>
  <c r="I75" i="5"/>
  <c r="N74" i="5"/>
  <c r="N110" i="5"/>
  <c r="G165" i="5"/>
  <c r="C165" i="5"/>
  <c r="X13" i="5"/>
  <c r="J16" i="5"/>
  <c r="J17" i="5" s="1"/>
  <c r="J19" i="5" s="1"/>
  <c r="J24" i="5" s="1"/>
  <c r="F10" i="5"/>
  <c r="X4" i="5"/>
  <c r="X5" i="5" s="1"/>
  <c r="G10" i="5"/>
  <c r="C16" i="5"/>
  <c r="C17" i="5" s="1"/>
  <c r="C19" i="5" s="1"/>
  <c r="C24" i="5" s="1"/>
  <c r="G16" i="5"/>
  <c r="G17" i="5" s="1"/>
  <c r="G19" i="5" s="1"/>
  <c r="G24" i="5" s="1"/>
  <c r="K16" i="5"/>
  <c r="K17" i="5" s="1"/>
  <c r="K19" i="5" s="1"/>
  <c r="K24" i="5" s="1"/>
  <c r="W16" i="5"/>
  <c r="W17" i="5" s="1"/>
  <c r="W19" i="5" s="1"/>
  <c r="W24" i="5" s="1"/>
  <c r="A125" i="5"/>
  <c r="A175" i="5" s="1"/>
  <c r="A83" i="5"/>
  <c r="A86" i="5"/>
  <c r="A128" i="5"/>
  <c r="A178" i="5" s="1"/>
  <c r="A130" i="5"/>
  <c r="A180" i="5" s="1"/>
  <c r="A88" i="5"/>
  <c r="A132" i="5"/>
  <c r="A182" i="5" s="1"/>
  <c r="A90" i="5"/>
  <c r="A94" i="5"/>
  <c r="A136" i="5"/>
  <c r="A186" i="5" s="1"/>
  <c r="A133" i="5"/>
  <c r="A183" i="5" s="1"/>
  <c r="N107" i="5"/>
  <c r="B118" i="5"/>
  <c r="B119" i="5" s="1"/>
  <c r="N108" i="5"/>
  <c r="N113" i="5"/>
  <c r="N115" i="5"/>
  <c r="M119" i="5"/>
  <c r="D118" i="5"/>
  <c r="D119" i="5" s="1"/>
  <c r="H118" i="5"/>
  <c r="H119" i="5" s="1"/>
  <c r="N109" i="5"/>
  <c r="N111" i="5"/>
  <c r="N114" i="5"/>
  <c r="D146" i="5"/>
  <c r="J165" i="5"/>
  <c r="N16" i="5"/>
  <c r="N17" i="5" s="1"/>
  <c r="N19" i="5" s="1"/>
  <c r="N24" i="5" s="1"/>
  <c r="R16" i="5"/>
  <c r="R17" i="5" s="1"/>
  <c r="R19" i="5" s="1"/>
  <c r="R24" i="5" s="1"/>
  <c r="V16" i="5"/>
  <c r="V17" i="5" s="1"/>
  <c r="V19" i="5" s="1"/>
  <c r="V24" i="5" s="1"/>
  <c r="L75" i="5"/>
  <c r="A89" i="5"/>
  <c r="J118" i="5"/>
  <c r="N112" i="5"/>
  <c r="D159" i="5"/>
  <c r="D200" i="5"/>
  <c r="H200" i="5"/>
  <c r="L200" i="5"/>
  <c r="A84" i="5"/>
  <c r="A92" i="5"/>
  <c r="C76" i="5" l="1"/>
  <c r="C77" i="5" s="1"/>
  <c r="E77" i="5"/>
  <c r="H25" i="5"/>
  <c r="X9" i="5"/>
  <c r="X15" i="5" s="1"/>
  <c r="D76" i="5"/>
  <c r="D77" i="5" s="1"/>
  <c r="I77" i="5"/>
  <c r="K76" i="5"/>
  <c r="K77" i="5" s="1"/>
  <c r="M76" i="5"/>
  <c r="M77" i="5" s="1"/>
  <c r="J85" i="5"/>
  <c r="N85" i="5" s="1"/>
  <c r="L76" i="5"/>
  <c r="L77" i="5" s="1"/>
  <c r="F77" i="5"/>
  <c r="F26" i="7"/>
  <c r="N98" i="7"/>
  <c r="B25" i="7"/>
  <c r="C142" i="7"/>
  <c r="B142" i="7"/>
  <c r="K89" i="7"/>
  <c r="J142" i="7"/>
  <c r="G119" i="5"/>
  <c r="L17" i="5"/>
  <c r="L19" i="5" s="1"/>
  <c r="L24" i="5" s="1"/>
  <c r="I25" i="5"/>
  <c r="D165" i="5"/>
  <c r="Q25" i="5"/>
  <c r="N25" i="5"/>
  <c r="J94" i="5"/>
  <c r="N94" i="5" s="1"/>
  <c r="J87" i="5"/>
  <c r="N87" i="5" s="1"/>
  <c r="G25" i="5"/>
  <c r="J83" i="5"/>
  <c r="N83" i="5" s="1"/>
  <c r="C25" i="5"/>
  <c r="N75" i="5"/>
  <c r="O67" i="5"/>
  <c r="B15" i="5"/>
  <c r="B16" i="5"/>
  <c r="J91" i="5"/>
  <c r="N91" i="5" s="1"/>
  <c r="K25" i="5"/>
  <c r="R25" i="5"/>
  <c r="J99" i="5"/>
  <c r="N99" i="5" s="1"/>
  <c r="N118" i="5"/>
  <c r="J101" i="5"/>
  <c r="N101" i="5" s="1"/>
  <c r="T25" i="5"/>
  <c r="J100" i="5"/>
  <c r="N100" i="5" s="1"/>
  <c r="S25" i="5"/>
  <c r="F17" i="5"/>
  <c r="F19" i="5" s="1"/>
  <c r="F24" i="5" s="1"/>
  <c r="J97" i="5"/>
  <c r="N97" i="5" s="1"/>
  <c r="P25" i="5"/>
  <c r="J104" i="5"/>
  <c r="N104" i="5" s="1"/>
  <c r="W25" i="5"/>
  <c r="U25" i="5"/>
  <c r="J102" i="5"/>
  <c r="N102" i="5" s="1"/>
  <c r="J93" i="5"/>
  <c r="N93" i="5" s="1"/>
  <c r="M25" i="5"/>
  <c r="V25" i="5"/>
  <c r="J103" i="5"/>
  <c r="N103" i="5" s="1"/>
  <c r="H77" i="5"/>
  <c r="J95" i="5"/>
  <c r="N95" i="5" s="1"/>
  <c r="O25" i="5"/>
  <c r="B77" i="5"/>
  <c r="D25" i="5"/>
  <c r="J84" i="5"/>
  <c r="N84" i="5" s="1"/>
  <c r="J25" i="5"/>
  <c r="J90" i="5"/>
  <c r="N90" i="5" s="1"/>
  <c r="B10" i="5"/>
  <c r="X10" i="5" s="1"/>
  <c r="X16" i="5" l="1"/>
  <c r="X17" i="5" s="1"/>
  <c r="G94" i="7"/>
  <c r="B26" i="7"/>
  <c r="C88" i="7"/>
  <c r="C89" i="7" s="1"/>
  <c r="J89" i="7"/>
  <c r="J92" i="5"/>
  <c r="N92" i="5" s="1"/>
  <c r="L25" i="5"/>
  <c r="B17" i="5"/>
  <c r="B19" i="5" s="1"/>
  <c r="X19" i="5" s="1"/>
  <c r="F25" i="5"/>
  <c r="J86" i="5"/>
  <c r="N86" i="5" s="1"/>
  <c r="N94" i="7" l="1"/>
  <c r="N95" i="7"/>
  <c r="B24" i="5"/>
  <c r="B25" i="5" s="1"/>
  <c r="X24" i="5" l="1"/>
  <c r="X26" i="5" s="1"/>
  <c r="J82" i="5"/>
  <c r="N82" i="5" s="1"/>
  <c r="N105" i="5" s="1"/>
  <c r="N119" i="5" s="1"/>
  <c r="J105" i="5" l="1"/>
  <c r="J119" i="5" s="1"/>
  <c r="O77" i="5"/>
  <c r="X25" i="5"/>
  <c r="J76" i="5" l="1"/>
  <c r="J77" i="5" s="1"/>
  <c r="N76" i="5" l="1"/>
  <c r="O76" i="5" s="1"/>
  <c r="N77" i="5" l="1"/>
  <c r="P77" i="5" s="1"/>
  <c r="S3" i="1"/>
  <c r="F141" i="1"/>
  <c r="F97" i="1"/>
  <c r="F98" i="1"/>
  <c r="F99" i="1"/>
  <c r="F100" i="1"/>
  <c r="F101" i="1"/>
  <c r="F102" i="1"/>
  <c r="F103" i="1"/>
  <c r="F104" i="1"/>
  <c r="F96" i="1"/>
  <c r="N60" i="1" l="1"/>
  <c r="C141" i="1" l="1"/>
  <c r="B141" i="1"/>
  <c r="F128" i="1"/>
  <c r="G128" i="1"/>
  <c r="H128" i="1"/>
  <c r="I128" i="1"/>
  <c r="J128" i="1"/>
  <c r="K128" i="1"/>
  <c r="L128" i="1"/>
  <c r="M128" i="1"/>
  <c r="C128" i="1"/>
  <c r="E128" i="1"/>
  <c r="B128" i="1"/>
  <c r="C61" i="1"/>
  <c r="D61" i="1"/>
  <c r="E61" i="1"/>
  <c r="F61" i="1"/>
  <c r="G61" i="1"/>
  <c r="H61" i="1"/>
  <c r="I61" i="1"/>
  <c r="J61" i="1"/>
  <c r="K61" i="1"/>
  <c r="L61" i="1"/>
  <c r="M61" i="1"/>
  <c r="B61" i="1"/>
  <c r="E49" i="1"/>
  <c r="C149" i="1"/>
  <c r="D149" i="1"/>
  <c r="E149" i="1"/>
  <c r="B149" i="1"/>
  <c r="N90" i="1"/>
  <c r="C94" i="1"/>
  <c r="D94" i="1"/>
  <c r="G94" i="1"/>
  <c r="H94" i="1"/>
  <c r="I94" i="1"/>
  <c r="J94" i="1"/>
  <c r="K94" i="1"/>
  <c r="L94" i="1"/>
  <c r="M94" i="1"/>
  <c r="S23" i="1"/>
  <c r="S22" i="1"/>
  <c r="S21" i="1"/>
  <c r="S20" i="1"/>
  <c r="S12" i="1"/>
  <c r="S7" i="1"/>
  <c r="S4" i="1"/>
  <c r="E140" i="1" l="1"/>
  <c r="E141" i="1" s="1"/>
  <c r="E97" i="1"/>
  <c r="E98" i="1"/>
  <c r="E99" i="1"/>
  <c r="E100" i="1"/>
  <c r="E101" i="1"/>
  <c r="E102" i="1"/>
  <c r="E103" i="1"/>
  <c r="E104" i="1"/>
  <c r="E96" i="1"/>
  <c r="B94" i="1"/>
  <c r="E105" i="1" l="1"/>
  <c r="R9" i="1"/>
  <c r="R15" i="1" s="1"/>
  <c r="R5" i="1"/>
  <c r="P9" i="1"/>
  <c r="P15" i="1" s="1"/>
  <c r="P5" i="1"/>
  <c r="Q9" i="1"/>
  <c r="Q5" i="1"/>
  <c r="R10" i="1" l="1"/>
  <c r="P10" i="1"/>
  <c r="Q10" i="1"/>
  <c r="Q15" i="1"/>
  <c r="M49" i="1"/>
  <c r="L49" i="1"/>
  <c r="K49" i="1"/>
  <c r="J49" i="1"/>
  <c r="I49" i="1"/>
  <c r="H49" i="1"/>
  <c r="G49" i="1"/>
  <c r="F49" i="1"/>
  <c r="B49" i="1"/>
  <c r="N45" i="1" l="1"/>
  <c r="N46" i="1"/>
  <c r="N47" i="1"/>
  <c r="N48" i="1"/>
  <c r="N125" i="1" l="1"/>
  <c r="R13" i="1" s="1"/>
  <c r="R16" i="1" s="1"/>
  <c r="R17" i="1" s="1"/>
  <c r="R19" i="1" s="1"/>
  <c r="R24" i="1" s="1"/>
  <c r="N126" i="1"/>
  <c r="Q13" i="1" s="1"/>
  <c r="Q16" i="1" s="1"/>
  <c r="Q17" i="1" s="1"/>
  <c r="Q19" i="1" s="1"/>
  <c r="Q24" i="1" s="1"/>
  <c r="N127" i="1"/>
  <c r="P13" i="1" s="1"/>
  <c r="P16" i="1" s="1"/>
  <c r="P17" i="1" s="1"/>
  <c r="P19" i="1" s="1"/>
  <c r="P24" i="1" s="1"/>
  <c r="F91" i="1" l="1"/>
  <c r="N91" i="1" s="1"/>
  <c r="F92" i="1"/>
  <c r="N92" i="1" s="1"/>
  <c r="F93" i="1"/>
  <c r="N93" i="1" s="1"/>
  <c r="Q25" i="1"/>
  <c r="R25" i="1"/>
  <c r="P25" i="1"/>
  <c r="N144" i="1"/>
  <c r="N131" i="1"/>
  <c r="D140" i="1"/>
  <c r="N140" i="1" s="1"/>
  <c r="E150" i="1" l="1"/>
  <c r="N184" i="1"/>
  <c r="M184" i="1"/>
  <c r="L184" i="1"/>
  <c r="K184" i="1"/>
  <c r="J184" i="1"/>
  <c r="I184" i="1"/>
  <c r="H184" i="1"/>
  <c r="G184" i="1"/>
  <c r="F184" i="1"/>
  <c r="E184" i="1"/>
  <c r="D184" i="1"/>
  <c r="C184" i="1"/>
  <c r="B184" i="1"/>
  <c r="A182" i="1"/>
  <c r="N173" i="1"/>
  <c r="M173" i="1"/>
  <c r="L173" i="1"/>
  <c r="K173" i="1"/>
  <c r="J173" i="1"/>
  <c r="I173" i="1"/>
  <c r="H173" i="1"/>
  <c r="G173" i="1"/>
  <c r="F173" i="1"/>
  <c r="E173" i="1"/>
  <c r="D173" i="1"/>
  <c r="C173" i="1"/>
  <c r="B173" i="1"/>
  <c r="N157" i="1"/>
  <c r="M157" i="1"/>
  <c r="L157" i="1"/>
  <c r="K157" i="1"/>
  <c r="J157" i="1"/>
  <c r="I157" i="1"/>
  <c r="H157" i="1"/>
  <c r="G157" i="1"/>
  <c r="F157" i="1"/>
  <c r="E157" i="1"/>
  <c r="D157" i="1"/>
  <c r="C157" i="1"/>
  <c r="B157" i="1"/>
  <c r="N153" i="1"/>
  <c r="M153" i="1"/>
  <c r="L153" i="1"/>
  <c r="K153" i="1"/>
  <c r="J153" i="1"/>
  <c r="I153" i="1"/>
  <c r="H153" i="1"/>
  <c r="G153" i="1"/>
  <c r="F153" i="1"/>
  <c r="E153" i="1"/>
  <c r="D153" i="1"/>
  <c r="C153" i="1"/>
  <c r="B153" i="1"/>
  <c r="M149" i="1"/>
  <c r="L149" i="1"/>
  <c r="K149" i="1"/>
  <c r="J149" i="1"/>
  <c r="I149" i="1"/>
  <c r="H149" i="1"/>
  <c r="G149" i="1"/>
  <c r="F149" i="1"/>
  <c r="N148" i="1"/>
  <c r="A148" i="1"/>
  <c r="N147" i="1"/>
  <c r="A147" i="1"/>
  <c r="N146" i="1"/>
  <c r="A146" i="1"/>
  <c r="N145" i="1"/>
  <c r="A145" i="1"/>
  <c r="A144" i="1"/>
  <c r="A143" i="1"/>
  <c r="M141" i="1"/>
  <c r="L141" i="1"/>
  <c r="K141" i="1"/>
  <c r="J141" i="1"/>
  <c r="I141" i="1"/>
  <c r="H141" i="1"/>
  <c r="G141" i="1"/>
  <c r="N138" i="1"/>
  <c r="A138" i="1"/>
  <c r="A183" i="1" s="1"/>
  <c r="N137" i="1"/>
  <c r="A137" i="1"/>
  <c r="D136" i="1"/>
  <c r="N136" i="1" s="1"/>
  <c r="A136" i="1"/>
  <c r="A181" i="1" s="1"/>
  <c r="D135" i="1"/>
  <c r="N135" i="1" s="1"/>
  <c r="A135" i="1"/>
  <c r="A180" i="1" s="1"/>
  <c r="N134" i="1"/>
  <c r="A134" i="1"/>
  <c r="A179" i="1" s="1"/>
  <c r="D133" i="1"/>
  <c r="A133" i="1"/>
  <c r="A178" i="1" s="1"/>
  <c r="N132" i="1"/>
  <c r="A132" i="1"/>
  <c r="A177" i="1" s="1"/>
  <c r="A131" i="1"/>
  <c r="A176" i="1" s="1"/>
  <c r="D130" i="1"/>
  <c r="A130" i="1"/>
  <c r="A175" i="1" s="1"/>
  <c r="A129" i="1"/>
  <c r="N139" i="1"/>
  <c r="N124" i="1"/>
  <c r="O13" i="1" s="1"/>
  <c r="N123" i="1"/>
  <c r="N13" i="1" s="1"/>
  <c r="N122" i="1"/>
  <c r="M13" i="1" s="1"/>
  <c r="N121" i="1"/>
  <c r="L13" i="1" s="1"/>
  <c r="N120" i="1"/>
  <c r="K13" i="1" s="1"/>
  <c r="N119" i="1"/>
  <c r="J13" i="1" s="1"/>
  <c r="D118" i="1"/>
  <c r="N118" i="1" s="1"/>
  <c r="I13" i="1" s="1"/>
  <c r="D117" i="1"/>
  <c r="N117" i="1" s="1"/>
  <c r="H13" i="1" s="1"/>
  <c r="N116" i="1"/>
  <c r="G13" i="1" s="1"/>
  <c r="N115" i="1"/>
  <c r="F13" i="1" s="1"/>
  <c r="N114" i="1"/>
  <c r="E13" i="1" s="1"/>
  <c r="N113" i="1"/>
  <c r="D13" i="1" s="1"/>
  <c r="N112" i="1"/>
  <c r="C13" i="1" s="1"/>
  <c r="D111" i="1"/>
  <c r="N108" i="1"/>
  <c r="M108" i="1"/>
  <c r="L108" i="1"/>
  <c r="K108" i="1"/>
  <c r="J108" i="1"/>
  <c r="I108" i="1"/>
  <c r="H108" i="1"/>
  <c r="G108" i="1"/>
  <c r="F108" i="1"/>
  <c r="E108" i="1"/>
  <c r="D108" i="1"/>
  <c r="C108" i="1"/>
  <c r="B108" i="1"/>
  <c r="M105" i="1"/>
  <c r="L105" i="1"/>
  <c r="K105" i="1"/>
  <c r="K106" i="1" s="1"/>
  <c r="J105" i="1"/>
  <c r="J106" i="1" s="1"/>
  <c r="I105" i="1"/>
  <c r="H105" i="1"/>
  <c r="G105" i="1"/>
  <c r="G106" i="1" s="1"/>
  <c r="F105" i="1"/>
  <c r="D104" i="1"/>
  <c r="N104" i="1" s="1"/>
  <c r="A104" i="1"/>
  <c r="D103" i="1"/>
  <c r="B103" i="1"/>
  <c r="A103" i="1"/>
  <c r="D102" i="1"/>
  <c r="B102" i="1"/>
  <c r="A102" i="1"/>
  <c r="D101" i="1"/>
  <c r="B101" i="1"/>
  <c r="A101" i="1"/>
  <c r="D100" i="1"/>
  <c r="B100" i="1"/>
  <c r="A100" i="1"/>
  <c r="D99" i="1"/>
  <c r="C99" i="1"/>
  <c r="C105" i="1" s="1"/>
  <c r="B99" i="1"/>
  <c r="A99" i="1"/>
  <c r="D98" i="1"/>
  <c r="B98" i="1"/>
  <c r="A98" i="1"/>
  <c r="D97" i="1"/>
  <c r="B97" i="1"/>
  <c r="A97" i="1"/>
  <c r="D96" i="1"/>
  <c r="B96" i="1"/>
  <c r="A96" i="1"/>
  <c r="M68" i="1"/>
  <c r="L68" i="1"/>
  <c r="K68" i="1"/>
  <c r="J68" i="1"/>
  <c r="I68" i="1"/>
  <c r="H68" i="1"/>
  <c r="G68" i="1"/>
  <c r="F68" i="1"/>
  <c r="E68" i="1"/>
  <c r="D68" i="1"/>
  <c r="C68" i="1"/>
  <c r="B68" i="1"/>
  <c r="N67" i="1"/>
  <c r="N66" i="1"/>
  <c r="N65" i="1"/>
  <c r="N64" i="1"/>
  <c r="N63" i="1"/>
  <c r="N59" i="1"/>
  <c r="N58" i="1"/>
  <c r="N57" i="1"/>
  <c r="N56" i="1"/>
  <c r="N55" i="1"/>
  <c r="N54" i="1"/>
  <c r="N53" i="1"/>
  <c r="N52" i="1"/>
  <c r="N51" i="1"/>
  <c r="N44" i="1"/>
  <c r="A44" i="1"/>
  <c r="A89" i="1" s="1"/>
  <c r="N43" i="1"/>
  <c r="A43" i="1"/>
  <c r="A123" i="1" s="1"/>
  <c r="A171" i="1" s="1"/>
  <c r="D42" i="1"/>
  <c r="C42" i="1"/>
  <c r="A42" i="1"/>
  <c r="A122" i="1" s="1"/>
  <c r="A170" i="1" s="1"/>
  <c r="N41" i="1"/>
  <c r="A41" i="1"/>
  <c r="A121" i="1" s="1"/>
  <c r="A169" i="1" s="1"/>
  <c r="N40" i="1"/>
  <c r="A40" i="1"/>
  <c r="A85" i="1" s="1"/>
  <c r="N39" i="1"/>
  <c r="A39" i="1"/>
  <c r="A119" i="1" s="1"/>
  <c r="A167" i="1" s="1"/>
  <c r="N38" i="1"/>
  <c r="A38" i="1"/>
  <c r="A118" i="1" s="1"/>
  <c r="A166" i="1" s="1"/>
  <c r="N37" i="1"/>
  <c r="A37" i="1"/>
  <c r="A82" i="1" s="1"/>
  <c r="N36" i="1"/>
  <c r="A36" i="1"/>
  <c r="A81" i="1" s="1"/>
  <c r="C35" i="1"/>
  <c r="N35" i="1" s="1"/>
  <c r="A35" i="1"/>
  <c r="C34" i="1"/>
  <c r="A34" i="1"/>
  <c r="A114" i="1" s="1"/>
  <c r="A162" i="1" s="1"/>
  <c r="D33" i="1"/>
  <c r="A33" i="1"/>
  <c r="A78" i="1" s="1"/>
  <c r="N32" i="1"/>
  <c r="A32" i="1"/>
  <c r="N31" i="1"/>
  <c r="A31" i="1"/>
  <c r="A111" i="1" s="1"/>
  <c r="A159" i="1" s="1"/>
  <c r="O9" i="1"/>
  <c r="O15" i="1" s="1"/>
  <c r="N9" i="1"/>
  <c r="N15" i="1" s="1"/>
  <c r="M9" i="1"/>
  <c r="M15" i="1" s="1"/>
  <c r="L9" i="1"/>
  <c r="L15" i="1" s="1"/>
  <c r="K9" i="1"/>
  <c r="K15" i="1" s="1"/>
  <c r="J9" i="1"/>
  <c r="J15" i="1" s="1"/>
  <c r="I9" i="1"/>
  <c r="I15" i="1" s="1"/>
  <c r="H9" i="1"/>
  <c r="H15" i="1" s="1"/>
  <c r="G9" i="1"/>
  <c r="G15" i="1" s="1"/>
  <c r="F9" i="1"/>
  <c r="F15" i="1" s="1"/>
  <c r="D9" i="1"/>
  <c r="D15" i="1" s="1"/>
  <c r="C9" i="1"/>
  <c r="C15" i="1" s="1"/>
  <c r="B9" i="1"/>
  <c r="B15" i="1" s="1"/>
  <c r="E8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D128" i="1" l="1"/>
  <c r="D141" i="1"/>
  <c r="D10" i="1"/>
  <c r="B10" i="1"/>
  <c r="N61" i="1"/>
  <c r="E9" i="1"/>
  <c r="E15" i="1" s="1"/>
  <c r="S8" i="1"/>
  <c r="S9" i="1" s="1"/>
  <c r="S15" i="1" s="1"/>
  <c r="B105" i="1"/>
  <c r="B106" i="1" s="1"/>
  <c r="D105" i="1"/>
  <c r="M69" i="1"/>
  <c r="E69" i="1"/>
  <c r="I69" i="1"/>
  <c r="J69" i="1"/>
  <c r="J70" i="1" s="1"/>
  <c r="J71" i="1" s="1"/>
  <c r="B69" i="1"/>
  <c r="F69" i="1"/>
  <c r="A79" i="1"/>
  <c r="N130" i="1"/>
  <c r="I185" i="1"/>
  <c r="C185" i="1"/>
  <c r="G185" i="1"/>
  <c r="K185" i="1"/>
  <c r="L10" i="1"/>
  <c r="H10" i="1"/>
  <c r="N149" i="1"/>
  <c r="B185" i="1"/>
  <c r="B186" i="1" s="1"/>
  <c r="F185" i="1"/>
  <c r="J185" i="1"/>
  <c r="N185" i="1"/>
  <c r="M10" i="1"/>
  <c r="I10" i="1"/>
  <c r="F10" i="1"/>
  <c r="F16" i="1"/>
  <c r="F17" i="1" s="1"/>
  <c r="F19" i="1" s="1"/>
  <c r="F24" i="1" s="1"/>
  <c r="N10" i="1"/>
  <c r="D49" i="1"/>
  <c r="D69" i="1" s="1"/>
  <c r="N111" i="1"/>
  <c r="N128" i="1" s="1"/>
  <c r="S5" i="1"/>
  <c r="C49" i="1"/>
  <c r="N42" i="1"/>
  <c r="L16" i="1"/>
  <c r="L17" i="1" s="1"/>
  <c r="L19" i="1" s="1"/>
  <c r="L24" i="1" s="1"/>
  <c r="E185" i="1"/>
  <c r="M185" i="1"/>
  <c r="I16" i="1"/>
  <c r="I17" i="1" s="1"/>
  <c r="I19" i="1" s="1"/>
  <c r="I24" i="1" s="1"/>
  <c r="M16" i="1"/>
  <c r="M17" i="1" s="1"/>
  <c r="M19" i="1" s="1"/>
  <c r="M24" i="1" s="1"/>
  <c r="N33" i="1"/>
  <c r="C16" i="1"/>
  <c r="C17" i="1" s="1"/>
  <c r="C19" i="1" s="1"/>
  <c r="C24" i="1" s="1"/>
  <c r="G69" i="1"/>
  <c r="G70" i="1" s="1"/>
  <c r="G71" i="1" s="1"/>
  <c r="K69" i="1"/>
  <c r="K70" i="1" s="1"/>
  <c r="K71" i="1" s="1"/>
  <c r="A83" i="1"/>
  <c r="C106" i="1"/>
  <c r="H106" i="1"/>
  <c r="L106" i="1"/>
  <c r="G16" i="1"/>
  <c r="G17" i="1" s="1"/>
  <c r="G19" i="1" s="1"/>
  <c r="G24" i="1" s="1"/>
  <c r="J16" i="1"/>
  <c r="J17" i="1" s="1"/>
  <c r="J19" i="1" s="1"/>
  <c r="J24" i="1" s="1"/>
  <c r="N16" i="1"/>
  <c r="N17" i="1" s="1"/>
  <c r="N19" i="1" s="1"/>
  <c r="N24" i="1" s="1"/>
  <c r="C150" i="1"/>
  <c r="D185" i="1"/>
  <c r="H185" i="1"/>
  <c r="L185" i="1"/>
  <c r="C10" i="1"/>
  <c r="G10" i="1"/>
  <c r="K10" i="1"/>
  <c r="O10" i="1"/>
  <c r="J10" i="1"/>
  <c r="A87" i="1"/>
  <c r="I106" i="1"/>
  <c r="M106" i="1"/>
  <c r="D16" i="1"/>
  <c r="D17" i="1" s="1"/>
  <c r="D19" i="1" s="1"/>
  <c r="D24" i="1" s="1"/>
  <c r="H16" i="1"/>
  <c r="H17" i="1" s="1"/>
  <c r="H19" i="1" s="1"/>
  <c r="H24" i="1" s="1"/>
  <c r="K16" i="1"/>
  <c r="K17" i="1" s="1"/>
  <c r="K19" i="1" s="1"/>
  <c r="K24" i="1" s="1"/>
  <c r="O16" i="1"/>
  <c r="O17" i="1" s="1"/>
  <c r="O19" i="1" s="1"/>
  <c r="O24" i="1" s="1"/>
  <c r="B150" i="1"/>
  <c r="N97" i="1"/>
  <c r="N102" i="1"/>
  <c r="N68" i="1"/>
  <c r="N98" i="1"/>
  <c r="N103" i="1"/>
  <c r="N96" i="1"/>
  <c r="N101" i="1"/>
  <c r="N99" i="1"/>
  <c r="N100" i="1"/>
  <c r="A77" i="1"/>
  <c r="A112" i="1"/>
  <c r="A160" i="1" s="1"/>
  <c r="B70" i="1"/>
  <c r="L69" i="1"/>
  <c r="A115" i="1"/>
  <c r="A163" i="1" s="1"/>
  <c r="A80" i="1"/>
  <c r="H69" i="1"/>
  <c r="N34" i="1"/>
  <c r="A76" i="1"/>
  <c r="A84" i="1"/>
  <c r="A88" i="1"/>
  <c r="A113" i="1"/>
  <c r="A161" i="1" s="1"/>
  <c r="A117" i="1"/>
  <c r="A165" i="1" s="1"/>
  <c r="A120" i="1"/>
  <c r="A168" i="1" s="1"/>
  <c r="A124" i="1"/>
  <c r="A172" i="1" s="1"/>
  <c r="A86" i="1"/>
  <c r="A116" i="1"/>
  <c r="A164" i="1" s="1"/>
  <c r="N133" i="1"/>
  <c r="F78" i="1" l="1"/>
  <c r="N78" i="1" s="1"/>
  <c r="F89" i="1"/>
  <c r="N89" i="1" s="1"/>
  <c r="F88" i="1"/>
  <c r="N88" i="1" s="1"/>
  <c r="M25" i="1"/>
  <c r="F87" i="1"/>
  <c r="N87" i="1" s="1"/>
  <c r="F86" i="1"/>
  <c r="N86" i="1" s="1"/>
  <c r="F85" i="1"/>
  <c r="N85" i="1" s="1"/>
  <c r="J25" i="1"/>
  <c r="F84" i="1"/>
  <c r="N84" i="1" s="1"/>
  <c r="F83" i="1"/>
  <c r="N83" i="1" s="1"/>
  <c r="F82" i="1"/>
  <c r="N82" i="1" s="1"/>
  <c r="F81" i="1"/>
  <c r="N81" i="1" s="1"/>
  <c r="F80" i="1"/>
  <c r="N80" i="1" s="1"/>
  <c r="F77" i="1"/>
  <c r="N77" i="1" s="1"/>
  <c r="E10" i="1"/>
  <c r="S10" i="1" s="1"/>
  <c r="M70" i="1"/>
  <c r="M71" i="1" s="1"/>
  <c r="E16" i="1"/>
  <c r="E17" i="1" s="1"/>
  <c r="E19" i="1" s="1"/>
  <c r="E24" i="1" s="1"/>
  <c r="I70" i="1"/>
  <c r="I71" i="1" s="1"/>
  <c r="H70" i="1"/>
  <c r="H71" i="1" s="1"/>
  <c r="N141" i="1"/>
  <c r="N150" i="1" s="1"/>
  <c r="B71" i="1"/>
  <c r="B13" i="1"/>
  <c r="S13" i="1" s="1"/>
  <c r="S16" i="1" s="1"/>
  <c r="S17" i="1" s="1"/>
  <c r="C69" i="1"/>
  <c r="C70" i="1"/>
  <c r="C71" i="1" s="1"/>
  <c r="L70" i="1"/>
  <c r="L71" i="1" s="1"/>
  <c r="N49" i="1"/>
  <c r="N69" i="1" s="1"/>
  <c r="D150" i="1"/>
  <c r="I25" i="1"/>
  <c r="N25" i="1"/>
  <c r="N105" i="1"/>
  <c r="F25" i="1"/>
  <c r="K25" i="1"/>
  <c r="C25" i="1"/>
  <c r="G25" i="1"/>
  <c r="H25" i="1"/>
  <c r="O25" i="1"/>
  <c r="D25" i="1"/>
  <c r="L25" i="1"/>
  <c r="E25" i="1" l="1"/>
  <c r="F79" i="1"/>
  <c r="N79" i="1" s="1"/>
  <c r="B16" i="1"/>
  <c r="B17" i="1" s="1"/>
  <c r="B19" i="1" s="1"/>
  <c r="B24" i="1" l="1"/>
  <c r="F76" i="1" s="1"/>
  <c r="F94" i="1" s="1"/>
  <c r="F106" i="1" s="1"/>
  <c r="F70" i="1" s="1"/>
  <c r="F71" i="1" s="1"/>
  <c r="S19" i="1"/>
  <c r="D70" i="1"/>
  <c r="D71" i="1" s="1"/>
  <c r="S24" i="1" l="1"/>
  <c r="B25" i="1"/>
  <c r="D106" i="1"/>
  <c r="N76" i="1" l="1"/>
  <c r="N94" i="1" s="1"/>
  <c r="N106" i="1" s="1"/>
  <c r="E94" i="1"/>
  <c r="S26" i="1"/>
  <c r="S25" i="1"/>
  <c r="E106" i="1" l="1"/>
  <c r="E70" i="1"/>
  <c r="E71" i="1" l="1"/>
  <c r="N70" i="1"/>
  <c r="N71" i="1" l="1"/>
  <c r="O70" i="1"/>
  <c r="G150" i="1"/>
  <c r="F150" i="1"/>
  <c r="I150" i="1"/>
  <c r="H150" i="1"/>
  <c r="K150" i="1"/>
  <c r="J150" i="1"/>
  <c r="M150" i="1"/>
  <c r="L150" i="1"/>
  <c r="D203" i="7"/>
  <c r="D205" i="7" s="1"/>
  <c r="N158" i="7"/>
  <c r="N181" i="7" s="1"/>
  <c r="N203" i="7" l="1"/>
  <c r="M13" i="7"/>
  <c r="AJ13" i="7" s="1"/>
  <c r="N205" i="7" l="1"/>
  <c r="AJ16" i="7"/>
  <c r="AJ17" i="7" s="1"/>
  <c r="M16" i="7"/>
  <c r="M17" i="7" s="1"/>
  <c r="M19" i="7" s="1"/>
  <c r="AJ19" i="7" s="1"/>
  <c r="M25" i="7" l="1"/>
  <c r="G105" i="7" l="1"/>
  <c r="G128" i="7" s="1"/>
  <c r="AJ25" i="7"/>
  <c r="AJ26" i="7" s="1"/>
  <c r="E88" i="7"/>
  <c r="E89" i="7" s="1"/>
  <c r="E142" i="7"/>
  <c r="M26" i="7"/>
  <c r="G142" i="7" l="1"/>
  <c r="G88" i="7"/>
  <c r="G89" i="7" s="1"/>
  <c r="F88" i="7"/>
  <c r="F89" i="7" s="1"/>
  <c r="F142" i="7"/>
  <c r="N105" i="7"/>
  <c r="N128" i="7" s="1"/>
  <c r="D142" i="7" l="1"/>
  <c r="D88" i="7"/>
  <c r="N142" i="7"/>
  <c r="D89" i="7" l="1"/>
  <c r="N88" i="7"/>
  <c r="N89" i="7" s="1"/>
  <c r="C318" i="19"/>
  <c r="H210" i="19" l="1"/>
  <c r="F210" i="19"/>
  <c r="E119" i="19"/>
  <c r="E210" i="19"/>
  <c r="D210" i="19"/>
  <c r="D119" i="19"/>
  <c r="L119" i="19" l="1"/>
  <c r="H119" i="19"/>
  <c r="G119" i="19"/>
  <c r="F119" i="19"/>
  <c r="F120" i="19" s="1"/>
  <c r="E120" i="19"/>
  <c r="D120" i="19"/>
  <c r="C119" i="19"/>
  <c r="C210" i="19"/>
  <c r="M119" i="19" l="1"/>
  <c r="M210" i="19"/>
  <c r="L210" i="19"/>
  <c r="L120" i="19"/>
  <c r="J210" i="19"/>
  <c r="I119" i="19"/>
  <c r="I210" i="19"/>
  <c r="H120" i="19"/>
  <c r="G210" i="19"/>
  <c r="G120" i="19"/>
  <c r="C120" i="19"/>
  <c r="M120" i="19" l="1"/>
  <c r="N128" i="19"/>
  <c r="N195" i="19" s="1"/>
  <c r="J119" i="19"/>
  <c r="J120" i="19" s="1"/>
  <c r="K119" i="19"/>
  <c r="K210" i="19"/>
  <c r="I120" i="19"/>
  <c r="K120" i="19" l="1"/>
  <c r="B119" i="19" l="1"/>
  <c r="B120" i="19" l="1"/>
  <c r="N119" i="19"/>
  <c r="B210" i="19"/>
  <c r="N120" i="19" l="1"/>
  <c r="N210" i="19" l="1"/>
  <c r="D318" i="19"/>
  <c r="Y10" i="19" l="1"/>
  <c r="V10" i="19"/>
  <c r="V11" i="19" l="1"/>
  <c r="V12" i="19" s="1"/>
  <c r="Y11" i="19"/>
  <c r="Y12" i="19" s="1"/>
  <c r="V16" i="19"/>
  <c r="Y16" i="19"/>
  <c r="AT17" i="19" l="1"/>
  <c r="AT18" i="19" s="1"/>
  <c r="AT20" i="19" s="1"/>
  <c r="AT29" i="19" s="1"/>
  <c r="BK17" i="19"/>
  <c r="BK18" i="19" s="1"/>
  <c r="BK20" i="19" s="1"/>
  <c r="BK29" i="19" s="1"/>
  <c r="BM17" i="19"/>
  <c r="BM18" i="19" s="1"/>
  <c r="BM20" i="19" s="1"/>
  <c r="BM29" i="19" s="1"/>
  <c r="AW17" i="19" l="1"/>
  <c r="AW18" i="19" s="1"/>
  <c r="AY17" i="19"/>
  <c r="AY18" i="19" s="1"/>
  <c r="O17" i="19"/>
  <c r="O18" i="19" s="1"/>
  <c r="O20" i="19" s="1"/>
  <c r="O29" i="19" s="1"/>
  <c r="W17" i="19"/>
  <c r="W18" i="19" s="1"/>
  <c r="W20" i="19" s="1"/>
  <c r="W29" i="19" s="1"/>
  <c r="AF17" i="19"/>
  <c r="AF18" i="19" s="1"/>
  <c r="AF20" i="19" s="1"/>
  <c r="AF29" i="19" s="1"/>
  <c r="AS17" i="19"/>
  <c r="AS18" i="19" s="1"/>
  <c r="AS20" i="19" s="1"/>
  <c r="AS29" i="19" s="1"/>
  <c r="V17" i="19"/>
  <c r="V18" i="19" s="1"/>
  <c r="V20" i="19" s="1"/>
  <c r="V29" i="19" s="1"/>
  <c r="AG17" i="19"/>
  <c r="AG18" i="19" s="1"/>
  <c r="AG20" i="19" s="1"/>
  <c r="AG29" i="19" s="1"/>
  <c r="AK17" i="19"/>
  <c r="AK18" i="19" s="1"/>
  <c r="AK20" i="19" s="1"/>
  <c r="AK29" i="19" s="1"/>
  <c r="BB17" i="19"/>
  <c r="BB18" i="19" s="1"/>
  <c r="BB20" i="19" s="1"/>
  <c r="BB29" i="19" s="1"/>
  <c r="AL17" i="19"/>
  <c r="AL18" i="19" s="1"/>
  <c r="AU17" i="19"/>
  <c r="AU18" i="19" s="1"/>
  <c r="AU20" i="19" s="1"/>
  <c r="AU29" i="19" s="1"/>
  <c r="BJ17" i="19"/>
  <c r="BJ18" i="19" s="1"/>
  <c r="BJ20" i="19" s="1"/>
  <c r="BJ29" i="19" s="1"/>
  <c r="BC17" i="19"/>
  <c r="BC18" i="19" s="1"/>
  <c r="BC20" i="19" s="1"/>
  <c r="BC29" i="19" s="1"/>
  <c r="C17" i="19"/>
  <c r="C18" i="19" s="1"/>
  <c r="C20" i="19" s="1"/>
  <c r="C29" i="19" s="1"/>
  <c r="E17" i="19"/>
  <c r="E18" i="19" s="1"/>
  <c r="E20" i="19" s="1"/>
  <c r="E29" i="19" s="1"/>
  <c r="AR17" i="19"/>
  <c r="AR18" i="19" s="1"/>
  <c r="AR20" i="19" s="1"/>
  <c r="AR29" i="19" s="1"/>
  <c r="BG17" i="19"/>
  <c r="BG18" i="19" s="1"/>
  <c r="BG20" i="19" s="1"/>
  <c r="BG29" i="19" s="1"/>
  <c r="BH17" i="19"/>
  <c r="BH18" i="19" s="1"/>
  <c r="BH20" i="19" s="1"/>
  <c r="BH29" i="19" s="1"/>
  <c r="L17" i="19"/>
  <c r="L18" i="19" s="1"/>
  <c r="L20" i="19" s="1"/>
  <c r="L29" i="19" s="1"/>
  <c r="R17" i="19"/>
  <c r="R18" i="19" s="1"/>
  <c r="R20" i="19" s="1"/>
  <c r="R29" i="19" s="1"/>
  <c r="H17" i="19"/>
  <c r="H18" i="19" s="1"/>
  <c r="H20" i="19" s="1"/>
  <c r="H29" i="19" s="1"/>
  <c r="M17" i="19"/>
  <c r="M18" i="19" s="1"/>
  <c r="M20" i="19" s="1"/>
  <c r="M29" i="19" s="1"/>
  <c r="X17" i="19"/>
  <c r="X18" i="19" s="1"/>
  <c r="X20" i="19" s="1"/>
  <c r="X29" i="19" s="1"/>
  <c r="AI17" i="19"/>
  <c r="AI18" i="19" s="1"/>
  <c r="AI20" i="19" s="1"/>
  <c r="AI29" i="19" s="1"/>
  <c r="S17" i="19"/>
  <c r="S18" i="19" s="1"/>
  <c r="S20" i="19" s="1"/>
  <c r="S29" i="19" s="1"/>
  <c r="AV17" i="19"/>
  <c r="AV18" i="19" s="1"/>
  <c r="AV20" i="19" s="1"/>
  <c r="AV29" i="19" s="1"/>
  <c r="AJ17" i="19"/>
  <c r="AJ18" i="19" s="1"/>
  <c r="AJ20" i="19" s="1"/>
  <c r="AJ29" i="19" s="1"/>
  <c r="K17" i="19"/>
  <c r="K18" i="19" s="1"/>
  <c r="K20" i="19" s="1"/>
  <c r="K29" i="19" s="1"/>
  <c r="Q17" i="19"/>
  <c r="Q18" i="19" s="1"/>
  <c r="Q20" i="19" s="1"/>
  <c r="Q29" i="19" s="1"/>
  <c r="T17" i="19"/>
  <c r="T18" i="19" s="1"/>
  <c r="T20" i="19" s="1"/>
  <c r="T29" i="19" s="1"/>
  <c r="AD17" i="19"/>
  <c r="AD18" i="19" s="1"/>
  <c r="AD20" i="19" s="1"/>
  <c r="AD29" i="19" s="1"/>
  <c r="AM17" i="19"/>
  <c r="AM18" i="19" s="1"/>
  <c r="AM20" i="19" s="1"/>
  <c r="AM29" i="19" s="1"/>
  <c r="AZ17" i="19"/>
  <c r="AZ18" i="19" s="1"/>
  <c r="AA17" i="19"/>
  <c r="AA18" i="19" s="1"/>
  <c r="AA20" i="19" s="1"/>
  <c r="AA29" i="19" s="1"/>
  <c r="AN17" i="19"/>
  <c r="AN18" i="19" s="1"/>
  <c r="AN20" i="19" s="1"/>
  <c r="AN29" i="19" s="1"/>
  <c r="AC17" i="19"/>
  <c r="AC18" i="19" s="1"/>
  <c r="AC20" i="19" s="1"/>
  <c r="AC29" i="19" s="1"/>
  <c r="AB17" i="19"/>
  <c r="AB18" i="19" s="1"/>
  <c r="AB20" i="19" s="1"/>
  <c r="AB29" i="19" s="1"/>
  <c r="AQ17" i="19"/>
  <c r="AQ18" i="19" s="1"/>
  <c r="AQ20" i="19" s="1"/>
  <c r="AQ29" i="19" s="1"/>
  <c r="Z17" i="19"/>
  <c r="Z18" i="19" s="1"/>
  <c r="Z20" i="19" s="1"/>
  <c r="Z29" i="19" s="1"/>
  <c r="P17" i="19"/>
  <c r="P18" i="19" s="1"/>
  <c r="P20" i="19" s="1"/>
  <c r="P29" i="19" s="1"/>
  <c r="AP17" i="19"/>
  <c r="AP18" i="19" s="1"/>
  <c r="AP20" i="19" s="1"/>
  <c r="AP29" i="19" s="1"/>
  <c r="BE17" i="19"/>
  <c r="BE18" i="19" s="1"/>
  <c r="BE20" i="19" s="1"/>
  <c r="BE29" i="19" s="1"/>
  <c r="I17" i="19"/>
  <c r="I18" i="19" s="1"/>
  <c r="I20" i="19" s="1"/>
  <c r="I29" i="19" s="1"/>
  <c r="N17" i="19"/>
  <c r="N18" i="19" s="1"/>
  <c r="N20" i="19" s="1"/>
  <c r="N29" i="19" s="1"/>
  <c r="U17" i="19"/>
  <c r="U18" i="19" s="1"/>
  <c r="Y17" i="19"/>
  <c r="Y18" i="19" s="1"/>
  <c r="Y20" i="19" s="1"/>
  <c r="Y29" i="19" s="1"/>
  <c r="AX17" i="19"/>
  <c r="AX18" i="19" s="1"/>
  <c r="AE17" i="19"/>
  <c r="AE18" i="19" s="1"/>
  <c r="AE20" i="19" s="1"/>
  <c r="AE29" i="19" s="1"/>
  <c r="G17" i="19"/>
  <c r="G18" i="19" s="1"/>
  <c r="G20" i="19" s="1"/>
  <c r="G29" i="19" s="1"/>
  <c r="J17" i="19"/>
  <c r="J18" i="19" s="1"/>
  <c r="J20" i="19" s="1"/>
  <c r="J29" i="19" s="1"/>
  <c r="BA17" i="19"/>
  <c r="BA18" i="19" s="1"/>
  <c r="D17" i="19"/>
  <c r="D18" i="19" s="1"/>
  <c r="D20" i="19" s="1"/>
  <c r="D29" i="19" s="1"/>
  <c r="F17" i="19"/>
  <c r="F18" i="19" s="1"/>
  <c r="F20" i="19" s="1"/>
  <c r="F29" i="19" s="1"/>
  <c r="AO17" i="19"/>
  <c r="AO18" i="19" s="1"/>
  <c r="AO20" i="19" s="1"/>
  <c r="AO29" i="19" s="1"/>
  <c r="BD17" i="19"/>
  <c r="BD18" i="19" s="1"/>
  <c r="BD20" i="19" s="1"/>
  <c r="BD29" i="19" s="1"/>
  <c r="AH17" i="19"/>
  <c r="AH18" i="19" s="1"/>
  <c r="AH20" i="19" s="1"/>
  <c r="AH29" i="19" s="1"/>
  <c r="F296" i="19"/>
  <c r="F318" i="19" s="1"/>
  <c r="N215" i="19"/>
  <c r="BF17" i="19" l="1"/>
  <c r="BF18" i="19" s="1"/>
  <c r="BF20" i="19" s="1"/>
  <c r="BF29" i="19" s="1"/>
  <c r="U20" i="19"/>
  <c r="U29" i="19" s="1"/>
  <c r="AL20" i="19"/>
  <c r="AL29" i="19" s="1"/>
  <c r="N296" i="19"/>
  <c r="AW6" i="19" l="1"/>
  <c r="AX6" i="19"/>
  <c r="AZ6" i="19"/>
  <c r="AZ20" i="19" s="1"/>
  <c r="AZ29" i="19" s="1"/>
  <c r="AY6" i="19"/>
  <c r="AY20" i="19" s="1"/>
  <c r="AY29" i="19" s="1"/>
  <c r="BA6" i="19"/>
  <c r="BA20" i="19" s="1"/>
  <c r="BA29" i="19" s="1"/>
  <c r="AX11" i="19" l="1"/>
  <c r="AX12" i="19" s="1"/>
  <c r="BP6" i="19"/>
  <c r="AX20" i="19"/>
  <c r="AX29" i="19" s="1"/>
  <c r="BA11" i="19"/>
  <c r="BA12" i="19" s="1"/>
  <c r="AZ11" i="19"/>
  <c r="AZ12" i="19" s="1"/>
  <c r="AY11" i="19"/>
  <c r="AY12" i="19" s="1"/>
  <c r="AW11" i="19"/>
  <c r="AW20" i="19"/>
  <c r="AW29" i="19" l="1"/>
  <c r="AW12" i="19"/>
  <c r="N313" i="19" l="1"/>
  <c r="N317" i="19" s="1"/>
  <c r="N318" i="19" s="1"/>
  <c r="B317" i="19"/>
  <c r="B318" i="19" s="1"/>
  <c r="BP8" i="19"/>
  <c r="BP11" i="19"/>
  <c r="BP12" i="19" s="1"/>
  <c r="BP9" i="19"/>
  <c r="BP14" i="19"/>
  <c r="BP13" i="19"/>
  <c r="BP10" i="19"/>
  <c r="BP16" i="19" l="1"/>
  <c r="BP20" i="19"/>
  <c r="BP17" i="19"/>
  <c r="BP18" i="19" l="1"/>
  <c r="BP29" i="19"/>
</calcChain>
</file>

<file path=xl/sharedStrings.xml><?xml version="1.0" encoding="utf-8"?>
<sst xmlns="http://schemas.openxmlformats.org/spreadsheetml/2006/main" count="1604" uniqueCount="408">
  <si>
    <t>Description</t>
  </si>
  <si>
    <t>Al Oula</t>
  </si>
  <si>
    <t>Hyper Al Sulaimaniya</t>
  </si>
  <si>
    <t>New Giza</t>
  </si>
  <si>
    <t>Maxim mall</t>
  </si>
  <si>
    <t>Attaka</t>
  </si>
  <si>
    <t>مول مصر</t>
  </si>
  <si>
    <t>مراسى تانك الخزان الجديد PKG22 New</t>
  </si>
  <si>
    <t>نادي سوديك</t>
  </si>
  <si>
    <t>شرم الشيخ</t>
  </si>
  <si>
    <t>عمائر اب تاون 53</t>
  </si>
  <si>
    <t>New Giza phase 2</t>
  </si>
  <si>
    <t>Beni suef</t>
  </si>
  <si>
    <t>كوبرى الشيخ بن زايد - كوبرى العاصمة</t>
  </si>
  <si>
    <t>جبل الزيت - GAMISA</t>
  </si>
  <si>
    <t>Total</t>
  </si>
  <si>
    <t>Trial Balance</t>
  </si>
  <si>
    <t>Total Contract Price</t>
  </si>
  <si>
    <t>Additions (Deductions)</t>
  </si>
  <si>
    <t>Total Contracts</t>
  </si>
  <si>
    <t xml:space="preserve"> </t>
  </si>
  <si>
    <t>Total Estemated Cost Of contract</t>
  </si>
  <si>
    <t>Additional Cost ( Deductions)</t>
  </si>
  <si>
    <t>Total Cost</t>
  </si>
  <si>
    <t>Gross Profit</t>
  </si>
  <si>
    <t>Cost Incured previous years</t>
  </si>
  <si>
    <t>Cost Incured To Date</t>
  </si>
  <si>
    <t>Percentage Of Completion Previous Year</t>
  </si>
  <si>
    <t>Percentage Of Completion Current Year</t>
  </si>
  <si>
    <t>Percentage Of Completion YTD</t>
  </si>
  <si>
    <t>Total Revenue (Cost to Cost)</t>
  </si>
  <si>
    <t>POC Revenues 2016</t>
  </si>
  <si>
    <t>Percentage Of Completion 2016</t>
  </si>
  <si>
    <t>Actual Revenues</t>
  </si>
  <si>
    <t>Revenue Recognition</t>
  </si>
  <si>
    <t>Construction Activities</t>
  </si>
  <si>
    <t>ميناء دبى السخنة</t>
  </si>
  <si>
    <t>Sub Total</t>
  </si>
  <si>
    <t>Closed Projects</t>
  </si>
  <si>
    <t>كباري مراسي pkg#37</t>
  </si>
  <si>
    <t>اب تاون pkg#17</t>
  </si>
  <si>
    <t>اب تاون pkg#32</t>
  </si>
  <si>
    <t>PKG#45 Civic Center</t>
  </si>
  <si>
    <t xml:space="preserve">Limak </t>
  </si>
  <si>
    <t>Sodic West Town</t>
  </si>
  <si>
    <t>New Cairo Mall</t>
  </si>
  <si>
    <t xml:space="preserve">El Wahatt </t>
  </si>
  <si>
    <t>Kasrawy II</t>
  </si>
  <si>
    <t>Trade Activities</t>
  </si>
  <si>
    <t>ابناء مصر للتعمير</t>
  </si>
  <si>
    <t>New Client</t>
  </si>
  <si>
    <t>Total Actual Revenues</t>
  </si>
  <si>
    <t>POC Revenues</t>
  </si>
  <si>
    <t>Total Revenues</t>
  </si>
  <si>
    <t>Accrued Revenues</t>
  </si>
  <si>
    <t>Projects Direct Cost</t>
  </si>
  <si>
    <t>مشاريع منتهية</t>
  </si>
  <si>
    <t>Projects Indirect Cost</t>
  </si>
  <si>
    <t>Construction Overheads</t>
  </si>
  <si>
    <t>SG&amp;A Expenses</t>
  </si>
  <si>
    <t>Total Indirect Cost</t>
  </si>
  <si>
    <t>لوك اند لوت كوبرى الغرابلى - الاس</t>
  </si>
  <si>
    <t>محطه كهرباء المستثمرين بالقطامي</t>
  </si>
  <si>
    <t>الساحل الشمالى - ابناء علام</t>
  </si>
  <si>
    <t>PKG62</t>
  </si>
  <si>
    <t>سور لوك اند لود ( اوراسكوم)</t>
  </si>
  <si>
    <t>كوبري المحلة</t>
  </si>
  <si>
    <t>شركة الحلول</t>
  </si>
  <si>
    <t>مشروع الكيان</t>
  </si>
  <si>
    <t>مشروع كوبرى الامل</t>
  </si>
  <si>
    <t xml:space="preserve">
مشروع الكيان</t>
  </si>
  <si>
    <t>مشروع الامل</t>
  </si>
  <si>
    <t>مشروع مصنع الاسمنت بنى سويف</t>
  </si>
  <si>
    <t>مشروع مصنع الاسمنت</t>
  </si>
  <si>
    <t>سور نيو جيزة</t>
  </si>
  <si>
    <t>New Giza I</t>
  </si>
  <si>
    <t>مشاريع عمليات منهيه</t>
  </si>
  <si>
    <t>Total  Revenues</t>
  </si>
  <si>
    <t xml:space="preserve">Before </t>
  </si>
  <si>
    <t>After</t>
  </si>
  <si>
    <t>Project</t>
  </si>
  <si>
    <t>Difference</t>
  </si>
  <si>
    <t>Amount</t>
  </si>
  <si>
    <t>Total Revenue</t>
  </si>
  <si>
    <t>Tamay Elamdeed substation (Alostom )</t>
  </si>
  <si>
    <t>Tamay Elamdeed substation (Alestom )</t>
  </si>
  <si>
    <t>Wind Farm  KFW</t>
  </si>
  <si>
    <t>Wind Farm  FIEM</t>
  </si>
  <si>
    <t>POC Revenues 2017</t>
  </si>
  <si>
    <t>PkG 107</t>
  </si>
  <si>
    <t>PKG 107</t>
  </si>
  <si>
    <t xml:space="preserve">كباري الأسماعيلية </t>
  </si>
  <si>
    <t>Percentage Of Completion 2017</t>
  </si>
  <si>
    <t xml:space="preserve">Uturn - كباري الأسماعيلية </t>
  </si>
  <si>
    <t xml:space="preserve">نفق العاصمة </t>
  </si>
  <si>
    <t>Bani Sweif substation (Alestom )</t>
  </si>
  <si>
    <t>Zaid II</t>
  </si>
  <si>
    <t>Uptown Cairo PKG 17</t>
  </si>
  <si>
    <t>M.Bridges BP 37</t>
  </si>
  <si>
    <t>Uptown Cairo PK#32</t>
  </si>
  <si>
    <t>Marassi Civic center</t>
  </si>
  <si>
    <t>Limak TB2</t>
  </si>
  <si>
    <t xml:space="preserve"> Sodic West Town</t>
  </si>
  <si>
    <t>NEW Cairo Mall</t>
  </si>
  <si>
    <t>Mahala Bridge</t>
  </si>
  <si>
    <t>El Wahat Bridges</t>
  </si>
  <si>
    <t>ميناء السخنة</t>
  </si>
  <si>
    <t>POC</t>
  </si>
  <si>
    <t>عملية الشيخ زايد - القصراوى المرحلة الثانية</t>
  </si>
  <si>
    <t>كبارى مراسى BP37</t>
  </si>
  <si>
    <t>Uptown Cairo PKG 32</t>
  </si>
  <si>
    <t>سيفيك سنتر - Civic Center</t>
  </si>
  <si>
    <t>المطار TB2</t>
  </si>
  <si>
    <t>SODIC -WEST TOWN</t>
  </si>
  <si>
    <t>هاى سيندا ابناء مصر للتعمير</t>
  </si>
  <si>
    <t>سيتى للتنمية العقارية بارك فيو</t>
  </si>
  <si>
    <t>EKO Tower ll - Nigeria</t>
  </si>
  <si>
    <t>غير مستخدم</t>
  </si>
  <si>
    <t>شركة القاسم</t>
  </si>
  <si>
    <t>مصروفات أخرى عمليات منتهية</t>
  </si>
  <si>
    <t xml:space="preserve">Actual </t>
  </si>
  <si>
    <t>Net Revenue 2016</t>
  </si>
  <si>
    <t>Percentage Of Completion 30 dec 2016</t>
  </si>
  <si>
    <t>Total Estimated Cost Of contract</t>
  </si>
  <si>
    <t>Gross Margin</t>
  </si>
  <si>
    <t>Gross Margin %</t>
  </si>
  <si>
    <t>مشروع دوران الاسماعيلية</t>
  </si>
  <si>
    <t>محولات الاسماعيليه</t>
  </si>
  <si>
    <t>مبنى وزارات الجيش</t>
  </si>
  <si>
    <t>رويال سيتى</t>
  </si>
  <si>
    <t>كوبرى شبرا بنها</t>
  </si>
  <si>
    <t>Ismalia substation (Alestom )</t>
  </si>
  <si>
    <t>كوبري الأمل لوك لود</t>
  </si>
  <si>
    <t>EMAC</t>
  </si>
  <si>
    <t>KAM</t>
  </si>
  <si>
    <t>Hyper ismalia</t>
  </si>
  <si>
    <t xml:space="preserve">P.I.PARKS - SLP </t>
  </si>
  <si>
    <t xml:space="preserve">Rolling Mills </t>
  </si>
  <si>
    <t xml:space="preserve">Siemens </t>
  </si>
  <si>
    <t xml:space="preserve">PKG 117 </t>
  </si>
  <si>
    <t>Kayan Lock Load</t>
  </si>
  <si>
    <t>HUB</t>
  </si>
  <si>
    <t>PKG58</t>
  </si>
  <si>
    <t xml:space="preserve">Mozambique </t>
  </si>
  <si>
    <t>POC Revenues 2018</t>
  </si>
  <si>
    <t xml:space="preserve">Margin </t>
  </si>
  <si>
    <t>Sokhna Tunnel</t>
  </si>
  <si>
    <t>Abu Sultan Bridge</t>
  </si>
  <si>
    <t xml:space="preserve">Mientra </t>
  </si>
  <si>
    <t>Percentage Of Completion 2018</t>
  </si>
  <si>
    <t>Al Jazi Mall</t>
  </si>
  <si>
    <t>Nefisha Bridge</t>
  </si>
  <si>
    <t xml:space="preserve">Mohammed Ali Palace </t>
  </si>
  <si>
    <t xml:space="preserve">Fish Market </t>
  </si>
  <si>
    <t xml:space="preserve">Benban Solar Power </t>
  </si>
  <si>
    <t xml:space="preserve">Alamein </t>
  </si>
  <si>
    <t xml:space="preserve">Project </t>
  </si>
  <si>
    <t>0046</t>
  </si>
  <si>
    <t>0069</t>
  </si>
  <si>
    <t>0072</t>
  </si>
  <si>
    <t>0071</t>
  </si>
  <si>
    <t>0068</t>
  </si>
  <si>
    <t>0074</t>
  </si>
  <si>
    <t>0075</t>
  </si>
  <si>
    <t>0076</t>
  </si>
  <si>
    <t>0081</t>
  </si>
  <si>
    <t>0079</t>
  </si>
  <si>
    <t>0078</t>
  </si>
  <si>
    <t>0080</t>
  </si>
  <si>
    <t>0083</t>
  </si>
  <si>
    <t>0084</t>
  </si>
  <si>
    <t xml:space="preserve">GL </t>
  </si>
  <si>
    <t>0008</t>
  </si>
  <si>
    <t>0013</t>
  </si>
  <si>
    <t>0012</t>
  </si>
  <si>
    <t>0023</t>
  </si>
  <si>
    <t>0028</t>
  </si>
  <si>
    <t>0030</t>
  </si>
  <si>
    <t>0031</t>
  </si>
  <si>
    <t>0032</t>
  </si>
  <si>
    <t>0033</t>
  </si>
  <si>
    <t>0034</t>
  </si>
  <si>
    <t>0037</t>
  </si>
  <si>
    <t>0035</t>
  </si>
  <si>
    <t>0038</t>
  </si>
  <si>
    <t>0039</t>
  </si>
  <si>
    <t>0041</t>
  </si>
  <si>
    <t>0040</t>
  </si>
  <si>
    <t>0044</t>
  </si>
  <si>
    <t>0045</t>
  </si>
  <si>
    <t>0047</t>
  </si>
  <si>
    <t>0048</t>
  </si>
  <si>
    <t>0051</t>
  </si>
  <si>
    <t>0055</t>
  </si>
  <si>
    <t>0054</t>
  </si>
  <si>
    <t>0058</t>
  </si>
  <si>
    <t>0019</t>
  </si>
  <si>
    <t>0059</t>
  </si>
  <si>
    <t>0061</t>
  </si>
  <si>
    <t>0052</t>
  </si>
  <si>
    <t>0060</t>
  </si>
  <si>
    <t>0063</t>
  </si>
  <si>
    <t>0064</t>
  </si>
  <si>
    <t>0053</t>
  </si>
  <si>
    <t>0070</t>
  </si>
  <si>
    <t>0065</t>
  </si>
  <si>
    <t>MAXM/MXCM/1305</t>
  </si>
  <si>
    <t>EMAR/ITPR/11226</t>
  </si>
  <si>
    <t>EMAR/SIER/1354</t>
  </si>
  <si>
    <t>NGZA/UNVI/1369</t>
  </si>
  <si>
    <t>Bani Suef</t>
  </si>
  <si>
    <t>GMSA/GBLZ/1301</t>
  </si>
  <si>
    <t>Village E PKG#62</t>
  </si>
  <si>
    <t>ARMY/KYAN/1446</t>
  </si>
  <si>
    <t>CDRI/BSCC/1445</t>
  </si>
  <si>
    <t>GMSA/GZWF/1440</t>
  </si>
  <si>
    <t>GMSA/GZWF/1441</t>
  </si>
  <si>
    <t>EMAR/IPWT/1459</t>
  </si>
  <si>
    <t>Sokhna Tunnel 2</t>
  </si>
  <si>
    <t>R05 - Zone 1</t>
  </si>
  <si>
    <t>R05 - Zone 2</t>
  </si>
  <si>
    <t>R05 - Zone 3</t>
  </si>
  <si>
    <t>Abu Sultan Bridge 2</t>
  </si>
  <si>
    <t xml:space="preserve">Substation Elco Steel </t>
  </si>
  <si>
    <t xml:space="preserve">El Sewedy University </t>
  </si>
  <si>
    <t xml:space="preserve">Port of Sokhna </t>
  </si>
  <si>
    <t>PKG 101</t>
  </si>
  <si>
    <t>PKG 144</t>
  </si>
  <si>
    <t>EDNC Offices &amp; Retail Project</t>
  </si>
  <si>
    <t>Mostakbal Lock Load</t>
  </si>
  <si>
    <t>Middle Tunnel Lock Load</t>
  </si>
  <si>
    <t xml:space="preserve">30 June Tunnel Lock load </t>
  </si>
  <si>
    <t>Olympic Multi Sports Hall</t>
  </si>
  <si>
    <t xml:space="preserve">PKG 140 Mivida </t>
  </si>
  <si>
    <t xml:space="preserve">EGAT Elco Steel </t>
  </si>
  <si>
    <t xml:space="preserve">Pyramid Tunnel </t>
  </si>
  <si>
    <t>Abo Ghazala Lock &amp; Load</t>
  </si>
  <si>
    <t xml:space="preserve">Mohamed Aly Fahly Lock &amp; Load </t>
  </si>
  <si>
    <t xml:space="preserve">Mohamed Aly Fahmy Lock &amp; Load </t>
  </si>
  <si>
    <t>0082</t>
  </si>
  <si>
    <t>0088</t>
  </si>
  <si>
    <t>0090</t>
  </si>
  <si>
    <t>0089</t>
  </si>
  <si>
    <t>0096</t>
  </si>
  <si>
    <t>0095</t>
  </si>
  <si>
    <t>0093</t>
  </si>
  <si>
    <t>0094</t>
  </si>
  <si>
    <t>0092</t>
  </si>
  <si>
    <t>0099</t>
  </si>
  <si>
    <t>0098</t>
  </si>
  <si>
    <t>0102</t>
  </si>
  <si>
    <t xml:space="preserve">ابناء حسن علام </t>
  </si>
  <si>
    <t xml:space="preserve">DFF Revenues </t>
  </si>
  <si>
    <t xml:space="preserve">Dff Cost </t>
  </si>
  <si>
    <t xml:space="preserve"> Cost Vs. Revenue </t>
  </si>
  <si>
    <t>POC Revenues May 2019</t>
  </si>
  <si>
    <t>POC Revenues April 2019</t>
  </si>
  <si>
    <t>Cost Incured To Date May 2019</t>
  </si>
  <si>
    <t>Cost Incured To Date April 2019</t>
  </si>
  <si>
    <t>Total Cost Without Revenue May 2019</t>
  </si>
  <si>
    <t>CFC Podium 2</t>
  </si>
  <si>
    <t>El Sewedy University phase II</t>
  </si>
  <si>
    <t>0113</t>
  </si>
  <si>
    <t>0119</t>
  </si>
  <si>
    <t xml:space="preserve">Ring Road </t>
  </si>
  <si>
    <t>Sultana Malak</t>
  </si>
  <si>
    <t>Kayan 3 New Cairo Capital City</t>
  </si>
  <si>
    <t>Ministries Buildings</t>
  </si>
  <si>
    <t>Royal City</t>
  </si>
  <si>
    <t>Mohamed Ali Palace Restoration</t>
  </si>
  <si>
    <t>NUCA R05 - Z02</t>
  </si>
  <si>
    <t>EDNC Retail &amp; Offices Civil</t>
  </si>
  <si>
    <t>Olympic Multi – Sports Hall</t>
  </si>
  <si>
    <t>ESU Ph2-Enabling &amp; Struc</t>
  </si>
  <si>
    <t>RING ROAD MARYOTIA EXPANSION</t>
  </si>
  <si>
    <t>Sultana Malak Restoration</t>
  </si>
  <si>
    <t>0122</t>
  </si>
  <si>
    <t>0123</t>
  </si>
  <si>
    <t>0124</t>
  </si>
  <si>
    <t>Cairo-Alex Railway</t>
  </si>
  <si>
    <t>0134</t>
  </si>
  <si>
    <t>El-mostaqbal</t>
  </si>
  <si>
    <t>0137</t>
  </si>
  <si>
    <t>ORA ZED - Ph 01B - Pkgs A&amp;D</t>
  </si>
  <si>
    <t>GOV2 - Infra</t>
  </si>
  <si>
    <t>0133</t>
  </si>
  <si>
    <t>EMAAR-Pkg#162/163- Marassi</t>
  </si>
  <si>
    <t>Kattameya Creeks</t>
  </si>
  <si>
    <t>Diplomatic District - Infra</t>
  </si>
  <si>
    <t>0141</t>
  </si>
  <si>
    <t>0140</t>
  </si>
  <si>
    <t>0138</t>
  </si>
  <si>
    <t>ElSewedy HQ Internal Finishing</t>
  </si>
  <si>
    <t>Contracts</t>
  </si>
  <si>
    <t xml:space="preserve">Total Budget Cost </t>
  </si>
  <si>
    <t>Faculty of Medicine</t>
  </si>
  <si>
    <t>0139</t>
  </si>
  <si>
    <t>El Khatatba Bridge</t>
  </si>
  <si>
    <t>EGAT Pelletizing Plant</t>
  </si>
  <si>
    <t>0143</t>
  </si>
  <si>
    <t>0144</t>
  </si>
  <si>
    <t>Sokhna Port Expansion</t>
  </si>
  <si>
    <t>0145</t>
  </si>
  <si>
    <t>MDF Factory</t>
  </si>
  <si>
    <t>0147</t>
  </si>
  <si>
    <t>Kemet Building</t>
  </si>
  <si>
    <t>0149</t>
  </si>
  <si>
    <t>El Shrouk Bridge</t>
  </si>
  <si>
    <t>Ending Projects</t>
  </si>
  <si>
    <t>El Sewedy Stores</t>
  </si>
  <si>
    <t>Beni Suef Substation R61</t>
  </si>
  <si>
    <t>BIN BAN Aswan</t>
  </si>
  <si>
    <t>Olympic City - Lock&amp;Load</t>
  </si>
  <si>
    <t>Mock-up Room</t>
  </si>
  <si>
    <t>Siemens Power Station</t>
  </si>
  <si>
    <t>Safeer Square Bridge</t>
  </si>
  <si>
    <t>Mehwar elsalaam Lock &amp; Load</t>
  </si>
  <si>
    <t>Ain Shams- Emergency  Bridge</t>
  </si>
  <si>
    <t>kayan wall lock &amp; Load</t>
  </si>
  <si>
    <t>0150</t>
  </si>
  <si>
    <t>Air Defense College</t>
  </si>
  <si>
    <t>0152</t>
  </si>
  <si>
    <t>HST Bridges-Sokhna &amp; Mahager</t>
  </si>
  <si>
    <t>0151</t>
  </si>
  <si>
    <t>ORA ZED-Ph 2-Pkgs A&amp;D</t>
  </si>
  <si>
    <t>0157</t>
  </si>
  <si>
    <t>0158</t>
  </si>
  <si>
    <t>0159</t>
  </si>
  <si>
    <t>Abou Ghaleb Bridge</t>
  </si>
  <si>
    <t>Egyptian Exchange Building</t>
  </si>
  <si>
    <t>Port Said Port Silos</t>
  </si>
  <si>
    <t>0160</t>
  </si>
  <si>
    <t>The Open Channel Project</t>
  </si>
  <si>
    <t>0164</t>
  </si>
  <si>
    <t>0166</t>
  </si>
  <si>
    <t>0167</t>
  </si>
  <si>
    <t>0168</t>
  </si>
  <si>
    <t>Waldorf Astoria Cairo</t>
  </si>
  <si>
    <t>Alamein Coastal Road Bridge</t>
  </si>
  <si>
    <t>Wady El Natroon Bridge</t>
  </si>
  <si>
    <t>HST El Mahager Bridge</t>
  </si>
  <si>
    <t>0126</t>
  </si>
  <si>
    <t>New Giza Teaching Hospital</t>
  </si>
  <si>
    <t>Egat Rolling Mill no.4</t>
  </si>
  <si>
    <t>EGAT Lock &amp; Load</t>
  </si>
  <si>
    <t>Mivida BP#189</t>
  </si>
  <si>
    <t>HST Culverts</t>
  </si>
  <si>
    <t>0169</t>
  </si>
  <si>
    <t>0170</t>
  </si>
  <si>
    <t>0171</t>
  </si>
  <si>
    <t>0172</t>
  </si>
  <si>
    <t>0173</t>
  </si>
  <si>
    <t>EDNC Hardscape Package</t>
  </si>
  <si>
    <t>Qani bay Al rammah Mosque</t>
  </si>
  <si>
    <t>October Under-Railway Tunnel</t>
  </si>
  <si>
    <t>Radamis City</t>
  </si>
  <si>
    <t>SODIC Allegria Villa f100</t>
  </si>
  <si>
    <t>0174</t>
  </si>
  <si>
    <t>0175</t>
  </si>
  <si>
    <t>0176</t>
  </si>
  <si>
    <t>Marassi PKG# 162 &amp; 163 &amp; 177</t>
  </si>
  <si>
    <t>0177</t>
  </si>
  <si>
    <t>0178</t>
  </si>
  <si>
    <t>0179</t>
  </si>
  <si>
    <t>El- Hussein Mosque</t>
  </si>
  <si>
    <t>Jawhar Al-Lala Mosque</t>
  </si>
  <si>
    <t>0181</t>
  </si>
  <si>
    <t>Beymen Fit Out</t>
  </si>
  <si>
    <t>Astoria Sharm elSheikh</t>
  </si>
  <si>
    <t>0182</t>
  </si>
  <si>
    <t>0183</t>
  </si>
  <si>
    <t>0184</t>
  </si>
  <si>
    <t>Wadi Halfa Port</t>
  </si>
  <si>
    <t>Ora Zed Landscape Ph1</t>
  </si>
  <si>
    <t>0185</t>
  </si>
  <si>
    <t xml:space="preserve">Cost Incured To Date </t>
  </si>
  <si>
    <t>POC Revenues Up To date</t>
  </si>
  <si>
    <t>0186</t>
  </si>
  <si>
    <t>0187</t>
  </si>
  <si>
    <t>L&amp;L Awsaty Tunnel Extension</t>
  </si>
  <si>
    <t>EIPICO</t>
  </si>
  <si>
    <t>SSC Suez Steel Company Project</t>
  </si>
  <si>
    <t>EPICO 3 Facility</t>
  </si>
  <si>
    <t>L&amp;L El-Awsaty Tunnel</t>
  </si>
  <si>
    <t>0188</t>
  </si>
  <si>
    <t>0189</t>
  </si>
  <si>
    <t>0191</t>
  </si>
  <si>
    <t>0192</t>
  </si>
  <si>
    <t>0193</t>
  </si>
  <si>
    <t>0194</t>
  </si>
  <si>
    <t>Ring Road - El Qawmiya</t>
  </si>
  <si>
    <t>Ring Road - Service Road</t>
  </si>
  <si>
    <t>Darb Allabana Bldgs Ph1</t>
  </si>
  <si>
    <t>Creeks URBN-K</t>
  </si>
  <si>
    <t>DP World Basin 2 Ph2</t>
  </si>
  <si>
    <t>Seashell Playa 5 Villas</t>
  </si>
  <si>
    <t>Sahary El AhramTunnel</t>
  </si>
  <si>
    <t>Lowest Task-Resource</t>
  </si>
  <si>
    <t>RME Resource List</t>
  </si>
  <si>
    <t>Till 2022</t>
  </si>
  <si>
    <t>Kafr Shoukr  Bridge</t>
  </si>
  <si>
    <t>0130</t>
  </si>
  <si>
    <t>0195</t>
  </si>
  <si>
    <t>0196</t>
  </si>
  <si>
    <t>MAF HQ Renovation</t>
  </si>
  <si>
    <t>Kafr Shokr Bridge</t>
  </si>
  <si>
    <t>Beni Suef</t>
  </si>
  <si>
    <t>Abo Shanab El Agamien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</si>
</sst>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7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&quot;ج.م.‏&quot;\ #,##0_-;[Red]&quot;ج.م.‏&quot;\ #,##0\-"/>
    <numFmt numFmtId="167" formatCode="&quot;ج.م.‏&quot;\ #,##0.00_-;&quot;ج.م.‏&quot;\ #,##0.00\-"/>
    <numFmt numFmtId="168" formatCode="_-* #,##0_-;_-* #,##0\-;_-* &quot;-&quot;_-;_-@_-"/>
    <numFmt numFmtId="169" formatCode="_-&quot;ج.م.‏&quot;\ * #,##0.00_-;_-&quot;ج.م.‏&quot;\ * #,##0.00\-;_-&quot;ج.م.‏&quot;\ * &quot;-&quot;??_-;_-@_-"/>
    <numFmt numFmtId="170" formatCode="_-* #,##0.00_-;_-* #,##0.00\-;_-* &quot;-&quot;??_-;_-@_-"/>
    <numFmt numFmtId="171" formatCode="[$-409]mmm\-yy;@"/>
    <numFmt numFmtId="172" formatCode="#,##0_ ;[Red]\-#,##0\ "/>
    <numFmt numFmtId="173" formatCode="0.000"/>
    <numFmt numFmtId="174" formatCode="#."/>
    <numFmt numFmtId="175" formatCode="&quot;\&quot;#,##0.00;[Red]&quot;\&quot;\-#,##0.00"/>
    <numFmt numFmtId="176" formatCode="&quot;\&quot;#,##0;[Red]&quot;\&quot;\-#,##0"/>
    <numFmt numFmtId="177" formatCode="_ &quot;ج.م.‏&quot;* #,##0.00_ ;_ &quot;ج.م.‏&quot;* \-#,##0.00_ ;_ &quot;ج.م.‏&quot;* &quot;-&quot;??_ ;_ @_ "/>
    <numFmt numFmtId="178" formatCode="hh"/>
    <numFmt numFmtId="179" formatCode="_(&quot;ر.س.&quot;* #,##0_);_(&quot;ر.س.&quot;* \(#,##0\);_(&quot;ر.س.&quot;* &quot;-&quot;_);_(@_)"/>
    <numFmt numFmtId="180" formatCode="m\o\n\th\ d\,\ yyyy"/>
    <numFmt numFmtId="181" formatCode="_ * #,##0.00_ ;_ * \-#,##0.00_ ;_ * &quot;-&quot;??_ ;_ @_ "/>
    <numFmt numFmtId="182" formatCode="_-* #,##0.00[$€]_-;\-* #,##0.00[$€]_-;_-* &quot;-&quot;??[$€]_-;_-@_-"/>
    <numFmt numFmtId="183" formatCode="General_)"/>
    <numFmt numFmtId="184" formatCode="0.00_)"/>
    <numFmt numFmtId="185" formatCode="_ * #,##0_ ;_ * \-#,##0_ ;_ * &quot;-&quot;_ ;_ @_ "/>
    <numFmt numFmtId="186" formatCode="0.00&quot;%&quot;"/>
    <numFmt numFmtId="187" formatCode="[Red]&quot;£&quot;#,##0.00&quot;/mhr&quot;"/>
    <numFmt numFmtId="188" formatCode="#,##0&quot; m2&quot;_);\(#,##0&quot; m2&quot;\)"/>
    <numFmt numFmtId="189" formatCode="mmmm\-yy"/>
    <numFmt numFmtId="190" formatCode="00\-00"/>
    <numFmt numFmtId="191" formatCode="0.000_)"/>
    <numFmt numFmtId="192" formatCode="0.00;[Red]0.00"/>
    <numFmt numFmtId="193" formatCode="#,##0.0"/>
    <numFmt numFmtId="194" formatCode="#,##0.00000"/>
    <numFmt numFmtId="195" formatCode="&quot;£&quot;#,##0.00;[Red]\-&quot;£&quot;#,##0.00"/>
    <numFmt numFmtId="196" formatCode="&quot;£&quot;#,##0;\-&quot;£&quot;#,##0"/>
    <numFmt numFmtId="197" formatCode="[$-1010000]yyyy/mm/dd;@"/>
    <numFmt numFmtId="198" formatCode="_ * #,##0.00_)\ _S_R_ ;_ * \(#,##0.00\)\ _S_R_ ;_ * &quot;-&quot;??_)\ _S_R_ ;_ @_ "/>
    <numFmt numFmtId="199" formatCode="_-* #,##0.00\ _€_-;\-* #,##0.00\ _€_-;_-* &quot;-&quot;??\ _€_-;_-@_-"/>
    <numFmt numFmtId="200" formatCode="_-* #,##0.000000000_-;_-* #,##0.000000000\-;_-* &quot;-&quot;??_-;_-@_-"/>
    <numFmt numFmtId="201" formatCode="#,##0.0_);[Red]\(#,##0.0\)"/>
    <numFmt numFmtId="202" formatCode="#,##0.00;\-#,##0.00;"/>
    <numFmt numFmtId="203" formatCode="&quot;Dhs &quot;* #,##0,&quot; K&quot;_);\(&quot;Dhs &quot;* #,##0,&quot; K&quot;\)"/>
    <numFmt numFmtId="204" formatCode="&quot;Dhs &quot;* #,##0,,&quot; M&quot;_);\(&quot;Dhs &quot;\ #,##0,,&quot; M&quot;\)"/>
    <numFmt numFmtId="205" formatCode="_-&quot;£&quot;* #,##0.00_-;\-&quot;£&quot;* #,##0.00_-;_-&quot;£&quot;* &quot;-&quot;??_-;_-@_-"/>
    <numFmt numFmtId="206" formatCode="mmmm\ d\,\ yyyy"/>
    <numFmt numFmtId="207" formatCode="#,##0.000"/>
    <numFmt numFmtId="208" formatCode="_-[$€-2]* #,##0.00_-;\-[$€-2]* #,##0.00_-;_-[$€-2]* &quot;-&quot;??_-"/>
    <numFmt numFmtId="209" formatCode=";;;"/>
    <numFmt numFmtId="210" formatCode="_ * #,##0.00_)_F_ ;_ * \(#,##0.00\)_F_ ;_ * &quot;-&quot;??_)_F_ ;_ @_ "/>
    <numFmt numFmtId="211" formatCode="_-&quot;£&quot;* #,##0_-;\-&quot;£&quot;* #,##0_-;_-&quot;£&quot;* &quot;-&quot;_-;_-@_-"/>
    <numFmt numFmtId="212" formatCode="#,##0\ &quot;F&quot;;[Red]\-#,##0\ &quot;F&quot;"/>
    <numFmt numFmtId="213" formatCode="_-* #,##0.00\ &quot;€&quot;_-;\-* #,##0.00\ &quot;€&quot;_-;_-* &quot;-&quot;??\ &quot;€&quot;_-;_-@_-"/>
    <numFmt numFmtId="214" formatCode="_ * #,##0.00_)&quot;F&quot;_ ;_ * \(#,##0.00\)&quot;F&quot;_ ;_ * &quot;-&quot;??_)&quot;F&quot;_ ;_ @_ "/>
    <numFmt numFmtId="215" formatCode="_-* #,##0_-;\-* #,##0_-;_-* &quot;-&quot;??_-;_-@_-"/>
    <numFmt numFmtId="216" formatCode="_-&quot;L.E.&quot;* #,##0.00_-;\-&quot;L.E.&quot;* #,##0.00_-;_-&quot;L.E.&quot;* &quot;-&quot;??_-;_-@_-"/>
    <numFmt numFmtId="217" formatCode="m/yy;@"/>
    <numFmt numFmtId="218" formatCode="#\ ###\ ###\ ##0.00;[Red]\(#\ ###\ ###\ ##0.00\)"/>
    <numFmt numFmtId="219" formatCode="#,##0;[Red]\(#,##0\)"/>
    <numFmt numFmtId="220" formatCode="&quot;£&quot;#,##0;[Red]\-&quot;£&quot;#,##0"/>
    <numFmt numFmtId="221" formatCode="mm/dd/yy"/>
    <numFmt numFmtId="222" formatCode="&quot;Dhs &quot;* #,##0_-;\(&quot;Dhs &quot;\ #,##0_-\);_-&quot;Dhs &quot;\ &quot;-&quot;_-;_-@_-"/>
    <numFmt numFmtId="223" formatCode="&quot;Dhs &quot;* #,##0&quot; /m2&quot;_);\(&quot;Dhs &quot;* #,##0&quot; /m2&quot;\)"/>
    <numFmt numFmtId="224" formatCode="00000"/>
    <numFmt numFmtId="225" formatCode="_-&quot;ر.س.&quot;\ * #,##0_-;_-&quot;ر.س.&quot;\ * #,##0\-;_-&quot;ر.س.&quot;\ * &quot;-&quot;_-;_-@_-"/>
    <numFmt numFmtId="226" formatCode="_-&quot;ر.س.&quot;\ * #,##0.00_-;_-&quot;ر.س.&quot;\ * #,##0.00\-;_-&quot;ر.س.&quot;\ * &quot;-&quot;??_-;_-@_-"/>
    <numFmt numFmtId="227" formatCode="0.00;\-0.00"/>
    <numFmt numFmtId="228" formatCode="#,##0.000000000000"/>
    <numFmt numFmtId="229" formatCode="#,##0_-"/>
    <numFmt numFmtId="230" formatCode="_-* #,##0_-;_-* #,##0\-;_-* &quot;-&quot;??_-;_-@_-"/>
    <numFmt numFmtId="231" formatCode="[$-409]dd\-mmm\-yy;@"/>
    <numFmt numFmtId="232" formatCode="0.0%"/>
    <numFmt numFmtId="233" formatCode="0.000%"/>
    <numFmt numFmtId="234" formatCode="_-* #,##0.00\ _ج_._م_._‏_-;\-* #,##0.00\ _ج_._م_._‏_-;_-* &quot;-&quot;??\ _ج_._م_._‏_-;_-@_-"/>
    <numFmt numFmtId="235" formatCode="_-* #,##0\ _ج_._م_._‏_-;\-* #,##0\ _ج_._م_._‏_-;_-* &quot;-&quot;??\ _ج_._م_._‏_-;_-@_-"/>
    <numFmt numFmtId="236" formatCode="_(* #,##0_);_(* \(#,##0\);_(* &quot;-&quot;??_);_(@_)"/>
    <numFmt numFmtId="237" formatCode="_-* #,##0.00000_-;_-* #,##0.00000\-;_-* &quot;-&quot;??_-;_-@_-"/>
  </numFmts>
  <fonts count="195"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name val="Arial"/>
      <family val="2"/>
    </font>
    <font>
      <sz val="12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b/>
      <u/>
      <sz val="10"/>
      <color indexed="10"/>
      <name val="Arial"/>
      <family val="2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5"/>
      <color theme="3"/>
      <name val="Calibri"/>
      <family val="2"/>
      <charset val="178"/>
      <scheme val="minor"/>
    </font>
    <font>
      <sz val="11"/>
      <color theme="0"/>
      <name val="Calibri"/>
      <family val="2"/>
      <charset val="178"/>
      <scheme val="minor"/>
    </font>
    <font>
      <sz val="11"/>
      <color theme="1"/>
      <name val="Calibri"/>
      <family val="2"/>
      <charset val="238"/>
      <scheme val="minor"/>
    </font>
    <font>
      <sz val="10"/>
      <name val="Times New Roman"/>
      <family val="1"/>
    </font>
    <font>
      <sz val="11"/>
      <color indexed="8"/>
      <name val="Arial"/>
      <family val="2"/>
      <charset val="178"/>
    </font>
    <font>
      <sz val="11"/>
      <color indexed="9"/>
      <name val="Arial"/>
      <family val="2"/>
      <charset val="178"/>
    </font>
    <font>
      <sz val="11"/>
      <color indexed="16"/>
      <name val="Arial"/>
      <family val="2"/>
      <charset val="178"/>
    </font>
    <font>
      <b/>
      <sz val="11"/>
      <color indexed="53"/>
      <name val="Arial"/>
      <family val="2"/>
      <charset val="178"/>
    </font>
    <font>
      <b/>
      <sz val="11"/>
      <color indexed="9"/>
      <name val="Arial"/>
      <family val="2"/>
      <charset val="178"/>
    </font>
    <font>
      <b/>
      <sz val="11"/>
      <color indexed="8"/>
      <name val="Arial"/>
      <family val="2"/>
      <charset val="178"/>
    </font>
    <font>
      <sz val="11"/>
      <color indexed="17"/>
      <name val="Arial"/>
      <family val="2"/>
      <charset val="178"/>
    </font>
    <font>
      <b/>
      <sz val="15"/>
      <color indexed="62"/>
      <name val="Arial"/>
      <family val="2"/>
      <charset val="178"/>
    </font>
    <font>
      <b/>
      <sz val="13"/>
      <color indexed="62"/>
      <name val="Arial"/>
      <family val="2"/>
      <charset val="178"/>
    </font>
    <font>
      <b/>
      <sz val="11"/>
      <color indexed="62"/>
      <name val="Arial"/>
      <family val="2"/>
      <charset val="178"/>
    </font>
    <font>
      <sz val="11"/>
      <color indexed="62"/>
      <name val="Arial"/>
      <family val="2"/>
      <charset val="178"/>
    </font>
    <font>
      <sz val="11"/>
      <color indexed="53"/>
      <name val="Arial"/>
      <family val="2"/>
      <charset val="178"/>
    </font>
    <font>
      <sz val="11"/>
      <color indexed="60"/>
      <name val="Arial"/>
      <family val="2"/>
      <charset val="178"/>
    </font>
    <font>
      <sz val="10"/>
      <name val="Helv"/>
      <charset val="178"/>
    </font>
    <font>
      <b/>
      <sz val="11"/>
      <color indexed="63"/>
      <name val="Arial"/>
      <family val="2"/>
      <charset val="178"/>
    </font>
    <font>
      <b/>
      <sz val="18"/>
      <color indexed="62"/>
      <name val="Times New Roman"/>
      <family val="2"/>
      <charset val="178"/>
    </font>
    <font>
      <sz val="11"/>
      <color indexed="10"/>
      <name val="Arial"/>
      <family val="2"/>
      <charset val="178"/>
    </font>
    <font>
      <b/>
      <sz val="1"/>
      <color indexed="8"/>
      <name val="Courier"/>
      <family val="3"/>
      <charset val="178"/>
    </font>
    <font>
      <u/>
      <sz val="8.25"/>
      <color indexed="12"/>
      <name val="MS P????"/>
      <family val="3"/>
      <charset val="128"/>
    </font>
    <font>
      <u/>
      <sz val="8.25"/>
      <color indexed="36"/>
      <name val="MS P????"/>
      <family val="3"/>
      <charset val="128"/>
    </font>
    <font>
      <sz val="10"/>
      <name val="MS Sans Serif"/>
      <family val="2"/>
      <charset val="178"/>
    </font>
    <font>
      <sz val="11"/>
      <name val="‍¤¯ٌ"/>
      <charset val="178"/>
    </font>
    <font>
      <sz val="11"/>
      <name val="û®"/>
      <family val="3"/>
      <charset val="128"/>
    </font>
    <font>
      <sz val="12"/>
      <name val="Courier"/>
      <family val="3"/>
      <charset val="178"/>
    </font>
    <font>
      <sz val="1"/>
      <color indexed="8"/>
      <name val="Courier"/>
      <family val="3"/>
      <charset val="178"/>
    </font>
    <font>
      <sz val="9"/>
      <name val="Geneva"/>
    </font>
    <font>
      <b/>
      <u/>
      <sz val="12"/>
      <name val="Times New Roman"/>
      <family val="1"/>
      <charset val="178"/>
    </font>
    <font>
      <u/>
      <sz val="12"/>
      <name val="Times New Roman"/>
      <family val="1"/>
      <charset val="178"/>
    </font>
    <font>
      <b/>
      <sz val="1"/>
      <color indexed="16"/>
      <name val="Courier"/>
      <family val="3"/>
      <charset val="178"/>
    </font>
    <font>
      <b/>
      <sz val="11"/>
      <name val="Arial"/>
      <family val="2"/>
      <charset val="178"/>
    </font>
    <font>
      <sz val="10"/>
      <name val="Times New Roman"/>
      <family val="1"/>
      <charset val="178"/>
    </font>
    <font>
      <sz val="10"/>
      <name val="Arabic Transparent"/>
      <family val="2"/>
      <charset val="178"/>
    </font>
    <font>
      <sz val="10"/>
      <name val="Arabic Transparent"/>
      <charset val="178"/>
    </font>
    <font>
      <sz val="12"/>
      <color indexed="26"/>
      <name val="Arial"/>
      <family val="2"/>
    </font>
    <font>
      <b/>
      <sz val="1"/>
      <color indexed="8"/>
      <name val="Courier"/>
      <family val="3"/>
    </font>
    <font>
      <u/>
      <sz val="8.25"/>
      <color indexed="12"/>
      <name val="ＭＳ Ｐゴシック"/>
      <family val="3"/>
      <charset val="128"/>
    </font>
    <font>
      <sz val="12"/>
      <name val="바탕체"/>
      <family val="1"/>
      <charset val="129"/>
    </font>
    <font>
      <u/>
      <sz val="8.25"/>
      <color indexed="36"/>
      <name val="ＭＳ Ｐゴシック"/>
      <family val="3"/>
      <charset val="128"/>
    </font>
    <font>
      <sz val="10"/>
      <name val="MS Sans Serif"/>
      <family val="2"/>
    </font>
    <font>
      <sz val="12"/>
      <name val="|??´¸ⓒ"/>
      <family val="1"/>
      <charset val="129"/>
    </font>
    <font>
      <sz val="10"/>
      <name val="Helv"/>
      <charset val="204"/>
    </font>
    <font>
      <sz val="10"/>
      <name val="Helv"/>
      <family val="2"/>
    </font>
    <font>
      <sz val="10"/>
      <name val="Helv"/>
    </font>
    <font>
      <sz val="11"/>
      <color indexed="8"/>
      <name val="Arial"/>
      <family val="2"/>
    </font>
    <font>
      <sz val="11"/>
      <color indexed="9"/>
      <name val="Arial"/>
      <family val="2"/>
    </font>
    <font>
      <sz val="12"/>
      <color indexed="12"/>
      <name val="Palatino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2"/>
      <color indexed="18"/>
      <name val="Arial"/>
      <family val="2"/>
    </font>
    <font>
      <sz val="11"/>
      <color indexed="20"/>
      <name val="Arial"/>
      <family val="2"/>
    </font>
    <font>
      <sz val="12"/>
      <name val="Tms Rmn"/>
    </font>
    <font>
      <b/>
      <sz val="11"/>
      <color indexed="52"/>
      <name val="Arial"/>
      <family val="2"/>
    </font>
    <font>
      <b/>
      <sz val="11"/>
      <color indexed="52"/>
      <name val="Calibri"/>
      <family val="2"/>
    </font>
    <font>
      <b/>
      <sz val="10"/>
      <name val="Helv"/>
      <family val="2"/>
    </font>
    <font>
      <sz val="8"/>
      <color indexed="39"/>
      <name val="Times New Roman"/>
      <family val="1"/>
    </font>
    <font>
      <b/>
      <sz val="11"/>
      <color indexed="9"/>
      <name val="Arial"/>
      <family val="2"/>
    </font>
    <font>
      <u/>
      <sz val="10"/>
      <color indexed="12"/>
      <name val="Arial"/>
      <family val="2"/>
      <charset val="178"/>
    </font>
    <font>
      <b/>
      <sz val="8"/>
      <name val="Arial"/>
      <family val="2"/>
    </font>
    <font>
      <sz val="11"/>
      <name val="Tms Rmn"/>
      <charset val="178"/>
    </font>
    <font>
      <b/>
      <i/>
      <sz val="12"/>
      <color indexed="12"/>
      <name val="Arial"/>
      <family val="2"/>
    </font>
    <font>
      <sz val="12"/>
      <name val="Times New Roman"/>
      <family val="1"/>
    </font>
    <font>
      <sz val="11"/>
      <name val="Times New Roman"/>
      <family val="1"/>
    </font>
    <font>
      <sz val="12"/>
      <color theme="1"/>
      <name val="Arial"/>
      <family val="2"/>
      <charset val="178"/>
    </font>
    <font>
      <sz val="10"/>
      <name val="Geneva"/>
      <family val="2"/>
      <charset val="178"/>
    </font>
    <font>
      <sz val="10"/>
      <color rgb="FF000000"/>
      <name val="Times New Roman"/>
      <family val="1"/>
    </font>
    <font>
      <sz val="8"/>
      <name val="Courier"/>
      <family val="3"/>
    </font>
    <font>
      <sz val="10"/>
      <name val="MS Serif"/>
      <family val="1"/>
    </font>
    <font>
      <sz val="1"/>
      <color indexed="8"/>
      <name val="Courier"/>
      <family val="3"/>
    </font>
    <font>
      <sz val="12"/>
      <name val="SWISS"/>
    </font>
    <font>
      <sz val="10"/>
      <name val="Tahoma"/>
      <family val="2"/>
    </font>
    <font>
      <b/>
      <sz val="11"/>
      <color indexed="8"/>
      <name val="Calibri"/>
      <family val="2"/>
    </font>
    <font>
      <sz val="24"/>
      <color indexed="13"/>
      <name val="SWISS"/>
    </font>
    <font>
      <sz val="10"/>
      <color indexed="16"/>
      <name val="MS Serif"/>
      <family val="1"/>
    </font>
    <font>
      <sz val="10"/>
      <name val="SwitzerlandLight"/>
    </font>
    <font>
      <i/>
      <sz val="11"/>
      <color indexed="23"/>
      <name val="Arial"/>
      <family val="2"/>
    </font>
    <font>
      <u/>
      <sz val="10"/>
      <color theme="11"/>
      <name val="Arial"/>
      <family val="2"/>
    </font>
    <font>
      <b/>
      <sz val="14"/>
      <color indexed="8"/>
      <name val="SWISS"/>
    </font>
    <font>
      <sz val="11"/>
      <color indexed="17"/>
      <name val="Arial"/>
      <family val="2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i/>
      <sz val="10"/>
      <name val="Arial"/>
      <family val="2"/>
    </font>
    <font>
      <b/>
      <sz val="18"/>
      <name val="Arial"/>
      <family val="2"/>
    </font>
    <font>
      <b/>
      <sz val="10"/>
      <color indexed="16"/>
      <name val="Arial"/>
      <family val="2"/>
      <charset val="178"/>
    </font>
    <font>
      <b/>
      <sz val="11"/>
      <color indexed="56"/>
      <name val="Arial"/>
      <family val="2"/>
    </font>
    <font>
      <b/>
      <sz val="1"/>
      <color indexed="16"/>
      <name val="Courier"/>
      <family val="3"/>
    </font>
    <font>
      <b/>
      <sz val="9"/>
      <name val="Helv"/>
    </font>
    <font>
      <sz val="9"/>
      <name val="Helv"/>
    </font>
    <font>
      <u/>
      <sz val="10"/>
      <color theme="10"/>
      <name val="Arial"/>
      <family val="2"/>
    </font>
    <font>
      <u/>
      <sz val="11"/>
      <color theme="10"/>
      <name val="Calibri"/>
      <family val="2"/>
    </font>
    <font>
      <u/>
      <sz val="11"/>
      <color theme="10"/>
      <name val="Arial"/>
      <family val="2"/>
    </font>
    <font>
      <sz val="11"/>
      <color indexed="62"/>
      <name val="Arial"/>
      <family val="2"/>
    </font>
    <font>
      <sz val="18"/>
      <name val="Times New Roman"/>
      <family val="1"/>
    </font>
    <font>
      <b/>
      <sz val="13"/>
      <name val="Times New Roman"/>
      <family val="1"/>
    </font>
    <font>
      <b/>
      <i/>
      <sz val="12"/>
      <name val="Times New Roman"/>
      <family val="1"/>
    </font>
    <font>
      <i/>
      <sz val="12"/>
      <name val="Times New Roman"/>
      <family val="1"/>
    </font>
    <font>
      <sz val="11"/>
      <color indexed="52"/>
      <name val="Arial"/>
      <family val="2"/>
    </font>
    <font>
      <sz val="10"/>
      <name val="Courier"/>
      <family val="3"/>
      <charset val="178"/>
    </font>
    <font>
      <b/>
      <sz val="11"/>
      <name val="Helv"/>
      <family val="2"/>
    </font>
    <font>
      <sz val="11"/>
      <color indexed="60"/>
      <name val="Arial"/>
      <family val="2"/>
    </font>
    <font>
      <sz val="7"/>
      <name val="Small Fonts"/>
      <family val="2"/>
    </font>
    <font>
      <sz val="12"/>
      <name val="바탕체"/>
      <family val="3"/>
      <charset val="129"/>
    </font>
    <font>
      <b/>
      <i/>
      <sz val="16"/>
      <name val="Helv"/>
      <charset val="178"/>
    </font>
    <font>
      <sz val="12"/>
      <name val="Helv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11"/>
      <color theme="1"/>
      <name val="Arial"/>
      <family val="2"/>
      <charset val="178"/>
    </font>
    <font>
      <sz val="10"/>
      <name val="Arial"/>
      <family val="2"/>
      <charset val="178"/>
    </font>
    <font>
      <sz val="11"/>
      <color indexed="8"/>
      <name val="Calibri"/>
      <family val="2"/>
      <charset val="178"/>
    </font>
    <font>
      <sz val="14"/>
      <name val="Arabic Transparent"/>
      <charset val="178"/>
    </font>
    <font>
      <sz val="11"/>
      <name val="µ¸¿ò"/>
      <charset val="178"/>
    </font>
    <font>
      <sz val="10"/>
      <color indexed="8"/>
      <name val="Stone Sans"/>
      <family val="2"/>
    </font>
    <font>
      <b/>
      <sz val="11"/>
      <color indexed="63"/>
      <name val="Arial"/>
      <family val="2"/>
    </font>
    <font>
      <b/>
      <sz val="10"/>
      <name val="MS Sans Serif"/>
      <family val="2"/>
      <charset val="178"/>
    </font>
    <font>
      <sz val="8"/>
      <color indexed="8"/>
      <name val="Arial"/>
      <family val="2"/>
    </font>
    <font>
      <sz val="8"/>
      <name val="Helv"/>
    </font>
    <font>
      <b/>
      <sz val="18"/>
      <color indexed="62"/>
      <name val="Cambria"/>
      <family val="2"/>
    </font>
    <font>
      <sz val="10"/>
      <color indexed="12"/>
      <name val="Times New Roman"/>
      <family val="1"/>
      <charset val="178"/>
    </font>
    <font>
      <b/>
      <sz val="18"/>
      <color indexed="56"/>
      <name val="Times New Roman"/>
      <family val="2"/>
    </font>
    <font>
      <sz val="11"/>
      <color indexed="10"/>
      <name val="Arial"/>
      <family val="2"/>
    </font>
    <font>
      <u/>
      <sz val="8.25"/>
      <color indexed="12"/>
      <name val="ＭＳ Ｐゴシック"/>
      <family val="2"/>
      <charset val="128"/>
    </font>
    <font>
      <b/>
      <sz val="11"/>
      <color indexed="10"/>
      <name val="Arial"/>
      <family val="2"/>
      <charset val="178"/>
    </font>
    <font>
      <sz val="11"/>
      <color indexed="20"/>
      <name val="Arial"/>
      <family val="2"/>
      <charset val="178"/>
    </font>
    <font>
      <sz val="11"/>
      <color indexed="19"/>
      <name val="Arial"/>
      <family val="2"/>
      <charset val="178"/>
    </font>
    <font>
      <sz val="12"/>
      <name val="Simplified Arabic"/>
      <family val="1"/>
    </font>
    <font>
      <i/>
      <sz val="11"/>
      <color indexed="23"/>
      <name val="Arial"/>
      <family val="2"/>
      <charset val="178"/>
    </font>
    <font>
      <sz val="11"/>
      <name val="돋움"/>
      <family val="2"/>
    </font>
    <font>
      <sz val="8"/>
      <name val="Times New Roman"/>
      <family val="1"/>
    </font>
    <font>
      <b/>
      <sz val="10"/>
      <name val="Times New Roman"/>
      <family val="1"/>
    </font>
    <font>
      <sz val="11"/>
      <color indexed="17"/>
      <name val="Calibri"/>
      <family val="2"/>
    </font>
    <font>
      <sz val="11"/>
      <color indexed="20"/>
      <name val="Calibri"/>
      <family val="2"/>
    </font>
    <font>
      <sz val="12"/>
      <name val="宋体"/>
      <charset val="134"/>
    </font>
    <font>
      <sz val="10"/>
      <name val="Courier"/>
      <family val="3"/>
    </font>
    <font>
      <sz val="14"/>
      <name val="ＭＳ 明朝"/>
      <family val="3"/>
      <charset val="128"/>
    </font>
    <font>
      <sz val="14"/>
      <name val="ＭＳ 明朝"/>
      <family val="1"/>
      <charset val="128"/>
    </font>
    <font>
      <u/>
      <sz val="8.25"/>
      <color indexed="36"/>
      <name val="ＭＳ Ｐゴシック"/>
      <family val="2"/>
      <charset val="128"/>
    </font>
    <font>
      <sz val="10"/>
      <name val="ＭＳ 明朝"/>
      <family val="3"/>
      <charset val="128"/>
    </font>
    <font>
      <sz val="11"/>
      <name val="Calibri"/>
      <family val="2"/>
      <charset val="178"/>
      <scheme val="minor"/>
    </font>
    <font>
      <sz val="11"/>
      <name val="Calibri"/>
      <family val="2"/>
      <scheme val="minor"/>
    </font>
    <font>
      <b/>
      <sz val="10"/>
      <color theme="0"/>
      <name val="Arial"/>
      <family val="2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1"/>
      <color theme="1"/>
      <name val="Calibri"/>
      <family val="2"/>
      <charset val="178"/>
    </font>
    <font>
      <b/>
      <sz val="10"/>
      <color rgb="FFFF0000"/>
      <name val="Arial"/>
      <family val="2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charset val="178"/>
      <scheme val="minor"/>
    </font>
    <font>
      <b/>
      <sz val="8"/>
      <color rgb="FFC00000"/>
      <name val="Cambria"/>
      <family val="1"/>
    </font>
    <font>
      <sz val="8"/>
      <color rgb="FF000000"/>
      <name val="Cambria"/>
      <family val="1"/>
    </font>
    <font>
      <b/>
      <sz val="18"/>
      <color theme="3"/>
      <name val="Cambria"/>
      <family val="2"/>
      <charset val="178"/>
      <scheme val="major"/>
    </font>
    <font>
      <b/>
      <sz val="13"/>
      <color theme="3"/>
      <name val="Calibri"/>
      <family val="2"/>
      <charset val="178"/>
      <scheme val="minor"/>
    </font>
    <font>
      <b/>
      <sz val="11"/>
      <color theme="3"/>
      <name val="Calibri"/>
      <family val="2"/>
      <charset val="178"/>
      <scheme val="minor"/>
    </font>
    <font>
      <sz val="11"/>
      <color rgb="FF006100"/>
      <name val="Calibri"/>
      <family val="2"/>
      <charset val="178"/>
      <scheme val="minor"/>
    </font>
    <font>
      <sz val="11"/>
      <color rgb="FF9C0006"/>
      <name val="Calibri"/>
      <family val="2"/>
      <charset val="178"/>
      <scheme val="minor"/>
    </font>
    <font>
      <sz val="11"/>
      <color rgb="FF9C6500"/>
      <name val="Calibri"/>
      <family val="2"/>
      <charset val="178"/>
      <scheme val="minor"/>
    </font>
    <font>
      <sz val="11"/>
      <color rgb="FF3F3F76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rgb="FFFA7D00"/>
      <name val="Calibri"/>
      <family val="2"/>
      <charset val="178"/>
      <scheme val="minor"/>
    </font>
    <font>
      <sz val="11"/>
      <color rgb="FFFA7D00"/>
      <name val="Calibri"/>
      <family val="2"/>
      <charset val="178"/>
      <scheme val="minor"/>
    </font>
    <font>
      <b/>
      <sz val="11"/>
      <color theme="0"/>
      <name val="Calibri"/>
      <family val="2"/>
      <charset val="178"/>
      <scheme val="minor"/>
    </font>
    <font>
      <i/>
      <sz val="11"/>
      <color rgb="FF7F7F7F"/>
      <name val="Calibri"/>
      <family val="2"/>
      <charset val="178"/>
      <scheme val="minor"/>
    </font>
    <font>
      <b/>
      <sz val="11"/>
      <color theme="1"/>
      <name val="Calibri"/>
      <family val="2"/>
      <charset val="178"/>
      <scheme val="minor"/>
    </font>
    <font>
      <b/>
      <sz val="14"/>
      <name val="Arial"/>
      <family val="2"/>
    </font>
    <font>
      <sz val="14"/>
      <color theme="1"/>
      <name val="Calibri"/>
      <family val="2"/>
      <charset val="178"/>
      <scheme val="minor"/>
    </font>
    <font>
      <b/>
      <sz val="9"/>
      <name val="Arial"/>
      <family val="2"/>
    </font>
    <font>
      <b/>
      <sz val="9"/>
      <color rgb="FFFF0000"/>
      <name val="Arial"/>
      <family val="2"/>
    </font>
    <font>
      <b/>
      <sz val="9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Arial Unicode MS"/>
      <family val="2"/>
    </font>
    <font>
      <b/>
      <sz val="9"/>
      <color theme="1"/>
      <name val="Arial"/>
      <family val="2"/>
    </font>
    <font>
      <sz val="8"/>
      <name val="Calibri"/>
      <family val="2"/>
      <charset val="178"/>
      <scheme val="minor"/>
    </font>
  </fonts>
  <fills count="103">
    <fill>
      <patternFill patternType="none"/>
    </fill>
    <fill>
      <patternFill patternType="gray125"/>
    </fill>
    <fill>
      <patternFill patternType="solid">
        <fgColor rgb="FFFFFF9B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</patternFill>
    </fill>
    <fill>
      <patternFill patternType="solid">
        <fgColor indexed="31"/>
        <bgColor indexed="31"/>
      </patternFill>
    </fill>
    <fill>
      <patternFill patternType="solid">
        <fgColor indexed="44"/>
        <bgColor indexed="44"/>
      </patternFill>
    </fill>
    <fill>
      <patternFill patternType="solid">
        <fgColor indexed="54"/>
        <bgColor indexed="54"/>
      </patternFill>
    </fill>
    <fill>
      <patternFill patternType="solid">
        <fgColor indexed="26"/>
        <bgColor indexed="26"/>
      </patternFill>
    </fill>
    <fill>
      <patternFill patternType="solid">
        <fgColor indexed="22"/>
        <bgColor indexed="22"/>
      </patternFill>
    </fill>
    <fill>
      <patternFill patternType="solid">
        <fgColor indexed="55"/>
        <bgColor indexed="55"/>
      </patternFill>
    </fill>
    <fill>
      <patternFill patternType="solid">
        <fgColor indexed="25"/>
        <bgColor indexed="25"/>
      </patternFill>
    </fill>
    <fill>
      <patternFill patternType="solid">
        <fgColor indexed="42"/>
        <bgColor indexed="42"/>
      </patternFill>
    </fill>
    <fill>
      <patternFill patternType="solid">
        <fgColor indexed="27"/>
        <bgColor indexed="27"/>
      </patternFill>
    </fill>
    <fill>
      <patternFill patternType="solid">
        <fgColor indexed="49"/>
        <bgColor indexed="49"/>
      </patternFill>
    </fill>
    <fill>
      <patternFill patternType="solid">
        <fgColor indexed="47"/>
        <bgColor indexed="47"/>
      </patternFill>
    </fill>
    <fill>
      <patternFill patternType="solid">
        <fgColor indexed="52"/>
        <bgColor indexed="52"/>
      </patternFill>
    </fill>
    <fill>
      <patternFill patternType="solid">
        <fgColor indexed="45"/>
        <bgColor indexed="45"/>
      </patternFill>
    </fill>
    <fill>
      <patternFill patternType="solid">
        <fgColor indexed="9"/>
        <bgColor indexed="9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22"/>
      </patternFill>
    </fill>
    <fill>
      <patternFill patternType="solid">
        <fgColor indexed="43"/>
        <bgColor indexed="43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3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53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1"/>
        <bgColor indexed="64"/>
      </patternFill>
    </fill>
    <fill>
      <patternFill patternType="solid">
        <fgColor indexed="9"/>
      </patternFill>
    </fill>
    <fill>
      <patternFill patternType="solid">
        <fgColor indexed="12"/>
      </patternFill>
    </fill>
    <fill>
      <patternFill patternType="solid">
        <fgColor indexed="13"/>
      </patternFill>
    </fill>
    <fill>
      <patternFill patternType="solid">
        <fgColor indexed="9"/>
        <bgColor indexed="64"/>
      </patternFill>
    </fill>
    <fill>
      <patternFill patternType="mediumGray">
        <fgColor indexed="22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2D69B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thick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54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54"/>
      </top>
      <bottom style="double">
        <color indexed="5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 style="thin">
        <color indexed="8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64"/>
      </top>
      <bottom style="thin">
        <color indexed="22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56"/>
      </top>
      <bottom style="double">
        <color indexed="56"/>
      </bottom>
      <diagonal/>
    </border>
    <border>
      <left style="double">
        <color indexed="64"/>
      </left>
      <right style="thin">
        <color indexed="8"/>
      </right>
      <top/>
      <bottom/>
      <diagonal/>
    </border>
    <border>
      <left/>
      <right/>
      <top/>
      <bottom style="double">
        <color indexed="10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558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  <xf numFmtId="0" fontId="13" fillId="0" borderId="0"/>
    <xf numFmtId="0" fontId="11" fillId="0" borderId="0"/>
    <xf numFmtId="0" fontId="17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5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7" fillId="0" borderId="0"/>
    <xf numFmtId="0" fontId="14" fillId="0" borderId="0"/>
    <xf numFmtId="0" fontId="14" fillId="0" borderId="0"/>
    <xf numFmtId="170" fontId="14" fillId="0" borderId="0" applyFont="0" applyFill="0" applyBorder="0" applyAlignment="0" applyProtection="0"/>
    <xf numFmtId="170" fontId="14" fillId="0" borderId="0" applyFont="0" applyFill="0" applyBorder="0" applyAlignment="0" applyProtection="0"/>
    <xf numFmtId="170" fontId="14" fillId="0" borderId="0" applyFont="0" applyFill="0" applyBorder="0" applyAlignment="0" applyProtection="0"/>
    <xf numFmtId="170" fontId="14" fillId="0" borderId="0" applyFont="0" applyFill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20" fillId="10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19" fillId="12" borderId="0" applyNumberFormat="0" applyBorder="0" applyAlignment="0" applyProtection="0"/>
    <xf numFmtId="0" fontId="19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19" fillId="12" borderId="0" applyNumberFormat="0" applyBorder="0" applyAlignment="0" applyProtection="0"/>
    <xf numFmtId="0" fontId="19" fillId="16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19" fillId="9" borderId="0" applyNumberFormat="0" applyBorder="0" applyAlignment="0" applyProtection="0"/>
    <xf numFmtId="0" fontId="19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19" fillId="17" borderId="0" applyNumberFormat="0" applyBorder="0" applyAlignment="0" applyProtection="0"/>
    <xf numFmtId="0" fontId="19" fillId="9" borderId="0" applyNumberFormat="0" applyBorder="0" applyAlignment="0" applyProtection="0"/>
    <xf numFmtId="0" fontId="20" fillId="10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19" fillId="12" borderId="0" applyNumberFormat="0" applyBorder="0" applyAlignment="0" applyProtection="0"/>
    <xf numFmtId="0" fontId="19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2" fillId="22" borderId="11" applyNumberFormat="0" applyAlignment="0" applyProtection="0"/>
    <xf numFmtId="0" fontId="22" fillId="22" borderId="11" applyNumberFormat="0" applyAlignment="0" applyProtection="0"/>
    <xf numFmtId="0" fontId="22" fillId="22" borderId="11" applyNumberFormat="0" applyAlignment="0" applyProtection="0"/>
    <xf numFmtId="0" fontId="22" fillId="22" borderId="11" applyNumberFormat="0" applyAlignment="0" applyProtection="0"/>
    <xf numFmtId="0" fontId="23" fillId="14" borderId="12" applyNumberFormat="0" applyAlignment="0" applyProtection="0"/>
    <xf numFmtId="0" fontId="23" fillId="14" borderId="12" applyNumberFormat="0" applyAlignment="0" applyProtection="0"/>
    <xf numFmtId="0" fontId="23" fillId="14" borderId="12" applyNumberFormat="0" applyAlignment="0" applyProtection="0"/>
    <xf numFmtId="0" fontId="23" fillId="14" borderId="12" applyNumberFormat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0" fontId="24" fillId="23" borderId="0" applyNumberFormat="0" applyBorder="0" applyAlignment="0" applyProtection="0"/>
    <xf numFmtId="0" fontId="24" fillId="24" borderId="0" applyNumberFormat="0" applyBorder="0" applyAlignment="0" applyProtection="0"/>
    <xf numFmtId="0" fontId="24" fillId="25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6" fillId="0" borderId="13" applyNumberFormat="0" applyFill="0" applyAlignment="0" applyProtection="0"/>
    <xf numFmtId="0" fontId="26" fillId="0" borderId="13" applyNumberFormat="0" applyFill="0" applyAlignment="0" applyProtection="0"/>
    <xf numFmtId="0" fontId="26" fillId="0" borderId="13" applyNumberFormat="0" applyFill="0" applyAlignment="0" applyProtection="0"/>
    <xf numFmtId="0" fontId="26" fillId="0" borderId="13" applyNumberFormat="0" applyFill="0" applyAlignment="0" applyProtection="0"/>
    <xf numFmtId="0" fontId="27" fillId="0" borderId="14" applyNumberFormat="0" applyFill="0" applyAlignment="0" applyProtection="0"/>
    <xf numFmtId="0" fontId="27" fillId="0" borderId="14" applyNumberFormat="0" applyFill="0" applyAlignment="0" applyProtection="0"/>
    <xf numFmtId="0" fontId="27" fillId="0" borderId="14" applyNumberFormat="0" applyFill="0" applyAlignment="0" applyProtection="0"/>
    <xf numFmtId="0" fontId="27" fillId="0" borderId="14" applyNumberFormat="0" applyFill="0" applyAlignment="0" applyProtection="0"/>
    <xf numFmtId="0" fontId="28" fillId="0" borderId="15" applyNumberFormat="0" applyFill="0" applyAlignment="0" applyProtection="0"/>
    <xf numFmtId="0" fontId="28" fillId="0" borderId="15" applyNumberFormat="0" applyFill="0" applyAlignment="0" applyProtection="0"/>
    <xf numFmtId="0" fontId="28" fillId="0" borderId="15" applyNumberFormat="0" applyFill="0" applyAlignment="0" applyProtection="0"/>
    <xf numFmtId="0" fontId="28" fillId="0" borderId="15" applyNumberFormat="0" applyFill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19" borderId="11" applyNumberFormat="0" applyAlignment="0" applyProtection="0"/>
    <xf numFmtId="0" fontId="29" fillId="19" borderId="11" applyNumberFormat="0" applyAlignment="0" applyProtection="0"/>
    <xf numFmtId="0" fontId="29" fillId="19" borderId="11" applyNumberFormat="0" applyAlignment="0" applyProtection="0"/>
    <xf numFmtId="0" fontId="29" fillId="19" borderId="11" applyNumberFormat="0" applyAlignment="0" applyProtection="0"/>
    <xf numFmtId="0" fontId="30" fillId="0" borderId="16" applyNumberFormat="0" applyFill="0" applyAlignment="0" applyProtection="0"/>
    <xf numFmtId="0" fontId="30" fillId="0" borderId="16" applyNumberFormat="0" applyFill="0" applyAlignment="0" applyProtection="0"/>
    <xf numFmtId="0" fontId="30" fillId="0" borderId="16" applyNumberFormat="0" applyFill="0" applyAlignment="0" applyProtection="0"/>
    <xf numFmtId="0" fontId="30" fillId="0" borderId="16" applyNumberFormat="0" applyFill="0" applyAlignment="0" applyProtection="0"/>
    <xf numFmtId="0" fontId="31" fillId="26" borderId="0" applyNumberFormat="0" applyBorder="0" applyAlignment="0" applyProtection="0"/>
    <xf numFmtId="0" fontId="31" fillId="26" borderId="0" applyNumberFormat="0" applyBorder="0" applyAlignment="0" applyProtection="0"/>
    <xf numFmtId="0" fontId="31" fillId="26" borderId="0" applyNumberFormat="0" applyBorder="0" applyAlignment="0" applyProtection="0"/>
    <xf numFmtId="0" fontId="31" fillId="26" borderId="0" applyNumberFormat="0" applyBorder="0" applyAlignment="0" applyProtection="0"/>
    <xf numFmtId="0" fontId="5" fillId="0" borderId="0" applyNumberFormat="0"/>
    <xf numFmtId="0" fontId="5" fillId="0" borderId="0" applyNumberFormat="0"/>
    <xf numFmtId="0" fontId="5" fillId="0" borderId="0" applyNumberFormat="0"/>
    <xf numFmtId="0" fontId="5" fillId="0" borderId="0" applyNumberFormat="0"/>
    <xf numFmtId="0" fontId="5" fillId="0" borderId="0"/>
    <xf numFmtId="0" fontId="5" fillId="0" borderId="0"/>
    <xf numFmtId="0" fontId="5" fillId="0" borderId="0"/>
    <xf numFmtId="0" fontId="5" fillId="0" borderId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33" fillId="22" borderId="18" applyNumberFormat="0" applyAlignment="0" applyProtection="0"/>
    <xf numFmtId="0" fontId="33" fillId="22" borderId="18" applyNumberFormat="0" applyAlignment="0" applyProtection="0"/>
    <xf numFmtId="0" fontId="33" fillId="22" borderId="18" applyNumberFormat="0" applyAlignment="0" applyProtection="0"/>
    <xf numFmtId="0" fontId="33" fillId="22" borderId="18" applyNumberForma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34" fillId="0" borderId="0" applyNumberFormat="0" applyFill="0" applyBorder="0" applyAlignment="0" applyProtection="0"/>
    <xf numFmtId="0" fontId="32" fillId="0" borderId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14" fillId="0" borderId="0"/>
    <xf numFmtId="174" fontId="36" fillId="0" borderId="0">
      <protection locked="0"/>
    </xf>
    <xf numFmtId="0" fontId="37" fillId="0" borderId="0" applyNumberFormat="0" applyFill="0" applyBorder="0" applyAlignment="0" applyProtection="0">
      <alignment vertical="top"/>
      <protection locked="0"/>
    </xf>
    <xf numFmtId="0" fontId="38" fillId="0" borderId="0" applyNumberFormat="0" applyFill="0" applyBorder="0" applyAlignment="0" applyProtection="0">
      <alignment vertical="top"/>
      <protection locked="0"/>
    </xf>
    <xf numFmtId="0" fontId="37" fillId="0" borderId="0" applyNumberFormat="0" applyFill="0" applyBorder="0" applyAlignment="0" applyProtection="0">
      <alignment vertical="top"/>
      <protection locked="0"/>
    </xf>
    <xf numFmtId="40" fontId="39" fillId="0" borderId="0" applyFont="0" applyFill="0" applyBorder="0" applyAlignment="0" applyProtection="0"/>
    <xf numFmtId="0" fontId="40" fillId="0" borderId="0"/>
    <xf numFmtId="175" fontId="41" fillId="0" borderId="0" applyFont="0" applyFill="0" applyBorder="0" applyAlignment="0" applyProtection="0"/>
    <xf numFmtId="176" fontId="41" fillId="0" borderId="0" applyFont="0" applyFill="0" applyBorder="0" applyAlignment="0" applyProtection="0"/>
    <xf numFmtId="177" fontId="5" fillId="0" borderId="0" applyFont="0" applyFill="0" applyBorder="0" applyAlignment="0" applyProtection="0"/>
    <xf numFmtId="178" fontId="42" fillId="0" borderId="0"/>
    <xf numFmtId="179" fontId="5" fillId="0" borderId="0">
      <protection locked="0"/>
    </xf>
    <xf numFmtId="168" fontId="5" fillId="0" borderId="0">
      <protection locked="0"/>
    </xf>
    <xf numFmtId="180" fontId="43" fillId="0" borderId="0">
      <alignment readingOrder="1"/>
      <protection locked="0"/>
    </xf>
    <xf numFmtId="181" fontId="5" fillId="0" borderId="0" applyFont="0" applyFill="0" applyBorder="0" applyAlignment="0" applyProtection="0"/>
    <xf numFmtId="182" fontId="44" fillId="0" borderId="0" applyFont="0" applyFill="0" applyBorder="0" applyAlignment="0" applyProtection="0"/>
    <xf numFmtId="4" fontId="43" fillId="0" borderId="0" applyFont="0" applyFill="0" applyBorder="0" applyAlignment="0" applyProtection="0">
      <alignment readingOrder="1"/>
      <protection locked="0"/>
    </xf>
    <xf numFmtId="0" fontId="45" fillId="0" borderId="0">
      <alignment vertical="top" wrapText="1"/>
    </xf>
    <xf numFmtId="0" fontId="46" fillId="0" borderId="0">
      <alignment vertical="top" wrapText="1"/>
    </xf>
    <xf numFmtId="0" fontId="46" fillId="0" borderId="0">
      <alignment wrapText="1"/>
    </xf>
    <xf numFmtId="174" fontId="47" fillId="0" borderId="0">
      <protection locked="0"/>
    </xf>
    <xf numFmtId="174" fontId="36" fillId="0" borderId="0">
      <alignment readingOrder="1"/>
      <protection locked="0"/>
    </xf>
    <xf numFmtId="174" fontId="36" fillId="0" borderId="0">
      <alignment readingOrder="1"/>
      <protection locked="0"/>
    </xf>
    <xf numFmtId="183" fontId="48" fillId="0" borderId="0" applyNumberFormat="0" applyFill="0" applyBorder="0">
      <alignment horizontal="left"/>
    </xf>
    <xf numFmtId="184" fontId="18" fillId="0" borderId="4" applyFill="0" applyBorder="0" applyProtection="0">
      <alignment horizontal="left" vertical="center" wrapText="1"/>
    </xf>
    <xf numFmtId="0" fontId="6" fillId="0" borderId="0" applyNumberFormat="0" applyFill="0" applyBorder="0" applyAlignment="0" applyProtection="0">
      <alignment vertical="top"/>
      <protection locked="0"/>
    </xf>
    <xf numFmtId="181" fontId="49" fillId="0" borderId="0" applyFont="0" applyFill="0" applyBorder="0" applyAlignment="0" applyProtection="0"/>
    <xf numFmtId="185" fontId="49" fillId="0" borderId="0" applyFont="0" applyFill="0" applyBorder="0" applyAlignment="0" applyProtection="0"/>
    <xf numFmtId="0" fontId="50" fillId="0" borderId="0" applyNumberFormat="0">
      <alignment horizontal="right"/>
    </xf>
    <xf numFmtId="177" fontId="5" fillId="0" borderId="0" applyFont="0" applyFill="0" applyBorder="0" applyAlignment="0" applyProtection="0"/>
    <xf numFmtId="0" fontId="51" fillId="0" borderId="0" applyNumberFormat="0">
      <alignment horizontal="right"/>
    </xf>
    <xf numFmtId="0" fontId="5" fillId="0" borderId="0"/>
    <xf numFmtId="0" fontId="11" fillId="0" borderId="0"/>
    <xf numFmtId="177" fontId="5" fillId="0" borderId="0" applyFont="0" applyFill="0" applyBorder="0" applyAlignment="0" applyProtection="0"/>
    <xf numFmtId="0" fontId="52" fillId="0" borderId="0"/>
    <xf numFmtId="174" fontId="53" fillId="0" borderId="0">
      <protection locked="0"/>
    </xf>
    <xf numFmtId="174" fontId="53" fillId="0" borderId="0">
      <protection locked="0"/>
    </xf>
    <xf numFmtId="174" fontId="53" fillId="0" borderId="0">
      <protection locked="0"/>
    </xf>
    <xf numFmtId="174" fontId="36" fillId="0" borderId="0">
      <protection locked="0"/>
    </xf>
    <xf numFmtId="174" fontId="36" fillId="0" borderId="0">
      <protection locked="0"/>
    </xf>
    <xf numFmtId="174" fontId="36" fillId="0" borderId="0">
      <protection locked="0"/>
    </xf>
    <xf numFmtId="174" fontId="36" fillId="0" borderId="0">
      <protection locked="0"/>
    </xf>
    <xf numFmtId="174" fontId="53" fillId="0" borderId="0">
      <protection locked="0"/>
    </xf>
    <xf numFmtId="174" fontId="36" fillId="0" borderId="0">
      <protection locked="0"/>
    </xf>
    <xf numFmtId="174" fontId="36" fillId="0" borderId="0">
      <protection locked="0"/>
    </xf>
    <xf numFmtId="174" fontId="53" fillId="0" borderId="0">
      <protection locked="0"/>
    </xf>
    <xf numFmtId="174" fontId="53" fillId="0" borderId="0">
      <protection locked="0"/>
    </xf>
    <xf numFmtId="174" fontId="36" fillId="0" borderId="0">
      <protection locked="0"/>
    </xf>
    <xf numFmtId="0" fontId="51" fillId="0" borderId="0" applyNumberFormat="0">
      <alignment horizontal="right"/>
    </xf>
    <xf numFmtId="0" fontId="51" fillId="0" borderId="0" applyNumberFormat="0">
      <alignment horizontal="right"/>
    </xf>
    <xf numFmtId="166" fontId="39" fillId="0" borderId="0" applyFont="0" applyFill="0" applyBorder="0" applyAlignment="0" applyProtection="0"/>
    <xf numFmtId="0" fontId="54" fillId="0" borderId="0" applyNumberFormat="0" applyFill="0" applyBorder="0" applyAlignment="0" applyProtection="0">
      <alignment vertical="top"/>
      <protection locked="0"/>
    </xf>
    <xf numFmtId="170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0" fontId="56" fillId="0" borderId="0" applyNumberFormat="0" applyFill="0" applyBorder="0" applyAlignment="0" applyProtection="0">
      <alignment vertical="top"/>
      <protection locked="0"/>
    </xf>
    <xf numFmtId="0" fontId="11" fillId="0" borderId="0"/>
    <xf numFmtId="0" fontId="5" fillId="0" borderId="0"/>
    <xf numFmtId="170" fontId="14" fillId="0" borderId="0" applyFont="0" applyFill="0" applyBorder="0" applyAlignment="0" applyProtection="0"/>
    <xf numFmtId="9" fontId="11" fillId="0" borderId="0" applyFont="0" applyFill="0" applyBorder="0" applyAlignment="0" applyProtection="0"/>
    <xf numFmtId="174" fontId="36" fillId="0" borderId="0">
      <protection locked="0"/>
    </xf>
    <xf numFmtId="174" fontId="36" fillId="0" borderId="0">
      <protection locked="0"/>
    </xf>
    <xf numFmtId="174" fontId="36" fillId="0" borderId="0">
      <protection locked="0"/>
    </xf>
    <xf numFmtId="174" fontId="36" fillId="0" borderId="0">
      <protection locked="0"/>
    </xf>
    <xf numFmtId="174" fontId="36" fillId="0" borderId="0">
      <protection locked="0"/>
    </xf>
    <xf numFmtId="174" fontId="53" fillId="0" borderId="0">
      <protection locked="0"/>
    </xf>
    <xf numFmtId="186" fontId="57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8" fillId="0" borderId="0"/>
    <xf numFmtId="0" fontId="5" fillId="0" borderId="0" applyNumberFormat="0" applyFill="0" applyBorder="0" applyAlignment="0" applyProtection="0"/>
    <xf numFmtId="0" fontId="59" fillId="0" borderId="0"/>
    <xf numFmtId="0" fontId="60" fillId="0" borderId="0"/>
    <xf numFmtId="174" fontId="36" fillId="0" borderId="0">
      <protection locked="0"/>
    </xf>
    <xf numFmtId="174" fontId="36" fillId="0" borderId="0">
      <protection locked="0"/>
    </xf>
    <xf numFmtId="0" fontId="32" fillId="0" borderId="0"/>
    <xf numFmtId="0" fontId="60" fillId="0" borderId="0"/>
    <xf numFmtId="0" fontId="60" fillId="0" borderId="0"/>
    <xf numFmtId="174" fontId="53" fillId="0" borderId="0">
      <protection locked="0"/>
    </xf>
    <xf numFmtId="174" fontId="36" fillId="0" borderId="0">
      <protection locked="0"/>
    </xf>
    <xf numFmtId="174" fontId="36" fillId="0" borderId="0">
      <protection locked="0"/>
    </xf>
    <xf numFmtId="0" fontId="60" fillId="0" borderId="0"/>
    <xf numFmtId="174" fontId="36" fillId="0" borderId="0">
      <protection locked="0"/>
    </xf>
    <xf numFmtId="0" fontId="32" fillId="0" borderId="0"/>
    <xf numFmtId="0" fontId="61" fillId="0" borderId="0"/>
    <xf numFmtId="174" fontId="36" fillId="0" borderId="0">
      <protection locked="0"/>
    </xf>
    <xf numFmtId="0" fontId="61" fillId="0" borderId="0"/>
    <xf numFmtId="174" fontId="36" fillId="0" borderId="0">
      <protection locked="0"/>
    </xf>
    <xf numFmtId="0" fontId="59" fillId="0" borderId="0"/>
    <xf numFmtId="0" fontId="59" fillId="0" borderId="0"/>
    <xf numFmtId="0" fontId="59" fillId="0" borderId="0"/>
    <xf numFmtId="0" fontId="61" fillId="0" borderId="0"/>
    <xf numFmtId="40" fontId="57" fillId="0" borderId="0" applyFont="0" applyFill="0" applyBorder="0" applyAlignment="0" applyProtection="0"/>
    <xf numFmtId="187" fontId="57" fillId="0" borderId="0" applyFont="0" applyFill="0" applyBorder="0" applyAlignment="0" applyProtection="0"/>
    <xf numFmtId="177" fontId="5" fillId="0" borderId="0" applyFont="0" applyFill="0" applyBorder="0" applyAlignment="0" applyProtection="0"/>
    <xf numFmtId="0" fontId="62" fillId="27" borderId="0" applyNumberFormat="0" applyBorder="0" applyAlignment="0" applyProtection="0"/>
    <xf numFmtId="0" fontId="62" fillId="28" borderId="0" applyNumberFormat="0" applyBorder="0" applyAlignment="0" applyProtection="0"/>
    <xf numFmtId="0" fontId="62" fillId="29" borderId="0" applyNumberFormat="0" applyBorder="0" applyAlignment="0" applyProtection="0"/>
    <xf numFmtId="0" fontId="62" fillId="30" borderId="0" applyNumberFormat="0" applyBorder="0" applyAlignment="0" applyProtection="0"/>
    <xf numFmtId="0" fontId="62" fillId="31" borderId="0" applyNumberFormat="0" applyBorder="0" applyAlignment="0" applyProtection="0"/>
    <xf numFmtId="0" fontId="62" fillId="32" borderId="0" applyNumberFormat="0" applyBorder="0" applyAlignment="0" applyProtection="0"/>
    <xf numFmtId="0" fontId="19" fillId="33" borderId="0" applyNumberFormat="0" applyBorder="0" applyAlignment="0" applyProtection="0"/>
    <xf numFmtId="0" fontId="19" fillId="34" borderId="0" applyNumberFormat="0" applyBorder="0" applyAlignment="0" applyProtection="0"/>
    <xf numFmtId="0" fontId="19" fillId="35" borderId="0" applyNumberFormat="0" applyBorder="0" applyAlignment="0" applyProtection="0"/>
    <xf numFmtId="0" fontId="19" fillId="32" borderId="0" applyNumberFormat="0" applyBorder="0" applyAlignment="0" applyProtection="0"/>
    <xf numFmtId="0" fontId="19" fillId="31" borderId="0" applyNumberFormat="0" applyBorder="0" applyAlignment="0" applyProtection="0"/>
    <xf numFmtId="0" fontId="19" fillId="35" borderId="0" applyNumberFormat="0" applyBorder="0" applyAlignment="0" applyProtection="0"/>
    <xf numFmtId="0" fontId="62" fillId="33" borderId="0" applyNumberFormat="0" applyBorder="0" applyAlignment="0" applyProtection="0"/>
    <xf numFmtId="0" fontId="62" fillId="34" borderId="0" applyNumberFormat="0" applyBorder="0" applyAlignment="0" applyProtection="0"/>
    <xf numFmtId="0" fontId="62" fillId="36" borderId="0" applyNumberFormat="0" applyBorder="0" applyAlignment="0" applyProtection="0"/>
    <xf numFmtId="0" fontId="62" fillId="30" borderId="0" applyNumberFormat="0" applyBorder="0" applyAlignment="0" applyProtection="0"/>
    <xf numFmtId="0" fontId="62" fillId="33" borderId="0" applyNumberFormat="0" applyBorder="0" applyAlignment="0" applyProtection="0"/>
    <xf numFmtId="0" fontId="62" fillId="37" borderId="0" applyNumberFormat="0" applyBorder="0" applyAlignment="0" applyProtection="0"/>
    <xf numFmtId="0" fontId="19" fillId="31" borderId="0" applyNumberFormat="0" applyBorder="0" applyAlignment="0" applyProtection="0"/>
    <xf numFmtId="0" fontId="19" fillId="34" borderId="0" applyNumberFormat="0" applyBorder="0" applyAlignment="0" applyProtection="0"/>
    <xf numFmtId="0" fontId="19" fillId="38" borderId="0" applyNumberFormat="0" applyBorder="0" applyAlignment="0" applyProtection="0"/>
    <xf numFmtId="0" fontId="19" fillId="28" borderId="0" applyNumberFormat="0" applyBorder="0" applyAlignment="0" applyProtection="0"/>
    <xf numFmtId="0" fontId="19" fillId="31" borderId="0" applyNumberFormat="0" applyBorder="0" applyAlignment="0" applyProtection="0"/>
    <xf numFmtId="0" fontId="19" fillId="35" borderId="0" applyNumberFormat="0" applyBorder="0" applyAlignment="0" applyProtection="0"/>
    <xf numFmtId="0" fontId="63" fillId="39" borderId="0" applyNumberFormat="0" applyBorder="0" applyAlignment="0" applyProtection="0"/>
    <xf numFmtId="0" fontId="63" fillId="34" borderId="0" applyNumberFormat="0" applyBorder="0" applyAlignment="0" applyProtection="0"/>
    <xf numFmtId="0" fontId="63" fillId="36" borderId="0" applyNumberFormat="0" applyBorder="0" applyAlignment="0" applyProtection="0"/>
    <xf numFmtId="0" fontId="63" fillId="40" borderId="0" applyNumberFormat="0" applyBorder="0" applyAlignment="0" applyProtection="0"/>
    <xf numFmtId="0" fontId="63" fillId="41" borderId="0" applyNumberFormat="0" applyBorder="0" applyAlignment="0" applyProtection="0"/>
    <xf numFmtId="0" fontId="63" fillId="42" borderId="0" applyNumberFormat="0" applyBorder="0" applyAlignment="0" applyProtection="0"/>
    <xf numFmtId="0" fontId="20" fillId="31" borderId="0" applyNumberFormat="0" applyBorder="0" applyAlignment="0" applyProtection="0"/>
    <xf numFmtId="0" fontId="20" fillId="43" borderId="0" applyNumberFormat="0" applyBorder="0" applyAlignment="0" applyProtection="0"/>
    <xf numFmtId="0" fontId="20" fillId="37" borderId="0" applyNumberFormat="0" applyBorder="0" applyAlignment="0" applyProtection="0"/>
    <xf numFmtId="0" fontId="20" fillId="28" borderId="0" applyNumberFormat="0" applyBorder="0" applyAlignment="0" applyProtection="0"/>
    <xf numFmtId="0" fontId="20" fillId="31" borderId="0" applyNumberFormat="0" applyBorder="0" applyAlignment="0" applyProtection="0"/>
    <xf numFmtId="0" fontId="20" fillId="34" borderId="0" applyNumberFormat="0" applyBorder="0" applyAlignment="0" applyProtection="0"/>
    <xf numFmtId="168" fontId="64" fillId="1" borderId="1" applyFont="0" applyFill="0" applyBorder="0" applyAlignment="0" applyProtection="0">
      <alignment horizontal="right"/>
    </xf>
    <xf numFmtId="0" fontId="65" fillId="9" borderId="0" applyNumberFormat="0" applyBorder="0" applyAlignment="0" applyProtection="0"/>
    <xf numFmtId="0" fontId="65" fillId="9" borderId="0" applyNumberFormat="0" applyBorder="0" applyAlignment="0" applyProtection="0"/>
    <xf numFmtId="0" fontId="66" fillId="10" borderId="0" applyNumberFormat="0" applyBorder="0" applyAlignment="0" applyProtection="0"/>
    <xf numFmtId="0" fontId="63" fillId="44" borderId="0" applyNumberFormat="0" applyBorder="0" applyAlignment="0" applyProtection="0"/>
    <xf numFmtId="0" fontId="63" fillId="44" borderId="0" applyNumberFormat="0" applyBorder="0" applyAlignment="0" applyProtection="0"/>
    <xf numFmtId="0" fontId="67" fillId="11" borderId="0" applyNumberFormat="0" applyBorder="0" applyAlignment="0" applyProtection="0"/>
    <xf numFmtId="0" fontId="20" fillId="11" borderId="0" applyNumberFormat="0" applyBorder="0" applyAlignment="0" applyProtection="0"/>
    <xf numFmtId="0" fontId="16" fillId="8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65" fillId="12" borderId="0" applyNumberFormat="0" applyBorder="0" applyAlignment="0" applyProtection="0"/>
    <xf numFmtId="0" fontId="65" fillId="13" borderId="0" applyNumberFormat="0" applyBorder="0" applyAlignment="0" applyProtection="0"/>
    <xf numFmtId="0" fontId="66" fillId="14" borderId="0" applyNumberFormat="0" applyBorder="0" applyAlignment="0" applyProtection="0"/>
    <xf numFmtId="0" fontId="63" fillId="45" borderId="0" applyNumberFormat="0" applyBorder="0" applyAlignment="0" applyProtection="0"/>
    <xf numFmtId="0" fontId="63" fillId="45" borderId="0" applyNumberFormat="0" applyBorder="0" applyAlignment="0" applyProtection="0"/>
    <xf numFmtId="0" fontId="20" fillId="15" borderId="0" applyNumberFormat="0" applyBorder="0" applyAlignment="0" applyProtection="0"/>
    <xf numFmtId="0" fontId="65" fillId="12" borderId="0" applyNumberFormat="0" applyBorder="0" applyAlignment="0" applyProtection="0"/>
    <xf numFmtId="0" fontId="65" fillId="16" borderId="0" applyNumberFormat="0" applyBorder="0" applyAlignment="0" applyProtection="0"/>
    <xf numFmtId="0" fontId="66" fillId="13" borderId="0" applyNumberFormat="0" applyBorder="0" applyAlignment="0" applyProtection="0"/>
    <xf numFmtId="0" fontId="63" fillId="46" borderId="0" applyNumberFormat="0" applyBorder="0" applyAlignment="0" applyProtection="0"/>
    <xf numFmtId="0" fontId="63" fillId="46" borderId="0" applyNumberFormat="0" applyBorder="0" applyAlignment="0" applyProtection="0"/>
    <xf numFmtId="0" fontId="20" fillId="14" borderId="0" applyNumberFormat="0" applyBorder="0" applyAlignment="0" applyProtection="0"/>
    <xf numFmtId="0" fontId="65" fillId="9" borderId="0" applyNumberFormat="0" applyBorder="0" applyAlignment="0" applyProtection="0"/>
    <xf numFmtId="0" fontId="65" fillId="13" borderId="0" applyNumberFormat="0" applyBorder="0" applyAlignment="0" applyProtection="0"/>
    <xf numFmtId="0" fontId="66" fillId="13" borderId="0" applyNumberFormat="0" applyBorder="0" applyAlignment="0" applyProtection="0"/>
    <xf numFmtId="0" fontId="63" fillId="40" borderId="0" applyNumberFormat="0" applyBorder="0" applyAlignment="0" applyProtection="0"/>
    <xf numFmtId="0" fontId="63" fillId="40" borderId="0" applyNumberFormat="0" applyBorder="0" applyAlignment="0" applyProtection="0"/>
    <xf numFmtId="0" fontId="20" fillId="11" borderId="0" applyNumberFormat="0" applyBorder="0" applyAlignment="0" applyProtection="0"/>
    <xf numFmtId="0" fontId="65" fillId="17" borderId="0" applyNumberFormat="0" applyBorder="0" applyAlignment="0" applyProtection="0"/>
    <xf numFmtId="0" fontId="65" fillId="9" borderId="0" applyNumberFormat="0" applyBorder="0" applyAlignment="0" applyProtection="0"/>
    <xf numFmtId="0" fontId="66" fillId="10" borderId="0" applyNumberFormat="0" applyBorder="0" applyAlignment="0" applyProtection="0"/>
    <xf numFmtId="0" fontId="63" fillId="41" borderId="0" applyNumberFormat="0" applyBorder="0" applyAlignment="0" applyProtection="0"/>
    <xf numFmtId="0" fontId="63" fillId="41" borderId="0" applyNumberFormat="0" applyBorder="0" applyAlignment="0" applyProtection="0"/>
    <xf numFmtId="0" fontId="20" fillId="18" borderId="0" applyNumberFormat="0" applyBorder="0" applyAlignment="0" applyProtection="0"/>
    <xf numFmtId="0" fontId="65" fillId="12" borderId="0" applyNumberFormat="0" applyBorder="0" applyAlignment="0" applyProtection="0"/>
    <xf numFmtId="0" fontId="65" fillId="19" borderId="0" applyNumberFormat="0" applyBorder="0" applyAlignment="0" applyProtection="0"/>
    <xf numFmtId="0" fontId="66" fillId="19" borderId="0" applyNumberFormat="0" applyBorder="0" applyAlignment="0" applyProtection="0"/>
    <xf numFmtId="0" fontId="63" fillId="43" borderId="0" applyNumberFormat="0" applyBorder="0" applyAlignment="0" applyProtection="0"/>
    <xf numFmtId="0" fontId="63" fillId="43" borderId="0" applyNumberFormat="0" applyBorder="0" applyAlignment="0" applyProtection="0"/>
    <xf numFmtId="0" fontId="20" fillId="20" borderId="0" applyNumberFormat="0" applyBorder="0" applyAlignment="0" applyProtection="0"/>
    <xf numFmtId="188" fontId="5" fillId="0" borderId="8" applyFont="0" applyFill="0" applyBorder="0" applyAlignment="0" applyProtection="0"/>
    <xf numFmtId="188" fontId="5" fillId="0" borderId="8" applyFont="0" applyFill="0" applyBorder="0" applyAlignment="0" applyProtection="0"/>
    <xf numFmtId="0" fontId="68" fillId="28" borderId="0" applyNumberFormat="0" applyBorder="0" applyAlignment="0" applyProtection="0"/>
    <xf numFmtId="0" fontId="69" fillId="0" borderId="0" applyNumberFormat="0" applyFill="0" applyBorder="0" applyAlignment="0" applyProtection="0"/>
    <xf numFmtId="189" fontId="5" fillId="0" borderId="0" applyFill="0" applyBorder="0" applyAlignment="0"/>
    <xf numFmtId="0" fontId="70" fillId="47" borderId="11" applyNumberFormat="0" applyAlignment="0" applyProtection="0"/>
    <xf numFmtId="0" fontId="71" fillId="47" borderId="11" applyNumberFormat="0" applyAlignment="0" applyProtection="0"/>
    <xf numFmtId="0" fontId="72" fillId="0" borderId="0"/>
    <xf numFmtId="190" fontId="73" fillId="0" borderId="4"/>
    <xf numFmtId="0" fontId="74" fillId="48" borderId="12" applyNumberFormat="0" applyAlignment="0" applyProtection="0"/>
    <xf numFmtId="0" fontId="75" fillId="0" borderId="0" applyNumberFormat="0" applyFill="0" applyBorder="0" applyAlignment="0" applyProtection="0">
      <alignment vertical="top"/>
      <protection locked="0"/>
    </xf>
    <xf numFmtId="0" fontId="76" fillId="49" borderId="3">
      <alignment horizontal="center" vertical="center" wrapText="1"/>
    </xf>
    <xf numFmtId="191" fontId="77" fillId="0" borderId="0"/>
    <xf numFmtId="191" fontId="77" fillId="0" borderId="0"/>
    <xf numFmtId="191" fontId="77" fillId="0" borderId="0"/>
    <xf numFmtId="191" fontId="77" fillId="0" borderId="0"/>
    <xf numFmtId="191" fontId="77" fillId="0" borderId="0"/>
    <xf numFmtId="191" fontId="77" fillId="0" borderId="0"/>
    <xf numFmtId="191" fontId="77" fillId="0" borderId="0"/>
    <xf numFmtId="191" fontId="77" fillId="0" borderId="0"/>
    <xf numFmtId="4" fontId="78" fillId="0" borderId="20" applyFont="0" applyFill="0" applyBorder="0" applyAlignment="0">
      <alignment horizontal="center" vertical="center"/>
    </xf>
    <xf numFmtId="192" fontId="5" fillId="0" borderId="0" applyFont="0" applyFill="0" applyBorder="0" applyAlignment="0" applyProtection="0"/>
    <xf numFmtId="170" fontId="29" fillId="0" borderId="0" applyFont="0" applyFill="0" applyBorder="0" applyAlignment="0" applyProtection="0"/>
    <xf numFmtId="170" fontId="5" fillId="0" borderId="0" applyFont="0" applyFill="0" applyBorder="0" applyAlignment="0" applyProtection="0"/>
    <xf numFmtId="193" fontId="5" fillId="0" borderId="0" applyFont="0" applyFill="0" applyBorder="0" applyAlignment="0" applyProtection="0"/>
    <xf numFmtId="14" fontId="5" fillId="0" borderId="0" applyFont="0" applyFill="0" applyBorder="0" applyAlignment="0" applyProtection="0"/>
    <xf numFmtId="193" fontId="5" fillId="0" borderId="0" applyFont="0" applyFill="0" applyBorder="0" applyAlignment="0" applyProtection="0"/>
    <xf numFmtId="194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95" fontId="79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93" fontId="11" fillId="0" borderId="0" applyFont="0" applyFill="0" applyBorder="0" applyAlignment="0" applyProtection="0"/>
    <xf numFmtId="170" fontId="14" fillId="0" borderId="0" applyFont="0" applyFill="0" applyBorder="0" applyAlignment="0" applyProtection="0"/>
    <xf numFmtId="165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0" fontId="14" fillId="0" borderId="0" applyFont="0" applyFill="0" applyBorder="0" applyAlignment="0" applyProtection="0"/>
    <xf numFmtId="192" fontId="11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11" fillId="0" borderId="0" applyFont="0" applyFill="0" applyBorder="0" applyAlignment="0" applyProtection="0"/>
    <xf numFmtId="192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70" fontId="28" fillId="0" borderId="0" applyFont="0" applyFill="0" applyBorder="0" applyAlignment="0" applyProtection="0"/>
    <xf numFmtId="165" fontId="11" fillId="0" borderId="0" applyFont="0" applyFill="0" applyBorder="0" applyAlignment="0" applyProtection="0"/>
    <xf numFmtId="192" fontId="11" fillId="0" borderId="0" applyFont="0" applyFill="0" applyBorder="0" applyAlignment="0" applyProtection="0"/>
    <xf numFmtId="170" fontId="29" fillId="0" borderId="0" applyFont="0" applyFill="0" applyBorder="0" applyAlignment="0" applyProtection="0"/>
    <xf numFmtId="170" fontId="29" fillId="0" borderId="0" applyFont="0" applyFill="0" applyBorder="0" applyAlignment="0" applyProtection="0"/>
    <xf numFmtId="192" fontId="5" fillId="0" borderId="0" applyFont="0" applyFill="0" applyBorder="0" applyAlignment="0" applyProtection="0"/>
    <xf numFmtId="192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92" fontId="5" fillId="0" borderId="0" applyFont="0" applyFill="0" applyBorder="0" applyAlignment="0" applyProtection="0"/>
    <xf numFmtId="192" fontId="5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4" fillId="0" borderId="0" applyFont="0" applyFill="0" applyBorder="0" applyAlignment="0" applyProtection="0"/>
    <xf numFmtId="196" fontId="80" fillId="0" borderId="0" applyFont="0" applyFill="0" applyBorder="0" applyAlignment="0" applyProtection="0"/>
    <xf numFmtId="196" fontId="80" fillId="0" borderId="0" applyFont="0" applyFill="0" applyBorder="0" applyAlignment="0" applyProtection="0"/>
    <xf numFmtId="196" fontId="80" fillId="0" borderId="0" applyFont="0" applyFill="0" applyBorder="0" applyAlignment="0" applyProtection="0"/>
    <xf numFmtId="196" fontId="80" fillId="0" borderId="0" applyFont="0" applyFill="0" applyBorder="0" applyAlignment="0" applyProtection="0"/>
    <xf numFmtId="196" fontId="80" fillId="0" borderId="0" applyFont="0" applyFill="0" applyBorder="0" applyAlignment="0" applyProtection="0"/>
    <xf numFmtId="196" fontId="80" fillId="0" borderId="0" applyFont="0" applyFill="0" applyBorder="0" applyAlignment="0" applyProtection="0"/>
    <xf numFmtId="196" fontId="80" fillId="0" borderId="0" applyFont="0" applyFill="0" applyBorder="0" applyAlignment="0" applyProtection="0"/>
    <xf numFmtId="196" fontId="80" fillId="0" borderId="0" applyFont="0" applyFill="0" applyBorder="0" applyAlignment="0" applyProtection="0"/>
    <xf numFmtId="196" fontId="80" fillId="0" borderId="0" applyFont="0" applyFill="0" applyBorder="0" applyAlignment="0" applyProtection="0"/>
    <xf numFmtId="196" fontId="80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65" fillId="0" borderId="0" applyFont="0" applyFill="0" applyBorder="0" applyAlignment="0" applyProtection="0"/>
    <xf numFmtId="196" fontId="80" fillId="0" borderId="0" applyFont="0" applyFill="0" applyBorder="0" applyAlignment="0" applyProtection="0"/>
    <xf numFmtId="196" fontId="80" fillId="0" borderId="0" applyFont="0" applyFill="0" applyBorder="0" applyAlignment="0" applyProtection="0"/>
    <xf numFmtId="196" fontId="80" fillId="0" borderId="0" applyFont="0" applyFill="0" applyBorder="0" applyAlignment="0" applyProtection="0"/>
    <xf numFmtId="196" fontId="80" fillId="0" borderId="0" applyFont="0" applyFill="0" applyBorder="0" applyAlignment="0" applyProtection="0"/>
    <xf numFmtId="196" fontId="80" fillId="0" borderId="0" applyFont="0" applyFill="0" applyBorder="0" applyAlignment="0" applyProtection="0"/>
    <xf numFmtId="170" fontId="11" fillId="0" borderId="0" applyFont="0" applyFill="0" applyBorder="0" applyAlignment="0" applyProtection="0"/>
    <xf numFmtId="0" fontId="5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65" fillId="0" borderId="0" applyFont="0" applyFill="0" applyBorder="0" applyAlignment="0" applyProtection="0"/>
    <xf numFmtId="173" fontId="19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3" fontId="19" fillId="0" borderId="0" applyFont="0" applyFill="0" applyBorder="0" applyAlignment="0" applyProtection="0"/>
    <xf numFmtId="170" fontId="5" fillId="0" borderId="0" applyFont="0" applyFill="0" applyBorder="0" applyAlignment="0" applyProtection="0"/>
    <xf numFmtId="173" fontId="19" fillId="0" borderId="0" applyFont="0" applyFill="0" applyBorder="0" applyAlignment="0" applyProtection="0"/>
    <xf numFmtId="170" fontId="5" fillId="0" borderId="0" applyFont="0" applyFill="0" applyBorder="0" applyAlignment="0" applyProtection="0"/>
    <xf numFmtId="197" fontId="14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97" fontId="14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98" fontId="79" fillId="0" borderId="0" applyFont="0" applyFill="0" applyBorder="0" applyAlignment="0" applyProtection="0"/>
    <xf numFmtId="179" fontId="79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14" fillId="0" borderId="0" applyFont="0" applyFill="0" applyBorder="0" applyAlignment="0" applyProtection="0"/>
    <xf numFmtId="170" fontId="14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4" fillId="0" borderId="0" applyFont="0" applyFill="0" applyBorder="0" applyAlignment="0" applyProtection="0"/>
    <xf numFmtId="170" fontId="14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5" fillId="0" borderId="0" applyFont="0" applyFill="0" applyBorder="0" applyAlignment="0" applyProtection="0"/>
    <xf numFmtId="199" fontId="14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81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65" fontId="81" fillId="0" borderId="0" applyFont="0" applyFill="0" applyBorder="0" applyAlignment="0" applyProtection="0"/>
    <xf numFmtId="20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4" fontId="82" fillId="0" borderId="0" applyFont="0" applyFill="0" applyBorder="0" applyAlignment="0" applyProtection="0"/>
    <xf numFmtId="194" fontId="5" fillId="0" borderId="0" applyFont="0" applyFill="0" applyBorder="0" applyAlignment="0" applyProtection="0"/>
    <xf numFmtId="170" fontId="81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65" fillId="0" borderId="0" applyFont="0" applyFill="0" applyBorder="0" applyAlignment="0" applyProtection="0"/>
    <xf numFmtId="165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65" fontId="18" fillId="0" borderId="0" applyFont="0" applyFill="0" applyBorder="0" applyAlignment="0" applyProtection="0"/>
    <xf numFmtId="201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4" fillId="0" borderId="0" applyFont="0" applyFill="0" applyBorder="0" applyAlignment="0" applyProtection="0"/>
    <xf numFmtId="170" fontId="14" fillId="0" borderId="0" applyFont="0" applyFill="0" applyBorder="0" applyAlignment="0" applyProtection="0"/>
    <xf numFmtId="165" fontId="5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8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83" fillId="0" borderId="0" applyFont="0" applyFill="0" applyBorder="0" applyAlignment="0" applyProtection="0"/>
    <xf numFmtId="170" fontId="83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29" fillId="0" borderId="0" applyFont="0" applyFill="0" applyBorder="0" applyAlignment="0" applyProtection="0"/>
    <xf numFmtId="165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202" fontId="11" fillId="0" borderId="0" applyFont="0" applyFill="0" applyBorder="0" applyAlignment="0" applyProtection="0"/>
    <xf numFmtId="193" fontId="5" fillId="0" borderId="0" applyFont="0" applyFill="0" applyBorder="0" applyAlignment="0" applyProtection="0"/>
    <xf numFmtId="170" fontId="11" fillId="0" borderId="0" applyFont="0" applyFill="0" applyBorder="0" applyAlignment="0" applyProtection="0"/>
    <xf numFmtId="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202" fontId="11" fillId="0" borderId="0" applyFont="0" applyFill="0" applyBorder="0" applyAlignment="0" applyProtection="0"/>
    <xf numFmtId="184" fontId="5" fillId="0" borderId="0" applyFont="0" applyFill="0" applyBorder="0" applyAlignment="0" applyProtection="0"/>
    <xf numFmtId="202" fontId="11" fillId="0" borderId="0" applyFont="0" applyFill="0" applyBorder="0" applyAlignment="0" applyProtection="0"/>
    <xf numFmtId="173" fontId="5" fillId="0" borderId="0" applyFont="0" applyFill="0" applyBorder="0" applyAlignment="0" applyProtection="0"/>
    <xf numFmtId="14" fontId="5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5" fillId="0" borderId="0" applyFont="0" applyFill="0" applyBorder="0" applyAlignment="0" applyProtection="0"/>
    <xf numFmtId="170" fontId="11" fillId="0" borderId="0" applyFont="0" applyFill="0" applyBorder="0" applyAlignment="0" applyProtection="0"/>
    <xf numFmtId="3" fontId="5" fillId="0" borderId="0" applyFill="0" applyBorder="0" applyAlignment="0" applyProtection="0"/>
    <xf numFmtId="3" fontId="5" fillId="0" borderId="0" applyFill="0" applyBorder="0" applyAlignment="0" applyProtection="0"/>
    <xf numFmtId="3" fontId="5" fillId="0" borderId="0" applyFill="0" applyBorder="0" applyAlignment="0" applyProtection="0"/>
    <xf numFmtId="3" fontId="5" fillId="0" borderId="0"/>
    <xf numFmtId="3" fontId="5" fillId="0" borderId="0" applyFill="0" applyBorder="0" applyAlignment="0" applyProtection="0"/>
    <xf numFmtId="0" fontId="4" fillId="35" borderId="17" applyNumberFormat="0" applyFont="0" applyAlignment="0" applyProtection="0"/>
    <xf numFmtId="183" fontId="84" fillId="0" borderId="0" applyNumberFormat="0" applyBorder="0">
      <protection locked="0"/>
    </xf>
    <xf numFmtId="0" fontId="85" fillId="0" borderId="0" applyNumberFormat="0" applyAlignment="0">
      <alignment horizontal="left"/>
    </xf>
    <xf numFmtId="203" fontId="5" fillId="0" borderId="0" applyFont="0" applyFill="0" applyBorder="0" applyAlignment="0" applyProtection="0"/>
    <xf numFmtId="203" fontId="5" fillId="0" borderId="0" applyFont="0" applyFill="0" applyBorder="0" applyAlignment="0" applyProtection="0"/>
    <xf numFmtId="204" fontId="5" fillId="0" borderId="21" applyFont="0" applyFill="0" applyBorder="0" applyAlignment="0" applyProtection="0"/>
    <xf numFmtId="204" fontId="5" fillId="0" borderId="21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205" fontId="5" fillId="0" borderId="0" applyFont="0" applyFill="0" applyBorder="0" applyAlignment="0" applyProtection="0"/>
    <xf numFmtId="196" fontId="5" fillId="0" borderId="0" applyFill="0" applyBorder="0" applyAlignment="0" applyProtection="0"/>
    <xf numFmtId="196" fontId="5" fillId="0" borderId="0" applyFill="0" applyBorder="0" applyAlignment="0" applyProtection="0"/>
    <xf numFmtId="196" fontId="5" fillId="0" borderId="0" applyFill="0" applyBorder="0" applyAlignment="0" applyProtection="0"/>
    <xf numFmtId="196" fontId="5" fillId="0" borderId="0" applyFill="0" applyBorder="0" applyAlignment="0" applyProtection="0"/>
    <xf numFmtId="180" fontId="43" fillId="0" borderId="0">
      <alignment readingOrder="1"/>
      <protection locked="0"/>
    </xf>
    <xf numFmtId="206" fontId="5" fillId="0" borderId="0" applyFill="0" applyBorder="0" applyAlignment="0" applyProtection="0"/>
    <xf numFmtId="180" fontId="43" fillId="0" borderId="0">
      <alignment readingOrder="1"/>
      <protection locked="0"/>
    </xf>
    <xf numFmtId="180" fontId="86" fillId="0" borderId="0">
      <protection locked="0"/>
    </xf>
    <xf numFmtId="180" fontId="43" fillId="0" borderId="0">
      <alignment readingOrder="1"/>
      <protection locked="0"/>
    </xf>
    <xf numFmtId="180" fontId="43" fillId="0" borderId="0">
      <alignment readingOrder="1"/>
      <protection locked="0"/>
    </xf>
    <xf numFmtId="180" fontId="43" fillId="0" borderId="0">
      <alignment readingOrder="1"/>
      <protection locked="0"/>
    </xf>
    <xf numFmtId="206" fontId="5" fillId="0" borderId="0" applyFill="0" applyBorder="0" applyAlignment="0" applyProtection="0"/>
    <xf numFmtId="180" fontId="86" fillId="0" borderId="0">
      <alignment readingOrder="1"/>
      <protection locked="0"/>
    </xf>
    <xf numFmtId="206" fontId="5" fillId="0" borderId="0" applyFill="0" applyBorder="0" applyAlignment="0" applyProtection="0"/>
    <xf numFmtId="37" fontId="87" fillId="50" borderId="0"/>
    <xf numFmtId="37" fontId="87" fillId="50" borderId="22"/>
    <xf numFmtId="37" fontId="87" fillId="50" borderId="22"/>
    <xf numFmtId="207" fontId="88" fillId="0" borderId="0">
      <alignment horizontal="center" vertical="center"/>
    </xf>
    <xf numFmtId="0" fontId="89" fillId="23" borderId="0" applyNumberFormat="0" applyBorder="0" applyAlignment="0" applyProtection="0"/>
    <xf numFmtId="0" fontId="89" fillId="24" borderId="0" applyNumberFormat="0" applyBorder="0" applyAlignment="0" applyProtection="0"/>
    <xf numFmtId="0" fontId="89" fillId="25" borderId="0" applyNumberFormat="0" applyBorder="0" applyAlignment="0" applyProtection="0"/>
    <xf numFmtId="37" fontId="90" fillId="51" borderId="0"/>
    <xf numFmtId="0" fontId="91" fillId="0" borderId="0" applyNumberFormat="0" applyAlignment="0">
      <alignment horizontal="left"/>
    </xf>
    <xf numFmtId="208" fontId="92" fillId="0" borderId="0" applyFont="0" applyFill="0" applyBorder="0" applyAlignment="0" applyProtection="0"/>
    <xf numFmtId="167" fontId="5" fillId="0" borderId="0" applyFont="0" applyFill="0" applyBorder="0" applyAlignment="0" applyProtection="0"/>
    <xf numFmtId="0" fontId="93" fillId="0" borderId="0" applyNumberFormat="0" applyFill="0" applyBorder="0" applyAlignment="0" applyProtection="0"/>
    <xf numFmtId="4" fontId="43" fillId="0" borderId="0" applyFont="0" applyFill="0" applyBorder="0" applyAlignment="0" applyProtection="0">
      <alignment readingOrder="1"/>
      <protection locked="0"/>
    </xf>
    <xf numFmtId="2" fontId="5" fillId="0" borderId="0" applyFill="0" applyBorder="0" applyAlignment="0" applyProtection="0"/>
    <xf numFmtId="4" fontId="43" fillId="0" borderId="0" applyFont="0" applyFill="0" applyBorder="0" applyAlignment="0" applyProtection="0">
      <alignment readingOrder="1"/>
      <protection locked="0"/>
    </xf>
    <xf numFmtId="4" fontId="86" fillId="0" borderId="0" applyFont="0" applyFill="0" applyBorder="0" applyAlignment="0" applyProtection="0">
      <protection locked="0"/>
    </xf>
    <xf numFmtId="4" fontId="43" fillId="0" borderId="0" applyFont="0" applyFill="0" applyBorder="0" applyAlignment="0" applyProtection="0">
      <alignment readingOrder="1"/>
      <protection locked="0"/>
    </xf>
    <xf numFmtId="4" fontId="43" fillId="0" borderId="0" applyFont="0" applyFill="0" applyBorder="0" applyAlignment="0" applyProtection="0">
      <alignment readingOrder="1"/>
      <protection locked="0"/>
    </xf>
    <xf numFmtId="4" fontId="43" fillId="0" borderId="0" applyFont="0" applyFill="0" applyBorder="0" applyAlignment="0" applyProtection="0">
      <alignment readingOrder="1"/>
      <protection locked="0"/>
    </xf>
    <xf numFmtId="2" fontId="5" fillId="0" borderId="0" applyFill="0" applyBorder="0" applyAlignment="0" applyProtection="0"/>
    <xf numFmtId="4" fontId="86" fillId="0" borderId="0" applyFont="0" applyFill="0" applyBorder="0" applyAlignment="0" applyProtection="0">
      <alignment readingOrder="1"/>
      <protection locked="0"/>
    </xf>
    <xf numFmtId="2" fontId="5" fillId="0" borderId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37" fontId="95" fillId="50" borderId="23"/>
    <xf numFmtId="37" fontId="95" fillId="50" borderId="22"/>
    <xf numFmtId="37" fontId="95" fillId="52" borderId="22"/>
    <xf numFmtId="0" fontId="96" fillId="29" borderId="0" applyNumberFormat="0" applyBorder="0" applyAlignment="0" applyProtection="0"/>
    <xf numFmtId="38" fontId="97" fillId="53" borderId="0" applyNumberFormat="0" applyBorder="0" applyAlignment="0" applyProtection="0"/>
    <xf numFmtId="0" fontId="98" fillId="0" borderId="0">
      <alignment horizontal="left"/>
    </xf>
    <xf numFmtId="0" fontId="99" fillId="0" borderId="24" applyNumberFormat="0" applyAlignment="0" applyProtection="0">
      <alignment horizontal="left" vertical="center"/>
    </xf>
    <xf numFmtId="0" fontId="99" fillId="0" borderId="25">
      <alignment horizontal="left" vertical="center"/>
    </xf>
    <xf numFmtId="0" fontId="100" fillId="0" borderId="0"/>
    <xf numFmtId="0" fontId="101" fillId="0" borderId="0" applyNumberFormat="0" applyFill="0" applyBorder="0" applyAlignment="0" applyProtection="0"/>
    <xf numFmtId="0" fontId="102" fillId="0" borderId="13" applyNumberFormat="0" applyFill="0" applyAlignment="0" applyProtection="0"/>
    <xf numFmtId="0" fontId="15" fillId="0" borderId="10" applyNumberFormat="0" applyFill="0" applyAlignment="0" applyProtection="0"/>
    <xf numFmtId="0" fontId="99" fillId="0" borderId="0" applyNumberFormat="0" applyFill="0" applyBorder="0" applyAlignment="0" applyProtection="0"/>
    <xf numFmtId="0" fontId="103" fillId="0" borderId="26" applyNumberFormat="0" applyFill="0" applyAlignment="0" applyProtection="0"/>
    <xf numFmtId="0" fontId="103" fillId="0" borderId="0" applyNumberFormat="0" applyFill="0" applyBorder="0" applyAlignment="0" applyProtection="0"/>
    <xf numFmtId="174" fontId="47" fillId="0" borderId="0">
      <protection locked="0"/>
    </xf>
    <xf numFmtId="174" fontId="47" fillId="0" borderId="0">
      <protection locked="0"/>
    </xf>
    <xf numFmtId="174" fontId="47" fillId="0" borderId="0">
      <protection locked="0"/>
    </xf>
    <xf numFmtId="174" fontId="47" fillId="0" borderId="0">
      <protection locked="0"/>
    </xf>
    <xf numFmtId="174" fontId="47" fillId="0" borderId="0">
      <protection locked="0"/>
    </xf>
    <xf numFmtId="174" fontId="104" fillId="0" borderId="0">
      <protection locked="0"/>
    </xf>
    <xf numFmtId="174" fontId="36" fillId="0" borderId="0">
      <alignment readingOrder="1"/>
      <protection locked="0"/>
    </xf>
    <xf numFmtId="174" fontId="36" fillId="0" borderId="0">
      <alignment readingOrder="1"/>
      <protection locked="0"/>
    </xf>
    <xf numFmtId="174" fontId="36" fillId="0" borderId="0">
      <alignment readingOrder="1"/>
      <protection locked="0"/>
    </xf>
    <xf numFmtId="174" fontId="36" fillId="0" borderId="0">
      <alignment readingOrder="1"/>
      <protection locked="0"/>
    </xf>
    <xf numFmtId="174" fontId="36" fillId="0" borderId="0">
      <alignment readingOrder="1"/>
      <protection locked="0"/>
    </xf>
    <xf numFmtId="174" fontId="53" fillId="0" borderId="0">
      <alignment readingOrder="1"/>
      <protection locked="0"/>
    </xf>
    <xf numFmtId="174" fontId="36" fillId="0" borderId="0">
      <alignment readingOrder="1"/>
      <protection locked="0"/>
    </xf>
    <xf numFmtId="174" fontId="36" fillId="0" borderId="0">
      <alignment readingOrder="1"/>
      <protection locked="0"/>
    </xf>
    <xf numFmtId="174" fontId="36" fillId="0" borderId="0">
      <alignment readingOrder="1"/>
      <protection locked="0"/>
    </xf>
    <xf numFmtId="174" fontId="36" fillId="0" borderId="0">
      <alignment readingOrder="1"/>
      <protection locked="0"/>
    </xf>
    <xf numFmtId="174" fontId="36" fillId="0" borderId="0">
      <alignment readingOrder="1"/>
      <protection locked="0"/>
    </xf>
    <xf numFmtId="174" fontId="53" fillId="0" borderId="0">
      <alignment readingOrder="1"/>
      <protection locked="0"/>
    </xf>
    <xf numFmtId="0" fontId="105" fillId="0" borderId="0">
      <alignment vertical="center"/>
    </xf>
    <xf numFmtId="0" fontId="105" fillId="0" borderId="0"/>
    <xf numFmtId="0" fontId="106" fillId="0" borderId="0"/>
    <xf numFmtId="178" fontId="48" fillId="0" borderId="0" applyNumberFormat="0" applyFill="0" applyBorder="0">
      <alignment horizontal="left"/>
    </xf>
    <xf numFmtId="209" fontId="5" fillId="0" borderId="0" applyFont="0" applyFill="0" applyBorder="0" applyAlignment="0" applyProtection="0"/>
    <xf numFmtId="209" fontId="5" fillId="0" borderId="0" applyFont="0" applyFill="0" applyBorder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8" fillId="0" borderId="0" applyNumberFormat="0" applyFill="0" applyBorder="0" applyAlignment="0" applyProtection="0">
      <alignment vertical="top"/>
      <protection locked="0"/>
    </xf>
    <xf numFmtId="0" fontId="109" fillId="0" borderId="0" applyNumberFormat="0" applyFill="0" applyBorder="0" applyAlignment="0" applyProtection="0">
      <alignment vertical="top"/>
      <protection locked="0"/>
    </xf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top"/>
      <protection locked="0"/>
    </xf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51" fillId="0" borderId="0" applyNumberFormat="0">
      <alignment horizontal="right"/>
    </xf>
    <xf numFmtId="10" fontId="97" fillId="53" borderId="3" applyNumberFormat="0" applyBorder="0" applyAlignment="0" applyProtection="0"/>
    <xf numFmtId="0" fontId="110" fillId="32" borderId="11" applyNumberFormat="0" applyAlignment="0" applyProtection="0"/>
    <xf numFmtId="0" fontId="29" fillId="19" borderId="11" applyNumberFormat="0" applyAlignment="0" applyProtection="0"/>
    <xf numFmtId="38" fontId="111" fillId="0" borderId="0"/>
    <xf numFmtId="38" fontId="112" fillId="0" borderId="0"/>
    <xf numFmtId="38" fontId="113" fillId="0" borderId="0"/>
    <xf numFmtId="38" fontId="114" fillId="0" borderId="0"/>
    <xf numFmtId="0" fontId="80" fillId="0" borderId="0"/>
    <xf numFmtId="0" fontId="80" fillId="0" borderId="0"/>
    <xf numFmtId="0" fontId="115" fillId="0" borderId="16" applyNumberFormat="0" applyFill="0" applyAlignment="0" applyProtection="0"/>
    <xf numFmtId="0" fontId="116" fillId="0" borderId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38" fontId="39" fillId="0" borderId="0" applyFont="0" applyFill="0" applyBorder="0" applyAlignment="0" applyProtection="0"/>
    <xf numFmtId="210" fontId="5" fillId="0" borderId="0" applyFont="0" applyFill="0" applyBorder="0" applyAlignment="0" applyProtection="0"/>
    <xf numFmtId="0" fontId="117" fillId="0" borderId="27"/>
    <xf numFmtId="0" fontId="117" fillId="0" borderId="27"/>
    <xf numFmtId="211" fontId="5" fillId="0" borderId="0" applyFont="0" applyFill="0" applyBorder="0" applyAlignment="0" applyProtection="0"/>
    <xf numFmtId="205" fontId="5" fillId="0" borderId="0" applyFont="0" applyFill="0" applyBorder="0" applyAlignment="0" applyProtection="0"/>
    <xf numFmtId="212" fontId="39" fillId="0" borderId="0" applyFont="0" applyFill="0" applyBorder="0" applyAlignment="0" applyProtection="0"/>
    <xf numFmtId="213" fontId="5" fillId="0" borderId="0" applyFont="0" applyFill="0" applyBorder="0" applyAlignment="0" applyProtection="0"/>
    <xf numFmtId="214" fontId="5" fillId="0" borderId="0" applyFont="0" applyFill="0" applyBorder="0" applyAlignment="0" applyProtection="0"/>
    <xf numFmtId="0" fontId="118" fillId="38" borderId="0" applyNumberFormat="0" applyBorder="0" applyAlignment="0" applyProtection="0"/>
    <xf numFmtId="37" fontId="119" fillId="0" borderId="0"/>
    <xf numFmtId="0" fontId="120" fillId="0" borderId="0"/>
    <xf numFmtId="184" fontId="121" fillId="0" borderId="0"/>
    <xf numFmtId="0" fontId="55" fillId="0" borderId="0"/>
    <xf numFmtId="0" fontId="61" fillId="0" borderId="0"/>
    <xf numFmtId="0" fontId="5" fillId="0" borderId="0"/>
    <xf numFmtId="215" fontId="122" fillId="0" borderId="0"/>
    <xf numFmtId="0" fontId="5" fillId="0" borderId="0" applyNumberFormat="0" applyFont="0" applyFill="0" applyBorder="0" applyAlignment="0" applyProtection="0">
      <alignment vertical="top"/>
    </xf>
    <xf numFmtId="0" fontId="5" fillId="0" borderId="0"/>
    <xf numFmtId="216" fontId="122" fillId="0" borderId="0"/>
    <xf numFmtId="0" fontId="5" fillId="0" borderId="0"/>
    <xf numFmtId="0" fontId="14" fillId="0" borderId="0"/>
    <xf numFmtId="0" fontId="14" fillId="0" borderId="0"/>
    <xf numFmtId="216" fontId="122" fillId="0" borderId="0"/>
    <xf numFmtId="0" fontId="5" fillId="0" borderId="0"/>
    <xf numFmtId="216" fontId="122" fillId="0" borderId="0"/>
    <xf numFmtId="0" fontId="5" fillId="0" borderId="0"/>
    <xf numFmtId="0" fontId="123" fillId="0" borderId="0"/>
    <xf numFmtId="0" fontId="5" fillId="0" borderId="0"/>
    <xf numFmtId="0" fontId="5" fillId="0" borderId="0"/>
    <xf numFmtId="0" fontId="18" fillId="0" borderId="0"/>
    <xf numFmtId="0" fontId="82" fillId="0" borderId="0"/>
    <xf numFmtId="0" fontId="14" fillId="0" borderId="0"/>
    <xf numFmtId="0" fontId="14" fillId="0" borderId="0"/>
    <xf numFmtId="0" fontId="11" fillId="0" borderId="0"/>
    <xf numFmtId="0" fontId="5" fillId="0" borderId="0"/>
    <xf numFmtId="0" fontId="5" fillId="0" borderId="0"/>
    <xf numFmtId="0" fontId="11" fillId="0" borderId="0"/>
    <xf numFmtId="0" fontId="5" fillId="0" borderId="0"/>
    <xf numFmtId="0" fontId="124" fillId="0" borderId="0"/>
    <xf numFmtId="0" fontId="5" fillId="0" borderId="0"/>
    <xf numFmtId="0" fontId="14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ont="0" applyFill="0" applyBorder="0" applyAlignment="0" applyProtection="0">
      <alignment vertical="top"/>
    </xf>
    <xf numFmtId="0" fontId="5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1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125" fillId="0" borderId="0"/>
    <xf numFmtId="0" fontId="29" fillId="0" borderId="0"/>
    <xf numFmtId="0" fontId="126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9" fillId="0" borderId="0"/>
    <xf numFmtId="0" fontId="8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217" fontId="12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1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1" fillId="0" borderId="0"/>
    <xf numFmtId="0" fontId="1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1" fillId="0" borderId="0"/>
    <xf numFmtId="0" fontId="11" fillId="0" borderId="0"/>
    <xf numFmtId="0" fontId="11" fillId="0" borderId="0"/>
    <xf numFmtId="0" fontId="39" fillId="0" borderId="0"/>
    <xf numFmtId="0" fontId="5" fillId="0" borderId="0"/>
    <xf numFmtId="0" fontId="4" fillId="0" borderId="0"/>
    <xf numFmtId="0" fontId="5" fillId="0" borderId="0"/>
    <xf numFmtId="0" fontId="1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81" fillId="0" borderId="0"/>
    <xf numFmtId="0" fontId="14" fillId="0" borderId="0"/>
    <xf numFmtId="0" fontId="14" fillId="0" borderId="0"/>
    <xf numFmtId="0" fontId="5" fillId="0" borderId="0"/>
    <xf numFmtId="0" fontId="11" fillId="0" borderId="0"/>
    <xf numFmtId="0" fontId="11" fillId="0" borderId="0"/>
    <xf numFmtId="0" fontId="5" fillId="0" borderId="0"/>
    <xf numFmtId="0" fontId="14" fillId="0" borderId="0"/>
    <xf numFmtId="0" fontId="5" fillId="0" borderId="0"/>
    <xf numFmtId="0" fontId="14" fillId="0" borderId="0"/>
    <xf numFmtId="0" fontId="5" fillId="0" borderId="0" applyNumberFormat="0" applyFont="0" applyFill="0" applyBorder="0" applyAlignment="0" applyProtection="0">
      <alignment vertical="top"/>
    </xf>
    <xf numFmtId="0" fontId="14" fillId="0" borderId="0"/>
    <xf numFmtId="0" fontId="5" fillId="0" borderId="0"/>
    <xf numFmtId="0" fontId="14" fillId="0" borderId="0"/>
    <xf numFmtId="0" fontId="11" fillId="0" borderId="0"/>
    <xf numFmtId="0" fontId="5" fillId="0" borderId="0" applyNumberFormat="0" applyFont="0" applyFill="0" applyBorder="0" applyAlignment="0" applyProtection="0">
      <alignment vertical="top"/>
    </xf>
    <xf numFmtId="0" fontId="14" fillId="0" borderId="0"/>
    <xf numFmtId="0" fontId="83" fillId="0" borderId="0"/>
    <xf numFmtId="0" fontId="14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127" fillId="0" borderId="0"/>
    <xf numFmtId="0" fontId="127" fillId="0" borderId="0"/>
    <xf numFmtId="0" fontId="127" fillId="0" borderId="0"/>
    <xf numFmtId="0" fontId="127" fillId="0" borderId="0"/>
    <xf numFmtId="0" fontId="127" fillId="0" borderId="0"/>
    <xf numFmtId="0" fontId="65" fillId="0" borderId="0"/>
    <xf numFmtId="0" fontId="5" fillId="0" borderId="0"/>
    <xf numFmtId="0" fontId="5" fillId="0" borderId="0" applyNumberFormat="0" applyFont="0" applyFill="0" applyBorder="0" applyAlignment="0" applyProtection="0">
      <alignment vertical="top"/>
    </xf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128" fillId="0" borderId="0"/>
    <xf numFmtId="0" fontId="124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8" fillId="0" borderId="0"/>
    <xf numFmtId="0" fontId="80" fillId="0" borderId="0"/>
    <xf numFmtId="0" fontId="5" fillId="0" borderId="0"/>
    <xf numFmtId="0" fontId="80" fillId="0" borderId="0"/>
    <xf numFmtId="0" fontId="14" fillId="0" borderId="0"/>
    <xf numFmtId="0" fontId="11" fillId="0" borderId="0"/>
    <xf numFmtId="0" fontId="11" fillId="0" borderId="0"/>
    <xf numFmtId="0" fontId="14" fillId="0" borderId="0"/>
    <xf numFmtId="0" fontId="5" fillId="0" borderId="0"/>
    <xf numFmtId="0" fontId="83" fillId="0" borderId="0"/>
    <xf numFmtId="0" fontId="5" fillId="0" borderId="0"/>
    <xf numFmtId="0" fontId="1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2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81" fillId="0" borderId="0"/>
    <xf numFmtId="0" fontId="11" fillId="0" borderId="0"/>
    <xf numFmtId="0" fontId="5" fillId="0" borderId="0" applyNumberFormat="0" applyFont="0" applyFill="0" applyBorder="0" applyAlignment="0" applyProtection="0">
      <alignment vertical="top"/>
    </xf>
    <xf numFmtId="0" fontId="11" fillId="0" borderId="0"/>
    <xf numFmtId="0" fontId="92" fillId="0" borderId="0"/>
    <xf numFmtId="0" fontId="11" fillId="0" borderId="0"/>
    <xf numFmtId="0" fontId="11" fillId="0" borderId="0"/>
    <xf numFmtId="0" fontId="11" fillId="0" borderId="0"/>
    <xf numFmtId="0" fontId="5" fillId="0" borderId="0"/>
    <xf numFmtId="0" fontId="5" fillId="0" borderId="0"/>
    <xf numFmtId="0" fontId="5" fillId="0" borderId="0"/>
    <xf numFmtId="218" fontId="5" fillId="0" borderId="0"/>
    <xf numFmtId="215" fontId="122" fillId="0" borderId="0"/>
    <xf numFmtId="0" fontId="28" fillId="0" borderId="0"/>
    <xf numFmtId="0" fontId="5" fillId="0" borderId="0"/>
    <xf numFmtId="0" fontId="39" fillId="0" borderId="0"/>
    <xf numFmtId="0" fontId="5" fillId="12" borderId="17" applyNumberFormat="0" applyFont="0" applyAlignment="0" applyProtection="0"/>
    <xf numFmtId="0" fontId="5" fillId="35" borderId="17" applyNumberFormat="0" applyFont="0" applyAlignment="0" applyProtection="0"/>
    <xf numFmtId="0" fontId="65" fillId="35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219" fontId="5" fillId="0" borderId="0"/>
    <xf numFmtId="40" fontId="129" fillId="0" borderId="0" applyFont="0" applyFill="0" applyBorder="0" applyAlignment="0" applyProtection="0"/>
    <xf numFmtId="38" fontId="129" fillId="0" borderId="0" applyFont="0" applyFill="0" applyBorder="0" applyAlignment="0" applyProtection="0"/>
    <xf numFmtId="0" fontId="130" fillId="0" borderId="0"/>
    <xf numFmtId="0" fontId="131" fillId="47" borderId="18" applyNumberFormat="0" applyAlignment="0" applyProtection="0"/>
    <xf numFmtId="10" fontId="5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79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1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83" fillId="0" borderId="0" applyFont="0" applyFill="0" applyBorder="0" applyAlignment="0" applyProtection="0"/>
    <xf numFmtId="9" fontId="83" fillId="0" borderId="0" applyFont="0" applyFill="0" applyBorder="0" applyAlignment="0" applyProtection="0"/>
    <xf numFmtId="9" fontId="82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1" fillId="0" borderId="0" applyFont="0" applyFill="0" applyBorder="0" applyAlignment="0" applyProtection="0"/>
    <xf numFmtId="220" fontId="57" fillId="0" borderId="0" applyFont="0" applyFill="0" applyBorder="0" applyAlignment="0" applyProtection="0"/>
    <xf numFmtId="0" fontId="8" fillId="0" borderId="28" applyFont="0" applyBorder="0" applyAlignment="0"/>
    <xf numFmtId="0" fontId="39" fillId="0" borderId="0" applyNumberFormat="0" applyFont="0" applyFill="0" applyBorder="0" applyAlignment="0" applyProtection="0">
      <alignment horizontal="left"/>
    </xf>
    <xf numFmtId="15" fontId="57" fillId="0" borderId="0" applyFont="0" applyFill="0" applyBorder="0" applyAlignment="0" applyProtection="0"/>
    <xf numFmtId="4" fontId="57" fillId="0" borderId="0" applyFont="0" applyFill="0" applyBorder="0" applyAlignment="0" applyProtection="0"/>
    <xf numFmtId="0" fontId="132" fillId="0" borderId="27">
      <alignment horizontal="center"/>
    </xf>
    <xf numFmtId="0" fontId="132" fillId="0" borderId="27">
      <alignment horizontal="center"/>
    </xf>
    <xf numFmtId="3" fontId="57" fillId="0" borderId="0" applyFont="0" applyFill="0" applyBorder="0" applyAlignment="0" applyProtection="0"/>
    <xf numFmtId="0" fontId="57" fillId="54" borderId="0" applyNumberFormat="0" applyFont="0" applyBorder="0" applyAlignment="0" applyProtection="0"/>
    <xf numFmtId="3" fontId="133" fillId="0" borderId="29" applyBorder="0">
      <alignment horizontal="right" wrapText="1"/>
    </xf>
    <xf numFmtId="4" fontId="133" fillId="0" borderId="30" applyBorder="0">
      <alignment horizontal="right" wrapText="1"/>
    </xf>
    <xf numFmtId="37" fontId="87" fillId="50" borderId="0"/>
    <xf numFmtId="221" fontId="134" fillId="0" borderId="0" applyNumberFormat="0" applyFill="0" applyBorder="0" applyAlignment="0" applyProtection="0">
      <alignment horizontal="left"/>
    </xf>
    <xf numFmtId="0" fontId="135" fillId="0" borderId="0" applyNumberFormat="0" applyFill="0" applyBorder="0" applyAlignment="0" applyProtection="0"/>
    <xf numFmtId="0" fontId="32" fillId="0" borderId="0"/>
    <xf numFmtId="0" fontId="32" fillId="0" borderId="0"/>
    <xf numFmtId="0" fontId="59" fillId="0" borderId="0"/>
    <xf numFmtId="174" fontId="36" fillId="0" borderId="0">
      <protection locked="0"/>
    </xf>
    <xf numFmtId="174" fontId="36" fillId="0" borderId="0">
      <protection locked="0"/>
    </xf>
    <xf numFmtId="174" fontId="36" fillId="0" borderId="0">
      <protection locked="0"/>
    </xf>
    <xf numFmtId="174" fontId="36" fillId="0" borderId="0">
      <protection locked="0"/>
    </xf>
    <xf numFmtId="174" fontId="36" fillId="0" borderId="0">
      <protection locked="0"/>
    </xf>
    <xf numFmtId="174" fontId="36" fillId="0" borderId="0">
      <protection locked="0"/>
    </xf>
    <xf numFmtId="174" fontId="36" fillId="0" borderId="0">
      <protection locked="0"/>
    </xf>
    <xf numFmtId="174" fontId="36" fillId="0" borderId="0">
      <protection locked="0"/>
    </xf>
    <xf numFmtId="174" fontId="36" fillId="0" borderId="0">
      <protection locked="0"/>
    </xf>
    <xf numFmtId="174" fontId="36" fillId="0" borderId="0">
      <protection locked="0"/>
    </xf>
    <xf numFmtId="174" fontId="53" fillId="0" borderId="0">
      <protection locked="0"/>
    </xf>
    <xf numFmtId="174" fontId="36" fillId="0" borderId="0">
      <protection locked="0"/>
    </xf>
    <xf numFmtId="174" fontId="36" fillId="0" borderId="0">
      <protection locked="0"/>
    </xf>
    <xf numFmtId="174" fontId="36" fillId="0" borderId="0">
      <protection locked="0"/>
    </xf>
    <xf numFmtId="174" fontId="36" fillId="0" borderId="0">
      <protection locked="0"/>
    </xf>
    <xf numFmtId="174" fontId="36" fillId="0" borderId="0">
      <protection locked="0"/>
    </xf>
    <xf numFmtId="174" fontId="36" fillId="0" borderId="0">
      <protection locked="0"/>
    </xf>
    <xf numFmtId="174" fontId="36" fillId="0" borderId="0">
      <protection locked="0"/>
    </xf>
    <xf numFmtId="174" fontId="36" fillId="0" borderId="0">
      <protection locked="0"/>
    </xf>
    <xf numFmtId="174" fontId="36" fillId="0" borderId="0">
      <protection locked="0"/>
    </xf>
    <xf numFmtId="174" fontId="36" fillId="0" borderId="0">
      <protection locked="0"/>
    </xf>
    <xf numFmtId="174" fontId="53" fillId="0" borderId="0">
      <protection locked="0"/>
    </xf>
    <xf numFmtId="174" fontId="53" fillId="0" borderId="0">
      <protection locked="0"/>
    </xf>
    <xf numFmtId="174" fontId="36" fillId="0" borderId="0">
      <protection locked="0"/>
    </xf>
    <xf numFmtId="174" fontId="36" fillId="0" borderId="0">
      <protection locked="0"/>
    </xf>
    <xf numFmtId="174" fontId="36" fillId="0" borderId="0">
      <protection locked="0"/>
    </xf>
    <xf numFmtId="174" fontId="36" fillId="0" borderId="0">
      <protection locked="0"/>
    </xf>
    <xf numFmtId="174" fontId="36" fillId="0" borderId="0">
      <protection locked="0"/>
    </xf>
    <xf numFmtId="174" fontId="36" fillId="0" borderId="0">
      <protection locked="0"/>
    </xf>
    <xf numFmtId="174" fontId="36" fillId="0" borderId="0">
      <protection locked="0"/>
    </xf>
    <xf numFmtId="174" fontId="36" fillId="0" borderId="0">
      <protection locked="0"/>
    </xf>
    <xf numFmtId="174" fontId="36" fillId="0" borderId="0">
      <protection locked="0"/>
    </xf>
    <xf numFmtId="174" fontId="36" fillId="0" borderId="0">
      <protection locked="0"/>
    </xf>
    <xf numFmtId="174" fontId="53" fillId="0" borderId="0">
      <protection locked="0"/>
    </xf>
    <xf numFmtId="174" fontId="36" fillId="0" borderId="0">
      <protection locked="0"/>
    </xf>
    <xf numFmtId="174" fontId="36" fillId="0" borderId="0">
      <protection locked="0"/>
    </xf>
    <xf numFmtId="174" fontId="36" fillId="0" borderId="0">
      <protection locked="0"/>
    </xf>
    <xf numFmtId="174" fontId="36" fillId="0" borderId="0">
      <protection locked="0"/>
    </xf>
    <xf numFmtId="174" fontId="36" fillId="0" borderId="0">
      <protection locked="0"/>
    </xf>
    <xf numFmtId="174" fontId="53" fillId="0" borderId="0">
      <protection locked="0"/>
    </xf>
    <xf numFmtId="174" fontId="53" fillId="0" borderId="0">
      <protection locked="0"/>
    </xf>
    <xf numFmtId="0" fontId="117" fillId="0" borderId="0"/>
    <xf numFmtId="222" fontId="8" fillId="0" borderId="31"/>
    <xf numFmtId="37" fontId="105" fillId="0" borderId="0"/>
    <xf numFmtId="40" fontId="136" fillId="0" borderId="5" applyFont="0" applyFill="0" applyBorder="0" applyAlignment="0" applyProtection="0">
      <alignment vertical="top" wrapText="1"/>
      <protection locked="0"/>
    </xf>
    <xf numFmtId="0" fontId="50" fillId="0" borderId="0" applyNumberFormat="0">
      <alignment horizontal="right"/>
    </xf>
    <xf numFmtId="0" fontId="51" fillId="0" borderId="0" applyNumberFormat="0">
      <alignment horizontal="right"/>
    </xf>
    <xf numFmtId="0" fontId="50" fillId="0" borderId="0" applyNumberFormat="0">
      <alignment horizontal="right"/>
    </xf>
    <xf numFmtId="0" fontId="137" fillId="0" borderId="0" applyNumberFormat="0" applyFill="0" applyBorder="0" applyAlignment="0" applyProtection="0"/>
    <xf numFmtId="0" fontId="5" fillId="0" borderId="32" applyNumberFormat="0" applyFill="0" applyAlignment="0" applyProtection="0"/>
    <xf numFmtId="223" fontId="5" fillId="0" borderId="0" applyFont="0" applyFill="0" applyBorder="0" applyAlignment="0" applyProtection="0"/>
    <xf numFmtId="223" fontId="5" fillId="0" borderId="0" applyFont="0" applyFill="0" applyBorder="0" applyAlignment="0" applyProtection="0"/>
    <xf numFmtId="0" fontId="138" fillId="0" borderId="0" applyNumberFormat="0" applyFill="0" applyBorder="0" applyAlignment="0" applyProtection="0"/>
    <xf numFmtId="0" fontId="139" fillId="0" borderId="0" applyNumberFormat="0" applyFill="0" applyBorder="0" applyAlignment="0" applyProtection="0">
      <alignment vertical="top"/>
      <protection locked="0"/>
    </xf>
    <xf numFmtId="0" fontId="33" fillId="50" borderId="18" applyNumberFormat="0" applyAlignment="0" applyProtection="0"/>
    <xf numFmtId="0" fontId="29" fillId="38" borderId="11" applyNumberFormat="0" applyAlignment="0" applyProtection="0"/>
    <xf numFmtId="0" fontId="24" fillId="0" borderId="33" applyNumberFormat="0" applyFill="0" applyAlignment="0" applyProtection="0"/>
    <xf numFmtId="224" fontId="79" fillId="0" borderId="34" applyFont="0" applyFill="0" applyBorder="0" applyProtection="0">
      <alignment horizontal="center" vertical="top" wrapText="1" readingOrder="2"/>
    </xf>
    <xf numFmtId="0" fontId="20" fillId="55" borderId="0" applyNumberFormat="0" applyBorder="0" applyAlignment="0" applyProtection="0"/>
    <xf numFmtId="0" fontId="20" fillId="43" borderId="0" applyNumberFormat="0" applyBorder="0" applyAlignment="0" applyProtection="0"/>
    <xf numFmtId="0" fontId="20" fillId="37" borderId="0" applyNumberFormat="0" applyBorder="0" applyAlignment="0" applyProtection="0"/>
    <xf numFmtId="0" fontId="20" fillId="56" borderId="0" applyNumberFormat="0" applyBorder="0" applyAlignment="0" applyProtection="0"/>
    <xf numFmtId="0" fontId="20" fillId="41" borderId="0" applyNumberFormat="0" applyBorder="0" applyAlignment="0" applyProtection="0"/>
    <xf numFmtId="0" fontId="20" fillId="45" borderId="0" applyNumberFormat="0" applyBorder="0" applyAlignment="0" applyProtection="0"/>
    <xf numFmtId="0" fontId="25" fillId="31" borderId="0" applyNumberFormat="0" applyBorder="0" applyAlignment="0" applyProtection="0"/>
    <xf numFmtId="0" fontId="140" fillId="50" borderId="11" applyNumberFormat="0" applyAlignment="0" applyProtection="0"/>
    <xf numFmtId="0" fontId="23" fillId="48" borderId="12" applyNumberFormat="0" applyAlignment="0" applyProtection="0"/>
    <xf numFmtId="0" fontId="35" fillId="0" borderId="35" applyNumberFormat="0" applyFill="0" applyAlignment="0" applyProtection="0"/>
    <xf numFmtId="0" fontId="141" fillId="30" borderId="0" applyNumberFormat="0" applyBorder="0" applyAlignment="0" applyProtection="0"/>
    <xf numFmtId="0" fontId="5" fillId="0" borderId="0"/>
    <xf numFmtId="225" fontId="5" fillId="0" borderId="0" applyFont="0" applyFill="0" applyBorder="0" applyAlignment="0" applyProtection="0"/>
    <xf numFmtId="225" fontId="5" fillId="0" borderId="0" applyFont="0" applyFill="0" applyBorder="0" applyAlignment="0" applyProtection="0"/>
    <xf numFmtId="226" fontId="5" fillId="0" borderId="0" applyFont="0" applyFill="0" applyBorder="0" applyAlignment="0" applyProtection="0"/>
    <xf numFmtId="0" fontId="34" fillId="0" borderId="0" applyNumberFormat="0" applyFill="0" applyBorder="0" applyAlignment="0" applyProtection="0"/>
    <xf numFmtId="0" fontId="26" fillId="0" borderId="36" applyNumberFormat="0" applyFill="0" applyAlignment="0" applyProtection="0"/>
    <xf numFmtId="0" fontId="27" fillId="0" borderId="37" applyNumberFormat="0" applyFill="0" applyAlignment="0" applyProtection="0"/>
    <xf numFmtId="0" fontId="28" fillId="0" borderId="38" applyNumberFormat="0" applyFill="0" applyAlignment="0" applyProtection="0"/>
    <xf numFmtId="0" fontId="28" fillId="0" borderId="0" applyNumberFormat="0" applyFill="0" applyBorder="0" applyAlignment="0" applyProtection="0"/>
    <xf numFmtId="168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0" fontId="142" fillId="38" borderId="0" applyNumberFormat="0" applyBorder="0" applyAlignment="0" applyProtection="0"/>
    <xf numFmtId="0" fontId="143" fillId="35" borderId="17" applyNumberFormat="0" applyFont="0" applyAlignment="0" applyProtection="0"/>
    <xf numFmtId="0" fontId="35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32" fillId="0" borderId="0"/>
    <xf numFmtId="164" fontId="145" fillId="0" borderId="0" applyFont="0" applyFill="0" applyBorder="0" applyAlignment="0" applyProtection="0"/>
    <xf numFmtId="165" fontId="145" fillId="0" borderId="0" applyFont="0" applyFill="0" applyBorder="0" applyAlignment="0" applyProtection="0"/>
    <xf numFmtId="0" fontId="55" fillId="0" borderId="0"/>
    <xf numFmtId="2" fontId="146" fillId="0" borderId="39">
      <protection locked="0"/>
    </xf>
    <xf numFmtId="1" fontId="146" fillId="0" borderId="39">
      <protection locked="0"/>
    </xf>
    <xf numFmtId="227" fontId="146" fillId="0" borderId="39">
      <alignment horizontal="right"/>
    </xf>
    <xf numFmtId="0" fontId="147" fillId="0" borderId="0" applyNumberFormat="0" applyFill="0" applyBorder="0" applyAlignment="0" applyProtection="0"/>
    <xf numFmtId="168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38" fontId="57" fillId="0" borderId="0" applyFont="0" applyFill="0" applyBorder="0" applyAlignment="0" applyProtection="0"/>
    <xf numFmtId="40" fontId="57" fillId="0" borderId="0" applyFont="0" applyFill="0" applyBorder="0" applyAlignment="0" applyProtection="0"/>
    <xf numFmtId="49" fontId="146" fillId="0" borderId="39">
      <alignment horizontal="center"/>
      <protection locked="0"/>
    </xf>
    <xf numFmtId="0" fontId="146" fillId="0" borderId="39">
      <protection locked="0"/>
    </xf>
    <xf numFmtId="0" fontId="148" fillId="29" borderId="0" applyNumberFormat="0" applyBorder="0" applyAlignment="0" applyProtection="0">
      <alignment vertical="center"/>
    </xf>
    <xf numFmtId="49" fontId="146" fillId="0" borderId="39">
      <alignment horizontal="left"/>
      <protection locked="0"/>
    </xf>
    <xf numFmtId="0" fontId="149" fillId="28" borderId="0" applyNumberFormat="0" applyBorder="0" applyAlignment="0" applyProtection="0">
      <alignment vertical="center"/>
    </xf>
    <xf numFmtId="0" fontId="150" fillId="0" borderId="0"/>
    <xf numFmtId="49" fontId="146" fillId="0" borderId="40">
      <alignment horizontal="center"/>
      <protection locked="0"/>
    </xf>
    <xf numFmtId="0" fontId="146" fillId="0" borderId="39">
      <alignment horizontal="center"/>
      <protection locked="0"/>
    </xf>
    <xf numFmtId="0" fontId="151" fillId="0" borderId="0"/>
    <xf numFmtId="0" fontId="152" fillId="0" borderId="0"/>
    <xf numFmtId="0" fontId="153" fillId="0" borderId="0"/>
    <xf numFmtId="0" fontId="79" fillId="0" borderId="0">
      <alignment vertical="center"/>
    </xf>
    <xf numFmtId="10" fontId="18" fillId="0" borderId="3"/>
    <xf numFmtId="49" fontId="18" fillId="0" borderId="3"/>
    <xf numFmtId="0" fontId="154" fillId="0" borderId="0" applyNumberFormat="0" applyFill="0" applyBorder="0" applyAlignment="0" applyProtection="0">
      <alignment vertical="top"/>
      <protection locked="0"/>
    </xf>
    <xf numFmtId="0" fontId="155" fillId="0" borderId="0" applyFont="0" applyFill="0" applyBorder="0" applyAlignment="0" applyProtection="0"/>
    <xf numFmtId="0" fontId="155" fillId="0" borderId="0" applyFont="0" applyFill="0" applyBorder="0" applyAlignment="0" applyProtection="0"/>
    <xf numFmtId="2" fontId="146" fillId="0" borderId="39">
      <protection locked="0"/>
    </xf>
    <xf numFmtId="170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4" fillId="0" borderId="0" applyFont="0" applyFill="0" applyBorder="0" applyAlignment="0" applyProtection="0"/>
    <xf numFmtId="0" fontId="11" fillId="0" borderId="0"/>
    <xf numFmtId="9" fontId="1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1" fontId="5" fillId="0" borderId="0">
      <protection locked="0"/>
    </xf>
    <xf numFmtId="43" fontId="14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41" fontId="64" fillId="1" borderId="1" applyFont="0" applyFill="0" applyBorder="0" applyAlignment="0" applyProtection="0">
      <alignment horizontal="right"/>
    </xf>
    <xf numFmtId="43" fontId="2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65" fillId="0" borderId="0" applyFont="0" applyFill="0" applyBorder="0" applyAlignment="0" applyProtection="0"/>
    <xf numFmtId="43" fontId="6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5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9" fillId="0" borderId="0" applyFont="0" applyFill="0" applyBorder="0" applyAlignment="0" applyProtection="0"/>
    <xf numFmtId="9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0" borderId="0"/>
    <xf numFmtId="43" fontId="11" fillId="0" borderId="0" applyFont="0" applyFill="0" applyBorder="0" applyAlignment="0" applyProtection="0"/>
    <xf numFmtId="0" fontId="11" fillId="0" borderId="0"/>
    <xf numFmtId="43" fontId="11" fillId="0" borderId="0" applyFont="0" applyFill="0" applyBorder="0" applyAlignment="0" applyProtection="0"/>
    <xf numFmtId="0" fontId="11" fillId="0" borderId="0"/>
    <xf numFmtId="43" fontId="11" fillId="0" borderId="0" applyFont="0" applyFill="0" applyBorder="0" applyAlignment="0" applyProtection="0"/>
    <xf numFmtId="0" fontId="11" fillId="0" borderId="0"/>
    <xf numFmtId="43" fontId="11" fillId="0" borderId="0" applyFont="0" applyFill="0" applyBorder="0" applyAlignment="0" applyProtection="0"/>
    <xf numFmtId="0" fontId="11" fillId="0" borderId="0"/>
    <xf numFmtId="43" fontId="11" fillId="0" borderId="0" applyFont="0" applyFill="0" applyBorder="0" applyAlignment="0" applyProtection="0"/>
    <xf numFmtId="0" fontId="11" fillId="0" borderId="0"/>
    <xf numFmtId="43" fontId="11" fillId="0" borderId="0" applyFont="0" applyFill="0" applyBorder="0" applyAlignment="0" applyProtection="0"/>
    <xf numFmtId="0" fontId="11" fillId="0" borderId="0"/>
    <xf numFmtId="43" fontId="11" fillId="0" borderId="0" applyFont="0" applyFill="0" applyBorder="0" applyAlignment="0" applyProtection="0"/>
    <xf numFmtId="0" fontId="11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170" fontId="5" fillId="0" borderId="0" applyFont="0" applyFill="0" applyBorder="0" applyAlignment="0" applyProtection="0"/>
    <xf numFmtId="0" fontId="5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220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70" fontId="19" fillId="0" borderId="0" applyFont="0" applyFill="0" applyBorder="0" applyAlignment="0" applyProtection="0"/>
    <xf numFmtId="0" fontId="125" fillId="0" borderId="0"/>
    <xf numFmtId="202" fontId="11" fillId="0" borderId="0" applyFont="0" applyFill="0" applyBorder="0" applyAlignment="0" applyProtection="0"/>
    <xf numFmtId="202" fontId="11" fillId="0" borderId="0" applyFont="0" applyFill="0" applyBorder="0" applyAlignment="0" applyProtection="0"/>
    <xf numFmtId="0" fontId="14" fillId="0" borderId="0"/>
    <xf numFmtId="173" fontId="19" fillId="0" borderId="0" applyFont="0" applyFill="0" applyBorder="0" applyAlignment="0" applyProtection="0"/>
    <xf numFmtId="0" fontId="125" fillId="0" borderId="0"/>
    <xf numFmtId="0" fontId="125" fillId="0" borderId="0"/>
    <xf numFmtId="43" fontId="65" fillId="0" borderId="0" applyFont="0" applyFill="0" applyBorder="0" applyAlignment="0" applyProtection="0"/>
    <xf numFmtId="0" fontId="125" fillId="0" borderId="0"/>
    <xf numFmtId="0" fontId="125" fillId="0" borderId="0"/>
    <xf numFmtId="166" fontId="11" fillId="0" borderId="0" applyFont="0" applyFill="0" applyBorder="0" applyAlignment="0" applyProtection="0"/>
    <xf numFmtId="0" fontId="125" fillId="0" borderId="0"/>
    <xf numFmtId="0" fontId="5" fillId="0" borderId="0"/>
    <xf numFmtId="0" fontId="5" fillId="0" borderId="0"/>
    <xf numFmtId="170" fontId="19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28" fillId="0" borderId="0"/>
    <xf numFmtId="166" fontId="11" fillId="0" borderId="0" applyFont="0" applyFill="0" applyBorder="0" applyAlignment="0" applyProtection="0"/>
    <xf numFmtId="0" fontId="125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70" fontId="19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5" fillId="0" borderId="0"/>
    <xf numFmtId="170" fontId="19" fillId="0" borderId="0" applyFont="0" applyFill="0" applyBorder="0" applyAlignment="0" applyProtection="0"/>
    <xf numFmtId="0" fontId="125" fillId="0" borderId="0"/>
    <xf numFmtId="202" fontId="11" fillId="0" borderId="0" applyFont="0" applyFill="0" applyBorder="0" applyAlignment="0" applyProtection="0"/>
    <xf numFmtId="173" fontId="19" fillId="0" borderId="0" applyFont="0" applyFill="0" applyBorder="0" applyAlignment="0" applyProtection="0"/>
    <xf numFmtId="194" fontId="5" fillId="0" borderId="0" applyFont="0" applyFill="0" applyBorder="0" applyAlignment="0" applyProtection="0"/>
    <xf numFmtId="166" fontId="11" fillId="0" borderId="0" applyFont="0" applyFill="0" applyBorder="0" applyAlignment="0" applyProtection="0"/>
    <xf numFmtId="43" fontId="65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11" fillId="0" borderId="0"/>
    <xf numFmtId="0" fontId="125" fillId="0" borderId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125" fillId="0" borderId="0"/>
    <xf numFmtId="202" fontId="11" fillId="0" borderId="0" applyFont="0" applyFill="0" applyBorder="0" applyAlignment="0" applyProtection="0"/>
    <xf numFmtId="173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0" fontId="125" fillId="0" borderId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170" fontId="19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125" fillId="0" borderId="0"/>
    <xf numFmtId="173" fontId="19" fillId="0" borderId="0" applyFont="0" applyFill="0" applyBorder="0" applyAlignment="0" applyProtection="0"/>
    <xf numFmtId="165" fontId="11" fillId="0" borderId="0" applyFont="0" applyFill="0" applyBorder="0" applyAlignment="0" applyProtection="0"/>
    <xf numFmtId="170" fontId="19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5" fillId="0" borderId="0"/>
    <xf numFmtId="166" fontId="11" fillId="0" borderId="0" applyFont="0" applyFill="0" applyBorder="0" applyAlignment="0" applyProtection="0"/>
    <xf numFmtId="0" fontId="125" fillId="0" borderId="0"/>
    <xf numFmtId="0" fontId="5" fillId="0" borderId="0"/>
    <xf numFmtId="170" fontId="19" fillId="0" borderId="0" applyFont="0" applyFill="0" applyBorder="0" applyAlignment="0" applyProtection="0"/>
    <xf numFmtId="220" fontId="11" fillId="0" borderId="0" applyFont="0" applyFill="0" applyBorder="0" applyAlignment="0" applyProtection="0"/>
    <xf numFmtId="220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125" fillId="0" borderId="0"/>
    <xf numFmtId="166" fontId="11" fillId="0" borderId="0" applyFont="0" applyFill="0" applyBorder="0" applyAlignment="0" applyProtection="0"/>
    <xf numFmtId="170" fontId="19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66" fontId="11" fillId="0" borderId="0" applyFont="0" applyFill="0" applyBorder="0" applyAlignment="0" applyProtection="0"/>
    <xf numFmtId="170" fontId="19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70" fontId="19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5" fillId="0" borderId="0"/>
    <xf numFmtId="0" fontId="125" fillId="0" borderId="0"/>
    <xf numFmtId="0" fontId="125" fillId="0" borderId="0"/>
    <xf numFmtId="173" fontId="19" fillId="0" borderId="0" applyFont="0" applyFill="0" applyBorder="0" applyAlignment="0" applyProtection="0"/>
    <xf numFmtId="0" fontId="125" fillId="0" borderId="0"/>
    <xf numFmtId="165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07" fillId="0" borderId="0" applyNumberFormat="0" applyFill="0" applyBorder="0" applyAlignment="0" applyProtection="0">
      <alignment vertical="top"/>
      <protection locked="0"/>
    </xf>
    <xf numFmtId="0" fontId="5" fillId="0" borderId="0"/>
    <xf numFmtId="170" fontId="5" fillId="0" borderId="0" applyFont="0" applyFill="0" applyBorder="0" applyAlignment="0" applyProtection="0"/>
    <xf numFmtId="0" fontId="5" fillId="0" borderId="0"/>
    <xf numFmtId="0" fontId="5" fillId="0" borderId="0"/>
    <xf numFmtId="170" fontId="5" fillId="0" borderId="0" applyFont="0" applyFill="0" applyBorder="0" applyAlignment="0" applyProtection="0"/>
    <xf numFmtId="0" fontId="5" fillId="0" borderId="0"/>
    <xf numFmtId="0" fontId="5" fillId="0" borderId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0" fontId="5" fillId="0" borderId="0"/>
    <xf numFmtId="0" fontId="5" fillId="0" borderId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14" fillId="0" borderId="0" applyFont="0" applyFill="0" applyBorder="0" applyAlignment="0" applyProtection="0"/>
    <xf numFmtId="0" fontId="11" fillId="0" borderId="0"/>
    <xf numFmtId="170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0" fontId="125" fillId="0" borderId="0"/>
    <xf numFmtId="173" fontId="19" fillId="0" borderId="0" applyFont="0" applyFill="0" applyBorder="0" applyAlignment="0" applyProtection="0"/>
    <xf numFmtId="202" fontId="11" fillId="0" borderId="0" applyFont="0" applyFill="0" applyBorder="0" applyAlignment="0" applyProtection="0"/>
    <xf numFmtId="173" fontId="19" fillId="0" borderId="0" applyFont="0" applyFill="0" applyBorder="0" applyAlignment="0" applyProtection="0"/>
    <xf numFmtId="202" fontId="11" fillId="0" borderId="0" applyFont="0" applyFill="0" applyBorder="0" applyAlignment="0" applyProtection="0"/>
    <xf numFmtId="202" fontId="11" fillId="0" borderId="0" applyFont="0" applyFill="0" applyBorder="0" applyAlignment="0" applyProtection="0"/>
    <xf numFmtId="173" fontId="19" fillId="0" borderId="0" applyFont="0" applyFill="0" applyBorder="0" applyAlignment="0" applyProtection="0"/>
    <xf numFmtId="0" fontId="60" fillId="0" borderId="0"/>
    <xf numFmtId="165" fontId="11" fillId="0" borderId="0" applyFont="0" applyFill="0" applyBorder="0" applyAlignment="0" applyProtection="0"/>
    <xf numFmtId="0" fontId="5" fillId="0" borderId="0"/>
    <xf numFmtId="166" fontId="11" fillId="0" borderId="0" applyFont="0" applyFill="0" applyBorder="0" applyAlignment="0" applyProtection="0"/>
    <xf numFmtId="170" fontId="19" fillId="0" borderId="0" applyFont="0" applyFill="0" applyBorder="0" applyAlignment="0" applyProtection="0"/>
    <xf numFmtId="0" fontId="125" fillId="0" borderId="0"/>
    <xf numFmtId="0" fontId="125" fillId="0" borderId="0"/>
    <xf numFmtId="0" fontId="125" fillId="0" borderId="0"/>
    <xf numFmtId="0" fontId="125" fillId="0" borderId="0"/>
    <xf numFmtId="220" fontId="11" fillId="0" borderId="0" applyFont="0" applyFill="0" applyBorder="0" applyAlignment="0" applyProtection="0"/>
    <xf numFmtId="0" fontId="5" fillId="0" borderId="0"/>
    <xf numFmtId="0" fontId="125" fillId="0" borderId="0"/>
    <xf numFmtId="166" fontId="11" fillId="0" borderId="0" applyFont="0" applyFill="0" applyBorder="0" applyAlignment="0" applyProtection="0"/>
    <xf numFmtId="0" fontId="5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25" fillId="0" borderId="0"/>
    <xf numFmtId="0" fontId="5" fillId="0" borderId="0"/>
    <xf numFmtId="166" fontId="11" fillId="0" borderId="0" applyFont="0" applyFill="0" applyBorder="0" applyAlignment="0" applyProtection="0"/>
    <xf numFmtId="0" fontId="5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125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70" fontId="19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5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0" fontId="5" fillId="0" borderId="0"/>
    <xf numFmtId="166" fontId="11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0" fontId="5" fillId="0" borderId="0"/>
    <xf numFmtId="0" fontId="125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70" fontId="19" fillId="0" borderId="0" applyFont="0" applyFill="0" applyBorder="0" applyAlignment="0" applyProtection="0"/>
    <xf numFmtId="0" fontId="125" fillId="0" borderId="0"/>
    <xf numFmtId="165" fontId="11" fillId="0" borderId="0" applyFont="0" applyFill="0" applyBorder="0" applyAlignment="0" applyProtection="0"/>
    <xf numFmtId="0" fontId="5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70" fontId="19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125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70" fontId="19" fillId="0" borderId="0" applyFont="0" applyFill="0" applyBorder="0" applyAlignment="0" applyProtection="0"/>
    <xf numFmtId="0" fontId="125" fillId="0" borderId="0"/>
    <xf numFmtId="0" fontId="5" fillId="0" borderId="0"/>
    <xf numFmtId="0" fontId="125" fillId="0" borderId="0"/>
    <xf numFmtId="170" fontId="19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25" fillId="0" borderId="0"/>
    <xf numFmtId="0" fontId="5" fillId="0" borderId="0"/>
    <xf numFmtId="0" fontId="125" fillId="0" borderId="0"/>
    <xf numFmtId="0" fontId="5" fillId="0" borderId="0"/>
    <xf numFmtId="0" fontId="125" fillId="0" borderId="0"/>
    <xf numFmtId="170" fontId="19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25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5" fillId="0" borderId="0"/>
    <xf numFmtId="166" fontId="11" fillId="0" borderId="0" applyFont="0" applyFill="0" applyBorder="0" applyAlignment="0" applyProtection="0"/>
    <xf numFmtId="0" fontId="125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70" fontId="19" fillId="0" borderId="0" applyFont="0" applyFill="0" applyBorder="0" applyAlignment="0" applyProtection="0"/>
    <xf numFmtId="0" fontId="125" fillId="0" borderId="0"/>
    <xf numFmtId="0" fontId="5" fillId="0" borderId="0"/>
    <xf numFmtId="0" fontId="125" fillId="0" borderId="0"/>
    <xf numFmtId="0" fontId="125" fillId="0" borderId="0"/>
    <xf numFmtId="0" fontId="5" fillId="0" borderId="0"/>
    <xf numFmtId="0" fontId="125" fillId="0" borderId="0"/>
    <xf numFmtId="170" fontId="19" fillId="0" borderId="0" applyFont="0" applyFill="0" applyBorder="0" applyAlignment="0" applyProtection="0"/>
    <xf numFmtId="0" fontId="125" fillId="0" borderId="0"/>
    <xf numFmtId="220" fontId="11" fillId="0" borderId="0" applyFont="0" applyFill="0" applyBorder="0" applyAlignment="0" applyProtection="0"/>
    <xf numFmtId="220" fontId="11" fillId="0" borderId="0" applyFont="0" applyFill="0" applyBorder="0" applyAlignment="0" applyProtection="0"/>
    <xf numFmtId="220" fontId="11" fillId="0" borderId="0" applyFont="0" applyFill="0" applyBorder="0" applyAlignment="0" applyProtection="0"/>
    <xf numFmtId="220" fontId="11" fillId="0" borderId="0" applyFont="0" applyFill="0" applyBorder="0" applyAlignment="0" applyProtection="0"/>
    <xf numFmtId="220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70" fontId="19" fillId="0" borderId="0" applyFont="0" applyFill="0" applyBorder="0" applyAlignment="0" applyProtection="0"/>
    <xf numFmtId="0" fontId="125" fillId="0" borderId="0"/>
    <xf numFmtId="0" fontId="5" fillId="0" borderId="0"/>
    <xf numFmtId="170" fontId="19" fillId="0" borderId="0" applyFont="0" applyFill="0" applyBorder="0" applyAlignment="0" applyProtection="0"/>
    <xf numFmtId="0" fontId="125" fillId="0" borderId="0"/>
    <xf numFmtId="0" fontId="125" fillId="0" borderId="0"/>
    <xf numFmtId="0" fontId="5" fillId="0" borderId="0"/>
    <xf numFmtId="0" fontId="125" fillId="0" borderId="0"/>
    <xf numFmtId="170" fontId="19" fillId="0" borderId="0" applyFont="0" applyFill="0" applyBorder="0" applyAlignment="0" applyProtection="0"/>
    <xf numFmtId="0" fontId="11" fillId="0" borderId="0"/>
    <xf numFmtId="0" fontId="5" fillId="0" borderId="0"/>
    <xf numFmtId="170" fontId="19" fillId="0" borderId="0" applyFont="0" applyFill="0" applyBorder="0" applyAlignment="0" applyProtection="0"/>
    <xf numFmtId="173" fontId="19" fillId="0" borderId="0" applyFont="0" applyFill="0" applyBorder="0" applyAlignment="0" applyProtection="0"/>
    <xf numFmtId="173" fontId="19" fillId="0" borderId="0" applyFont="0" applyFill="0" applyBorder="0" applyAlignment="0" applyProtection="0"/>
    <xf numFmtId="173" fontId="19" fillId="0" borderId="0" applyFont="0" applyFill="0" applyBorder="0" applyAlignment="0" applyProtection="0"/>
    <xf numFmtId="173" fontId="19" fillId="0" borderId="0" applyFont="0" applyFill="0" applyBorder="0" applyAlignment="0" applyProtection="0"/>
    <xf numFmtId="173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0" fontId="11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70" fontId="19" fillId="0" borderId="0" applyFont="0" applyFill="0" applyBorder="0" applyAlignment="0" applyProtection="0"/>
    <xf numFmtId="165" fontId="11" fillId="0" borderId="0" applyFont="0" applyFill="0" applyBorder="0" applyAlignment="0" applyProtection="0"/>
    <xf numFmtId="43" fontId="65" fillId="0" borderId="0" applyFont="0" applyFill="0" applyBorder="0" applyAlignment="0" applyProtection="0"/>
    <xf numFmtId="0" fontId="11" fillId="0" borderId="0"/>
    <xf numFmtId="0" fontId="125" fillId="0" borderId="0"/>
    <xf numFmtId="0" fontId="125" fillId="0" borderId="0"/>
    <xf numFmtId="0" fontId="11" fillId="0" borderId="0"/>
    <xf numFmtId="194" fontId="5" fillId="0" borderId="0" applyFont="0" applyFill="0" applyBorder="0" applyAlignment="0" applyProtection="0"/>
    <xf numFmtId="0" fontId="14" fillId="0" borderId="0"/>
    <xf numFmtId="173" fontId="19" fillId="0" borderId="0" applyFont="0" applyFill="0" applyBorder="0" applyAlignment="0" applyProtection="0"/>
    <xf numFmtId="0" fontId="11" fillId="0" borderId="0"/>
    <xf numFmtId="173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0" fontId="11" fillId="0" borderId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94" fontId="5" fillId="0" borderId="0" applyFont="0" applyFill="0" applyBorder="0" applyAlignment="0" applyProtection="0"/>
    <xf numFmtId="173" fontId="19" fillId="0" borderId="0" applyFont="0" applyFill="0" applyBorder="0" applyAlignment="0" applyProtection="0"/>
    <xf numFmtId="0" fontId="11" fillId="0" borderId="0"/>
    <xf numFmtId="0" fontId="125" fillId="0" borderId="0"/>
    <xf numFmtId="166" fontId="11" fillId="0" borderId="0" applyFont="0" applyFill="0" applyBorder="0" applyAlignment="0" applyProtection="0"/>
    <xf numFmtId="0" fontId="14" fillId="0" borderId="0"/>
    <xf numFmtId="0" fontId="5" fillId="0" borderId="0"/>
    <xf numFmtId="166" fontId="11" fillId="0" borderId="0" applyFont="0" applyFill="0" applyBorder="0" applyAlignment="0" applyProtection="0"/>
    <xf numFmtId="173" fontId="19" fillId="0" borderId="0" applyFont="0" applyFill="0" applyBorder="0" applyAlignment="0" applyProtection="0"/>
    <xf numFmtId="173" fontId="19" fillId="0" borderId="0" applyFont="0" applyFill="0" applyBorder="0" applyAlignment="0" applyProtection="0"/>
    <xf numFmtId="0" fontId="14" fillId="0" borderId="0"/>
    <xf numFmtId="0" fontId="5" fillId="0" borderId="0"/>
    <xf numFmtId="170" fontId="19" fillId="0" borderId="0" applyFont="0" applyFill="0" applyBorder="0" applyAlignment="0" applyProtection="0"/>
    <xf numFmtId="194" fontId="5" fillId="0" borderId="0" applyFont="0" applyFill="0" applyBorder="0" applyAlignment="0" applyProtection="0"/>
    <xf numFmtId="170" fontId="19" fillId="0" borderId="0" applyFont="0" applyFill="0" applyBorder="0" applyAlignment="0" applyProtection="0"/>
    <xf numFmtId="173" fontId="19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5" fillId="0" borderId="0"/>
    <xf numFmtId="0" fontId="11" fillId="0" borderId="0"/>
    <xf numFmtId="194" fontId="5" fillId="0" borderId="0" applyFont="0" applyFill="0" applyBorder="0" applyAlignment="0" applyProtection="0"/>
    <xf numFmtId="43" fontId="65" fillId="0" borderId="0" applyFont="0" applyFill="0" applyBorder="0" applyAlignment="0" applyProtection="0"/>
    <xf numFmtId="0" fontId="125" fillId="0" borderId="0"/>
    <xf numFmtId="194" fontId="5" fillId="0" borderId="0" applyFont="0" applyFill="0" applyBorder="0" applyAlignment="0" applyProtection="0"/>
    <xf numFmtId="0" fontId="11" fillId="0" borderId="0"/>
    <xf numFmtId="0" fontId="5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43" fontId="65" fillId="0" borderId="0" applyFont="0" applyFill="0" applyBorder="0" applyAlignment="0" applyProtection="0"/>
    <xf numFmtId="0" fontId="125" fillId="0" borderId="0"/>
    <xf numFmtId="166" fontId="11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125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25" fillId="0" borderId="0"/>
    <xf numFmtId="0" fontId="125" fillId="0" borderId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43" fontId="65" fillId="0" borderId="0" applyFont="0" applyFill="0" applyBorder="0" applyAlignment="0" applyProtection="0"/>
    <xf numFmtId="0" fontId="125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70" fontId="19" fillId="0" borderId="0" applyFont="0" applyFill="0" applyBorder="0" applyAlignment="0" applyProtection="0"/>
    <xf numFmtId="0" fontId="125" fillId="0" borderId="0"/>
    <xf numFmtId="170" fontId="19" fillId="0" borderId="0" applyFont="0" applyFill="0" applyBorder="0" applyAlignment="0" applyProtection="0"/>
    <xf numFmtId="0" fontId="125" fillId="0" borderId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125" fillId="0" borderId="0"/>
    <xf numFmtId="173" fontId="19" fillId="0" borderId="0" applyFont="0" applyFill="0" applyBorder="0" applyAlignment="0" applyProtection="0"/>
    <xf numFmtId="0" fontId="5" fillId="0" borderId="0"/>
    <xf numFmtId="9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27" fillId="0" borderId="0" applyFont="0" applyFill="0" applyBorder="0" applyAlignment="0" applyProtection="0"/>
    <xf numFmtId="0" fontId="165" fillId="0" borderId="0"/>
    <xf numFmtId="0" fontId="125" fillId="0" borderId="0"/>
    <xf numFmtId="170" fontId="5" fillId="0" borderId="0" applyFont="0" applyFill="0" applyBorder="0" applyAlignment="0" applyProtection="0"/>
    <xf numFmtId="170" fontId="11" fillId="0" borderId="0" applyFont="0" applyFill="0" applyBorder="0" applyAlignment="0" applyProtection="0"/>
    <xf numFmtId="202" fontId="11" fillId="0" borderId="0" applyFont="0" applyFill="0" applyBorder="0" applyAlignment="0" applyProtection="0"/>
    <xf numFmtId="173" fontId="19" fillId="0" borderId="0" applyFont="0" applyFill="0" applyBorder="0" applyAlignment="0" applyProtection="0"/>
    <xf numFmtId="202" fontId="11" fillId="0" borderId="0" applyFont="0" applyFill="0" applyBorder="0" applyAlignment="0" applyProtection="0"/>
    <xf numFmtId="0" fontId="5" fillId="0" borderId="0"/>
    <xf numFmtId="0" fontId="125" fillId="0" borderId="0"/>
    <xf numFmtId="165" fontId="11" fillId="0" borderId="0" applyFont="0" applyFill="0" applyBorder="0" applyAlignment="0" applyProtection="0"/>
    <xf numFmtId="170" fontId="19" fillId="0" borderId="0" applyFont="0" applyFill="0" applyBorder="0" applyAlignment="0" applyProtection="0"/>
    <xf numFmtId="0" fontId="125" fillId="0" borderId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25" fillId="0" borderId="0"/>
    <xf numFmtId="0" fontId="125" fillId="0" borderId="0"/>
    <xf numFmtId="0" fontId="5" fillId="0" borderId="0"/>
    <xf numFmtId="166" fontId="11" fillId="0" borderId="0" applyFont="0" applyFill="0" applyBorder="0" applyAlignment="0" applyProtection="0"/>
    <xf numFmtId="170" fontId="19" fillId="0" borderId="0" applyFont="0" applyFill="0" applyBorder="0" applyAlignment="0" applyProtection="0"/>
    <xf numFmtId="0" fontId="5" fillId="0" borderId="0"/>
    <xf numFmtId="0" fontId="125" fillId="0" borderId="0"/>
    <xf numFmtId="170" fontId="19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5" fillId="0" borderId="0"/>
    <xf numFmtId="166" fontId="11" fillId="0" borderId="0" applyFont="0" applyFill="0" applyBorder="0" applyAlignment="0" applyProtection="0"/>
    <xf numFmtId="0" fontId="125" fillId="0" borderId="0"/>
    <xf numFmtId="0" fontId="5" fillId="0" borderId="0"/>
    <xf numFmtId="220" fontId="11" fillId="0" borderId="0" applyFont="0" applyFill="0" applyBorder="0" applyAlignment="0" applyProtection="0"/>
    <xf numFmtId="220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43" fontId="65" fillId="0" borderId="0" applyFont="0" applyFill="0" applyBorder="0" applyAlignment="0" applyProtection="0"/>
    <xf numFmtId="170" fontId="19" fillId="0" borderId="0" applyFont="0" applyFill="0" applyBorder="0" applyAlignment="0" applyProtection="0"/>
    <xf numFmtId="165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0" fontId="125" fillId="0" borderId="0"/>
    <xf numFmtId="0" fontId="125" fillId="0" borderId="0"/>
    <xf numFmtId="165" fontId="11" fillId="0" borderId="0" applyFont="0" applyFill="0" applyBorder="0" applyAlignment="0" applyProtection="0"/>
    <xf numFmtId="170" fontId="19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1" fillId="0" borderId="0"/>
    <xf numFmtId="0" fontId="125" fillId="0" borderId="0"/>
    <xf numFmtId="0" fontId="125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70" fontId="19" fillId="0" borderId="0" applyFont="0" applyFill="0" applyBorder="0" applyAlignment="0" applyProtection="0"/>
    <xf numFmtId="173" fontId="19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73" fontId="19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70" fontId="5" fillId="0" borderId="0" applyFont="0" applyFill="0" applyBorder="0" applyAlignment="0" applyProtection="0"/>
    <xf numFmtId="0" fontId="11" fillId="0" borderId="0"/>
    <xf numFmtId="165" fontId="11" fillId="0" borderId="0" applyFont="0" applyFill="0" applyBorder="0" applyAlignment="0" applyProtection="0"/>
    <xf numFmtId="0" fontId="125" fillId="0" borderId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66" fontId="11" fillId="0" borderId="0" applyFont="0" applyFill="0" applyBorder="0" applyAlignment="0" applyProtection="0"/>
    <xf numFmtId="170" fontId="5" fillId="0" borderId="0" applyFont="0" applyFill="0" applyBorder="0" applyAlignment="0" applyProtection="0"/>
    <xf numFmtId="0" fontId="5" fillId="0" borderId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0" fontId="125" fillId="0" borderId="0"/>
    <xf numFmtId="170" fontId="19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5" fillId="0" borderId="0"/>
    <xf numFmtId="220" fontId="11" fillId="0" borderId="0" applyFont="0" applyFill="0" applyBorder="0" applyAlignment="0" applyProtection="0"/>
    <xf numFmtId="0" fontId="125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5" fillId="0" borderId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25" fillId="0" borderId="0"/>
    <xf numFmtId="0" fontId="125" fillId="0" borderId="0"/>
    <xf numFmtId="165" fontId="11" fillId="0" borderId="0" applyFont="0" applyFill="0" applyBorder="0" applyAlignment="0" applyProtection="0"/>
    <xf numFmtId="0" fontId="11" fillId="0" borderId="0"/>
    <xf numFmtId="43" fontId="11" fillId="0" borderId="0" applyFont="0" applyFill="0" applyBorder="0" applyAlignment="0" applyProtection="0"/>
    <xf numFmtId="0" fontId="11" fillId="0" borderId="0"/>
    <xf numFmtId="43" fontId="11" fillId="0" borderId="0" applyFont="0" applyFill="0" applyBorder="0" applyAlignment="0" applyProtection="0"/>
    <xf numFmtId="0" fontId="11" fillId="0" borderId="0"/>
    <xf numFmtId="43" fontId="11" fillId="0" borderId="0" applyFont="0" applyFill="0" applyBorder="0" applyAlignment="0" applyProtection="0"/>
    <xf numFmtId="170" fontId="5" fillId="0" borderId="0" applyFont="0" applyFill="0" applyBorder="0" applyAlignment="0" applyProtection="0"/>
    <xf numFmtId="0" fontId="163" fillId="0" borderId="0"/>
    <xf numFmtId="43" fontId="11" fillId="0" borderId="0" applyFont="0" applyFill="0" applyBorder="0" applyAlignment="0" applyProtection="0"/>
    <xf numFmtId="9" fontId="14" fillId="0" borderId="0" applyFont="0" applyFill="0" applyBorder="0" applyAlignment="0" applyProtection="0"/>
    <xf numFmtId="0" fontId="11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5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2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92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92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20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202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202" fontId="1" fillId="0" borderId="0" applyFont="0" applyFill="0" applyBorder="0" applyAlignment="0" applyProtection="0"/>
    <xf numFmtId="202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220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202" fontId="1" fillId="0" borderId="0" applyFont="0" applyFill="0" applyBorder="0" applyAlignment="0" applyProtection="0"/>
    <xf numFmtId="202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202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6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202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220" fontId="1" fillId="0" borderId="0" applyFont="0" applyFill="0" applyBorder="0" applyAlignment="0" applyProtection="0"/>
    <xf numFmtId="220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202" fontId="1" fillId="0" borderId="0" applyFont="0" applyFill="0" applyBorder="0" applyAlignment="0" applyProtection="0"/>
    <xf numFmtId="202" fontId="1" fillId="0" borderId="0" applyFont="0" applyFill="0" applyBorder="0" applyAlignment="0" applyProtection="0"/>
    <xf numFmtId="202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220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220" fontId="1" fillId="0" borderId="0" applyFont="0" applyFill="0" applyBorder="0" applyAlignment="0" applyProtection="0"/>
    <xf numFmtId="220" fontId="1" fillId="0" borderId="0" applyFont="0" applyFill="0" applyBorder="0" applyAlignment="0" applyProtection="0"/>
    <xf numFmtId="220" fontId="1" fillId="0" borderId="0" applyFont="0" applyFill="0" applyBorder="0" applyAlignment="0" applyProtection="0"/>
    <xf numFmtId="220" fontId="1" fillId="0" borderId="0" applyFont="0" applyFill="0" applyBorder="0" applyAlignment="0" applyProtection="0"/>
    <xf numFmtId="220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202" fontId="1" fillId="0" borderId="0" applyFont="0" applyFill="0" applyBorder="0" applyAlignment="0" applyProtection="0"/>
    <xf numFmtId="202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220" fontId="1" fillId="0" borderId="0" applyFont="0" applyFill="0" applyBorder="0" applyAlignment="0" applyProtection="0"/>
    <xf numFmtId="220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220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231" fontId="5" fillId="0" borderId="0"/>
    <xf numFmtId="0" fontId="79" fillId="0" borderId="0"/>
    <xf numFmtId="9" fontId="1" fillId="0" borderId="0" applyFont="0" applyFill="0" applyBorder="0" applyAlignment="0" applyProtection="0"/>
    <xf numFmtId="0" fontId="171" fillId="0" borderId="0" applyNumberFormat="0" applyFill="0" applyBorder="0" applyAlignment="0" applyProtection="0"/>
    <xf numFmtId="0" fontId="15" fillId="0" borderId="10" applyNumberFormat="0" applyFill="0" applyAlignment="0" applyProtection="0"/>
    <xf numFmtId="0" fontId="172" fillId="0" borderId="44" applyNumberFormat="0" applyFill="0" applyAlignment="0" applyProtection="0"/>
    <xf numFmtId="0" fontId="173" fillId="0" borderId="45" applyNumberFormat="0" applyFill="0" applyAlignment="0" applyProtection="0"/>
    <xf numFmtId="0" fontId="173" fillId="0" borderId="0" applyNumberFormat="0" applyFill="0" applyBorder="0" applyAlignment="0" applyProtection="0"/>
    <xf numFmtId="0" fontId="174" fillId="66" borderId="0" applyNumberFormat="0" applyBorder="0" applyAlignment="0" applyProtection="0"/>
    <xf numFmtId="0" fontId="175" fillId="67" borderId="0" applyNumberFormat="0" applyBorder="0" applyAlignment="0" applyProtection="0"/>
    <xf numFmtId="0" fontId="176" fillId="68" borderId="0" applyNumberFormat="0" applyBorder="0" applyAlignment="0" applyProtection="0"/>
    <xf numFmtId="0" fontId="177" fillId="69" borderId="46" applyNumberFormat="0" applyAlignment="0" applyProtection="0"/>
    <xf numFmtId="0" fontId="178" fillId="70" borderId="47" applyNumberFormat="0" applyAlignment="0" applyProtection="0"/>
    <xf numFmtId="0" fontId="179" fillId="70" borderId="46" applyNumberFormat="0" applyAlignment="0" applyProtection="0"/>
    <xf numFmtId="0" fontId="180" fillId="0" borderId="48" applyNumberFormat="0" applyFill="0" applyAlignment="0" applyProtection="0"/>
    <xf numFmtId="0" fontId="181" fillId="71" borderId="49" applyNumberFormat="0" applyAlignment="0" applyProtection="0"/>
    <xf numFmtId="0" fontId="168" fillId="0" borderId="0" applyNumberFormat="0" applyFill="0" applyBorder="0" applyAlignment="0" applyProtection="0"/>
    <xf numFmtId="0" fontId="14" fillId="72" borderId="50" applyNumberFormat="0" applyFont="0" applyAlignment="0" applyProtection="0"/>
    <xf numFmtId="0" fontId="182" fillId="0" borderId="0" applyNumberFormat="0" applyFill="0" applyBorder="0" applyAlignment="0" applyProtection="0"/>
    <xf numFmtId="0" fontId="183" fillId="0" borderId="51" applyNumberFormat="0" applyFill="0" applyAlignment="0" applyProtection="0"/>
    <xf numFmtId="0" fontId="16" fillId="8" borderId="0" applyNumberFormat="0" applyBorder="0" applyAlignment="0" applyProtection="0"/>
    <xf numFmtId="0" fontId="14" fillId="73" borderId="0" applyNumberFormat="0" applyBorder="0" applyAlignment="0" applyProtection="0"/>
    <xf numFmtId="0" fontId="14" fillId="74" borderId="0" applyNumberFormat="0" applyBorder="0" applyAlignment="0" applyProtection="0"/>
    <xf numFmtId="0" fontId="16" fillId="75" borderId="0" applyNumberFormat="0" applyBorder="0" applyAlignment="0" applyProtection="0"/>
    <xf numFmtId="0" fontId="16" fillId="76" borderId="0" applyNumberFormat="0" applyBorder="0" applyAlignment="0" applyProtection="0"/>
    <xf numFmtId="0" fontId="14" fillId="77" borderId="0" applyNumberFormat="0" applyBorder="0" applyAlignment="0" applyProtection="0"/>
    <xf numFmtId="0" fontId="14" fillId="78" borderId="0" applyNumberFormat="0" applyBorder="0" applyAlignment="0" applyProtection="0"/>
    <xf numFmtId="0" fontId="16" fillId="79" borderId="0" applyNumberFormat="0" applyBorder="0" applyAlignment="0" applyProtection="0"/>
    <xf numFmtId="0" fontId="16" fillId="80" borderId="0" applyNumberFormat="0" applyBorder="0" applyAlignment="0" applyProtection="0"/>
    <xf numFmtId="0" fontId="14" fillId="81" borderId="0" applyNumberFormat="0" applyBorder="0" applyAlignment="0" applyProtection="0"/>
    <xf numFmtId="0" fontId="14" fillId="82" borderId="0" applyNumberFormat="0" applyBorder="0" applyAlignment="0" applyProtection="0"/>
    <xf numFmtId="0" fontId="16" fillId="83" borderId="0" applyNumberFormat="0" applyBorder="0" applyAlignment="0" applyProtection="0"/>
    <xf numFmtId="0" fontId="16" fillId="84" borderId="0" applyNumberFormat="0" applyBorder="0" applyAlignment="0" applyProtection="0"/>
    <xf numFmtId="0" fontId="14" fillId="85" borderId="0" applyNumberFormat="0" applyBorder="0" applyAlignment="0" applyProtection="0"/>
    <xf numFmtId="0" fontId="14" fillId="86" borderId="0" applyNumberFormat="0" applyBorder="0" applyAlignment="0" applyProtection="0"/>
    <xf numFmtId="0" fontId="16" fillId="87" borderId="0" applyNumberFormat="0" applyBorder="0" applyAlignment="0" applyProtection="0"/>
    <xf numFmtId="0" fontId="16" fillId="88" borderId="0" applyNumberFormat="0" applyBorder="0" applyAlignment="0" applyProtection="0"/>
    <xf numFmtId="0" fontId="14" fillId="89" borderId="0" applyNumberFormat="0" applyBorder="0" applyAlignment="0" applyProtection="0"/>
    <xf numFmtId="0" fontId="14" fillId="90" borderId="0" applyNumberFormat="0" applyBorder="0" applyAlignment="0" applyProtection="0"/>
    <xf numFmtId="0" fontId="16" fillId="91" borderId="0" applyNumberFormat="0" applyBorder="0" applyAlignment="0" applyProtection="0"/>
    <xf numFmtId="0" fontId="16" fillId="92" borderId="0" applyNumberFormat="0" applyBorder="0" applyAlignment="0" applyProtection="0"/>
    <xf numFmtId="0" fontId="14" fillId="93" borderId="0" applyNumberFormat="0" applyBorder="0" applyAlignment="0" applyProtection="0"/>
    <xf numFmtId="0" fontId="14" fillId="94" borderId="0" applyNumberFormat="0" applyBorder="0" applyAlignment="0" applyProtection="0"/>
    <xf numFmtId="0" fontId="16" fillId="95" borderId="0" applyNumberFormat="0" applyBorder="0" applyAlignment="0" applyProtection="0"/>
    <xf numFmtId="0" fontId="1" fillId="0" borderId="0"/>
    <xf numFmtId="0" fontId="1" fillId="0" borderId="0"/>
    <xf numFmtId="0" fontId="1" fillId="0" borderId="0"/>
  </cellStyleXfs>
  <cellXfs count="487">
    <xf numFmtId="0" fontId="0" fillId="0" borderId="0" xfId="0"/>
    <xf numFmtId="0" fontId="0" fillId="3" borderId="3" xfId="0" applyFill="1" applyBorder="1"/>
    <xf numFmtId="3" fontId="5" fillId="0" borderId="1" xfId="0" applyNumberFormat="1" applyFont="1" applyBorder="1" applyAlignment="1">
      <alignment horizontal="center"/>
    </xf>
    <xf numFmtId="3" fontId="5" fillId="0" borderId="4" xfId="0" applyNumberFormat="1" applyFont="1" applyBorder="1" applyAlignment="1">
      <alignment horizontal="center"/>
    </xf>
    <xf numFmtId="3" fontId="5" fillId="0" borderId="5" xfId="0" applyNumberFormat="1" applyFont="1" applyBorder="1" applyAlignment="1">
      <alignment horizontal="center"/>
    </xf>
    <xf numFmtId="3" fontId="8" fillId="4" borderId="4" xfId="0" applyNumberFormat="1" applyFont="1" applyFill="1" applyBorder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8" fillId="5" borderId="3" xfId="0" applyFont="1" applyFill="1" applyBorder="1"/>
    <xf numFmtId="3" fontId="8" fillId="0" borderId="6" xfId="0" applyNumberFormat="1" applyFont="1" applyBorder="1" applyAlignment="1">
      <alignment horizontal="center"/>
    </xf>
    <xf numFmtId="3" fontId="8" fillId="4" borderId="6" xfId="0" applyNumberFormat="1" applyFont="1" applyFill="1" applyBorder="1" applyAlignment="1">
      <alignment horizontal="center"/>
    </xf>
    <xf numFmtId="3" fontId="0" fillId="0" borderId="0" xfId="0" applyNumberFormat="1"/>
    <xf numFmtId="3" fontId="0" fillId="0" borderId="0" xfId="0" applyNumberFormat="1" applyAlignment="1">
      <alignment horizontal="center"/>
    </xf>
    <xf numFmtId="0" fontId="8" fillId="3" borderId="3" xfId="0" applyFont="1" applyFill="1" applyBorder="1"/>
    <xf numFmtId="3" fontId="8" fillId="0" borderId="7" xfId="0" applyNumberFormat="1" applyFont="1" applyBorder="1" applyAlignment="1">
      <alignment horizontal="center"/>
    </xf>
    <xf numFmtId="3" fontId="8" fillId="4" borderId="7" xfId="0" applyNumberFormat="1" applyFont="1" applyFill="1" applyBorder="1" applyAlignment="1">
      <alignment horizontal="center"/>
    </xf>
    <xf numFmtId="3" fontId="5" fillId="0" borderId="0" xfId="0" applyNumberFormat="1" applyFont="1" applyAlignment="1">
      <alignment horizontal="center"/>
    </xf>
    <xf numFmtId="3" fontId="8" fillId="0" borderId="0" xfId="0" applyNumberFormat="1" applyFont="1" applyAlignment="1">
      <alignment horizontal="center"/>
    </xf>
    <xf numFmtId="0" fontId="5" fillId="3" borderId="3" xfId="0" applyFont="1" applyFill="1" applyBorder="1"/>
    <xf numFmtId="3" fontId="5" fillId="0" borderId="0" xfId="0" applyNumberFormat="1" applyFont="1"/>
    <xf numFmtId="0" fontId="9" fillId="3" borderId="3" xfId="0" applyFont="1" applyFill="1" applyBorder="1"/>
    <xf numFmtId="3" fontId="10" fillId="0" borderId="4" xfId="0" applyNumberFormat="1" applyFont="1" applyBorder="1" applyAlignment="1">
      <alignment horizontal="center"/>
    </xf>
    <xf numFmtId="3" fontId="10" fillId="4" borderId="4" xfId="0" applyNumberFormat="1" applyFont="1" applyFill="1" applyBorder="1" applyAlignment="1">
      <alignment horizontal="center"/>
    </xf>
    <xf numFmtId="9" fontId="5" fillId="0" borderId="4" xfId="0" applyNumberFormat="1" applyFont="1" applyBorder="1" applyAlignment="1">
      <alignment horizontal="center"/>
    </xf>
    <xf numFmtId="0" fontId="8" fillId="4" borderId="4" xfId="0" applyFont="1" applyFill="1" applyBorder="1"/>
    <xf numFmtId="3" fontId="10" fillId="0" borderId="0" xfId="0" applyNumberFormat="1" applyFont="1" applyAlignment="1">
      <alignment horizontal="center"/>
    </xf>
    <xf numFmtId="3" fontId="8" fillId="4" borderId="4" xfId="0" applyNumberFormat="1" applyFont="1" applyFill="1" applyBorder="1"/>
    <xf numFmtId="0" fontId="11" fillId="3" borderId="3" xfId="0" applyFont="1" applyFill="1" applyBorder="1"/>
    <xf numFmtId="10" fontId="12" fillId="0" borderId="4" xfId="0" applyNumberFormat="1" applyFont="1" applyBorder="1" applyAlignment="1">
      <alignment horizontal="center"/>
    </xf>
    <xf numFmtId="10" fontId="12" fillId="6" borderId="4" xfId="0" applyNumberFormat="1" applyFont="1" applyFill="1" applyBorder="1" applyAlignment="1">
      <alignment horizontal="center"/>
    </xf>
    <xf numFmtId="10" fontId="10" fillId="4" borderId="4" xfId="0" applyNumberFormat="1" applyFont="1" applyFill="1" applyBorder="1" applyAlignment="1">
      <alignment horizontal="center"/>
    </xf>
    <xf numFmtId="0" fontId="9" fillId="5" borderId="3" xfId="0" applyFont="1" applyFill="1" applyBorder="1"/>
    <xf numFmtId="10" fontId="8" fillId="0" borderId="4" xfId="0" applyNumberFormat="1" applyFont="1" applyBorder="1" applyAlignment="1">
      <alignment horizontal="center"/>
    </xf>
    <xf numFmtId="10" fontId="8" fillId="6" borderId="4" xfId="0" applyNumberFormat="1" applyFont="1" applyFill="1" applyBorder="1" applyAlignment="1">
      <alignment horizontal="center"/>
    </xf>
    <xf numFmtId="9" fontId="8" fillId="4" borderId="4" xfId="0" applyNumberFormat="1" applyFont="1" applyFill="1" applyBorder="1" applyAlignment="1">
      <alignment horizontal="center"/>
    </xf>
    <xf numFmtId="10" fontId="12" fillId="0" borderId="0" xfId="0" applyNumberFormat="1" applyFont="1" applyAlignment="1">
      <alignment horizontal="center"/>
    </xf>
    <xf numFmtId="10" fontId="8" fillId="0" borderId="0" xfId="0" applyNumberFormat="1" applyFont="1" applyAlignment="1">
      <alignment horizontal="center"/>
    </xf>
    <xf numFmtId="0" fontId="11" fillId="3" borderId="3" xfId="0" applyFont="1" applyFill="1" applyBorder="1" applyAlignment="1">
      <alignment horizontal="center"/>
    </xf>
    <xf numFmtId="0" fontId="9" fillId="2" borderId="6" xfId="0" applyFont="1" applyFill="1" applyBorder="1"/>
    <xf numFmtId="3" fontId="10" fillId="2" borderId="6" xfId="0" applyNumberFormat="1" applyFont="1" applyFill="1" applyBorder="1" applyAlignment="1">
      <alignment horizontal="center"/>
    </xf>
    <xf numFmtId="3" fontId="10" fillId="7" borderId="6" xfId="0" applyNumberFormat="1" applyFont="1" applyFill="1" applyBorder="1" applyAlignment="1">
      <alignment horizontal="center"/>
    </xf>
    <xf numFmtId="9" fontId="0" fillId="0" borderId="0" xfId="0" applyNumberFormat="1" applyAlignment="1">
      <alignment horizontal="center"/>
    </xf>
    <xf numFmtId="0" fontId="8" fillId="0" borderId="3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6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171" fontId="8" fillId="0" borderId="4" xfId="0" applyNumberFormat="1" applyFont="1" applyBorder="1" applyAlignment="1">
      <alignment horizontal="center" vertical="center"/>
    </xf>
    <xf numFmtId="4" fontId="2" fillId="0" borderId="4" xfId="0" applyNumberFormat="1" applyFont="1" applyBorder="1" applyAlignment="1">
      <alignment horizontal="left"/>
    </xf>
    <xf numFmtId="3" fontId="0" fillId="0" borderId="4" xfId="0" applyNumberFormat="1" applyBorder="1" applyAlignment="1">
      <alignment horizontal="center"/>
    </xf>
    <xf numFmtId="3" fontId="0" fillId="0" borderId="4" xfId="0" applyNumberFormat="1" applyBorder="1" applyAlignment="1" applyProtection="1">
      <alignment horizontal="center"/>
      <protection locked="0"/>
    </xf>
    <xf numFmtId="0" fontId="5" fillId="0" borderId="6" xfId="0" applyFont="1" applyBorder="1"/>
    <xf numFmtId="4" fontId="0" fillId="0" borderId="6" xfId="0" applyNumberFormat="1" applyBorder="1" applyAlignment="1">
      <alignment horizontal="center"/>
    </xf>
    <xf numFmtId="0" fontId="0" fillId="0" borderId="0" xfId="0" applyAlignment="1">
      <alignment horizontal="center"/>
    </xf>
    <xf numFmtId="4" fontId="2" fillId="0" borderId="4" xfId="0" applyNumberFormat="1" applyFont="1" applyBorder="1"/>
    <xf numFmtId="4" fontId="3" fillId="0" borderId="4" xfId="0" applyNumberFormat="1" applyFont="1" applyBorder="1" applyAlignment="1">
      <alignment horizontal="left"/>
    </xf>
    <xf numFmtId="4" fontId="3" fillId="0" borderId="4" xfId="0" applyNumberFormat="1" applyFont="1" applyBorder="1"/>
    <xf numFmtId="3" fontId="5" fillId="0" borderId="6" xfId="0" applyNumberFormat="1" applyFont="1" applyBorder="1" applyAlignment="1">
      <alignment horizontal="center"/>
    </xf>
    <xf numFmtId="4" fontId="0" fillId="0" borderId="0" xfId="0" applyNumberFormat="1"/>
    <xf numFmtId="172" fontId="0" fillId="0" borderId="0" xfId="0" applyNumberFormat="1" applyAlignment="1">
      <alignment horizontal="center"/>
    </xf>
    <xf numFmtId="3" fontId="0" fillId="0" borderId="6" xfId="0" applyNumberFormat="1" applyBorder="1" applyAlignment="1">
      <alignment horizontal="center"/>
    </xf>
    <xf numFmtId="4" fontId="2" fillId="0" borderId="4" xfId="0" applyNumberFormat="1" applyFont="1" applyBorder="1" applyAlignment="1">
      <alignment horizontal="center"/>
    </xf>
    <xf numFmtId="0" fontId="5" fillId="0" borderId="4" xfId="0" applyFont="1" applyBorder="1" applyAlignment="1">
      <alignment horizontal="left" vertical="center"/>
    </xf>
    <xf numFmtId="3" fontId="5" fillId="0" borderId="4" xfId="0" applyNumberFormat="1" applyFont="1" applyBorder="1" applyAlignment="1">
      <alignment horizontal="center" vertical="center"/>
    </xf>
    <xf numFmtId="0" fontId="5" fillId="0" borderId="6" xfId="0" applyFont="1" applyBorder="1" applyAlignment="1">
      <alignment horizontal="left" vertical="center"/>
    </xf>
    <xf numFmtId="3" fontId="5" fillId="0" borderId="6" xfId="0" applyNumberFormat="1" applyFont="1" applyBorder="1" applyAlignment="1">
      <alignment horizontal="center" vertical="center"/>
    </xf>
    <xf numFmtId="4" fontId="8" fillId="0" borderId="4" xfId="0" applyNumberFormat="1" applyFont="1" applyBorder="1" applyAlignment="1">
      <alignment horizontal="left"/>
    </xf>
    <xf numFmtId="3" fontId="0" fillId="6" borderId="4" xfId="0" applyNumberFormat="1" applyFill="1" applyBorder="1" applyAlignment="1" applyProtection="1">
      <alignment horizontal="center"/>
      <protection locked="0"/>
    </xf>
    <xf numFmtId="3" fontId="0" fillId="6" borderId="6" xfId="0" applyNumberFormat="1" applyFill="1" applyBorder="1" applyAlignment="1">
      <alignment horizontal="center"/>
    </xf>
    <xf numFmtId="3" fontId="8" fillId="6" borderId="6" xfId="0" applyNumberFormat="1" applyFont="1" applyFill="1" applyBorder="1" applyAlignment="1">
      <alignment horizontal="center"/>
    </xf>
    <xf numFmtId="3" fontId="0" fillId="6" borderId="0" xfId="0" applyNumberFormat="1" applyFill="1"/>
    <xf numFmtId="3" fontId="0" fillId="0" borderId="3" xfId="0" applyNumberFormat="1" applyBorder="1" applyAlignment="1" applyProtection="1">
      <alignment horizontal="center"/>
      <protection locked="0"/>
    </xf>
    <xf numFmtId="3" fontId="0" fillId="57" borderId="4" xfId="0" applyNumberFormat="1" applyFill="1" applyBorder="1" applyAlignment="1" applyProtection="1">
      <alignment horizontal="center"/>
      <protection locked="0"/>
    </xf>
    <xf numFmtId="3" fontId="0" fillId="0" borderId="5" xfId="0" applyNumberFormat="1" applyBorder="1" applyAlignment="1">
      <alignment horizontal="center"/>
    </xf>
    <xf numFmtId="3" fontId="0" fillId="57" borderId="4" xfId="0" applyNumberFormat="1" applyFill="1" applyBorder="1" applyAlignment="1">
      <alignment horizontal="center"/>
    </xf>
    <xf numFmtId="3" fontId="9" fillId="0" borderId="0" xfId="0" applyNumberFormat="1" applyFont="1"/>
    <xf numFmtId="3" fontId="156" fillId="0" borderId="0" xfId="0" applyNumberFormat="1" applyFont="1" applyAlignment="1">
      <alignment horizontal="center"/>
    </xf>
    <xf numFmtId="3" fontId="157" fillId="0" borderId="0" xfId="0" applyNumberFormat="1" applyFont="1" applyAlignment="1">
      <alignment horizontal="center"/>
    </xf>
    <xf numFmtId="3" fontId="0" fillId="58" borderId="4" xfId="0" applyNumberFormat="1" applyFill="1" applyBorder="1" applyAlignment="1" applyProtection="1">
      <alignment horizontal="center"/>
      <protection locked="0"/>
    </xf>
    <xf numFmtId="3" fontId="0" fillId="58" borderId="4" xfId="0" applyNumberFormat="1" applyFill="1" applyBorder="1" applyAlignment="1">
      <alignment horizontal="center"/>
    </xf>
    <xf numFmtId="0" fontId="8" fillId="6" borderId="3" xfId="0" applyFont="1" applyFill="1" applyBorder="1" applyAlignment="1">
      <alignment horizontal="center" vertical="center"/>
    </xf>
    <xf numFmtId="0" fontId="8" fillId="6" borderId="6" xfId="0" applyFont="1" applyFill="1" applyBorder="1" applyAlignment="1">
      <alignment horizontal="center"/>
    </xf>
    <xf numFmtId="0" fontId="8" fillId="6" borderId="4" xfId="0" applyFont="1" applyFill="1" applyBorder="1" applyAlignment="1">
      <alignment horizontal="center"/>
    </xf>
    <xf numFmtId="171" fontId="8" fillId="6" borderId="4" xfId="0" applyNumberFormat="1" applyFont="1" applyFill="1" applyBorder="1" applyAlignment="1">
      <alignment horizontal="center" vertical="center"/>
    </xf>
    <xf numFmtId="4" fontId="2" fillId="6" borderId="4" xfId="0" applyNumberFormat="1" applyFont="1" applyFill="1" applyBorder="1" applyAlignment="1">
      <alignment horizontal="left"/>
    </xf>
    <xf numFmtId="3" fontId="0" fillId="6" borderId="4" xfId="0" applyNumberFormat="1" applyFill="1" applyBorder="1" applyAlignment="1">
      <alignment horizontal="center"/>
    </xf>
    <xf numFmtId="0" fontId="5" fillId="6" borderId="6" xfId="0" applyFont="1" applyFill="1" applyBorder="1"/>
    <xf numFmtId="4" fontId="0" fillId="6" borderId="6" xfId="0" applyNumberFormat="1" applyFill="1" applyBorder="1" applyAlignment="1">
      <alignment horizontal="center"/>
    </xf>
    <xf numFmtId="3" fontId="5" fillId="6" borderId="6" xfId="0" applyNumberFormat="1" applyFont="1" applyFill="1" applyBorder="1" applyAlignment="1">
      <alignment horizontal="center"/>
    </xf>
    <xf numFmtId="3" fontId="8" fillId="0" borderId="1" xfId="0" applyNumberFormat="1" applyFont="1" applyBorder="1" applyAlignment="1">
      <alignment horizontal="center"/>
    </xf>
    <xf numFmtId="3" fontId="8" fillId="0" borderId="4" xfId="0" applyNumberFormat="1" applyFont="1" applyBorder="1" applyAlignment="1">
      <alignment horizontal="center"/>
    </xf>
    <xf numFmtId="3" fontId="8" fillId="0" borderId="5" xfId="0" applyNumberFormat="1" applyFont="1" applyBorder="1" applyAlignment="1">
      <alignment horizontal="center"/>
    </xf>
    <xf numFmtId="0" fontId="9" fillId="0" borderId="0" xfId="0" applyFont="1"/>
    <xf numFmtId="0" fontId="8" fillId="0" borderId="0" xfId="0" applyFont="1"/>
    <xf numFmtId="0" fontId="8" fillId="0" borderId="0" xfId="0" applyFont="1" applyAlignment="1">
      <alignment horizontal="center"/>
    </xf>
    <xf numFmtId="3" fontId="9" fillId="0" borderId="0" xfId="0" applyNumberFormat="1" applyFont="1" applyAlignment="1">
      <alignment horizontal="center"/>
    </xf>
    <xf numFmtId="10" fontId="10" fillId="0" borderId="4" xfId="0" applyNumberFormat="1" applyFont="1" applyBorder="1" applyAlignment="1">
      <alignment horizontal="center"/>
    </xf>
    <xf numFmtId="10" fontId="10" fillId="0" borderId="0" xfId="0" applyNumberFormat="1" applyFont="1" applyAlignment="1">
      <alignment horizontal="center"/>
    </xf>
    <xf numFmtId="0" fontId="9" fillId="3" borderId="3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170" fontId="9" fillId="57" borderId="3" xfId="1689" applyFont="1" applyFill="1" applyBorder="1" applyAlignment="1">
      <alignment horizontal="center"/>
    </xf>
    <xf numFmtId="170" fontId="9" fillId="0" borderId="3" xfId="1689" applyFont="1" applyBorder="1" applyAlignment="1">
      <alignment horizontal="center"/>
    </xf>
    <xf numFmtId="170" fontId="9" fillId="0" borderId="3" xfId="1689" applyFont="1" applyBorder="1"/>
    <xf numFmtId="170" fontId="9" fillId="0" borderId="4" xfId="1689" applyFont="1" applyBorder="1"/>
    <xf numFmtId="0" fontId="9" fillId="0" borderId="3" xfId="0" applyFont="1" applyBorder="1" applyAlignment="1">
      <alignment horizontal="center"/>
    </xf>
    <xf numFmtId="170" fontId="9" fillId="57" borderId="3" xfId="0" applyNumberFormat="1" applyFont="1" applyFill="1" applyBorder="1"/>
    <xf numFmtId="170" fontId="9" fillId="0" borderId="2" xfId="1689" applyFont="1" applyBorder="1" applyAlignment="1">
      <alignment horizontal="center"/>
    </xf>
    <xf numFmtId="0" fontId="8" fillId="6" borderId="6" xfId="0" applyFont="1" applyFill="1" applyBorder="1"/>
    <xf numFmtId="0" fontId="8" fillId="0" borderId="6" xfId="0" applyFont="1" applyBorder="1"/>
    <xf numFmtId="3" fontId="0" fillId="59" borderId="0" xfId="0" applyNumberFormat="1" applyFill="1" applyAlignment="1">
      <alignment horizontal="center"/>
    </xf>
    <xf numFmtId="170" fontId="0" fillId="0" borderId="0" xfId="1689" applyFont="1"/>
    <xf numFmtId="3" fontId="8" fillId="57" borderId="6" xfId="0" applyNumberFormat="1" applyFont="1" applyFill="1" applyBorder="1" applyAlignment="1">
      <alignment horizontal="center"/>
    </xf>
    <xf numFmtId="3" fontId="161" fillId="0" borderId="0" xfId="0" applyNumberFormat="1" applyFont="1" applyAlignment="1">
      <alignment horizontal="center"/>
    </xf>
    <xf numFmtId="3" fontId="11" fillId="0" borderId="0" xfId="0" applyNumberFormat="1" applyFont="1"/>
    <xf numFmtId="0" fontId="0" fillId="0" borderId="0" xfId="0" applyAlignment="1">
      <alignment horizontal="left"/>
    </xf>
    <xf numFmtId="3" fontId="0" fillId="0" borderId="1" xfId="0" applyNumberFormat="1" applyBorder="1" applyAlignment="1" applyProtection="1">
      <alignment horizontal="center"/>
      <protection locked="0"/>
    </xf>
    <xf numFmtId="3" fontId="8" fillId="0" borderId="41" xfId="0" applyNumberFormat="1" applyFont="1" applyBorder="1" applyAlignment="1">
      <alignment horizontal="center"/>
    </xf>
    <xf numFmtId="228" fontId="11" fillId="0" borderId="0" xfId="0" applyNumberFormat="1" applyFont="1"/>
    <xf numFmtId="10" fontId="8" fillId="58" borderId="4" xfId="0" applyNumberFormat="1" applyFont="1" applyFill="1" applyBorder="1" applyAlignment="1">
      <alignment horizontal="center"/>
    </xf>
    <xf numFmtId="3" fontId="8" fillId="0" borderId="6" xfId="2204" applyNumberFormat="1" applyFont="1" applyBorder="1" applyAlignment="1">
      <alignment horizontal="center"/>
    </xf>
    <xf numFmtId="3" fontId="5" fillId="0" borderId="5" xfId="2204" applyNumberFormat="1" applyFont="1" applyBorder="1" applyAlignment="1">
      <alignment horizontal="center"/>
    </xf>
    <xf numFmtId="4" fontId="2" fillId="0" borderId="4" xfId="2204" applyNumberFormat="1" applyFont="1" applyBorder="1"/>
    <xf numFmtId="3" fontId="10" fillId="2" borderId="6" xfId="2204" applyNumberFormat="1" applyFont="1" applyFill="1" applyBorder="1" applyAlignment="1">
      <alignment horizontal="center"/>
    </xf>
    <xf numFmtId="0" fontId="9" fillId="3" borderId="3" xfId="2204" applyFont="1" applyFill="1" applyBorder="1"/>
    <xf numFmtId="3" fontId="8" fillId="4" borderId="6" xfId="2204" applyNumberFormat="1" applyFont="1" applyFill="1" applyBorder="1" applyAlignment="1">
      <alignment horizontal="center"/>
    </xf>
    <xf numFmtId="0" fontId="163" fillId="0" borderId="0" xfId="2204"/>
    <xf numFmtId="0" fontId="8" fillId="3" borderId="3" xfId="2204" applyFont="1" applyFill="1" applyBorder="1"/>
    <xf numFmtId="3" fontId="163" fillId="0" borderId="0" xfId="2204" applyNumberFormat="1" applyAlignment="1">
      <alignment horizontal="center"/>
    </xf>
    <xf numFmtId="3" fontId="164" fillId="0" borderId="0" xfId="2204" applyNumberFormat="1" applyFont="1" applyAlignment="1">
      <alignment horizontal="center"/>
    </xf>
    <xf numFmtId="3" fontId="8" fillId="0" borderId="0" xfId="2204" applyNumberFormat="1" applyFont="1" applyAlignment="1">
      <alignment horizontal="center"/>
    </xf>
    <xf numFmtId="9" fontId="163" fillId="0" borderId="0" xfId="2204" applyNumberFormat="1" applyAlignment="1">
      <alignment horizontal="center"/>
    </xf>
    <xf numFmtId="3" fontId="163" fillId="0" borderId="4" xfId="2204" applyNumberFormat="1" applyBorder="1" applyAlignment="1">
      <alignment horizontal="center"/>
    </xf>
    <xf numFmtId="3" fontId="8" fillId="0" borderId="7" xfId="2204" applyNumberFormat="1" applyFont="1" applyBorder="1" applyAlignment="1">
      <alignment horizontal="center"/>
    </xf>
    <xf numFmtId="0" fontId="8" fillId="0" borderId="6" xfId="2204" applyFont="1" applyBorder="1" applyAlignment="1">
      <alignment horizontal="center"/>
    </xf>
    <xf numFmtId="3" fontId="5" fillId="0" borderId="4" xfId="2204" applyNumberFormat="1" applyFont="1" applyBorder="1"/>
    <xf numFmtId="3" fontId="5" fillId="0" borderId="4" xfId="2204" applyNumberFormat="1" applyFont="1" applyBorder="1" applyAlignment="1">
      <alignment horizontal="center"/>
    </xf>
    <xf numFmtId="3" fontId="10" fillId="0" borderId="4" xfId="2204" applyNumberFormat="1" applyFont="1" applyBorder="1" applyAlignment="1">
      <alignment horizontal="center"/>
    </xf>
    <xf numFmtId="0" fontId="5" fillId="0" borderId="0" xfId="2204" applyFont="1"/>
    <xf numFmtId="9" fontId="5" fillId="0" borderId="4" xfId="2204" applyNumberFormat="1" applyFont="1" applyBorder="1" applyAlignment="1">
      <alignment horizontal="center"/>
    </xf>
    <xf numFmtId="0" fontId="163" fillId="0" borderId="0" xfId="2204" applyAlignment="1">
      <alignment horizontal="center"/>
    </xf>
    <xf numFmtId="0" fontId="8" fillId="0" borderId="0" xfId="2204" applyFont="1" applyAlignment="1">
      <alignment horizontal="center" vertical="center"/>
    </xf>
    <xf numFmtId="0" fontId="8" fillId="0" borderId="4" xfId="2204" applyFont="1" applyBorder="1" applyAlignment="1">
      <alignment horizontal="center"/>
    </xf>
    <xf numFmtId="171" fontId="8" fillId="0" borderId="4" xfId="2204" applyNumberFormat="1" applyFont="1" applyBorder="1" applyAlignment="1">
      <alignment horizontal="center" vertical="center"/>
    </xf>
    <xf numFmtId="0" fontId="8" fillId="0" borderId="4" xfId="2204" applyFont="1" applyBorder="1" applyAlignment="1">
      <alignment horizontal="center" vertical="center"/>
    </xf>
    <xf numFmtId="3" fontId="5" fillId="0" borderId="0" xfId="2204" applyNumberFormat="1" applyFont="1" applyAlignment="1">
      <alignment horizontal="center"/>
    </xf>
    <xf numFmtId="0" fontId="5" fillId="0" borderId="6" xfId="2204" applyFont="1" applyBorder="1"/>
    <xf numFmtId="3" fontId="163" fillId="0" borderId="6" xfId="2204" applyNumberFormat="1" applyBorder="1" applyAlignment="1">
      <alignment horizontal="center"/>
    </xf>
    <xf numFmtId="3" fontId="5" fillId="0" borderId="6" xfId="2204" applyNumberFormat="1" applyFont="1" applyBorder="1" applyAlignment="1">
      <alignment horizontal="center"/>
    </xf>
    <xf numFmtId="0" fontId="8" fillId="0" borderId="3" xfId="2204" applyFont="1" applyBorder="1" applyAlignment="1">
      <alignment horizontal="center" vertical="center"/>
    </xf>
    <xf numFmtId="172" fontId="163" fillId="0" borderId="0" xfId="2204" applyNumberFormat="1" applyAlignment="1">
      <alignment horizontal="center"/>
    </xf>
    <xf numFmtId="172" fontId="5" fillId="0" borderId="0" xfId="2204" applyNumberFormat="1" applyFont="1" applyAlignment="1">
      <alignment horizontal="center"/>
    </xf>
    <xf numFmtId="4" fontId="2" fillId="0" borderId="4" xfId="2204" applyNumberFormat="1" applyFont="1" applyBorder="1" applyAlignment="1">
      <alignment horizontal="right"/>
    </xf>
    <xf numFmtId="3" fontId="5" fillId="0" borderId="1" xfId="2204" applyNumberFormat="1" applyFont="1" applyBorder="1" applyAlignment="1">
      <alignment horizontal="center"/>
    </xf>
    <xf numFmtId="0" fontId="5" fillId="0" borderId="0" xfId="2204" applyFont="1" applyAlignment="1">
      <alignment horizontal="center"/>
    </xf>
    <xf numFmtId="4" fontId="163" fillId="0" borderId="6" xfId="2204" applyNumberFormat="1" applyBorder="1" applyAlignment="1">
      <alignment horizontal="center"/>
    </xf>
    <xf numFmtId="3" fontId="10" fillId="0" borderId="0" xfId="2204" applyNumberFormat="1" applyFont="1" applyAlignment="1">
      <alignment horizontal="center"/>
    </xf>
    <xf numFmtId="10" fontId="12" fillId="0" borderId="0" xfId="2204" applyNumberFormat="1" applyFont="1" applyAlignment="1">
      <alignment horizontal="center"/>
    </xf>
    <xf numFmtId="10" fontId="8" fillId="0" borderId="0" xfId="2204" applyNumberFormat="1" applyFont="1" applyAlignment="1">
      <alignment horizontal="center"/>
    </xf>
    <xf numFmtId="10" fontId="8" fillId="61" borderId="4" xfId="2204" applyNumberFormat="1" applyFont="1" applyFill="1" applyBorder="1" applyAlignment="1">
      <alignment horizontal="center"/>
    </xf>
    <xf numFmtId="0" fontId="9" fillId="2" borderId="6" xfId="2204" applyFont="1" applyFill="1" applyBorder="1"/>
    <xf numFmtId="0" fontId="163" fillId="3" borderId="3" xfId="2204" applyFill="1" applyBorder="1"/>
    <xf numFmtId="0" fontId="5" fillId="3" borderId="3" xfId="2204" applyFont="1" applyFill="1" applyBorder="1"/>
    <xf numFmtId="0" fontId="11" fillId="3" borderId="3" xfId="2204" applyFont="1" applyFill="1" applyBorder="1" applyAlignment="1">
      <alignment horizontal="center"/>
    </xf>
    <xf numFmtId="3" fontId="8" fillId="4" borderId="7" xfId="2204" applyNumberFormat="1" applyFont="1" applyFill="1" applyBorder="1" applyAlignment="1">
      <alignment horizontal="center"/>
    </xf>
    <xf numFmtId="0" fontId="8" fillId="4" borderId="4" xfId="2204" applyFont="1" applyFill="1" applyBorder="1"/>
    <xf numFmtId="0" fontId="8" fillId="5" borderId="3" xfId="2204" applyFont="1" applyFill="1" applyBorder="1"/>
    <xf numFmtId="3" fontId="8" fillId="4" borderId="4" xfId="2204" applyNumberFormat="1" applyFont="1" applyFill="1" applyBorder="1"/>
    <xf numFmtId="3" fontId="10" fillId="4" borderId="4" xfId="2204" applyNumberFormat="1" applyFont="1" applyFill="1" applyBorder="1" applyAlignment="1">
      <alignment horizontal="center"/>
    </xf>
    <xf numFmtId="3" fontId="163" fillId="0" borderId="0" xfId="2204" applyNumberFormat="1"/>
    <xf numFmtId="0" fontId="11" fillId="3" borderId="3" xfId="2204" applyFont="1" applyFill="1" applyBorder="1"/>
    <xf numFmtId="3" fontId="8" fillId="4" borderId="4" xfId="2204" applyNumberFormat="1" applyFont="1" applyFill="1" applyBorder="1" applyAlignment="1">
      <alignment horizontal="center"/>
    </xf>
    <xf numFmtId="3" fontId="10" fillId="7" borderId="6" xfId="2204" applyNumberFormat="1" applyFont="1" applyFill="1" applyBorder="1" applyAlignment="1">
      <alignment horizontal="center"/>
    </xf>
    <xf numFmtId="0" fontId="9" fillId="5" borderId="3" xfId="2204" applyFont="1" applyFill="1" applyBorder="1"/>
    <xf numFmtId="10" fontId="8" fillId="61" borderId="4" xfId="0" applyNumberFormat="1" applyFont="1" applyFill="1" applyBorder="1" applyAlignment="1">
      <alignment horizontal="center"/>
    </xf>
    <xf numFmtId="10" fontId="8" fillId="0" borderId="4" xfId="1689" applyNumberFormat="1" applyFont="1" applyBorder="1" applyAlignment="1">
      <alignment horizontal="center"/>
    </xf>
    <xf numFmtId="10" fontId="8" fillId="4" borderId="4" xfId="0" applyNumberFormat="1" applyFont="1" applyFill="1" applyBorder="1" applyAlignment="1">
      <alignment horizontal="center"/>
    </xf>
    <xf numFmtId="230" fontId="0" fillId="0" borderId="0" xfId="1689" applyNumberFormat="1" applyFont="1"/>
    <xf numFmtId="229" fontId="162" fillId="0" borderId="1" xfId="2" applyNumberFormat="1" applyFont="1" applyBorder="1" applyAlignment="1">
      <alignment horizontal="center" vertical="center"/>
    </xf>
    <xf numFmtId="3" fontId="0" fillId="60" borderId="4" xfId="0" applyNumberFormat="1" applyFill="1" applyBorder="1" applyAlignment="1">
      <alignment horizontal="center"/>
    </xf>
    <xf numFmtId="0" fontId="8" fillId="60" borderId="3" xfId="0" applyFont="1" applyFill="1" applyBorder="1" applyAlignment="1">
      <alignment horizontal="center" vertical="center"/>
    </xf>
    <xf numFmtId="0" fontId="8" fillId="60" borderId="6" xfId="0" applyFont="1" applyFill="1" applyBorder="1" applyAlignment="1">
      <alignment horizontal="center"/>
    </xf>
    <xf numFmtId="0" fontId="8" fillId="60" borderId="4" xfId="0" applyFont="1" applyFill="1" applyBorder="1" applyAlignment="1">
      <alignment horizontal="center"/>
    </xf>
    <xf numFmtId="171" fontId="8" fillId="60" borderId="4" xfId="0" applyNumberFormat="1" applyFont="1" applyFill="1" applyBorder="1" applyAlignment="1">
      <alignment horizontal="center" vertical="center"/>
    </xf>
    <xf numFmtId="4" fontId="2" fillId="60" borderId="4" xfId="0" applyNumberFormat="1" applyFont="1" applyFill="1" applyBorder="1" applyAlignment="1">
      <alignment horizontal="left"/>
    </xf>
    <xf numFmtId="0" fontId="5" fillId="60" borderId="6" xfId="0" applyFont="1" applyFill="1" applyBorder="1"/>
    <xf numFmtId="4" fontId="2" fillId="62" borderId="4" xfId="0" applyNumberFormat="1" applyFont="1" applyFill="1" applyBorder="1" applyAlignment="1">
      <alignment horizontal="left"/>
    </xf>
    <xf numFmtId="0" fontId="9" fillId="0" borderId="3" xfId="0" applyFont="1" applyBorder="1" applyAlignment="1">
      <alignment horizontal="center" vertical="center"/>
    </xf>
    <xf numFmtId="3" fontId="160" fillId="0" borderId="0" xfId="0" applyNumberFormat="1" applyFont="1" applyAlignment="1">
      <alignment horizontal="center"/>
    </xf>
    <xf numFmtId="230" fontId="0" fillId="59" borderId="0" xfId="1689" applyNumberFormat="1" applyFont="1" applyFill="1" applyAlignment="1">
      <alignment horizontal="center"/>
    </xf>
    <xf numFmtId="230" fontId="8" fillId="0" borderId="5" xfId="1689" applyNumberFormat="1" applyFont="1" applyBorder="1" applyAlignment="1">
      <alignment horizontal="center"/>
    </xf>
    <xf numFmtId="230" fontId="8" fillId="0" borderId="7" xfId="1689" applyNumberFormat="1" applyFont="1" applyBorder="1" applyAlignment="1">
      <alignment horizontal="center"/>
    </xf>
    <xf numFmtId="230" fontId="8" fillId="0" borderId="4" xfId="1689" applyNumberFormat="1" applyFont="1" applyBorder="1" applyAlignment="1">
      <alignment horizontal="center"/>
    </xf>
    <xf numFmtId="4" fontId="0" fillId="0" borderId="0" xfId="0" applyNumberFormat="1" applyAlignment="1">
      <alignment horizontal="center"/>
    </xf>
    <xf numFmtId="3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center"/>
    </xf>
    <xf numFmtId="4" fontId="11" fillId="0" borderId="0" xfId="0" applyNumberFormat="1" applyFont="1" applyAlignment="1">
      <alignment horizontal="center"/>
    </xf>
    <xf numFmtId="228" fontId="11" fillId="0" borderId="0" xfId="0" applyNumberFormat="1" applyFont="1" applyAlignment="1">
      <alignment horizontal="center"/>
    </xf>
    <xf numFmtId="230" fontId="0" fillId="0" borderId="0" xfId="1689" applyNumberFormat="1" applyFont="1" applyAlignment="1">
      <alignment horizontal="center"/>
    </xf>
    <xf numFmtId="170" fontId="159" fillId="0" borderId="0" xfId="1689" applyFont="1" applyAlignment="1">
      <alignment horizontal="center"/>
    </xf>
    <xf numFmtId="230" fontId="158" fillId="0" borderId="0" xfId="1689" applyNumberFormat="1" applyFont="1" applyAlignment="1">
      <alignment horizontal="center" vertical="center"/>
    </xf>
    <xf numFmtId="230" fontId="10" fillId="2" borderId="6" xfId="1689" applyNumberFormat="1" applyFont="1" applyFill="1" applyBorder="1" applyAlignment="1">
      <alignment horizontal="center"/>
    </xf>
    <xf numFmtId="170" fontId="11" fillId="0" borderId="0" xfId="0" applyNumberFormat="1" applyFont="1" applyAlignment="1">
      <alignment horizontal="center"/>
    </xf>
    <xf numFmtId="230" fontId="8" fillId="57" borderId="6" xfId="1689" applyNumberFormat="1" applyFont="1" applyFill="1" applyBorder="1" applyAlignment="1">
      <alignment horizontal="center"/>
    </xf>
    <xf numFmtId="230" fontId="10" fillId="0" borderId="4" xfId="1689" applyNumberFormat="1" applyFont="1" applyBorder="1" applyAlignment="1">
      <alignment horizontal="center"/>
    </xf>
    <xf numFmtId="170" fontId="8" fillId="0" borderId="5" xfId="1689" applyFont="1" applyBorder="1" applyAlignment="1">
      <alignment horizontal="center"/>
    </xf>
    <xf numFmtId="170" fontId="8" fillId="0" borderId="4" xfId="1689" applyFont="1" applyBorder="1" applyAlignment="1">
      <alignment horizontal="center"/>
    </xf>
    <xf numFmtId="170" fontId="8" fillId="0" borderId="7" xfId="1689" applyFont="1" applyBorder="1" applyAlignment="1">
      <alignment horizontal="center"/>
    </xf>
    <xf numFmtId="170" fontId="10" fillId="0" borderId="4" xfId="1689" applyFont="1" applyBorder="1" applyAlignment="1">
      <alignment horizontal="center"/>
    </xf>
    <xf numFmtId="170" fontId="0" fillId="59" borderId="0" xfId="1689" applyFont="1" applyFill="1" applyAlignment="1">
      <alignment horizontal="center"/>
    </xf>
    <xf numFmtId="0" fontId="158" fillId="0" borderId="0" xfId="0" applyFont="1" applyAlignment="1">
      <alignment horizontal="center" vertical="center"/>
    </xf>
    <xf numFmtId="170" fontId="158" fillId="0" borderId="0" xfId="1689" applyFont="1" applyAlignment="1">
      <alignment horizontal="center" vertical="center"/>
    </xf>
    <xf numFmtId="3" fontId="161" fillId="0" borderId="5" xfId="0" applyNumberFormat="1" applyFont="1" applyBorder="1" applyAlignment="1">
      <alignment horizontal="center"/>
    </xf>
    <xf numFmtId="3" fontId="161" fillId="0" borderId="4" xfId="0" applyNumberFormat="1" applyFont="1" applyBorder="1" applyAlignment="1">
      <alignment horizontal="center"/>
    </xf>
    <xf numFmtId="3" fontId="161" fillId="0" borderId="7" xfId="0" applyNumberFormat="1" applyFont="1" applyBorder="1" applyAlignment="1">
      <alignment horizontal="center"/>
    </xf>
    <xf numFmtId="3" fontId="11" fillId="59" borderId="0" xfId="0" applyNumberFormat="1" applyFont="1" applyFill="1" applyAlignment="1">
      <alignment horizontal="center"/>
    </xf>
    <xf numFmtId="0" fontId="161" fillId="0" borderId="0" xfId="0" applyFont="1" applyAlignment="1">
      <alignment horizontal="center" vertical="center"/>
    </xf>
    <xf numFmtId="3" fontId="124" fillId="0" borderId="0" xfId="0" applyNumberFormat="1" applyFont="1" applyAlignment="1">
      <alignment horizontal="center"/>
    </xf>
    <xf numFmtId="3" fontId="161" fillId="57" borderId="6" xfId="0" applyNumberFormat="1" applyFont="1" applyFill="1" applyBorder="1" applyAlignment="1">
      <alignment horizontal="center"/>
    </xf>
    <xf numFmtId="170" fontId="8" fillId="57" borderId="6" xfId="1689" applyFont="1" applyFill="1" applyBorder="1" applyAlignment="1">
      <alignment horizontal="center"/>
    </xf>
    <xf numFmtId="10" fontId="161" fillId="58" borderId="4" xfId="0" applyNumberFormat="1" applyFont="1" applyFill="1" applyBorder="1" applyAlignment="1">
      <alignment horizontal="center"/>
    </xf>
    <xf numFmtId="10" fontId="161" fillId="0" borderId="4" xfId="0" applyNumberFormat="1" applyFont="1" applyBorder="1" applyAlignment="1">
      <alignment horizontal="center"/>
    </xf>
    <xf numFmtId="170" fontId="10" fillId="2" borderId="6" xfId="1689" applyFont="1" applyFill="1" applyBorder="1" applyAlignment="1">
      <alignment horizontal="center"/>
    </xf>
    <xf numFmtId="170" fontId="0" fillId="0" borderId="0" xfId="1689" applyFont="1" applyAlignment="1">
      <alignment horizontal="center"/>
    </xf>
    <xf numFmtId="10" fontId="8" fillId="0" borderId="4" xfId="2206" applyNumberFormat="1" applyFont="1" applyBorder="1" applyAlignment="1">
      <alignment horizontal="center"/>
    </xf>
    <xf numFmtId="9" fontId="0" fillId="0" borderId="0" xfId="2206" applyFont="1" applyAlignment="1">
      <alignment horizontal="center"/>
    </xf>
    <xf numFmtId="3" fontId="0" fillId="0" borderId="4" xfId="0" applyNumberFormat="1" applyBorder="1" applyAlignment="1">
      <alignment horizontal="left"/>
    </xf>
    <xf numFmtId="3" fontId="0" fillId="0" borderId="42" xfId="0" applyNumberFormat="1" applyBorder="1" applyAlignment="1">
      <alignment horizontal="center"/>
    </xf>
    <xf numFmtId="0" fontId="9" fillId="0" borderId="0" xfId="0" applyFont="1" applyAlignment="1">
      <alignment horizontal="left" vertical="center"/>
    </xf>
    <xf numFmtId="3" fontId="0" fillId="6" borderId="0" xfId="0" applyNumberFormat="1" applyFill="1" applyAlignment="1">
      <alignment horizontal="center"/>
    </xf>
    <xf numFmtId="170" fontId="159" fillId="0" borderId="0" xfId="1689" applyFont="1" applyAlignment="1">
      <alignment horizontal="center" vertical="center"/>
    </xf>
    <xf numFmtId="170" fontId="0" fillId="0" borderId="0" xfId="0" applyNumberFormat="1"/>
    <xf numFmtId="0" fontId="167" fillId="57" borderId="3" xfId="0" applyFont="1" applyFill="1" applyBorder="1" applyAlignment="1">
      <alignment horizontal="center"/>
    </xf>
    <xf numFmtId="170" fontId="167" fillId="57" borderId="3" xfId="0" applyNumberFormat="1" applyFont="1" applyFill="1" applyBorder="1"/>
    <xf numFmtId="170" fontId="167" fillId="57" borderId="3" xfId="1689" applyFont="1" applyFill="1" applyBorder="1" applyAlignment="1">
      <alignment horizontal="center"/>
    </xf>
    <xf numFmtId="9" fontId="9" fillId="0" borderId="0" xfId="0" applyNumberFormat="1" applyFont="1"/>
    <xf numFmtId="230" fontId="9" fillId="0" borderId="0" xfId="1689" applyNumberFormat="1" applyFont="1"/>
    <xf numFmtId="170" fontId="2" fillId="60" borderId="4" xfId="1689" applyFont="1" applyFill="1" applyBorder="1" applyAlignment="1">
      <alignment horizontal="left"/>
    </xf>
    <xf numFmtId="0" fontId="16" fillId="0" borderId="0" xfId="0" applyFont="1"/>
    <xf numFmtId="230" fontId="5" fillId="6" borderId="6" xfId="1689" applyNumberFormat="1" applyFont="1" applyFill="1" applyBorder="1" applyAlignment="1">
      <alignment horizontal="center"/>
    </xf>
    <xf numFmtId="170" fontId="169" fillId="63" borderId="43" xfId="1689" applyFont="1" applyFill="1" applyBorder="1" applyAlignment="1">
      <alignment horizontal="center" wrapText="1"/>
    </xf>
    <xf numFmtId="170" fontId="170" fillId="64" borderId="43" xfId="1689" applyFont="1" applyFill="1" applyBorder="1" applyAlignment="1">
      <alignment horizontal="center" wrapText="1"/>
    </xf>
    <xf numFmtId="0" fontId="0" fillId="57" borderId="0" xfId="0" applyFill="1"/>
    <xf numFmtId="170" fontId="170" fillId="57" borderId="43" xfId="1689" applyFont="1" applyFill="1" applyBorder="1" applyAlignment="1">
      <alignment horizontal="center" wrapText="1"/>
    </xf>
    <xf numFmtId="170" fontId="0" fillId="57" borderId="0" xfId="1689" applyFont="1" applyFill="1"/>
    <xf numFmtId="170" fontId="0" fillId="57" borderId="0" xfId="0" applyNumberFormat="1" applyFill="1"/>
    <xf numFmtId="0" fontId="0" fillId="0" borderId="0" xfId="0" applyAlignment="1">
      <alignment horizontal="right"/>
    </xf>
    <xf numFmtId="0" fontId="0" fillId="57" borderId="0" xfId="0" applyFill="1" applyAlignment="1">
      <alignment horizontal="right"/>
    </xf>
    <xf numFmtId="170" fontId="8" fillId="0" borderId="0" xfId="0" applyNumberFormat="1" applyFont="1" applyAlignment="1">
      <alignment horizontal="center" vertical="center"/>
    </xf>
    <xf numFmtId="230" fontId="8" fillId="6" borderId="6" xfId="1689" applyNumberFormat="1" applyFont="1" applyFill="1" applyBorder="1" applyAlignment="1">
      <alignment horizontal="center"/>
    </xf>
    <xf numFmtId="170" fontId="5" fillId="0" borderId="0" xfId="1689" applyFont="1"/>
    <xf numFmtId="230" fontId="161" fillId="0" borderId="5" xfId="1689" applyNumberFormat="1" applyFont="1" applyBorder="1" applyAlignment="1">
      <alignment horizontal="center"/>
    </xf>
    <xf numFmtId="230" fontId="161" fillId="0" borderId="4" xfId="1689" applyNumberFormat="1" applyFont="1" applyBorder="1" applyAlignment="1">
      <alignment horizontal="center"/>
    </xf>
    <xf numFmtId="230" fontId="161" fillId="57" borderId="6" xfId="1689" applyNumberFormat="1" applyFont="1" applyFill="1" applyBorder="1" applyAlignment="1">
      <alignment horizontal="center"/>
    </xf>
    <xf numFmtId="230" fontId="161" fillId="0" borderId="7" xfId="1689" applyNumberFormat="1" applyFont="1" applyBorder="1" applyAlignment="1">
      <alignment horizontal="center"/>
    </xf>
    <xf numFmtId="230" fontId="10" fillId="2" borderId="6" xfId="0" applyNumberFormat="1" applyFont="1" applyFill="1" applyBorder="1" applyAlignment="1">
      <alignment horizontal="center"/>
    </xf>
    <xf numFmtId="230" fontId="14" fillId="0" borderId="0" xfId="1689" applyNumberFormat="1" applyAlignment="1">
      <alignment horizontal="center"/>
    </xf>
    <xf numFmtId="230" fontId="160" fillId="0" borderId="0" xfId="1689" applyNumberFormat="1" applyFont="1" applyAlignment="1">
      <alignment horizontal="center"/>
    </xf>
    <xf numFmtId="230" fontId="11" fillId="59" borderId="0" xfId="1689" applyNumberFormat="1" applyFont="1" applyFill="1" applyAlignment="1">
      <alignment horizontal="center"/>
    </xf>
    <xf numFmtId="230" fontId="11" fillId="0" borderId="0" xfId="1689" applyNumberFormat="1" applyFont="1" applyAlignment="1">
      <alignment horizontal="center"/>
    </xf>
    <xf numFmtId="0" fontId="7" fillId="0" borderId="0" xfId="1" applyFont="1" applyAlignment="1" applyProtection="1">
      <alignment horizontal="center"/>
    </xf>
    <xf numFmtId="230" fontId="8" fillId="6" borderId="4" xfId="1689" applyNumberFormat="1" applyFont="1" applyFill="1" applyBorder="1" applyAlignment="1">
      <alignment horizontal="center" vertical="center"/>
    </xf>
    <xf numFmtId="230" fontId="0" fillId="0" borderId="4" xfId="1689" applyNumberFormat="1" applyFont="1" applyBorder="1" applyAlignment="1">
      <alignment horizontal="center"/>
    </xf>
    <xf numFmtId="230" fontId="0" fillId="6" borderId="6" xfId="1689" applyNumberFormat="1" applyFont="1" applyFill="1" applyBorder="1" applyAlignment="1">
      <alignment horizontal="center"/>
    </xf>
    <xf numFmtId="230" fontId="0" fillId="6" borderId="4" xfId="1689" applyNumberFormat="1" applyFont="1" applyFill="1" applyBorder="1" applyAlignment="1">
      <alignment horizontal="center"/>
    </xf>
    <xf numFmtId="230" fontId="0" fillId="0" borderId="4" xfId="0" applyNumberFormat="1" applyBorder="1" applyAlignment="1">
      <alignment horizontal="center"/>
    </xf>
    <xf numFmtId="230" fontId="0" fillId="0" borderId="6" xfId="1689" applyNumberFormat="1" applyFont="1" applyBorder="1" applyAlignment="1">
      <alignment horizontal="center"/>
    </xf>
    <xf numFmtId="230" fontId="5" fillId="0" borderId="4" xfId="1689" applyNumberFormat="1" applyFont="1" applyBorder="1" applyAlignment="1">
      <alignment horizontal="center" vertical="center"/>
    </xf>
    <xf numFmtId="230" fontId="5" fillId="0" borderId="6" xfId="1689" applyNumberFormat="1" applyFont="1" applyBorder="1" applyAlignment="1">
      <alignment horizontal="center" vertical="center"/>
    </xf>
    <xf numFmtId="230" fontId="8" fillId="0" borderId="4" xfId="1689" applyNumberFormat="1" applyFont="1" applyBorder="1" applyAlignment="1">
      <alignment horizontal="center" vertical="center"/>
    </xf>
    <xf numFmtId="230" fontId="8" fillId="0" borderId="6" xfId="1689" applyNumberFormat="1" applyFont="1" applyBorder="1" applyAlignment="1">
      <alignment horizontal="center"/>
    </xf>
    <xf numFmtId="230" fontId="159" fillId="65" borderId="0" xfId="1689" applyNumberFormat="1" applyFont="1" applyFill="1" applyAlignment="1">
      <alignment horizontal="center"/>
    </xf>
    <xf numFmtId="232" fontId="0" fillId="0" borderId="0" xfId="2206" applyNumberFormat="1" applyFont="1" applyAlignment="1">
      <alignment horizontal="center"/>
    </xf>
    <xf numFmtId="0" fontId="2" fillId="58" borderId="3" xfId="0" applyFont="1" applyFill="1" applyBorder="1" applyAlignment="1">
      <alignment vertical="center" wrapText="1"/>
    </xf>
    <xf numFmtId="0" fontId="2" fillId="60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/>
    </xf>
    <xf numFmtId="49" fontId="1" fillId="58" borderId="3" xfId="2555" applyNumberFormat="1" applyFill="1" applyBorder="1"/>
    <xf numFmtId="49" fontId="2" fillId="60" borderId="1" xfId="0" applyNumberFormat="1" applyFont="1" applyFill="1" applyBorder="1" applyAlignment="1">
      <alignment vertical="center" wrapText="1"/>
    </xf>
    <xf numFmtId="0" fontId="2" fillId="58" borderId="3" xfId="0" applyFont="1" applyFill="1" applyBorder="1" applyAlignment="1">
      <alignment vertical="center"/>
    </xf>
    <xf numFmtId="0" fontId="0" fillId="58" borderId="3" xfId="0" applyFill="1" applyBorder="1"/>
    <xf numFmtId="0" fontId="9" fillId="58" borderId="3" xfId="0" applyFont="1" applyFill="1" applyBorder="1"/>
    <xf numFmtId="230" fontId="161" fillId="57" borderId="0" xfId="1689" applyNumberFormat="1" applyFont="1" applyFill="1" applyAlignment="1">
      <alignment horizontal="center" vertical="center"/>
    </xf>
    <xf numFmtId="230" fontId="0" fillId="0" borderId="0" xfId="0" applyNumberFormat="1"/>
    <xf numFmtId="0" fontId="184" fillId="0" borderId="0" xfId="0" applyFont="1" applyAlignment="1">
      <alignment horizontal="center" vertical="center"/>
    </xf>
    <xf numFmtId="3" fontId="185" fillId="0" borderId="0" xfId="0" applyNumberFormat="1" applyFont="1" applyAlignment="1">
      <alignment horizontal="center"/>
    </xf>
    <xf numFmtId="230" fontId="8" fillId="6" borderId="7" xfId="1689" applyNumberFormat="1" applyFont="1" applyFill="1" applyBorder="1" applyAlignment="1">
      <alignment horizontal="center" vertical="center"/>
    </xf>
    <xf numFmtId="230" fontId="0" fillId="0" borderId="2" xfId="1689" applyNumberFormat="1" applyFont="1" applyBorder="1" applyAlignment="1">
      <alignment horizontal="center"/>
    </xf>
    <xf numFmtId="3" fontId="0" fillId="0" borderId="52" xfId="0" applyNumberFormat="1" applyBorder="1" applyAlignment="1">
      <alignment horizontal="center"/>
    </xf>
    <xf numFmtId="230" fontId="0" fillId="0" borderId="52" xfId="1689" applyNumberFormat="1" applyFont="1" applyBorder="1" applyAlignment="1">
      <alignment horizontal="center"/>
    </xf>
    <xf numFmtId="4" fontId="2" fillId="0" borderId="52" xfId="0" applyNumberFormat="1" applyFont="1" applyBorder="1" applyAlignment="1">
      <alignment horizontal="left"/>
    </xf>
    <xf numFmtId="230" fontId="8" fillId="0" borderId="0" xfId="1689" applyNumberFormat="1" applyFont="1" applyAlignment="1">
      <alignment horizontal="center" vertical="center"/>
    </xf>
    <xf numFmtId="49" fontId="2" fillId="60" borderId="53" xfId="0" applyNumberFormat="1" applyFont="1" applyFill="1" applyBorder="1" applyAlignment="1">
      <alignment vertical="center" wrapText="1"/>
    </xf>
    <xf numFmtId="49" fontId="157" fillId="58" borderId="3" xfId="2555" applyNumberFormat="1" applyFont="1" applyFill="1" applyBorder="1"/>
    <xf numFmtId="3" fontId="156" fillId="59" borderId="0" xfId="0" applyNumberFormat="1" applyFont="1" applyFill="1" applyAlignment="1">
      <alignment horizontal="center"/>
    </xf>
    <xf numFmtId="0" fontId="156" fillId="0" borderId="0" xfId="0" applyFont="1"/>
    <xf numFmtId="3" fontId="16" fillId="0" borderId="0" xfId="0" applyNumberFormat="1" applyFont="1" applyAlignment="1">
      <alignment horizontal="center"/>
    </xf>
    <xf numFmtId="170" fontId="16" fillId="0" borderId="0" xfId="1689" applyFont="1" applyAlignment="1">
      <alignment horizontal="center"/>
    </xf>
    <xf numFmtId="230" fontId="159" fillId="0" borderId="0" xfId="1689" applyNumberFormat="1" applyFont="1" applyAlignment="1">
      <alignment horizontal="center"/>
    </xf>
    <xf numFmtId="9" fontId="0" fillId="0" borderId="0" xfId="2206" applyFont="1"/>
    <xf numFmtId="230" fontId="8" fillId="0" borderId="5" xfId="1689" applyNumberFormat="1" applyFont="1" applyBorder="1" applyAlignment="1">
      <alignment horizontal="center" vertical="center"/>
    </xf>
    <xf numFmtId="230" fontId="157" fillId="0" borderId="0" xfId="1689" applyNumberFormat="1" applyFont="1" applyAlignment="1">
      <alignment horizontal="center"/>
    </xf>
    <xf numFmtId="10" fontId="157" fillId="0" borderId="0" xfId="2206" applyNumberFormat="1" applyFont="1" applyAlignment="1">
      <alignment horizontal="center"/>
    </xf>
    <xf numFmtId="170" fontId="2" fillId="60" borderId="1" xfId="1689" applyFont="1" applyFill="1" applyBorder="1" applyAlignment="1">
      <alignment vertical="center" wrapText="1"/>
    </xf>
    <xf numFmtId="170" fontId="0" fillId="58" borderId="3" xfId="1689" applyFont="1" applyFill="1" applyBorder="1"/>
    <xf numFmtId="170" fontId="9" fillId="0" borderId="0" xfId="1689" applyFont="1"/>
    <xf numFmtId="170" fontId="0" fillId="0" borderId="0" xfId="1689" applyFont="1" applyAlignment="1">
      <alignment horizontal="left"/>
    </xf>
    <xf numFmtId="4" fontId="2" fillId="0" borderId="53" xfId="0" applyNumberFormat="1" applyFont="1" applyBorder="1" applyAlignment="1">
      <alignment horizontal="left"/>
    </xf>
    <xf numFmtId="3" fontId="0" fillId="0" borderId="53" xfId="0" applyNumberFormat="1" applyBorder="1" applyAlignment="1">
      <alignment horizontal="center"/>
    </xf>
    <xf numFmtId="3" fontId="0" fillId="0" borderId="53" xfId="0" applyNumberFormat="1" applyBorder="1" applyAlignment="1" applyProtection="1">
      <alignment horizontal="center"/>
      <protection locked="0"/>
    </xf>
    <xf numFmtId="230" fontId="0" fillId="0" borderId="53" xfId="1689" applyNumberFormat="1" applyFont="1" applyBorder="1" applyAlignment="1">
      <alignment horizontal="center"/>
    </xf>
    <xf numFmtId="0" fontId="2" fillId="60" borderId="53" xfId="0" applyFont="1" applyFill="1" applyBorder="1" applyAlignment="1">
      <alignment vertical="center" wrapText="1"/>
    </xf>
    <xf numFmtId="230" fontId="0" fillId="0" borderId="4" xfId="1689" applyNumberFormat="1" applyFont="1" applyBorder="1"/>
    <xf numFmtId="9" fontId="168" fillId="0" borderId="0" xfId="2206" applyFont="1"/>
    <xf numFmtId="230" fontId="156" fillId="0" borderId="0" xfId="1689" applyNumberFormat="1" applyFont="1"/>
    <xf numFmtId="10" fontId="8" fillId="0" borderId="0" xfId="2206" applyNumberFormat="1" applyFont="1" applyAlignment="1">
      <alignment horizontal="center" vertical="center"/>
    </xf>
    <xf numFmtId="3" fontId="8" fillId="96" borderId="6" xfId="0" applyNumberFormat="1" applyFont="1" applyFill="1" applyBorder="1" applyAlignment="1">
      <alignment horizontal="center"/>
    </xf>
    <xf numFmtId="230" fontId="0" fillId="60" borderId="4" xfId="1689" applyNumberFormat="1" applyFont="1" applyFill="1" applyBorder="1" applyAlignment="1">
      <alignment horizontal="center"/>
    </xf>
    <xf numFmtId="0" fontId="186" fillId="2" borderId="2" xfId="0" applyFont="1" applyFill="1" applyBorder="1" applyAlignment="1">
      <alignment horizontal="center" vertical="center"/>
    </xf>
    <xf numFmtId="4" fontId="187" fillId="60" borderId="5" xfId="0" applyNumberFormat="1" applyFont="1" applyFill="1" applyBorder="1" applyAlignment="1">
      <alignment horizontal="center" vertical="center" wrapText="1"/>
    </xf>
    <xf numFmtId="4" fontId="187" fillId="60" borderId="5" xfId="0" quotePrefix="1" applyNumberFormat="1" applyFont="1" applyFill="1" applyBorder="1" applyAlignment="1">
      <alignment horizontal="center" vertical="center" wrapText="1"/>
    </xf>
    <xf numFmtId="3" fontId="187" fillId="60" borderId="5" xfId="0" quotePrefix="1" applyNumberFormat="1" applyFont="1" applyFill="1" applyBorder="1" applyAlignment="1">
      <alignment horizontal="center" vertical="center" wrapText="1"/>
    </xf>
    <xf numFmtId="0" fontId="186" fillId="2" borderId="4" xfId="0" applyFont="1" applyFill="1" applyBorder="1" applyAlignment="1">
      <alignment horizontal="center" vertical="center" wrapText="1"/>
    </xf>
    <xf numFmtId="170" fontId="188" fillId="0" borderId="0" xfId="1689" applyFont="1"/>
    <xf numFmtId="0" fontId="188" fillId="0" borderId="0" xfId="0" applyFont="1"/>
    <xf numFmtId="10" fontId="0" fillId="59" borderId="0" xfId="2206" applyNumberFormat="1" applyFont="1" applyFill="1" applyAlignment="1">
      <alignment horizontal="center"/>
    </xf>
    <xf numFmtId="233" fontId="0" fillId="0" borderId="0" xfId="0" applyNumberFormat="1" applyAlignment="1">
      <alignment horizontal="center"/>
    </xf>
    <xf numFmtId="234" fontId="8" fillId="0" borderId="0" xfId="1689" applyNumberFormat="1" applyFont="1" applyAlignment="1">
      <alignment horizontal="center" vertical="center"/>
    </xf>
    <xf numFmtId="234" fontId="8" fillId="60" borderId="0" xfId="1689" applyNumberFormat="1" applyFont="1" applyFill="1" applyAlignment="1">
      <alignment horizontal="center" vertical="center"/>
    </xf>
    <xf numFmtId="230" fontId="2" fillId="60" borderId="1" xfId="0" applyNumberFormat="1" applyFont="1" applyFill="1" applyBorder="1" applyAlignment="1">
      <alignment vertical="center" wrapText="1"/>
    </xf>
    <xf numFmtId="230" fontId="1" fillId="58" borderId="3" xfId="2555" applyNumberFormat="1" applyFill="1" applyBorder="1"/>
    <xf numFmtId="230" fontId="187" fillId="60" borderId="5" xfId="0" applyNumberFormat="1" applyFont="1" applyFill="1" applyBorder="1" applyAlignment="1">
      <alignment horizontal="center" vertical="center" wrapText="1"/>
    </xf>
    <xf numFmtId="230" fontId="8" fillId="0" borderId="5" xfId="0" applyNumberFormat="1" applyFont="1" applyBorder="1" applyAlignment="1">
      <alignment horizontal="center"/>
    </xf>
    <xf numFmtId="230" fontId="8" fillId="57" borderId="6" xfId="0" applyNumberFormat="1" applyFont="1" applyFill="1" applyBorder="1" applyAlignment="1">
      <alignment horizontal="center"/>
    </xf>
    <xf numFmtId="230" fontId="8" fillId="0" borderId="4" xfId="0" applyNumberFormat="1" applyFont="1" applyBorder="1" applyAlignment="1">
      <alignment horizontal="center"/>
    </xf>
    <xf numFmtId="230" fontId="8" fillId="96" borderId="6" xfId="0" applyNumberFormat="1" applyFont="1" applyFill="1" applyBorder="1" applyAlignment="1">
      <alignment horizontal="center"/>
    </xf>
    <xf numFmtId="230" fontId="10" fillId="0" borderId="4" xfId="0" applyNumberFormat="1" applyFont="1" applyBorder="1" applyAlignment="1">
      <alignment horizontal="center"/>
    </xf>
    <xf numFmtId="230" fontId="0" fillId="0" borderId="0" xfId="0" applyNumberFormat="1" applyAlignment="1">
      <alignment horizontal="center"/>
    </xf>
    <xf numFmtId="230" fontId="0" fillId="59" borderId="0" xfId="0" applyNumberFormat="1" applyFill="1" applyAlignment="1">
      <alignment horizontal="center"/>
    </xf>
    <xf numFmtId="230" fontId="8" fillId="6" borderId="4" xfId="0" applyNumberFormat="1" applyFont="1" applyFill="1" applyBorder="1" applyAlignment="1">
      <alignment horizontal="center" vertical="center"/>
    </xf>
    <xf numFmtId="230" fontId="0" fillId="0" borderId="53" xfId="0" applyNumberFormat="1" applyBorder="1" applyAlignment="1">
      <alignment horizontal="center"/>
    </xf>
    <xf numFmtId="230" fontId="0" fillId="6" borderId="4" xfId="0" applyNumberFormat="1" applyFill="1" applyBorder="1" applyAlignment="1">
      <alignment horizontal="center"/>
    </xf>
    <xf numFmtId="230" fontId="0" fillId="0" borderId="4" xfId="0" applyNumberFormat="1" applyBorder="1" applyAlignment="1" applyProtection="1">
      <alignment horizontal="center"/>
      <protection locked="0"/>
    </xf>
    <xf numFmtId="230" fontId="0" fillId="6" borderId="6" xfId="0" applyNumberFormat="1" applyFill="1" applyBorder="1" applyAlignment="1">
      <alignment horizontal="center"/>
    </xf>
    <xf numFmtId="230" fontId="0" fillId="6" borderId="4" xfId="0" applyNumberFormat="1" applyFill="1" applyBorder="1" applyAlignment="1" applyProtection="1">
      <alignment horizontal="center"/>
      <protection locked="0"/>
    </xf>
    <xf numFmtId="230" fontId="8" fillId="6" borderId="6" xfId="0" applyNumberFormat="1" applyFont="1" applyFill="1" applyBorder="1" applyAlignment="1">
      <alignment horizontal="center"/>
    </xf>
    <xf numFmtId="230" fontId="8" fillId="0" borderId="4" xfId="0" applyNumberFormat="1" applyFont="1" applyBorder="1" applyAlignment="1">
      <alignment horizontal="center" vertical="center"/>
    </xf>
    <xf numFmtId="230" fontId="0" fillId="57" borderId="4" xfId="0" applyNumberFormat="1" applyFill="1" applyBorder="1" applyAlignment="1">
      <alignment horizontal="center"/>
    </xf>
    <xf numFmtId="230" fontId="0" fillId="60" borderId="4" xfId="0" applyNumberFormat="1" applyFill="1" applyBorder="1" applyAlignment="1">
      <alignment horizontal="center"/>
    </xf>
    <xf numFmtId="230" fontId="0" fillId="0" borderId="52" xfId="0" applyNumberFormat="1" applyBorder="1" applyAlignment="1">
      <alignment horizontal="center"/>
    </xf>
    <xf numFmtId="230" fontId="0" fillId="0" borderId="6" xfId="0" applyNumberFormat="1" applyBorder="1" applyAlignment="1">
      <alignment horizontal="center"/>
    </xf>
    <xf numFmtId="230" fontId="0" fillId="0" borderId="1" xfId="0" applyNumberFormat="1" applyBorder="1" applyAlignment="1" applyProtection="1">
      <alignment horizontal="center"/>
      <protection locked="0"/>
    </xf>
    <xf numFmtId="230" fontId="8" fillId="0" borderId="6" xfId="0" applyNumberFormat="1" applyFont="1" applyBorder="1" applyAlignment="1">
      <alignment horizontal="center"/>
    </xf>
    <xf numFmtId="230" fontId="168" fillId="0" borderId="0" xfId="2206" applyNumberFormat="1" applyFont="1"/>
    <xf numFmtId="230" fontId="5" fillId="0" borderId="4" xfId="0" applyNumberFormat="1" applyFont="1" applyBorder="1" applyAlignment="1">
      <alignment horizontal="center" vertical="center"/>
    </xf>
    <xf numFmtId="230" fontId="5" fillId="0" borderId="6" xfId="0" applyNumberFormat="1" applyFont="1" applyBorder="1" applyAlignment="1">
      <alignment horizontal="center" vertical="center"/>
    </xf>
    <xf numFmtId="3" fontId="8" fillId="4" borderId="0" xfId="0" applyNumberFormat="1" applyFont="1" applyFill="1" applyAlignment="1">
      <alignment horizontal="center"/>
    </xf>
    <xf numFmtId="3" fontId="8" fillId="0" borderId="3" xfId="0" applyNumberFormat="1" applyFont="1" applyBorder="1" applyAlignment="1">
      <alignment horizontal="center"/>
    </xf>
    <xf numFmtId="3" fontId="8" fillId="4" borderId="3" xfId="0" applyNumberFormat="1" applyFont="1" applyFill="1" applyBorder="1" applyAlignment="1">
      <alignment horizontal="center"/>
    </xf>
    <xf numFmtId="3" fontId="8" fillId="97" borderId="0" xfId="0" applyNumberFormat="1" applyFont="1" applyFill="1" applyAlignment="1">
      <alignment horizontal="center"/>
    </xf>
    <xf numFmtId="0" fontId="189" fillId="0" borderId="0" xfId="0" applyFont="1"/>
    <xf numFmtId="235" fontId="2" fillId="60" borderId="1" xfId="0" applyNumberFormat="1" applyFont="1" applyFill="1" applyBorder="1" applyAlignment="1">
      <alignment vertical="center" wrapText="1"/>
    </xf>
    <xf numFmtId="235" fontId="8" fillId="0" borderId="0" xfId="1689" applyNumberFormat="1" applyFont="1" applyAlignment="1">
      <alignment horizontal="center" vertical="center"/>
    </xf>
    <xf numFmtId="235" fontId="156" fillId="0" borderId="0" xfId="0" applyNumberFormat="1" applyFont="1"/>
    <xf numFmtId="235" fontId="11" fillId="0" borderId="0" xfId="1689" applyNumberFormat="1" applyFont="1" applyAlignment="1">
      <alignment horizontal="center"/>
    </xf>
    <xf numFmtId="235" fontId="158" fillId="0" borderId="0" xfId="1689" applyNumberFormat="1" applyFont="1" applyAlignment="1">
      <alignment horizontal="center" vertical="center"/>
    </xf>
    <xf numFmtId="235" fontId="159" fillId="0" borderId="0" xfId="1689" applyNumberFormat="1" applyFont="1" applyAlignment="1">
      <alignment horizontal="center"/>
    </xf>
    <xf numFmtId="235" fontId="160" fillId="0" borderId="0" xfId="1689" applyNumberFormat="1" applyFont="1" applyAlignment="1">
      <alignment horizontal="center"/>
    </xf>
    <xf numFmtId="230" fontId="0" fillId="57" borderId="4" xfId="1689" applyNumberFormat="1" applyFont="1" applyFill="1" applyBorder="1" applyAlignment="1">
      <alignment horizontal="center"/>
    </xf>
    <xf numFmtId="235" fontId="166" fillId="0" borderId="0" xfId="1689" applyNumberFormat="1" applyFont="1" applyAlignment="1">
      <alignment horizontal="center" vertical="center"/>
    </xf>
    <xf numFmtId="3" fontId="8" fillId="0" borderId="0" xfId="0" applyNumberFormat="1" applyFont="1" applyAlignment="1">
      <alignment horizontal="center" vertical="center"/>
    </xf>
    <xf numFmtId="235" fontId="161" fillId="0" borderId="0" xfId="1689" applyNumberFormat="1" applyFont="1" applyAlignment="1">
      <alignment horizontal="center" vertical="center"/>
    </xf>
    <xf numFmtId="230" fontId="0" fillId="6" borderId="6" xfId="1689" applyNumberFormat="1" applyFont="1" applyFill="1" applyBorder="1" applyAlignment="1"/>
    <xf numFmtId="232" fontId="157" fillId="0" borderId="0" xfId="2206" applyNumberFormat="1" applyFont="1" applyAlignment="1">
      <alignment horizontal="center"/>
    </xf>
    <xf numFmtId="3" fontId="0" fillId="0" borderId="53" xfId="0" applyNumberFormat="1" applyBorder="1" applyAlignment="1">
      <alignment horizontal="right"/>
    </xf>
    <xf numFmtId="3" fontId="0" fillId="0" borderId="4" xfId="0" applyNumberFormat="1" applyBorder="1" applyAlignment="1">
      <alignment horizontal="right"/>
    </xf>
    <xf numFmtId="0" fontId="8" fillId="100" borderId="3" xfId="0" applyFont="1" applyFill="1" applyBorder="1"/>
    <xf numFmtId="0" fontId="158" fillId="98" borderId="3" xfId="0" applyFont="1" applyFill="1" applyBorder="1"/>
    <xf numFmtId="3" fontId="158" fillId="98" borderId="6" xfId="0" applyNumberFormat="1" applyFont="1" applyFill="1" applyBorder="1" applyAlignment="1">
      <alignment horizontal="center"/>
    </xf>
    <xf numFmtId="3" fontId="158" fillId="98" borderId="4" xfId="0" applyNumberFormat="1" applyFont="1" applyFill="1" applyBorder="1" applyAlignment="1">
      <alignment horizontal="center"/>
    </xf>
    <xf numFmtId="3" fontId="158" fillId="98" borderId="7" xfId="0" applyNumberFormat="1" applyFont="1" applyFill="1" applyBorder="1" applyAlignment="1">
      <alignment horizontal="center"/>
    </xf>
    <xf numFmtId="10" fontId="158" fillId="98" borderId="4" xfId="0" applyNumberFormat="1" applyFont="1" applyFill="1" applyBorder="1" applyAlignment="1">
      <alignment horizontal="center"/>
    </xf>
    <xf numFmtId="10" fontId="190" fillId="98" borderId="4" xfId="0" applyNumberFormat="1" applyFont="1" applyFill="1" applyBorder="1" applyAlignment="1">
      <alignment horizontal="center"/>
    </xf>
    <xf numFmtId="0" fontId="158" fillId="98" borderId="4" xfId="0" applyFont="1" applyFill="1" applyBorder="1"/>
    <xf numFmtId="3" fontId="190" fillId="98" borderId="6" xfId="0" applyNumberFormat="1" applyFont="1" applyFill="1" applyBorder="1" applyAlignment="1">
      <alignment horizontal="center"/>
    </xf>
    <xf numFmtId="0" fontId="191" fillId="98" borderId="3" xfId="0" applyFont="1" applyFill="1" applyBorder="1"/>
    <xf numFmtId="3" fontId="16" fillId="98" borderId="0" xfId="0" applyNumberFormat="1" applyFont="1" applyFill="1" applyAlignment="1">
      <alignment horizontal="center"/>
    </xf>
    <xf numFmtId="0" fontId="191" fillId="98" borderId="6" xfId="0" applyFont="1" applyFill="1" applyBorder="1"/>
    <xf numFmtId="0" fontId="9" fillId="100" borderId="3" xfId="0" applyFont="1" applyFill="1" applyBorder="1"/>
    <xf numFmtId="0" fontId="9" fillId="100" borderId="3" xfId="0" applyFont="1" applyFill="1" applyBorder="1" applyAlignment="1">
      <alignment horizontal="center"/>
    </xf>
    <xf numFmtId="10" fontId="8" fillId="100" borderId="4" xfId="1689" applyNumberFormat="1" applyFont="1" applyFill="1" applyBorder="1" applyAlignment="1">
      <alignment horizontal="center"/>
    </xf>
    <xf numFmtId="0" fontId="9" fillId="0" borderId="3" xfId="0" applyFont="1" applyBorder="1"/>
    <xf numFmtId="43" fontId="9" fillId="0" borderId="0" xfId="0" applyNumberFormat="1" applyFont="1"/>
    <xf numFmtId="10" fontId="9" fillId="0" borderId="0" xfId="2206" applyNumberFormat="1" applyFont="1"/>
    <xf numFmtId="3" fontId="158" fillId="101" borderId="6" xfId="0" applyNumberFormat="1" applyFont="1" applyFill="1" applyBorder="1" applyAlignment="1">
      <alignment horizontal="center"/>
    </xf>
    <xf numFmtId="0" fontId="192" fillId="0" borderId="0" xfId="0" applyFont="1" applyAlignment="1">
      <alignment vertical="center"/>
    </xf>
    <xf numFmtId="43" fontId="8" fillId="0" borderId="5" xfId="1689" applyNumberFormat="1" applyFont="1" applyBorder="1" applyAlignment="1">
      <alignment horizontal="center" vertical="center"/>
    </xf>
    <xf numFmtId="10" fontId="191" fillId="98" borderId="3" xfId="2206" applyNumberFormat="1" applyFont="1" applyFill="1" applyBorder="1"/>
    <xf numFmtId="10" fontId="158" fillId="98" borderId="4" xfId="2206" applyNumberFormat="1" applyFont="1" applyFill="1" applyBorder="1" applyAlignment="1">
      <alignment horizontal="center"/>
    </xf>
    <xf numFmtId="10" fontId="10" fillId="0" borderId="0" xfId="2206" applyNumberFormat="1" applyFont="1" applyAlignment="1">
      <alignment horizontal="center"/>
    </xf>
    <xf numFmtId="9" fontId="8" fillId="0" borderId="0" xfId="0" applyNumberFormat="1" applyFont="1" applyAlignment="1">
      <alignment horizontal="center" vertical="center"/>
    </xf>
    <xf numFmtId="0" fontId="7" fillId="0" borderId="0" xfId="1" applyFont="1" applyAlignment="1" applyProtection="1"/>
    <xf numFmtId="43" fontId="8" fillId="0" borderId="0" xfId="0" applyNumberFormat="1" applyFont="1" applyAlignment="1">
      <alignment horizontal="center" vertical="center"/>
    </xf>
    <xf numFmtId="230" fontId="10" fillId="2" borderId="0" xfId="1689" applyNumberFormat="1" applyFont="1" applyFill="1" applyBorder="1" applyAlignment="1">
      <alignment horizontal="center"/>
    </xf>
    <xf numFmtId="230" fontId="5" fillId="0" borderId="0" xfId="1689" applyNumberFormat="1" applyFont="1" applyAlignment="1">
      <alignment horizontal="center"/>
    </xf>
    <xf numFmtId="49" fontId="186" fillId="2" borderId="2" xfId="0" applyNumberFormat="1" applyFont="1" applyFill="1" applyBorder="1" applyAlignment="1">
      <alignment horizontal="center" vertical="center"/>
    </xf>
    <xf numFmtId="49" fontId="186" fillId="2" borderId="4" xfId="0" applyNumberFormat="1" applyFont="1" applyFill="1" applyBorder="1" applyAlignment="1">
      <alignment horizontal="center" vertical="center" wrapText="1"/>
    </xf>
    <xf numFmtId="49" fontId="188" fillId="0" borderId="0" xfId="1689" applyNumberFormat="1" applyFont="1"/>
    <xf numFmtId="49" fontId="188" fillId="0" borderId="0" xfId="0" applyNumberFormat="1" applyFont="1"/>
    <xf numFmtId="49" fontId="193" fillId="102" borderId="5" xfId="0" quotePrefix="1" applyNumberFormat="1" applyFont="1" applyFill="1" applyBorder="1" applyAlignment="1">
      <alignment horizontal="center" vertical="center" wrapText="1"/>
    </xf>
    <xf numFmtId="43" fontId="157" fillId="0" borderId="0" xfId="1689" applyNumberFormat="1" applyFont="1" applyAlignment="1">
      <alignment horizontal="center"/>
    </xf>
    <xf numFmtId="230" fontId="0" fillId="0" borderId="4" xfId="1689" applyNumberFormat="1" applyFont="1" applyBorder="1" applyAlignment="1">
      <alignment horizontal="center" vertical="center"/>
    </xf>
    <xf numFmtId="3" fontId="0" fillId="0" borderId="4" xfId="0" applyNumberFormat="1" applyBorder="1" applyAlignment="1">
      <alignment horizontal="center" vertical="center"/>
    </xf>
    <xf numFmtId="230" fontId="0" fillId="6" borderId="6" xfId="1689" applyNumberFormat="1" applyFont="1" applyFill="1" applyBorder="1" applyAlignment="1">
      <alignment horizontal="center" vertical="center"/>
    </xf>
    <xf numFmtId="236" fontId="0" fillId="0" borderId="0" xfId="1689" applyNumberFormat="1" applyFont="1"/>
    <xf numFmtId="4" fontId="158" fillId="99" borderId="3" xfId="0" applyNumberFormat="1" applyFont="1" applyFill="1" applyBorder="1" applyAlignment="1">
      <alignment horizontal="center" vertical="center" wrapText="1"/>
    </xf>
    <xf numFmtId="237" fontId="9" fillId="0" borderId="0" xfId="1689" applyNumberFormat="1" applyFont="1"/>
    <xf numFmtId="170" fontId="168" fillId="0" borderId="0" xfId="1689" applyFont="1"/>
    <xf numFmtId="3" fontId="8" fillId="100" borderId="3" xfId="0" applyNumberFormat="1" applyFont="1" applyFill="1" applyBorder="1"/>
    <xf numFmtId="4" fontId="9" fillId="100" borderId="3" xfId="0" applyNumberFormat="1" applyFont="1" applyFill="1" applyBorder="1"/>
    <xf numFmtId="4" fontId="8" fillId="0" borderId="3" xfId="0" applyNumberFormat="1" applyFont="1" applyBorder="1"/>
    <xf numFmtId="230" fontId="8" fillId="57" borderId="5" xfId="1689" applyNumberFormat="1" applyFont="1" applyFill="1" applyBorder="1" applyAlignment="1">
      <alignment horizontal="center" vertical="center"/>
    </xf>
    <xf numFmtId="4" fontId="166" fillId="57" borderId="3" xfId="0" applyNumberFormat="1" applyFont="1" applyFill="1" applyBorder="1" applyAlignment="1">
      <alignment horizontal="center" vertical="center" wrapText="1"/>
    </xf>
    <xf numFmtId="0" fontId="7" fillId="0" borderId="0" xfId="1" applyFont="1" applyAlignment="1" applyProtection="1">
      <alignment horizontal="center"/>
    </xf>
    <xf numFmtId="0" fontId="8" fillId="0" borderId="8" xfId="0" applyFont="1" applyBorder="1" applyAlignment="1">
      <alignment horizontal="center"/>
    </xf>
    <xf numFmtId="4" fontId="4" fillId="2" borderId="1" xfId="0" applyNumberFormat="1" applyFont="1" applyFill="1" applyBorder="1" applyAlignment="1">
      <alignment horizontal="center" vertical="center" wrapText="1"/>
    </xf>
    <xf numFmtId="4" fontId="4" fillId="2" borderId="2" xfId="0" applyNumberFormat="1" applyFont="1" applyFill="1" applyBorder="1" applyAlignment="1">
      <alignment horizontal="center" vertical="center" wrapText="1"/>
    </xf>
    <xf numFmtId="4" fontId="5" fillId="2" borderId="1" xfId="0" applyNumberFormat="1" applyFont="1" applyFill="1" applyBorder="1" applyAlignment="1">
      <alignment horizontal="center" vertical="center" wrapText="1"/>
    </xf>
    <xf numFmtId="4" fontId="5" fillId="2" borderId="2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4" fontId="3" fillId="2" borderId="1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171" fontId="8" fillId="0" borderId="1" xfId="0" applyNumberFormat="1" applyFont="1" applyBorder="1" applyAlignment="1">
      <alignment horizontal="center" vertical="center"/>
    </xf>
    <xf numFmtId="171" fontId="8" fillId="0" borderId="9" xfId="0" applyNumberFormat="1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171" fontId="8" fillId="6" borderId="1" xfId="0" applyNumberFormat="1" applyFont="1" applyFill="1" applyBorder="1" applyAlignment="1">
      <alignment horizontal="center" vertical="center"/>
    </xf>
    <xf numFmtId="171" fontId="8" fillId="6" borderId="9" xfId="0" applyNumberFormat="1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8" fillId="6" borderId="9" xfId="0" applyFont="1" applyFill="1" applyBorder="1" applyAlignment="1">
      <alignment horizontal="center" vertical="center"/>
    </xf>
    <xf numFmtId="171" fontId="8" fillId="60" borderId="1" xfId="0" applyNumberFormat="1" applyFont="1" applyFill="1" applyBorder="1" applyAlignment="1">
      <alignment horizontal="center" vertical="center"/>
    </xf>
    <xf numFmtId="171" fontId="8" fillId="60" borderId="9" xfId="0" applyNumberFormat="1" applyFont="1" applyFill="1" applyBorder="1" applyAlignment="1">
      <alignment horizontal="center" vertical="center"/>
    </xf>
    <xf numFmtId="170" fontId="8" fillId="60" borderId="1" xfId="1689" applyFont="1" applyFill="1" applyBorder="1" applyAlignment="1">
      <alignment horizontal="center" vertical="center" wrapText="1"/>
    </xf>
    <xf numFmtId="170" fontId="8" fillId="60" borderId="2" xfId="1689" applyFont="1" applyFill="1" applyBorder="1" applyAlignment="1">
      <alignment horizontal="center" vertical="center" wrapText="1"/>
    </xf>
    <xf numFmtId="4" fontId="8" fillId="60" borderId="1" xfId="0" applyNumberFormat="1" applyFont="1" applyFill="1" applyBorder="1" applyAlignment="1">
      <alignment horizontal="center" vertical="center" wrapText="1"/>
    </xf>
    <xf numFmtId="4" fontId="8" fillId="60" borderId="2" xfId="0" applyNumberFormat="1" applyFont="1" applyFill="1" applyBorder="1" applyAlignment="1">
      <alignment horizontal="center" vertical="center" wrapText="1"/>
    </xf>
    <xf numFmtId="4" fontId="8" fillId="57" borderId="1" xfId="0" applyNumberFormat="1" applyFont="1" applyFill="1" applyBorder="1" applyAlignment="1">
      <alignment horizontal="center" vertical="center" wrapText="1"/>
    </xf>
    <xf numFmtId="4" fontId="8" fillId="57" borderId="2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230" fontId="8" fillId="60" borderId="1" xfId="1689" applyNumberFormat="1" applyFont="1" applyFill="1" applyBorder="1" applyAlignment="1">
      <alignment horizontal="center" vertical="center" wrapText="1"/>
    </xf>
    <xf numFmtId="230" fontId="8" fillId="60" borderId="2" xfId="1689" applyNumberFormat="1" applyFont="1" applyFill="1" applyBorder="1" applyAlignment="1">
      <alignment horizontal="center" vertical="center" wrapText="1"/>
    </xf>
    <xf numFmtId="0" fontId="2" fillId="60" borderId="1" xfId="0" applyFont="1" applyFill="1" applyBorder="1" applyAlignment="1">
      <alignment horizontal="center" vertical="center" wrapText="1"/>
    </xf>
    <xf numFmtId="0" fontId="2" fillId="60" borderId="2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9" fillId="57" borderId="8" xfId="0" applyFont="1" applyFill="1" applyBorder="1" applyAlignment="1">
      <alignment horizontal="center"/>
    </xf>
    <xf numFmtId="0" fontId="8" fillId="0" borderId="0" xfId="2204" applyFont="1" applyAlignment="1">
      <alignment horizontal="center" vertical="center"/>
    </xf>
    <xf numFmtId="0" fontId="8" fillId="0" borderId="3" xfId="2204" applyFont="1" applyBorder="1" applyAlignment="1">
      <alignment horizontal="center" vertical="center"/>
    </xf>
    <xf numFmtId="0" fontId="8" fillId="0" borderId="6" xfId="2204" applyFont="1" applyBorder="1" applyAlignment="1">
      <alignment horizontal="center" vertical="center"/>
    </xf>
    <xf numFmtId="171" fontId="8" fillId="0" borderId="1" xfId="2204" applyNumberFormat="1" applyFont="1" applyBorder="1" applyAlignment="1">
      <alignment horizontal="center" vertical="center"/>
    </xf>
    <xf numFmtId="171" fontId="8" fillId="0" borderId="9" xfId="2204" applyNumberFormat="1" applyFont="1" applyBorder="1" applyAlignment="1">
      <alignment horizontal="center" vertical="center"/>
    </xf>
    <xf numFmtId="0" fontId="8" fillId="0" borderId="8" xfId="2204" applyFont="1" applyBorder="1" applyAlignment="1">
      <alignment horizontal="center"/>
    </xf>
    <xf numFmtId="0" fontId="3" fillId="2" borderId="1" xfId="2204" applyFont="1" applyFill="1" applyBorder="1" applyAlignment="1">
      <alignment horizontal="center" vertical="center" wrapText="1"/>
    </xf>
    <xf numFmtId="0" fontId="3" fillId="2" borderId="2" xfId="2204" applyFont="1" applyFill="1" applyBorder="1" applyAlignment="1">
      <alignment horizontal="center" vertical="center" wrapText="1"/>
    </xf>
    <xf numFmtId="0" fontId="8" fillId="0" borderId="1" xfId="2204" applyFont="1" applyBorder="1" applyAlignment="1">
      <alignment horizontal="center" vertical="center"/>
    </xf>
    <xf numFmtId="0" fontId="8" fillId="0" borderId="9" xfId="2204" applyFont="1" applyBorder="1" applyAlignment="1">
      <alignment horizontal="center" vertical="center"/>
    </xf>
    <xf numFmtId="0" fontId="2" fillId="2" borderId="1" xfId="2204" applyFont="1" applyFill="1" applyBorder="1" applyAlignment="1">
      <alignment horizontal="center" vertical="center"/>
    </xf>
    <xf numFmtId="0" fontId="2" fillId="2" borderId="2" xfId="2204" applyFont="1" applyFill="1" applyBorder="1" applyAlignment="1">
      <alignment horizontal="center" vertical="center"/>
    </xf>
    <xf numFmtId="230" fontId="8" fillId="6" borderId="1" xfId="1689" applyNumberFormat="1" applyFont="1" applyFill="1" applyBorder="1" applyAlignment="1">
      <alignment horizontal="center" vertical="center"/>
    </xf>
    <xf numFmtId="230" fontId="8" fillId="6" borderId="9" xfId="1689" applyNumberFormat="1" applyFont="1" applyFill="1" applyBorder="1" applyAlignment="1">
      <alignment horizontal="center" vertical="center"/>
    </xf>
    <xf numFmtId="230" fontId="8" fillId="0" borderId="1" xfId="1689" applyNumberFormat="1" applyFont="1" applyBorder="1" applyAlignment="1">
      <alignment horizontal="center" vertical="center"/>
    </xf>
    <xf numFmtId="230" fontId="8" fillId="0" borderId="9" xfId="1689" applyNumberFormat="1" applyFont="1" applyBorder="1" applyAlignment="1">
      <alignment horizontal="center" vertical="center"/>
    </xf>
    <xf numFmtId="171" fontId="8" fillId="6" borderId="53" xfId="0" applyNumberFormat="1" applyFont="1" applyFill="1" applyBorder="1" applyAlignment="1">
      <alignment horizontal="center" vertical="center"/>
    </xf>
    <xf numFmtId="230" fontId="8" fillId="0" borderId="1" xfId="0" applyNumberFormat="1" applyFont="1" applyBorder="1" applyAlignment="1">
      <alignment horizontal="center" vertical="center"/>
    </xf>
    <xf numFmtId="230" fontId="8" fillId="0" borderId="9" xfId="0" applyNumberFormat="1" applyFont="1" applyBorder="1" applyAlignment="1">
      <alignment horizontal="center" vertical="center"/>
    </xf>
    <xf numFmtId="230" fontId="8" fillId="6" borderId="1" xfId="0" applyNumberFormat="1" applyFont="1" applyFill="1" applyBorder="1" applyAlignment="1">
      <alignment horizontal="center" vertical="center"/>
    </xf>
    <xf numFmtId="230" fontId="8" fillId="6" borderId="9" xfId="0" applyNumberFormat="1" applyFont="1" applyFill="1" applyBorder="1" applyAlignment="1">
      <alignment horizontal="center" vertical="center"/>
    </xf>
    <xf numFmtId="4" fontId="166" fillId="60" borderId="1" xfId="0" applyNumberFormat="1" applyFont="1" applyFill="1" applyBorder="1" applyAlignment="1">
      <alignment horizontal="center" vertical="center" wrapText="1"/>
    </xf>
    <xf numFmtId="4" fontId="166" fillId="60" borderId="2" xfId="0" applyNumberFormat="1" applyFont="1" applyFill="1" applyBorder="1" applyAlignment="1">
      <alignment horizontal="center" vertical="center" wrapText="1"/>
    </xf>
    <xf numFmtId="4" fontId="166" fillId="60" borderId="53" xfId="0" applyNumberFormat="1" applyFont="1" applyFill="1" applyBorder="1" applyAlignment="1">
      <alignment horizontal="center" vertical="center" wrapText="1"/>
    </xf>
    <xf numFmtId="0" fontId="2" fillId="2" borderId="53" xfId="0" applyFont="1" applyFill="1" applyBorder="1" applyAlignment="1">
      <alignment horizontal="center" vertical="center" wrapText="1"/>
    </xf>
    <xf numFmtId="230" fontId="166" fillId="60" borderId="1" xfId="0" applyNumberFormat="1" applyFont="1" applyFill="1" applyBorder="1" applyAlignment="1">
      <alignment horizontal="center" vertical="center" wrapText="1"/>
    </xf>
    <xf numFmtId="230" fontId="166" fillId="60" borderId="2" xfId="0" applyNumberFormat="1" applyFont="1" applyFill="1" applyBorder="1" applyAlignment="1">
      <alignment horizontal="center" vertical="center" wrapText="1"/>
    </xf>
    <xf numFmtId="230" fontId="161" fillId="57" borderId="1" xfId="1689" applyNumberFormat="1" applyFont="1" applyFill="1" applyBorder="1" applyAlignment="1">
      <alignment horizontal="center" vertical="center" wrapText="1"/>
    </xf>
    <xf numFmtId="230" fontId="161" fillId="57" borderId="2" xfId="1689" applyNumberFormat="1" applyFont="1" applyFill="1" applyBorder="1" applyAlignment="1">
      <alignment horizontal="center" vertical="center" wrapText="1"/>
    </xf>
    <xf numFmtId="43" fontId="0" fillId="0" borderId="3" xfId="0" applyNumberFormat="1" applyBorder="1"/>
  </cellXfs>
  <cellStyles count="2558">
    <cellStyle name="_x0005_" xfId="204" xr:uid="{00000000-0005-0000-0000-000000000000}"/>
    <cellStyle name="_x0005_ 2" xfId="262" xr:uid="{00000000-0005-0000-0000-000001000000}"/>
    <cellStyle name="_x0005_ 3" xfId="263" xr:uid="{00000000-0005-0000-0000-000002000000}"/>
    <cellStyle name="_x0005_ 4" xfId="264" xr:uid="{00000000-0005-0000-0000-000003000000}"/>
    <cellStyle name="_x0005_ 5" xfId="265" xr:uid="{00000000-0005-0000-0000-000004000000}"/>
    <cellStyle name="_x0005_ 6" xfId="266" xr:uid="{00000000-0005-0000-0000-000005000000}"/>
    <cellStyle name="_x0005_ 7" xfId="267" xr:uid="{00000000-0005-0000-0000-000006000000}"/>
    <cellStyle name="&quot;Percent&quot;" xfId="268" xr:uid="{00000000-0005-0000-0000-000007000000}"/>
    <cellStyle name="?_x001d_??%U²u&amp;H²9_x0008_? s_x000a__x0007__x0001__x0001_" xfId="269" xr:uid="{00000000-0005-0000-0000-000008000000}"/>
    <cellStyle name="???????" xfId="205" xr:uid="{00000000-0005-0000-0000-000009000000}"/>
    <cellStyle name="????????????" xfId="206" xr:uid="{00000000-0005-0000-0000-00000A000000}"/>
    <cellStyle name="???????_BILL" xfId="207" xr:uid="{00000000-0005-0000-0000-00000B000000}"/>
    <cellStyle name="??A? [0]_laroux_1_¸???™? " xfId="270" xr:uid="{00000000-0005-0000-0000-00000C000000}"/>
    <cellStyle name="??A?_laroux_1_¸???™? " xfId="271" xr:uid="{00000000-0005-0000-0000-00000D000000}"/>
    <cellStyle name="?”´?_?¼??¤´_¸???™? " xfId="272" xr:uid="{00000000-0005-0000-0000-00000E000000}"/>
    <cellStyle name="?曹%U?&amp;H?_x0008_?s_x000a__x0007__x0001__x0001_" xfId="273" xr:uid="{00000000-0005-0000-0000-00000F000000}"/>
    <cellStyle name="_2008.10.08 CFC Retail - Interim Valuation Rec 01" xfId="274" xr:uid="{00000000-0005-0000-0000-000010000000}"/>
    <cellStyle name="_B.O.Q VOL(3,4)-Naeem- 14-03-08-mm" xfId="275" xr:uid="{00000000-0005-0000-0000-000011000000}"/>
    <cellStyle name="_x0005__BOQ ( insulation r )" xfId="276" xr:uid="{00000000-0005-0000-0000-000012000000}"/>
    <cellStyle name="_x0005__BOQ ( LANDSCAPE r )" xfId="277" xr:uid="{00000000-0005-0000-0000-000013000000}"/>
    <cellStyle name="_BOQ Final 28-6-2006" xfId="278" xr:uid="{00000000-0005-0000-0000-000014000000}"/>
    <cellStyle name="_Boq Hermes 4-12-07" xfId="279" xr:uid="{00000000-0005-0000-0000-000015000000}"/>
    <cellStyle name="_Boq Hermes 4-12-07 FINAAAAL" xfId="280" xr:uid="{00000000-0005-0000-0000-000016000000}"/>
    <cellStyle name="_x0005__Copy of salaries" xfId="281" xr:uid="{00000000-0005-0000-0000-000017000000}"/>
    <cellStyle name="_x0005__Door&amp;Window" xfId="282" xr:uid="{00000000-0005-0000-0000-000018000000}"/>
    <cellStyle name="_x0005__Equipment" xfId="283" xr:uid="{00000000-0005-0000-0000-000019000000}"/>
    <cellStyle name="_Faheem Prestressed" xfId="284" xr:uid="{00000000-0005-0000-0000-00001A000000}"/>
    <cellStyle name="_x0005__FINISH" xfId="285" xr:uid="{00000000-0005-0000-0000-00001B000000}"/>
    <cellStyle name="_HSBC CRPC - BOQ 2 Structural" xfId="286" xr:uid="{00000000-0005-0000-0000-00001C000000}"/>
    <cellStyle name="_HSBC CRPC - BOQ 2 Structural_BOQ Arch + Struct" xfId="287" xr:uid="{00000000-0005-0000-0000-00001D000000}"/>
    <cellStyle name="_x0005__Masonry" xfId="288" xr:uid="{00000000-0005-0000-0000-00001E000000}"/>
    <cellStyle name="_MEASUREMENT SHEET" xfId="289" xr:uid="{00000000-0005-0000-0000-00001F000000}"/>
    <cellStyle name="_x0005__METAL" xfId="290" xr:uid="{00000000-0005-0000-0000-000020000000}"/>
    <cellStyle name="_Prelims 144 for Early Works SPREAD" xfId="291" xr:uid="{00000000-0005-0000-0000-000021000000}"/>
    <cellStyle name="_prilims based on 40 month =255" xfId="292" xr:uid="{00000000-0005-0000-0000-000022000000}"/>
    <cellStyle name="_prilims based on 40 month =270" xfId="293" xr:uid="{00000000-0005-0000-0000-000023000000}"/>
    <cellStyle name="_VSL- Post tension Naeem Head Office" xfId="294" xr:uid="{00000000-0005-0000-0000-000024000000}"/>
    <cellStyle name="|à_x0001_m" xfId="208" xr:uid="{00000000-0005-0000-0000-000025000000}"/>
    <cellStyle name="|à_x0001_m 2" xfId="295" xr:uid="{00000000-0005-0000-0000-000026000000}"/>
    <cellStyle name="؟”´ذ_Civil-BASE (2)" xfId="209" xr:uid="{00000000-0005-0000-0000-000027000000}"/>
    <cellStyle name="£/mhr" xfId="296" xr:uid="{00000000-0005-0000-0000-000028000000}"/>
    <cellStyle name="‰آëص [0.00]_…R„ع9606_1_1amee" xfId="210" xr:uid="{00000000-0005-0000-0000-000029000000}"/>
    <cellStyle name="‰آëص_…R„ع9606_1„ع9606_1" xfId="211" xr:uid="{00000000-0005-0000-0000-00002A000000}"/>
    <cellStyle name="0,0_x000a__x000a_NA_x000a__x000a_" xfId="297" xr:uid="{00000000-0005-0000-0000-00002B000000}"/>
    <cellStyle name="0,0_x000d__x000a_NA_x000d__x000a_" xfId="212" xr:uid="{00000000-0005-0000-0000-00002C000000}"/>
    <cellStyle name="20% - Accent1" xfId="2532" builtinId="30" customBuiltin="1"/>
    <cellStyle name="20% - Accent1 2" xfId="298" xr:uid="{00000000-0005-0000-0000-00002E000000}"/>
    <cellStyle name="20% - Accent2" xfId="2536" builtinId="34" customBuiltin="1"/>
    <cellStyle name="20% - Accent2 2" xfId="299" xr:uid="{00000000-0005-0000-0000-000030000000}"/>
    <cellStyle name="20% - Accent3" xfId="2540" builtinId="38" customBuiltin="1"/>
    <cellStyle name="20% - Accent3 2" xfId="300" xr:uid="{00000000-0005-0000-0000-000032000000}"/>
    <cellStyle name="20% - Accent4" xfId="2544" builtinId="42" customBuiltin="1"/>
    <cellStyle name="20% - Accent4 2" xfId="301" xr:uid="{00000000-0005-0000-0000-000034000000}"/>
    <cellStyle name="20% - Accent5" xfId="2548" builtinId="46" customBuiltin="1"/>
    <cellStyle name="20% - Accent5 2" xfId="302" xr:uid="{00000000-0005-0000-0000-000036000000}"/>
    <cellStyle name="20% - Accent6" xfId="2552" builtinId="50" customBuiltin="1"/>
    <cellStyle name="20% - Accent6 2" xfId="303" xr:uid="{00000000-0005-0000-0000-000038000000}"/>
    <cellStyle name="20% - تمييز1" xfId="304" xr:uid="{00000000-0005-0000-0000-000039000000}"/>
    <cellStyle name="20% - تمييز2" xfId="305" xr:uid="{00000000-0005-0000-0000-00003A000000}"/>
    <cellStyle name="20% - تمييز3" xfId="306" xr:uid="{00000000-0005-0000-0000-00003B000000}"/>
    <cellStyle name="20% - تمييز4" xfId="307" xr:uid="{00000000-0005-0000-0000-00003C000000}"/>
    <cellStyle name="20% - تمييز5" xfId="308" xr:uid="{00000000-0005-0000-0000-00003D000000}"/>
    <cellStyle name="20% - تمييز6" xfId="309" xr:uid="{00000000-0005-0000-0000-00003E000000}"/>
    <cellStyle name="40% - Accent1" xfId="2533" builtinId="31" customBuiltin="1"/>
    <cellStyle name="40% - Accent1 2" xfId="310" xr:uid="{00000000-0005-0000-0000-000040000000}"/>
    <cellStyle name="40% - Accent2" xfId="2537" builtinId="35" customBuiltin="1"/>
    <cellStyle name="40% - Accent2 2" xfId="311" xr:uid="{00000000-0005-0000-0000-000042000000}"/>
    <cellStyle name="40% - Accent3" xfId="2541" builtinId="39" customBuiltin="1"/>
    <cellStyle name="40% - Accent3 2" xfId="312" xr:uid="{00000000-0005-0000-0000-000044000000}"/>
    <cellStyle name="40% - Accent4" xfId="2545" builtinId="43" customBuiltin="1"/>
    <cellStyle name="40% - Accent4 2" xfId="313" xr:uid="{00000000-0005-0000-0000-000046000000}"/>
    <cellStyle name="40% - Accent5" xfId="2549" builtinId="47" customBuiltin="1"/>
    <cellStyle name="40% - Accent5 2" xfId="314" xr:uid="{00000000-0005-0000-0000-000048000000}"/>
    <cellStyle name="40% - Accent6" xfId="2553" builtinId="51" customBuiltin="1"/>
    <cellStyle name="40% - Accent6 2" xfId="315" xr:uid="{00000000-0005-0000-0000-00004A000000}"/>
    <cellStyle name="40% - تمييز1" xfId="316" xr:uid="{00000000-0005-0000-0000-00004B000000}"/>
    <cellStyle name="40% - تمييز2" xfId="317" xr:uid="{00000000-0005-0000-0000-00004C000000}"/>
    <cellStyle name="40% - تمييز3" xfId="318" xr:uid="{00000000-0005-0000-0000-00004D000000}"/>
    <cellStyle name="40% - تمييز4" xfId="319" xr:uid="{00000000-0005-0000-0000-00004E000000}"/>
    <cellStyle name="40% - تمييز5" xfId="320" xr:uid="{00000000-0005-0000-0000-00004F000000}"/>
    <cellStyle name="40% - تمييز6" xfId="321" xr:uid="{00000000-0005-0000-0000-000050000000}"/>
    <cellStyle name="60% - Accent1" xfId="2534" builtinId="32" customBuiltin="1"/>
    <cellStyle name="60% - Accent1 2" xfId="322" xr:uid="{00000000-0005-0000-0000-000052000000}"/>
    <cellStyle name="60% - Accent2" xfId="2538" builtinId="36" customBuiltin="1"/>
    <cellStyle name="60% - Accent2 2" xfId="323" xr:uid="{00000000-0005-0000-0000-000054000000}"/>
    <cellStyle name="60% - Accent3" xfId="2542" builtinId="40" customBuiltin="1"/>
    <cellStyle name="60% - Accent3 2" xfId="324" xr:uid="{00000000-0005-0000-0000-000056000000}"/>
    <cellStyle name="60% - Accent4" xfId="2546" builtinId="44" customBuiltin="1"/>
    <cellStyle name="60% - Accent4 2" xfId="325" xr:uid="{00000000-0005-0000-0000-000058000000}"/>
    <cellStyle name="60% - Accent5" xfId="2550" builtinId="48" customBuiltin="1"/>
    <cellStyle name="60% - Accent5 2" xfId="326" xr:uid="{00000000-0005-0000-0000-00005A000000}"/>
    <cellStyle name="60% - Accent6" xfId="2554" builtinId="52" customBuiltin="1"/>
    <cellStyle name="60% - Accent6 2" xfId="327" xr:uid="{00000000-0005-0000-0000-00005C000000}"/>
    <cellStyle name="60% - تمييز1" xfId="328" xr:uid="{00000000-0005-0000-0000-00005D000000}"/>
    <cellStyle name="60% - تمييز2" xfId="329" xr:uid="{00000000-0005-0000-0000-00005E000000}"/>
    <cellStyle name="60% - تمييز3" xfId="330" xr:uid="{00000000-0005-0000-0000-00005F000000}"/>
    <cellStyle name="60% - تمييز4" xfId="331" xr:uid="{00000000-0005-0000-0000-000060000000}"/>
    <cellStyle name="60% - تمييز5" xfId="332" xr:uid="{00000000-0005-0000-0000-000061000000}"/>
    <cellStyle name="60% - تمييز6" xfId="333" xr:uid="{00000000-0005-0000-0000-000062000000}"/>
    <cellStyle name="Acc1" xfId="334" xr:uid="{00000000-0005-0000-0000-000063000000}"/>
    <cellStyle name="Acc1 2" xfId="1704" xr:uid="{00000000-0005-0000-0000-000064000000}"/>
    <cellStyle name="Accent1" xfId="2531" builtinId="29" customBuiltin="1"/>
    <cellStyle name="Accent1 - 20%" xfId="49" xr:uid="{00000000-0005-0000-0000-000066000000}"/>
    <cellStyle name="Accent1 - 20% 2" xfId="335" xr:uid="{00000000-0005-0000-0000-000067000000}"/>
    <cellStyle name="Accent1 - 40%" xfId="50" xr:uid="{00000000-0005-0000-0000-000068000000}"/>
    <cellStyle name="Accent1 - 40% 2" xfId="336" xr:uid="{00000000-0005-0000-0000-000069000000}"/>
    <cellStyle name="Accent1 - 60%" xfId="51" xr:uid="{00000000-0005-0000-0000-00006A000000}"/>
    <cellStyle name="Accent1 - 60% 2" xfId="337" xr:uid="{00000000-0005-0000-0000-00006B000000}"/>
    <cellStyle name="Accent1 2" xfId="52" xr:uid="{00000000-0005-0000-0000-00006C000000}"/>
    <cellStyle name="Accent1 2 2" xfId="53" xr:uid="{00000000-0005-0000-0000-00006D000000}"/>
    <cellStyle name="Accent1 2 2 2" xfId="338" xr:uid="{00000000-0005-0000-0000-00006E000000}"/>
    <cellStyle name="Accent1 2 3" xfId="54" xr:uid="{00000000-0005-0000-0000-00006F000000}"/>
    <cellStyle name="Accent1 2 4" xfId="55" xr:uid="{00000000-0005-0000-0000-000070000000}"/>
    <cellStyle name="Accent1 2 5" xfId="56" xr:uid="{00000000-0005-0000-0000-000071000000}"/>
    <cellStyle name="Accent1 3" xfId="57" xr:uid="{00000000-0005-0000-0000-000072000000}"/>
    <cellStyle name="Accent1 3 2" xfId="339" xr:uid="{00000000-0005-0000-0000-000073000000}"/>
    <cellStyle name="Accent1 3 3" xfId="340" xr:uid="{00000000-0005-0000-0000-000074000000}"/>
    <cellStyle name="Accent1 4" xfId="58" xr:uid="{00000000-0005-0000-0000-000075000000}"/>
    <cellStyle name="Accent1 5" xfId="59" xr:uid="{00000000-0005-0000-0000-000076000000}"/>
    <cellStyle name="Accent1 6" xfId="341" xr:uid="{00000000-0005-0000-0000-000077000000}"/>
    <cellStyle name="Accent1 7" xfId="342" xr:uid="{00000000-0005-0000-0000-000078000000}"/>
    <cellStyle name="Accent1 8" xfId="343" xr:uid="{00000000-0005-0000-0000-000079000000}"/>
    <cellStyle name="Accent1 9" xfId="344" xr:uid="{00000000-0005-0000-0000-00007A000000}"/>
    <cellStyle name="Accent2" xfId="2535" builtinId="33" customBuiltin="1"/>
    <cellStyle name="Accent2 - 20%" xfId="60" xr:uid="{00000000-0005-0000-0000-00007C000000}"/>
    <cellStyle name="Accent2 - 20% 2" xfId="345" xr:uid="{00000000-0005-0000-0000-00007D000000}"/>
    <cellStyle name="Accent2 - 40%" xfId="61" xr:uid="{00000000-0005-0000-0000-00007E000000}"/>
    <cellStyle name="Accent2 - 40% 2" xfId="346" xr:uid="{00000000-0005-0000-0000-00007F000000}"/>
    <cellStyle name="Accent2 - 60%" xfId="62" xr:uid="{00000000-0005-0000-0000-000080000000}"/>
    <cellStyle name="Accent2 - 60% 2" xfId="347" xr:uid="{00000000-0005-0000-0000-000081000000}"/>
    <cellStyle name="Accent2 2" xfId="63" xr:uid="{00000000-0005-0000-0000-000082000000}"/>
    <cellStyle name="Accent2 2 2" xfId="348" xr:uid="{00000000-0005-0000-0000-000083000000}"/>
    <cellStyle name="Accent2 3" xfId="64" xr:uid="{00000000-0005-0000-0000-000084000000}"/>
    <cellStyle name="Accent2 3 2" xfId="349" xr:uid="{00000000-0005-0000-0000-000085000000}"/>
    <cellStyle name="Accent2 4" xfId="65" xr:uid="{00000000-0005-0000-0000-000086000000}"/>
    <cellStyle name="Accent2 5" xfId="66" xr:uid="{00000000-0005-0000-0000-000087000000}"/>
    <cellStyle name="Accent2 6" xfId="350" xr:uid="{00000000-0005-0000-0000-000088000000}"/>
    <cellStyle name="Accent3" xfId="2539" builtinId="37" customBuiltin="1"/>
    <cellStyle name="Accent3 - 20%" xfId="67" xr:uid="{00000000-0005-0000-0000-00008A000000}"/>
    <cellStyle name="Accent3 - 20% 2" xfId="351" xr:uid="{00000000-0005-0000-0000-00008B000000}"/>
    <cellStyle name="Accent3 - 40%" xfId="68" xr:uid="{00000000-0005-0000-0000-00008C000000}"/>
    <cellStyle name="Accent3 - 40% 2" xfId="352" xr:uid="{00000000-0005-0000-0000-00008D000000}"/>
    <cellStyle name="Accent3 - 60%" xfId="69" xr:uid="{00000000-0005-0000-0000-00008E000000}"/>
    <cellStyle name="Accent3 - 60% 2" xfId="353" xr:uid="{00000000-0005-0000-0000-00008F000000}"/>
    <cellStyle name="Accent3 2" xfId="70" xr:uid="{00000000-0005-0000-0000-000090000000}"/>
    <cellStyle name="Accent3 2 2" xfId="354" xr:uid="{00000000-0005-0000-0000-000091000000}"/>
    <cellStyle name="Accent3 3" xfId="71" xr:uid="{00000000-0005-0000-0000-000092000000}"/>
    <cellStyle name="Accent3 3 2" xfId="355" xr:uid="{00000000-0005-0000-0000-000093000000}"/>
    <cellStyle name="Accent3 4" xfId="72" xr:uid="{00000000-0005-0000-0000-000094000000}"/>
    <cellStyle name="Accent3 5" xfId="73" xr:uid="{00000000-0005-0000-0000-000095000000}"/>
    <cellStyle name="Accent3 6" xfId="356" xr:uid="{00000000-0005-0000-0000-000096000000}"/>
    <cellStyle name="Accent4" xfId="2543" builtinId="41" customBuiltin="1"/>
    <cellStyle name="Accent4 - 20%" xfId="74" xr:uid="{00000000-0005-0000-0000-000098000000}"/>
    <cellStyle name="Accent4 - 20% 2" xfId="357" xr:uid="{00000000-0005-0000-0000-000099000000}"/>
    <cellStyle name="Accent4 - 40%" xfId="75" xr:uid="{00000000-0005-0000-0000-00009A000000}"/>
    <cellStyle name="Accent4 - 40% 2" xfId="358" xr:uid="{00000000-0005-0000-0000-00009B000000}"/>
    <cellStyle name="Accent4 - 60%" xfId="76" xr:uid="{00000000-0005-0000-0000-00009C000000}"/>
    <cellStyle name="Accent4 - 60% 2" xfId="359" xr:uid="{00000000-0005-0000-0000-00009D000000}"/>
    <cellStyle name="Accent4 2" xfId="77" xr:uid="{00000000-0005-0000-0000-00009E000000}"/>
    <cellStyle name="Accent4 2 2" xfId="360" xr:uid="{00000000-0005-0000-0000-00009F000000}"/>
    <cellStyle name="Accent4 3" xfId="78" xr:uid="{00000000-0005-0000-0000-0000A0000000}"/>
    <cellStyle name="Accent4 3 2" xfId="361" xr:uid="{00000000-0005-0000-0000-0000A1000000}"/>
    <cellStyle name="Accent4 4" xfId="79" xr:uid="{00000000-0005-0000-0000-0000A2000000}"/>
    <cellStyle name="Accent4 5" xfId="80" xr:uid="{00000000-0005-0000-0000-0000A3000000}"/>
    <cellStyle name="Accent4 6" xfId="362" xr:uid="{00000000-0005-0000-0000-0000A4000000}"/>
    <cellStyle name="Accent5" xfId="2547" builtinId="45" customBuiltin="1"/>
    <cellStyle name="Accent5 - 20%" xfId="81" xr:uid="{00000000-0005-0000-0000-0000A6000000}"/>
    <cellStyle name="Accent5 - 20% 2" xfId="363" xr:uid="{00000000-0005-0000-0000-0000A7000000}"/>
    <cellStyle name="Accent5 - 40%" xfId="82" xr:uid="{00000000-0005-0000-0000-0000A8000000}"/>
    <cellStyle name="Accent5 - 40% 2" xfId="364" xr:uid="{00000000-0005-0000-0000-0000A9000000}"/>
    <cellStyle name="Accent5 - 60%" xfId="83" xr:uid="{00000000-0005-0000-0000-0000AA000000}"/>
    <cellStyle name="Accent5 - 60% 2" xfId="365" xr:uid="{00000000-0005-0000-0000-0000AB000000}"/>
    <cellStyle name="Accent5 2" xfId="84" xr:uid="{00000000-0005-0000-0000-0000AC000000}"/>
    <cellStyle name="Accent5 2 2" xfId="366" xr:uid="{00000000-0005-0000-0000-0000AD000000}"/>
    <cellStyle name="Accent5 3" xfId="85" xr:uid="{00000000-0005-0000-0000-0000AE000000}"/>
    <cellStyle name="Accent5 3 2" xfId="367" xr:uid="{00000000-0005-0000-0000-0000AF000000}"/>
    <cellStyle name="Accent5 4" xfId="86" xr:uid="{00000000-0005-0000-0000-0000B0000000}"/>
    <cellStyle name="Accent5 5" xfId="87" xr:uid="{00000000-0005-0000-0000-0000B1000000}"/>
    <cellStyle name="Accent5 6" xfId="368" xr:uid="{00000000-0005-0000-0000-0000B2000000}"/>
    <cellStyle name="Accent6" xfId="2551" builtinId="49" customBuiltin="1"/>
    <cellStyle name="Accent6 - 20%" xfId="88" xr:uid="{00000000-0005-0000-0000-0000B4000000}"/>
    <cellStyle name="Accent6 - 20% 2" xfId="369" xr:uid="{00000000-0005-0000-0000-0000B5000000}"/>
    <cellStyle name="Accent6 - 40%" xfId="89" xr:uid="{00000000-0005-0000-0000-0000B6000000}"/>
    <cellStyle name="Accent6 - 40% 2" xfId="370" xr:uid="{00000000-0005-0000-0000-0000B7000000}"/>
    <cellStyle name="Accent6 - 60%" xfId="90" xr:uid="{00000000-0005-0000-0000-0000B8000000}"/>
    <cellStyle name="Accent6 - 60% 2" xfId="371" xr:uid="{00000000-0005-0000-0000-0000B9000000}"/>
    <cellStyle name="Accent6 2" xfId="91" xr:uid="{00000000-0005-0000-0000-0000BA000000}"/>
    <cellStyle name="Accent6 2 2" xfId="372" xr:uid="{00000000-0005-0000-0000-0000BB000000}"/>
    <cellStyle name="Accent6 3" xfId="92" xr:uid="{00000000-0005-0000-0000-0000BC000000}"/>
    <cellStyle name="Accent6 3 2" xfId="373" xr:uid="{00000000-0005-0000-0000-0000BD000000}"/>
    <cellStyle name="Accent6 4" xfId="93" xr:uid="{00000000-0005-0000-0000-0000BE000000}"/>
    <cellStyle name="Accent6 5" xfId="94" xr:uid="{00000000-0005-0000-0000-0000BF000000}"/>
    <cellStyle name="Accent6 6" xfId="374" xr:uid="{00000000-0005-0000-0000-0000C0000000}"/>
    <cellStyle name="al_QQQ" xfId="213" xr:uid="{00000000-0005-0000-0000-0000C1000000}"/>
    <cellStyle name="area" xfId="375" xr:uid="{00000000-0005-0000-0000-0000C2000000}"/>
    <cellStyle name="area 2" xfId="376" xr:uid="{00000000-0005-0000-0000-0000C3000000}"/>
    <cellStyle name="Bad" xfId="2520" builtinId="27" customBuiltin="1"/>
    <cellStyle name="Bad 2" xfId="95" xr:uid="{00000000-0005-0000-0000-0000C5000000}"/>
    <cellStyle name="Bad 2 2" xfId="377" xr:uid="{00000000-0005-0000-0000-0000C6000000}"/>
    <cellStyle name="Bad 3" xfId="96" xr:uid="{00000000-0005-0000-0000-0000C7000000}"/>
    <cellStyle name="Bad 4" xfId="97" xr:uid="{00000000-0005-0000-0000-0000C8000000}"/>
    <cellStyle name="Bad 5" xfId="98" xr:uid="{00000000-0005-0000-0000-0000C9000000}"/>
    <cellStyle name="Body" xfId="378" xr:uid="{00000000-0005-0000-0000-0000CA000000}"/>
    <cellStyle name="Calc Currency (0)" xfId="379" xr:uid="{00000000-0005-0000-0000-0000CB000000}"/>
    <cellStyle name="Calculation" xfId="2524" builtinId="22" customBuiltin="1"/>
    <cellStyle name="Calculation 2" xfId="99" xr:uid="{00000000-0005-0000-0000-0000CD000000}"/>
    <cellStyle name="Calculation 2 2" xfId="380" xr:uid="{00000000-0005-0000-0000-0000CE000000}"/>
    <cellStyle name="Calculation 2 3" xfId="381" xr:uid="{00000000-0005-0000-0000-0000CF000000}"/>
    <cellStyle name="Calculation 3" xfId="100" xr:uid="{00000000-0005-0000-0000-0000D0000000}"/>
    <cellStyle name="Calculation 4" xfId="101" xr:uid="{00000000-0005-0000-0000-0000D1000000}"/>
    <cellStyle name="Calculation 5" xfId="102" xr:uid="{00000000-0005-0000-0000-0000D2000000}"/>
    <cellStyle name="category" xfId="382" xr:uid="{00000000-0005-0000-0000-0000D3000000}"/>
    <cellStyle name="chantier" xfId="383" xr:uid="{00000000-0005-0000-0000-0000D4000000}"/>
    <cellStyle name="Check Cell" xfId="2526" builtinId="23" customBuiltin="1"/>
    <cellStyle name="Check Cell 2" xfId="103" xr:uid="{00000000-0005-0000-0000-0000D6000000}"/>
    <cellStyle name="Check Cell 2 2" xfId="384" xr:uid="{00000000-0005-0000-0000-0000D7000000}"/>
    <cellStyle name="Check Cell 3" xfId="104" xr:uid="{00000000-0005-0000-0000-0000D8000000}"/>
    <cellStyle name="Check Cell 4" xfId="105" xr:uid="{00000000-0005-0000-0000-0000D9000000}"/>
    <cellStyle name="Check Cell 5" xfId="106" xr:uid="{00000000-0005-0000-0000-0000DA000000}"/>
    <cellStyle name="ÇÏÀÌÆÛ¸µÅ©" xfId="385" xr:uid="{00000000-0005-0000-0000-0000DB000000}"/>
    <cellStyle name="Column_Head" xfId="386" xr:uid="{00000000-0005-0000-0000-0000DC000000}"/>
    <cellStyle name="Comma" xfId="1689" builtinId="3"/>
    <cellStyle name="Comma  - Style1" xfId="387" xr:uid="{00000000-0005-0000-0000-0000DE000000}"/>
    <cellStyle name="Comma  - Style2" xfId="388" xr:uid="{00000000-0005-0000-0000-0000DF000000}"/>
    <cellStyle name="Comma  - Style3" xfId="389" xr:uid="{00000000-0005-0000-0000-0000E0000000}"/>
    <cellStyle name="Comma  - Style4" xfId="390" xr:uid="{00000000-0005-0000-0000-0000E1000000}"/>
    <cellStyle name="Comma  - Style5" xfId="391" xr:uid="{00000000-0005-0000-0000-0000E2000000}"/>
    <cellStyle name="Comma  - Style6" xfId="392" xr:uid="{00000000-0005-0000-0000-0000E3000000}"/>
    <cellStyle name="Comma  - Style7" xfId="393" xr:uid="{00000000-0005-0000-0000-0000E4000000}"/>
    <cellStyle name="Comma  - Style8" xfId="394" xr:uid="{00000000-0005-0000-0000-0000E5000000}"/>
    <cellStyle name="Comma [2]" xfId="395" xr:uid="{00000000-0005-0000-0000-0000E6000000}"/>
    <cellStyle name="Comma 10" xfId="107" xr:uid="{00000000-0005-0000-0000-0000E7000000}"/>
    <cellStyle name="Comma 10 2" xfId="396" xr:uid="{00000000-0005-0000-0000-0000E8000000}"/>
    <cellStyle name="Comma 10 2 2" xfId="397" xr:uid="{00000000-0005-0000-0000-0000E9000000}"/>
    <cellStyle name="Comma 10 2 2 2" xfId="1705" xr:uid="{00000000-0005-0000-0000-0000EA000000}"/>
    <cellStyle name="Comma 10 2 2 3" xfId="1812" xr:uid="{00000000-0005-0000-0000-0000EB000000}"/>
    <cellStyle name="Comma 10 2 3" xfId="398" xr:uid="{00000000-0005-0000-0000-0000EC000000}"/>
    <cellStyle name="Comma 10 2 3 2" xfId="2062" xr:uid="{00000000-0005-0000-0000-0000ED000000}"/>
    <cellStyle name="Comma 10 2 4" xfId="2056" xr:uid="{00000000-0005-0000-0000-0000EE000000}"/>
    <cellStyle name="Comma 10 2 5" xfId="2043" xr:uid="{00000000-0005-0000-0000-0000EF000000}"/>
    <cellStyle name="Comma 10 2 6" xfId="2034" xr:uid="{00000000-0005-0000-0000-0000F0000000}"/>
    <cellStyle name="Comma 10 2 7" xfId="2065" xr:uid="{00000000-0005-0000-0000-0000F1000000}"/>
    <cellStyle name="Comma 10 2 8" xfId="2176" xr:uid="{00000000-0005-0000-0000-0000F2000000}"/>
    <cellStyle name="Comma 10 3" xfId="399" xr:uid="{00000000-0005-0000-0000-0000F3000000}"/>
    <cellStyle name="Comma 10 3 2" xfId="400" xr:uid="{00000000-0005-0000-0000-0000F4000000}"/>
    <cellStyle name="Comma 10 3 3" xfId="2017" xr:uid="{00000000-0005-0000-0000-0000F5000000}"/>
    <cellStyle name="Comma 10 4" xfId="401" xr:uid="{00000000-0005-0000-0000-0000F6000000}"/>
    <cellStyle name="Comma 10 4 2" xfId="1861" xr:uid="{00000000-0005-0000-0000-0000F7000000}"/>
    <cellStyle name="Comma 10 5" xfId="402" xr:uid="{00000000-0005-0000-0000-0000F8000000}"/>
    <cellStyle name="Comma 10 5 2" xfId="1798" xr:uid="{00000000-0005-0000-0000-0000F9000000}"/>
    <cellStyle name="Comma 10 6" xfId="1692" xr:uid="{00000000-0005-0000-0000-0000FA000000}"/>
    <cellStyle name="Comma 10 6 2" xfId="2057" xr:uid="{00000000-0005-0000-0000-0000FB000000}"/>
    <cellStyle name="Comma 10 7" xfId="2041" xr:uid="{00000000-0005-0000-0000-0000FC000000}"/>
    <cellStyle name="Comma 11" xfId="108" xr:uid="{00000000-0005-0000-0000-0000FD000000}"/>
    <cellStyle name="Comma 11 2" xfId="403" xr:uid="{00000000-0005-0000-0000-0000FE000000}"/>
    <cellStyle name="Comma 11 2 2" xfId="1706" xr:uid="{00000000-0005-0000-0000-0000FF000000}"/>
    <cellStyle name="Comma 11 3" xfId="404" xr:uid="{00000000-0005-0000-0000-000000010000}"/>
    <cellStyle name="Comma 11 4" xfId="405" xr:uid="{00000000-0005-0000-0000-000001010000}"/>
    <cellStyle name="Comma 11 5" xfId="1693" xr:uid="{00000000-0005-0000-0000-000002010000}"/>
    <cellStyle name="Comma 11 6" xfId="1891" xr:uid="{00000000-0005-0000-0000-000003010000}"/>
    <cellStyle name="Comma 12" xfId="109" xr:uid="{00000000-0005-0000-0000-000004010000}"/>
    <cellStyle name="Comma 12 2" xfId="406" xr:uid="{00000000-0005-0000-0000-000005010000}"/>
    <cellStyle name="Comma 12 3" xfId="407" xr:uid="{00000000-0005-0000-0000-000006010000}"/>
    <cellStyle name="Comma 12 4" xfId="408" xr:uid="{00000000-0005-0000-0000-000007010000}"/>
    <cellStyle name="Comma 12 5" xfId="1694" xr:uid="{00000000-0005-0000-0000-000008010000}"/>
    <cellStyle name="Comma 13" xfId="260" xr:uid="{00000000-0005-0000-0000-000009010000}"/>
    <cellStyle name="Comma 13 2" xfId="409" xr:uid="{00000000-0005-0000-0000-00000A010000}"/>
    <cellStyle name="Comma 13 2 2" xfId="1707" xr:uid="{00000000-0005-0000-0000-00000B010000}"/>
    <cellStyle name="Comma 13 3" xfId="410" xr:uid="{00000000-0005-0000-0000-00000C010000}"/>
    <cellStyle name="Comma 13 4" xfId="411" xr:uid="{00000000-0005-0000-0000-00000D010000}"/>
    <cellStyle name="Comma 13 4 2" xfId="1708" xr:uid="{00000000-0005-0000-0000-00000E010000}"/>
    <cellStyle name="Comma 13 5" xfId="412" xr:uid="{00000000-0005-0000-0000-00000F010000}"/>
    <cellStyle name="Comma 13 5 2" xfId="1709" xr:uid="{00000000-0005-0000-0000-000010010000}"/>
    <cellStyle name="Comma 13 6" xfId="413" xr:uid="{00000000-0005-0000-0000-000011010000}"/>
    <cellStyle name="Comma 13 6 2" xfId="1710" xr:uid="{00000000-0005-0000-0000-000012010000}"/>
    <cellStyle name="Comma 13 7" xfId="414" xr:uid="{00000000-0005-0000-0000-000013010000}"/>
    <cellStyle name="Comma 13 7 2" xfId="1711" xr:uid="{00000000-0005-0000-0000-000014010000}"/>
    <cellStyle name="Comma 13 8" xfId="415" xr:uid="{00000000-0005-0000-0000-000015010000}"/>
    <cellStyle name="Comma 13 8 2" xfId="2218" xr:uid="{00000000-0005-0000-0000-000016010000}"/>
    <cellStyle name="Comma 13 9" xfId="1700" xr:uid="{00000000-0005-0000-0000-000017010000}"/>
    <cellStyle name="Comma 14" xfId="416" xr:uid="{00000000-0005-0000-0000-000018010000}"/>
    <cellStyle name="Comma 14 2" xfId="417" xr:uid="{00000000-0005-0000-0000-000019010000}"/>
    <cellStyle name="Comma 14 3" xfId="418" xr:uid="{00000000-0005-0000-0000-00001A010000}"/>
    <cellStyle name="Comma 14 4" xfId="419" xr:uid="{00000000-0005-0000-0000-00001B010000}"/>
    <cellStyle name="Comma 15" xfId="420" xr:uid="{00000000-0005-0000-0000-00001C010000}"/>
    <cellStyle name="Comma 15 2" xfId="421" xr:uid="{00000000-0005-0000-0000-00001D010000}"/>
    <cellStyle name="Comma 15 2 2" xfId="1712" xr:uid="{00000000-0005-0000-0000-00001E010000}"/>
    <cellStyle name="Comma 15 3" xfId="422" xr:uid="{00000000-0005-0000-0000-00001F010000}"/>
    <cellStyle name="Comma 15 3 2" xfId="1713" xr:uid="{00000000-0005-0000-0000-000020010000}"/>
    <cellStyle name="Comma 15 3 2 2" xfId="2279" xr:uid="{00000000-0005-0000-0000-000021010000}"/>
    <cellStyle name="Comma 15 3 3" xfId="2220" xr:uid="{00000000-0005-0000-0000-000022010000}"/>
    <cellStyle name="Comma 15 4" xfId="2219" xr:uid="{00000000-0005-0000-0000-000023010000}"/>
    <cellStyle name="Comma 16" xfId="423" xr:uid="{00000000-0005-0000-0000-000024010000}"/>
    <cellStyle name="Comma 16 2" xfId="424" xr:uid="{00000000-0005-0000-0000-000025010000}"/>
    <cellStyle name="Comma 16 2 2" xfId="2222" xr:uid="{00000000-0005-0000-0000-000026010000}"/>
    <cellStyle name="Comma 16 3" xfId="425" xr:uid="{00000000-0005-0000-0000-000027010000}"/>
    <cellStyle name="Comma 16 3 2" xfId="1714" xr:uid="{00000000-0005-0000-0000-000028010000}"/>
    <cellStyle name="Comma 16 4" xfId="426" xr:uid="{00000000-0005-0000-0000-000029010000}"/>
    <cellStyle name="Comma 16 4 2" xfId="2223" xr:uid="{00000000-0005-0000-0000-00002A010000}"/>
    <cellStyle name="Comma 16 5" xfId="2221" xr:uid="{00000000-0005-0000-0000-00002B010000}"/>
    <cellStyle name="Comma 17" xfId="427" xr:uid="{00000000-0005-0000-0000-00002C010000}"/>
    <cellStyle name="Comma 17 2" xfId="428" xr:uid="{00000000-0005-0000-0000-00002D010000}"/>
    <cellStyle name="Comma 17 2 2" xfId="1715" xr:uid="{00000000-0005-0000-0000-00002E010000}"/>
    <cellStyle name="Comma 17 3" xfId="1926" xr:uid="{00000000-0005-0000-0000-00002F010000}"/>
    <cellStyle name="Comma 17 4" xfId="2224" xr:uid="{00000000-0005-0000-0000-000030010000}"/>
    <cellStyle name="Comma 18" xfId="429" xr:uid="{00000000-0005-0000-0000-000031010000}"/>
    <cellStyle name="Comma 18 2" xfId="1716" xr:uid="{00000000-0005-0000-0000-000032010000}"/>
    <cellStyle name="Comma 18 3" xfId="1854" xr:uid="{00000000-0005-0000-0000-000033010000}"/>
    <cellStyle name="Comma 19" xfId="430" xr:uid="{00000000-0005-0000-0000-000034010000}"/>
    <cellStyle name="Comma 19 2" xfId="431" xr:uid="{00000000-0005-0000-0000-000035010000}"/>
    <cellStyle name="Comma 19 2 2" xfId="432" xr:uid="{00000000-0005-0000-0000-000036010000}"/>
    <cellStyle name="Comma 19 2 2 2" xfId="1717" xr:uid="{00000000-0005-0000-0000-000037010000}"/>
    <cellStyle name="Comma 19 3" xfId="433" xr:uid="{00000000-0005-0000-0000-000038010000}"/>
    <cellStyle name="Comma 19 4" xfId="434" xr:uid="{00000000-0005-0000-0000-000039010000}"/>
    <cellStyle name="Comma 19 5" xfId="435" xr:uid="{00000000-0005-0000-0000-00003A010000}"/>
    <cellStyle name="Comma 19 5 2" xfId="2225" xr:uid="{00000000-0005-0000-0000-00003B010000}"/>
    <cellStyle name="Comma 19 6" xfId="1937" xr:uid="{00000000-0005-0000-0000-00003C010000}"/>
    <cellStyle name="Comma 2" xfId="110" xr:uid="{00000000-0005-0000-0000-00003D010000}"/>
    <cellStyle name="Comma 2 10" xfId="436" xr:uid="{00000000-0005-0000-0000-00003E010000}"/>
    <cellStyle name="Comma 2 10 2" xfId="437" xr:uid="{00000000-0005-0000-0000-00003F010000}"/>
    <cellStyle name="Comma 2 10 3" xfId="2177" xr:uid="{00000000-0005-0000-0000-000040010000}"/>
    <cellStyle name="Comma 2 11" xfId="438" xr:uid="{00000000-0005-0000-0000-000041010000}"/>
    <cellStyle name="Comma 2 11 2" xfId="1848" xr:uid="{00000000-0005-0000-0000-000042010000}"/>
    <cellStyle name="Comma 2 12" xfId="439" xr:uid="{00000000-0005-0000-0000-000043010000}"/>
    <cellStyle name="Comma 2 12 2" xfId="1853" xr:uid="{00000000-0005-0000-0000-000044010000}"/>
    <cellStyle name="Comma 2 13" xfId="440" xr:uid="{00000000-0005-0000-0000-000045010000}"/>
    <cellStyle name="Comma 2 13 2" xfId="1925" xr:uid="{00000000-0005-0000-0000-000046010000}"/>
    <cellStyle name="Comma 2 14" xfId="441" xr:uid="{00000000-0005-0000-0000-000047010000}"/>
    <cellStyle name="Comma 2 14 2" xfId="1931" xr:uid="{00000000-0005-0000-0000-000048010000}"/>
    <cellStyle name="Comma 2 15" xfId="442" xr:uid="{00000000-0005-0000-0000-000049010000}"/>
    <cellStyle name="Comma 2 15 2" xfId="1936" xr:uid="{00000000-0005-0000-0000-00004A010000}"/>
    <cellStyle name="Comma 2 16" xfId="443" xr:uid="{00000000-0005-0000-0000-00004B010000}"/>
    <cellStyle name="Comma 2 16 2" xfId="1940" xr:uid="{00000000-0005-0000-0000-00004C010000}"/>
    <cellStyle name="Comma 2 17" xfId="444" xr:uid="{00000000-0005-0000-0000-00004D010000}"/>
    <cellStyle name="Comma 2 17 2" xfId="1805" xr:uid="{00000000-0005-0000-0000-00004E010000}"/>
    <cellStyle name="Comma 2 18" xfId="445" xr:uid="{00000000-0005-0000-0000-00004F010000}"/>
    <cellStyle name="Comma 2 18 2" xfId="1953" xr:uid="{00000000-0005-0000-0000-000050010000}"/>
    <cellStyle name="Comma 2 19" xfId="446" xr:uid="{00000000-0005-0000-0000-000051010000}"/>
    <cellStyle name="Comma 2 19 2" xfId="2128" xr:uid="{00000000-0005-0000-0000-000052010000}"/>
    <cellStyle name="Comma 2 2" xfId="111" xr:uid="{00000000-0005-0000-0000-000053010000}"/>
    <cellStyle name="Comma 2 2 2" xfId="112" xr:uid="{00000000-0005-0000-0000-000054010000}"/>
    <cellStyle name="Comma 2 2 2 2" xfId="447" xr:uid="{00000000-0005-0000-0000-000055010000}"/>
    <cellStyle name="Comma 2 2 2 2 2" xfId="1718" xr:uid="{00000000-0005-0000-0000-000056010000}"/>
    <cellStyle name="Comma 2 2 2 3" xfId="2115" xr:uid="{00000000-0005-0000-0000-000057010000}"/>
    <cellStyle name="Comma 2 2 3" xfId="113" xr:uid="{00000000-0005-0000-0000-000058010000}"/>
    <cellStyle name="Comma 2 2 3 2" xfId="2105" xr:uid="{00000000-0005-0000-0000-000059010000}"/>
    <cellStyle name="Comma 2 2 4" xfId="114" xr:uid="{00000000-0005-0000-0000-00005A010000}"/>
    <cellStyle name="Comma 2 2 4 2" xfId="1893" xr:uid="{00000000-0005-0000-0000-00005B010000}"/>
    <cellStyle name="Comma 2 2 5" xfId="115" xr:uid="{00000000-0005-0000-0000-00005C010000}"/>
    <cellStyle name="Comma 2 2 6" xfId="448" xr:uid="{00000000-0005-0000-0000-00005D010000}"/>
    <cellStyle name="Comma 2 2 6 2" xfId="1719" xr:uid="{00000000-0005-0000-0000-00005E010000}"/>
    <cellStyle name="Comma 2 20" xfId="449" xr:uid="{00000000-0005-0000-0000-00005F010000}"/>
    <cellStyle name="Comma 2 20 2" xfId="1966" xr:uid="{00000000-0005-0000-0000-000060010000}"/>
    <cellStyle name="Comma 2 21" xfId="450" xr:uid="{00000000-0005-0000-0000-000061010000}"/>
    <cellStyle name="Comma 2 21 2" xfId="1970" xr:uid="{00000000-0005-0000-0000-000062010000}"/>
    <cellStyle name="Comma 2 22" xfId="451" xr:uid="{00000000-0005-0000-0000-000063010000}"/>
    <cellStyle name="Comma 2 22 2" xfId="2152" xr:uid="{00000000-0005-0000-0000-000064010000}"/>
    <cellStyle name="Comma 2 23" xfId="452" xr:uid="{00000000-0005-0000-0000-000065010000}"/>
    <cellStyle name="Comma 2 23 2" xfId="1979" xr:uid="{00000000-0005-0000-0000-000066010000}"/>
    <cellStyle name="Comma 2 24" xfId="453" xr:uid="{00000000-0005-0000-0000-000067010000}"/>
    <cellStyle name="Comma 2 24 2" xfId="1808" xr:uid="{00000000-0005-0000-0000-000068010000}"/>
    <cellStyle name="Comma 2 25" xfId="454" xr:uid="{00000000-0005-0000-0000-000069010000}"/>
    <cellStyle name="Comma 2 25 2" xfId="2131" xr:uid="{00000000-0005-0000-0000-00006A010000}"/>
    <cellStyle name="Comma 2 25 3" xfId="2226" xr:uid="{00000000-0005-0000-0000-00006B010000}"/>
    <cellStyle name="Comma 2 26" xfId="455" xr:uid="{00000000-0005-0000-0000-00006C010000}"/>
    <cellStyle name="Comma 2 26 2" xfId="1991" xr:uid="{00000000-0005-0000-0000-00006D010000}"/>
    <cellStyle name="Comma 2 27" xfId="456" xr:uid="{00000000-0005-0000-0000-00006E010000}"/>
    <cellStyle name="Comma 2 28" xfId="1695" xr:uid="{00000000-0005-0000-0000-00006F010000}"/>
    <cellStyle name="Comma 2 28 2" xfId="1998" xr:uid="{00000000-0005-0000-0000-000070010000}"/>
    <cellStyle name="Comma 2 29" xfId="2006" xr:uid="{00000000-0005-0000-0000-000071010000}"/>
    <cellStyle name="Comma 2 3" xfId="116" xr:uid="{00000000-0005-0000-0000-000072010000}"/>
    <cellStyle name="Comma 2 3 2" xfId="457" xr:uid="{00000000-0005-0000-0000-000073010000}"/>
    <cellStyle name="Comma 2 3 2 2" xfId="1720" xr:uid="{00000000-0005-0000-0000-000074010000}"/>
    <cellStyle name="Comma 2 3 2 2 2" xfId="2018" xr:uid="{00000000-0005-0000-0000-000075010000}"/>
    <cellStyle name="Comma 2 3 2 3" xfId="2058" xr:uid="{00000000-0005-0000-0000-000076010000}"/>
    <cellStyle name="Comma 2 3 2 4" xfId="1832" xr:uid="{00000000-0005-0000-0000-000077010000}"/>
    <cellStyle name="Comma 2 3 2 5" xfId="2038" xr:uid="{00000000-0005-0000-0000-000078010000}"/>
    <cellStyle name="Comma 2 3 2 6" xfId="2021" xr:uid="{00000000-0005-0000-0000-000079010000}"/>
    <cellStyle name="Comma 2 3 2 7" xfId="2160" xr:uid="{00000000-0005-0000-0000-00007A010000}"/>
    <cellStyle name="Comma 2 3 2 8" xfId="1834" xr:uid="{00000000-0005-0000-0000-00007B010000}"/>
    <cellStyle name="Comma 2 3 3" xfId="458" xr:uid="{00000000-0005-0000-0000-00007C010000}"/>
    <cellStyle name="Comma 2 3 3 2" xfId="1824" xr:uid="{00000000-0005-0000-0000-00007D010000}"/>
    <cellStyle name="Comma 2 3 4" xfId="2073" xr:uid="{00000000-0005-0000-0000-00007E010000}"/>
    <cellStyle name="Comma 2 3 5" xfId="2080" xr:uid="{00000000-0005-0000-0000-00007F010000}"/>
    <cellStyle name="Comma 2 3 6" xfId="2143" xr:uid="{00000000-0005-0000-0000-000080010000}"/>
    <cellStyle name="Comma 2 3 7" xfId="2098" xr:uid="{00000000-0005-0000-0000-000081010000}"/>
    <cellStyle name="Comma 2 3 8" xfId="1896" xr:uid="{00000000-0005-0000-0000-000082010000}"/>
    <cellStyle name="Comma 2 3 9" xfId="1874" xr:uid="{00000000-0005-0000-0000-000083010000}"/>
    <cellStyle name="Comma 2 30" xfId="2009" xr:uid="{00000000-0005-0000-0000-000084010000}"/>
    <cellStyle name="Comma 2 31" xfId="1829" xr:uid="{00000000-0005-0000-0000-000085010000}"/>
    <cellStyle name="Comma 2 32" xfId="2108" xr:uid="{00000000-0005-0000-0000-000086010000}"/>
    <cellStyle name="Comma 2 33" xfId="2113" xr:uid="{00000000-0005-0000-0000-000087010000}"/>
    <cellStyle name="Comma 2 33 2" xfId="2454" xr:uid="{00000000-0005-0000-0000-000088010000}"/>
    <cellStyle name="Comma 2 34" xfId="2109" xr:uid="{00000000-0005-0000-0000-000089010000}"/>
    <cellStyle name="Comma 2 4" xfId="117" xr:uid="{00000000-0005-0000-0000-00008A010000}"/>
    <cellStyle name="Comma 2 4 2" xfId="459" xr:uid="{00000000-0005-0000-0000-00008B010000}"/>
    <cellStyle name="Comma 2 4 2 2" xfId="2019" xr:uid="{00000000-0005-0000-0000-00008C010000}"/>
    <cellStyle name="Comma 2 4 2 3" xfId="1868" xr:uid="{00000000-0005-0000-0000-00008D010000}"/>
    <cellStyle name="Comma 2 4 2 4" xfId="2022" xr:uid="{00000000-0005-0000-0000-00008E010000}"/>
    <cellStyle name="Comma 2 4 2 5" xfId="2051" xr:uid="{00000000-0005-0000-0000-00008F010000}"/>
    <cellStyle name="Comma 2 4 2 6" xfId="1788" xr:uid="{00000000-0005-0000-0000-000090010000}"/>
    <cellStyle name="Comma 2 4 2 7" xfId="2036" xr:uid="{00000000-0005-0000-0000-000091010000}"/>
    <cellStyle name="Comma 2 4 2 8" xfId="2120" xr:uid="{00000000-0005-0000-0000-000092010000}"/>
    <cellStyle name="Comma 2 4 3" xfId="460" xr:uid="{00000000-0005-0000-0000-000093010000}"/>
    <cellStyle name="Comma 2 4 3 2" xfId="1721" xr:uid="{00000000-0005-0000-0000-000094010000}"/>
    <cellStyle name="Comma 2 4 3 3" xfId="2027" xr:uid="{00000000-0005-0000-0000-000095010000}"/>
    <cellStyle name="Comma 2 4 4" xfId="461" xr:uid="{00000000-0005-0000-0000-000096010000}"/>
    <cellStyle name="Comma 2 4 4 2" xfId="2072" xr:uid="{00000000-0005-0000-0000-000097010000}"/>
    <cellStyle name="Comma 2 4 5" xfId="2079" xr:uid="{00000000-0005-0000-0000-000098010000}"/>
    <cellStyle name="Comma 2 4 6" xfId="2159" xr:uid="{00000000-0005-0000-0000-000099010000}"/>
    <cellStyle name="Comma 2 4 7" xfId="2096" xr:uid="{00000000-0005-0000-0000-00009A010000}"/>
    <cellStyle name="Comma 2 4 8" xfId="1898" xr:uid="{00000000-0005-0000-0000-00009B010000}"/>
    <cellStyle name="Comma 2 5" xfId="118" xr:uid="{00000000-0005-0000-0000-00009C010000}"/>
    <cellStyle name="Comma 2 5 2" xfId="462" xr:uid="{00000000-0005-0000-0000-00009D010000}"/>
    <cellStyle name="Comma 2 5 2 2" xfId="2020" xr:uid="{00000000-0005-0000-0000-00009E010000}"/>
    <cellStyle name="Comma 2 5 2 3" xfId="2167" xr:uid="{00000000-0005-0000-0000-00009F010000}"/>
    <cellStyle name="Comma 2 5 2 4" xfId="1823" xr:uid="{00000000-0005-0000-0000-0000A0010000}"/>
    <cellStyle name="Comma 2 5 2 5" xfId="2052" xr:uid="{00000000-0005-0000-0000-0000A1010000}"/>
    <cellStyle name="Comma 2 5 2 6" xfId="2044" xr:uid="{00000000-0005-0000-0000-0000A2010000}"/>
    <cellStyle name="Comma 2 5 2 7" xfId="1811" xr:uid="{00000000-0005-0000-0000-0000A3010000}"/>
    <cellStyle name="Comma 2 5 2 8" xfId="2184" xr:uid="{00000000-0005-0000-0000-0000A4010000}"/>
    <cellStyle name="Comma 2 5 3" xfId="463" xr:uid="{00000000-0005-0000-0000-0000A5010000}"/>
    <cellStyle name="Comma 2 5 3 2" xfId="2014" xr:uid="{00000000-0005-0000-0000-0000A6010000}"/>
    <cellStyle name="Comma 2 5 4" xfId="2055" xr:uid="{00000000-0005-0000-0000-0000A7010000}"/>
    <cellStyle name="Comma 2 5 5" xfId="2039" xr:uid="{00000000-0005-0000-0000-0000A8010000}"/>
    <cellStyle name="Comma 2 5 6" xfId="2042" xr:uid="{00000000-0005-0000-0000-0000A9010000}"/>
    <cellStyle name="Comma 2 5 7" xfId="2023" xr:uid="{00000000-0005-0000-0000-0000AA010000}"/>
    <cellStyle name="Comma 2 5 8" xfId="1901" xr:uid="{00000000-0005-0000-0000-0000AB010000}"/>
    <cellStyle name="Comma 2 6" xfId="119" xr:uid="{00000000-0005-0000-0000-0000AC010000}"/>
    <cellStyle name="Comma 2 6 2" xfId="464" xr:uid="{00000000-0005-0000-0000-0000AD010000}"/>
    <cellStyle name="Comma 2 6 2 2" xfId="1906" xr:uid="{00000000-0005-0000-0000-0000AE010000}"/>
    <cellStyle name="Comma 2 7" xfId="465" xr:uid="{00000000-0005-0000-0000-0000AF010000}"/>
    <cellStyle name="Comma 2 7 2" xfId="466" xr:uid="{00000000-0005-0000-0000-0000B0010000}"/>
    <cellStyle name="Comma 2 7 2 2" xfId="2147" xr:uid="{00000000-0005-0000-0000-0000B1010000}"/>
    <cellStyle name="Comma 2 7 3" xfId="467" xr:uid="{00000000-0005-0000-0000-0000B2010000}"/>
    <cellStyle name="Comma 2 7 4" xfId="468" xr:uid="{00000000-0005-0000-0000-0000B3010000}"/>
    <cellStyle name="Comma 2 8" xfId="469" xr:uid="{00000000-0005-0000-0000-0000B4010000}"/>
    <cellStyle name="Comma 2 8 2" xfId="470" xr:uid="{00000000-0005-0000-0000-0000B5010000}"/>
    <cellStyle name="Comma 2 8 2 2" xfId="1840" xr:uid="{00000000-0005-0000-0000-0000B6010000}"/>
    <cellStyle name="Comma 2 9" xfId="471" xr:uid="{00000000-0005-0000-0000-0000B7010000}"/>
    <cellStyle name="Comma 2 9 2" xfId="2148" xr:uid="{00000000-0005-0000-0000-0000B8010000}"/>
    <cellStyle name="Comma 2_CFC Changes Control log attached IPC No 09" xfId="472" xr:uid="{00000000-0005-0000-0000-0000B9010000}"/>
    <cellStyle name="Comma 20" xfId="473" xr:uid="{00000000-0005-0000-0000-0000BA010000}"/>
    <cellStyle name="Comma 20 2" xfId="474" xr:uid="{00000000-0005-0000-0000-0000BB010000}"/>
    <cellStyle name="Comma 20 2 2" xfId="475" xr:uid="{00000000-0005-0000-0000-0000BC010000}"/>
    <cellStyle name="Comma 20 2 2 2" xfId="1722" xr:uid="{00000000-0005-0000-0000-0000BD010000}"/>
    <cellStyle name="Comma 20 3" xfId="1941" xr:uid="{00000000-0005-0000-0000-0000BE010000}"/>
    <cellStyle name="Comma 21" xfId="476" xr:uid="{00000000-0005-0000-0000-0000BF010000}"/>
    <cellStyle name="Comma 21 2" xfId="477" xr:uid="{00000000-0005-0000-0000-0000C0010000}"/>
    <cellStyle name="Comma 22" xfId="478" xr:uid="{00000000-0005-0000-0000-0000C1010000}"/>
    <cellStyle name="Comma 22 2" xfId="479" xr:uid="{00000000-0005-0000-0000-0000C2010000}"/>
    <cellStyle name="Comma 22 2 2" xfId="1723" xr:uid="{00000000-0005-0000-0000-0000C3010000}"/>
    <cellStyle name="Comma 22 3" xfId="2227" xr:uid="{00000000-0005-0000-0000-0000C4010000}"/>
    <cellStyle name="Comma 23" xfId="480" xr:uid="{00000000-0005-0000-0000-0000C5010000}"/>
    <cellStyle name="Comma 23 2" xfId="481" xr:uid="{00000000-0005-0000-0000-0000C6010000}"/>
    <cellStyle name="Comma 23 3" xfId="482" xr:uid="{00000000-0005-0000-0000-0000C7010000}"/>
    <cellStyle name="Comma 23 4" xfId="1724" xr:uid="{00000000-0005-0000-0000-0000C8010000}"/>
    <cellStyle name="Comma 23 4 2" xfId="2280" xr:uid="{00000000-0005-0000-0000-0000C9010000}"/>
    <cellStyle name="Comma 23 5" xfId="1960" xr:uid="{00000000-0005-0000-0000-0000CA010000}"/>
    <cellStyle name="Comma 23 6" xfId="2228" xr:uid="{00000000-0005-0000-0000-0000CB010000}"/>
    <cellStyle name="Comma 24" xfId="483" xr:uid="{00000000-0005-0000-0000-0000CC010000}"/>
    <cellStyle name="Comma 24 2" xfId="484" xr:uid="{00000000-0005-0000-0000-0000CD010000}"/>
    <cellStyle name="Comma 24 2 2" xfId="1726" xr:uid="{00000000-0005-0000-0000-0000CE010000}"/>
    <cellStyle name="Comma 24 3" xfId="1725" xr:uid="{00000000-0005-0000-0000-0000CF010000}"/>
    <cellStyle name="Comma 24 3 2" xfId="2281" xr:uid="{00000000-0005-0000-0000-0000D0010000}"/>
    <cellStyle name="Comma 24 4" xfId="1856" xr:uid="{00000000-0005-0000-0000-0000D1010000}"/>
    <cellStyle name="Comma 24 5" xfId="2229" xr:uid="{00000000-0005-0000-0000-0000D2010000}"/>
    <cellStyle name="Comma 25" xfId="485" xr:uid="{00000000-0005-0000-0000-0000D3010000}"/>
    <cellStyle name="Comma 25 2" xfId="486" xr:uid="{00000000-0005-0000-0000-0000D4010000}"/>
    <cellStyle name="Comma 25 2 2" xfId="1727" xr:uid="{00000000-0005-0000-0000-0000D5010000}"/>
    <cellStyle name="Comma 26" xfId="487" xr:uid="{00000000-0005-0000-0000-0000D6010000}"/>
    <cellStyle name="Comma 26 2" xfId="488" xr:uid="{00000000-0005-0000-0000-0000D7010000}"/>
    <cellStyle name="Comma 26 2 2" xfId="1729" xr:uid="{00000000-0005-0000-0000-0000D8010000}"/>
    <cellStyle name="Comma 26 3" xfId="1728" xr:uid="{00000000-0005-0000-0000-0000D9010000}"/>
    <cellStyle name="Comma 26 4" xfId="1783" xr:uid="{00000000-0005-0000-0000-0000DA010000}"/>
    <cellStyle name="Comma 27" xfId="489" xr:uid="{00000000-0005-0000-0000-0000DB010000}"/>
    <cellStyle name="Comma 27 2" xfId="1730" xr:uid="{00000000-0005-0000-0000-0000DC010000}"/>
    <cellStyle name="Comma 28" xfId="490" xr:uid="{00000000-0005-0000-0000-0000DD010000}"/>
    <cellStyle name="Comma 28 2" xfId="491" xr:uid="{00000000-0005-0000-0000-0000DE010000}"/>
    <cellStyle name="Comma 28 2 2" xfId="2230" xr:uid="{00000000-0005-0000-0000-0000DF010000}"/>
    <cellStyle name="Comma 29" xfId="492" xr:uid="{00000000-0005-0000-0000-0000E0010000}"/>
    <cellStyle name="Comma 29 2" xfId="493" xr:uid="{00000000-0005-0000-0000-0000E1010000}"/>
    <cellStyle name="Comma 29 2 2" xfId="1732" xr:uid="{00000000-0005-0000-0000-0000E2010000}"/>
    <cellStyle name="Comma 29 3" xfId="1731" xr:uid="{00000000-0005-0000-0000-0000E3010000}"/>
    <cellStyle name="Comma 29 3 2" xfId="2282" xr:uid="{00000000-0005-0000-0000-0000E4010000}"/>
    <cellStyle name="Comma 29 4" xfId="2231" xr:uid="{00000000-0005-0000-0000-0000E5010000}"/>
    <cellStyle name="Comma 3" xfId="45" xr:uid="{00000000-0005-0000-0000-0000E6010000}"/>
    <cellStyle name="Comma 3 10" xfId="494" xr:uid="{00000000-0005-0000-0000-0000E7010000}"/>
    <cellStyle name="Comma 3 10 2" xfId="1794" xr:uid="{00000000-0005-0000-0000-0000E8010000}"/>
    <cellStyle name="Comma 3 10 2 2" xfId="2322" xr:uid="{00000000-0005-0000-0000-0000E9010000}"/>
    <cellStyle name="Comma 3 11" xfId="495" xr:uid="{00000000-0005-0000-0000-0000EA010000}"/>
    <cellStyle name="Comma 3 11 2" xfId="496" xr:uid="{00000000-0005-0000-0000-0000EB010000}"/>
    <cellStyle name="Comma 3 11 3" xfId="2123" xr:uid="{00000000-0005-0000-0000-0000EC010000}"/>
    <cellStyle name="Comma 3 11 3 2" xfId="2459" xr:uid="{00000000-0005-0000-0000-0000ED010000}"/>
    <cellStyle name="Comma 3 12" xfId="497" xr:uid="{00000000-0005-0000-0000-0000EE010000}"/>
    <cellStyle name="Comma 3 12 2" xfId="1733" xr:uid="{00000000-0005-0000-0000-0000EF010000}"/>
    <cellStyle name="Comma 3 12 3" xfId="1804" xr:uid="{00000000-0005-0000-0000-0000F0010000}"/>
    <cellStyle name="Comma 3 12 3 2" xfId="2326" xr:uid="{00000000-0005-0000-0000-0000F1010000}"/>
    <cellStyle name="Comma 3 13" xfId="1944" xr:uid="{00000000-0005-0000-0000-0000F2010000}"/>
    <cellStyle name="Comma 3 13 2" xfId="2384" xr:uid="{00000000-0005-0000-0000-0000F3010000}"/>
    <cellStyle name="Comma 3 14" xfId="1952" xr:uid="{00000000-0005-0000-0000-0000F4010000}"/>
    <cellStyle name="Comma 3 14 2" xfId="2392" xr:uid="{00000000-0005-0000-0000-0000F5010000}"/>
    <cellStyle name="Comma 3 15" xfId="1959" xr:uid="{00000000-0005-0000-0000-0000F6010000}"/>
    <cellStyle name="Comma 3 15 2" xfId="2396" xr:uid="{00000000-0005-0000-0000-0000F7010000}"/>
    <cellStyle name="Comma 3 16" xfId="1776" xr:uid="{00000000-0005-0000-0000-0000F8010000}"/>
    <cellStyle name="Comma 3 16 2" xfId="2313" xr:uid="{00000000-0005-0000-0000-0000F9010000}"/>
    <cellStyle name="Comma 3 17" xfId="1971" xr:uid="{00000000-0005-0000-0000-0000FA010000}"/>
    <cellStyle name="Comma 3 17 2" xfId="2401" xr:uid="{00000000-0005-0000-0000-0000FB010000}"/>
    <cellStyle name="Comma 3 18" xfId="1858" xr:uid="{00000000-0005-0000-0000-0000FC010000}"/>
    <cellStyle name="Comma 3 18 2" xfId="2355" xr:uid="{00000000-0005-0000-0000-0000FD010000}"/>
    <cellStyle name="Comma 3 19" xfId="1813" xr:uid="{00000000-0005-0000-0000-0000FE010000}"/>
    <cellStyle name="Comma 3 19 2" xfId="2329" xr:uid="{00000000-0005-0000-0000-0000FF010000}"/>
    <cellStyle name="Comma 3 2" xfId="120" xr:uid="{00000000-0005-0000-0000-000000020000}"/>
    <cellStyle name="Comma 3 2 2" xfId="121" xr:uid="{00000000-0005-0000-0000-000001020000}"/>
    <cellStyle name="Comma 3 2 2 2" xfId="498" xr:uid="{00000000-0005-0000-0000-000002020000}"/>
    <cellStyle name="Comma 3 2 2 2 2" xfId="1734" xr:uid="{00000000-0005-0000-0000-000003020000}"/>
    <cellStyle name="Comma 3 2 2 2 3" xfId="1814" xr:uid="{00000000-0005-0000-0000-000004020000}"/>
    <cellStyle name="Comma 3 2 2 3" xfId="2063" xr:uid="{00000000-0005-0000-0000-000005020000}"/>
    <cellStyle name="Comma 3 2 2 4" xfId="2029" xr:uid="{00000000-0005-0000-0000-000006020000}"/>
    <cellStyle name="Comma 3 2 2 5" xfId="2076" xr:uid="{00000000-0005-0000-0000-000007020000}"/>
    <cellStyle name="Comma 3 2 2 6" xfId="2142" xr:uid="{00000000-0005-0000-0000-000008020000}"/>
    <cellStyle name="Comma 3 2 2 7" xfId="2090" xr:uid="{00000000-0005-0000-0000-000009020000}"/>
    <cellStyle name="Comma 3 2 2 8" xfId="2161" xr:uid="{00000000-0005-0000-0000-00000A020000}"/>
    <cellStyle name="Comma 3 2 2 8 2" xfId="2476" xr:uid="{00000000-0005-0000-0000-00000B020000}"/>
    <cellStyle name="Comma 3 2 3" xfId="499" xr:uid="{00000000-0005-0000-0000-00000C020000}"/>
    <cellStyle name="Comma 3 2 3 2" xfId="1735" xr:uid="{00000000-0005-0000-0000-00000D020000}"/>
    <cellStyle name="Comma 3 2 3 3" xfId="2193" xr:uid="{00000000-0005-0000-0000-00000E020000}"/>
    <cellStyle name="Comma 3 2 3 3 2" xfId="2494" xr:uid="{00000000-0005-0000-0000-00000F020000}"/>
    <cellStyle name="Comma 3 2 4" xfId="500" xr:uid="{00000000-0005-0000-0000-000010020000}"/>
    <cellStyle name="Comma 3 2 4 2" xfId="1736" xr:uid="{00000000-0005-0000-0000-000011020000}"/>
    <cellStyle name="Comma 3 2 4 2 2" xfId="2283" xr:uid="{00000000-0005-0000-0000-000012020000}"/>
    <cellStyle name="Comma 3 2 4 3" xfId="2171" xr:uid="{00000000-0005-0000-0000-000013020000}"/>
    <cellStyle name="Comma 3 2 4 3 2" xfId="2485" xr:uid="{00000000-0005-0000-0000-000014020000}"/>
    <cellStyle name="Comma 3 2 4 4" xfId="2232" xr:uid="{00000000-0005-0000-0000-000015020000}"/>
    <cellStyle name="Comma 3 2 5" xfId="501" xr:uid="{00000000-0005-0000-0000-000016020000}"/>
    <cellStyle name="Comma 3 2 5 2" xfId="1737" xr:uid="{00000000-0005-0000-0000-000017020000}"/>
    <cellStyle name="Comma 3 2 5 3" xfId="2140" xr:uid="{00000000-0005-0000-0000-000018020000}"/>
    <cellStyle name="Comma 3 2 5 3 2" xfId="2466" xr:uid="{00000000-0005-0000-0000-000019020000}"/>
    <cellStyle name="Comma 3 2 6" xfId="2085" xr:uid="{00000000-0005-0000-0000-00001A020000}"/>
    <cellStyle name="Comma 3 2 6 2" xfId="2443" xr:uid="{00000000-0005-0000-0000-00001B020000}"/>
    <cellStyle name="Comma 3 2 7" xfId="2095" xr:uid="{00000000-0005-0000-0000-00001C020000}"/>
    <cellStyle name="Comma 3 2 7 2" xfId="2449" xr:uid="{00000000-0005-0000-0000-00001D020000}"/>
    <cellStyle name="Comma 3 2 8" xfId="1791" xr:uid="{00000000-0005-0000-0000-00001E020000}"/>
    <cellStyle name="Comma 3 20" xfId="1859" xr:uid="{00000000-0005-0000-0000-00001F020000}"/>
    <cellStyle name="Comma 3 20 2" xfId="2356" xr:uid="{00000000-0005-0000-0000-000020020000}"/>
    <cellStyle name="Comma 3 21" xfId="1986" xr:uid="{00000000-0005-0000-0000-000021020000}"/>
    <cellStyle name="Comma 3 21 2" xfId="2408" xr:uid="{00000000-0005-0000-0000-000022020000}"/>
    <cellStyle name="Comma 3 22" xfId="2134" xr:uid="{00000000-0005-0000-0000-000023020000}"/>
    <cellStyle name="Comma 3 22 2" xfId="2462" xr:uid="{00000000-0005-0000-0000-000024020000}"/>
    <cellStyle name="Comma 3 23" xfId="1777" xr:uid="{00000000-0005-0000-0000-000025020000}"/>
    <cellStyle name="Comma 3 23 2" xfId="2314" xr:uid="{00000000-0005-0000-0000-000026020000}"/>
    <cellStyle name="Comma 3 24" xfId="2002" xr:uid="{00000000-0005-0000-0000-000027020000}"/>
    <cellStyle name="Comma 3 24 2" xfId="2414" xr:uid="{00000000-0005-0000-0000-000028020000}"/>
    <cellStyle name="Comma 3 25" xfId="1785" xr:uid="{00000000-0005-0000-0000-000029020000}"/>
    <cellStyle name="Comma 3 25 2" xfId="2320" xr:uid="{00000000-0005-0000-0000-00002A020000}"/>
    <cellStyle name="Comma 3 26" xfId="2146" xr:uid="{00000000-0005-0000-0000-00002B020000}"/>
    <cellStyle name="Comma 3 26 2" xfId="2470" xr:uid="{00000000-0005-0000-0000-00002C020000}"/>
    <cellStyle name="Comma 3 27" xfId="1863" xr:uid="{00000000-0005-0000-0000-00002D020000}"/>
    <cellStyle name="Comma 3 27 2" xfId="2359" xr:uid="{00000000-0005-0000-0000-00002E020000}"/>
    <cellStyle name="Comma 3 28" xfId="2082" xr:uid="{00000000-0005-0000-0000-00002F020000}"/>
    <cellStyle name="Comma 3 28 2" xfId="2441" xr:uid="{00000000-0005-0000-0000-000030020000}"/>
    <cellStyle name="Comma 3 29" xfId="2089" xr:uid="{00000000-0005-0000-0000-000031020000}"/>
    <cellStyle name="Comma 3 29 2" xfId="2445" xr:uid="{00000000-0005-0000-0000-000032020000}"/>
    <cellStyle name="Comma 3 3" xfId="122" xr:uid="{00000000-0005-0000-0000-000033020000}"/>
    <cellStyle name="Comma 3 3 2" xfId="502" xr:uid="{00000000-0005-0000-0000-000034020000}"/>
    <cellStyle name="Comma 3 3 2 2" xfId="2164" xr:uid="{00000000-0005-0000-0000-000035020000}"/>
    <cellStyle name="Comma 3 3 2 2 2" xfId="2479" xr:uid="{00000000-0005-0000-0000-000036020000}"/>
    <cellStyle name="Comma 3 3 3" xfId="2025" xr:uid="{00000000-0005-0000-0000-000037020000}"/>
    <cellStyle name="Comma 3 3 3 2" xfId="2420" xr:uid="{00000000-0005-0000-0000-000038020000}"/>
    <cellStyle name="Comma 3 3 4" xfId="2068" xr:uid="{00000000-0005-0000-0000-000039020000}"/>
    <cellStyle name="Comma 3 3 4 2" xfId="2433" xr:uid="{00000000-0005-0000-0000-00003A020000}"/>
    <cellStyle name="Comma 3 3 5" xfId="2059" xr:uid="{00000000-0005-0000-0000-00003B020000}"/>
    <cellStyle name="Comma 3 3 5 2" xfId="2430" xr:uid="{00000000-0005-0000-0000-00003C020000}"/>
    <cellStyle name="Comma 3 3 6" xfId="2050" xr:uid="{00000000-0005-0000-0000-00003D020000}"/>
    <cellStyle name="Comma 3 3 6 2" xfId="2429" xr:uid="{00000000-0005-0000-0000-00003E020000}"/>
    <cellStyle name="Comma 3 3 7" xfId="2047" xr:uid="{00000000-0005-0000-0000-00003F020000}"/>
    <cellStyle name="Comma 3 3 7 2" xfId="2428" xr:uid="{00000000-0005-0000-0000-000040020000}"/>
    <cellStyle name="Comma 3 3 8" xfId="1826" xr:uid="{00000000-0005-0000-0000-000041020000}"/>
    <cellStyle name="Comma 3 3 8 2" xfId="2336" xr:uid="{00000000-0005-0000-0000-000042020000}"/>
    <cellStyle name="Comma 3 30" xfId="2103" xr:uid="{00000000-0005-0000-0000-000043020000}"/>
    <cellStyle name="Comma 3 30 2" xfId="2453" xr:uid="{00000000-0005-0000-0000-000044020000}"/>
    <cellStyle name="Comma 3 31" xfId="2114" xr:uid="{00000000-0005-0000-0000-000045020000}"/>
    <cellStyle name="Comma 3 31 2" xfId="2455" xr:uid="{00000000-0005-0000-0000-000046020000}"/>
    <cellStyle name="Comma 3 4" xfId="503" xr:uid="{00000000-0005-0000-0000-000047020000}"/>
    <cellStyle name="Comma 3 4 2" xfId="504" xr:uid="{00000000-0005-0000-0000-000048020000}"/>
    <cellStyle name="Comma 3 4 2 2" xfId="1815" xr:uid="{00000000-0005-0000-0000-000049020000}"/>
    <cellStyle name="Comma 3 4 2 2 2" xfId="2330" xr:uid="{00000000-0005-0000-0000-00004A020000}"/>
    <cellStyle name="Comma 3 5" xfId="505" xr:uid="{00000000-0005-0000-0000-00004B020000}"/>
    <cellStyle name="Comma 3 5 2" xfId="506" xr:uid="{00000000-0005-0000-0000-00004C020000}"/>
    <cellStyle name="Comma 3 5 2 2" xfId="1841" xr:uid="{00000000-0005-0000-0000-00004D020000}"/>
    <cellStyle name="Comma 3 5 2 2 2" xfId="2343" xr:uid="{00000000-0005-0000-0000-00004E020000}"/>
    <cellStyle name="Comma 3 5 3" xfId="507" xr:uid="{00000000-0005-0000-0000-00004F020000}"/>
    <cellStyle name="Comma 3 6" xfId="508" xr:uid="{00000000-0005-0000-0000-000050020000}"/>
    <cellStyle name="Comma 3 6 2" xfId="509" xr:uid="{00000000-0005-0000-0000-000051020000}"/>
    <cellStyle name="Comma 3 6 2 2" xfId="1914" xr:uid="{00000000-0005-0000-0000-000052020000}"/>
    <cellStyle name="Comma 3 6 2 2 2" xfId="2370" xr:uid="{00000000-0005-0000-0000-000053020000}"/>
    <cellStyle name="Comma 3 7" xfId="510" xr:uid="{00000000-0005-0000-0000-000054020000}"/>
    <cellStyle name="Comma 3 7 2" xfId="511" xr:uid="{00000000-0005-0000-0000-000055020000}"/>
    <cellStyle name="Comma 3 7 2 2" xfId="2190" xr:uid="{00000000-0005-0000-0000-000056020000}"/>
    <cellStyle name="Comma 3 7 2 2 2" xfId="2492" xr:uid="{00000000-0005-0000-0000-000057020000}"/>
    <cellStyle name="Comma 3 8" xfId="512" xr:uid="{00000000-0005-0000-0000-000058020000}"/>
    <cellStyle name="Comma 3 8 2" xfId="513" xr:uid="{00000000-0005-0000-0000-000059020000}"/>
    <cellStyle name="Comma 3 8 3" xfId="1852" xr:uid="{00000000-0005-0000-0000-00005A020000}"/>
    <cellStyle name="Comma 3 8 3 2" xfId="2352" xr:uid="{00000000-0005-0000-0000-00005B020000}"/>
    <cellStyle name="Comma 3 9" xfId="514" xr:uid="{00000000-0005-0000-0000-00005C020000}"/>
    <cellStyle name="Comma 3 9 2" xfId="515" xr:uid="{00000000-0005-0000-0000-00005D020000}"/>
    <cellStyle name="Comma 3 9 3" xfId="1924" xr:uid="{00000000-0005-0000-0000-00005E020000}"/>
    <cellStyle name="Comma 3 9 3 2" xfId="2376" xr:uid="{00000000-0005-0000-0000-00005F020000}"/>
    <cellStyle name="Comma 30" xfId="516" xr:uid="{00000000-0005-0000-0000-000060020000}"/>
    <cellStyle name="Comma 30 2" xfId="517" xr:uid="{00000000-0005-0000-0000-000061020000}"/>
    <cellStyle name="Comma 30 3" xfId="518" xr:uid="{00000000-0005-0000-0000-000062020000}"/>
    <cellStyle name="Comma 30 4" xfId="1738" xr:uid="{00000000-0005-0000-0000-000063020000}"/>
    <cellStyle name="Comma 30 4 2" xfId="2284" xr:uid="{00000000-0005-0000-0000-000064020000}"/>
    <cellStyle name="Comma 30 5" xfId="2233" xr:uid="{00000000-0005-0000-0000-000065020000}"/>
    <cellStyle name="Comma 31" xfId="519" xr:uid="{00000000-0005-0000-0000-000066020000}"/>
    <cellStyle name="Comma 32" xfId="520" xr:uid="{00000000-0005-0000-0000-000067020000}"/>
    <cellStyle name="Comma 32 2" xfId="521" xr:uid="{00000000-0005-0000-0000-000068020000}"/>
    <cellStyle name="Comma 32 3" xfId="1739" xr:uid="{00000000-0005-0000-0000-000069020000}"/>
    <cellStyle name="Comma 32 3 2" xfId="2285" xr:uid="{00000000-0005-0000-0000-00006A020000}"/>
    <cellStyle name="Comma 32 4" xfId="2234" xr:uid="{00000000-0005-0000-0000-00006B020000}"/>
    <cellStyle name="Comma 33" xfId="522" xr:uid="{00000000-0005-0000-0000-00006C020000}"/>
    <cellStyle name="Comma 33 2" xfId="523" xr:uid="{00000000-0005-0000-0000-00006D020000}"/>
    <cellStyle name="Comma 33 3" xfId="1740" xr:uid="{00000000-0005-0000-0000-00006E020000}"/>
    <cellStyle name="Comma 33 3 2" xfId="2286" xr:uid="{00000000-0005-0000-0000-00006F020000}"/>
    <cellStyle name="Comma 33 4" xfId="2235" xr:uid="{00000000-0005-0000-0000-000070020000}"/>
    <cellStyle name="Comma 34" xfId="524" xr:uid="{00000000-0005-0000-0000-000071020000}"/>
    <cellStyle name="Comma 35" xfId="1686" xr:uid="{00000000-0005-0000-0000-000072020000}"/>
    <cellStyle name="Comma 35 2" xfId="2271" xr:uid="{00000000-0005-0000-0000-000073020000}"/>
    <cellStyle name="Comma 36" xfId="1688" xr:uid="{00000000-0005-0000-0000-000074020000}"/>
    <cellStyle name="Comma 36 2" xfId="2273" xr:uid="{00000000-0005-0000-0000-000075020000}"/>
    <cellStyle name="Comma 37" xfId="1755" xr:uid="{00000000-0005-0000-0000-000076020000}"/>
    <cellStyle name="Comma 37 2" xfId="2294" xr:uid="{00000000-0005-0000-0000-000077020000}"/>
    <cellStyle name="Comma 38" xfId="1757" xr:uid="{00000000-0005-0000-0000-000078020000}"/>
    <cellStyle name="Comma 38 2" xfId="2296" xr:uid="{00000000-0005-0000-0000-000079020000}"/>
    <cellStyle name="Comma 39" xfId="1759" xr:uid="{00000000-0005-0000-0000-00007A020000}"/>
    <cellStyle name="Comma 39 2" xfId="2298" xr:uid="{00000000-0005-0000-0000-00007B020000}"/>
    <cellStyle name="Comma 4" xfId="46" xr:uid="{00000000-0005-0000-0000-00007C020000}"/>
    <cellStyle name="Comma 4 10" xfId="1930" xr:uid="{00000000-0005-0000-0000-00007D020000}"/>
    <cellStyle name="Comma 4 10 2" xfId="2379" xr:uid="{00000000-0005-0000-0000-00007E020000}"/>
    <cellStyle name="Comma 4 11" xfId="1778" xr:uid="{00000000-0005-0000-0000-00007F020000}"/>
    <cellStyle name="Comma 4 11 2" xfId="2315" xr:uid="{00000000-0005-0000-0000-000080020000}"/>
    <cellStyle name="Comma 4 12" xfId="1855" xr:uid="{00000000-0005-0000-0000-000081020000}"/>
    <cellStyle name="Comma 4 12 2" xfId="2353" xr:uid="{00000000-0005-0000-0000-000082020000}"/>
    <cellStyle name="Comma 4 13" xfId="1945" xr:uid="{00000000-0005-0000-0000-000083020000}"/>
    <cellStyle name="Comma 4 13 2" xfId="2385" xr:uid="{00000000-0005-0000-0000-000084020000}"/>
    <cellStyle name="Comma 4 14" xfId="1951" xr:uid="{00000000-0005-0000-0000-000085020000}"/>
    <cellStyle name="Comma 4 14 2" xfId="2391" xr:uid="{00000000-0005-0000-0000-000086020000}"/>
    <cellStyle name="Comma 4 15" xfId="1958" xr:uid="{00000000-0005-0000-0000-000087020000}"/>
    <cellStyle name="Comma 4 15 2" xfId="2395" xr:uid="{00000000-0005-0000-0000-000088020000}"/>
    <cellStyle name="Comma 4 16" xfId="1965" xr:uid="{00000000-0005-0000-0000-000089020000}"/>
    <cellStyle name="Comma 4 16 2" xfId="2400" xr:uid="{00000000-0005-0000-0000-00008A020000}"/>
    <cellStyle name="Comma 4 17" xfId="1972" xr:uid="{00000000-0005-0000-0000-00008B020000}"/>
    <cellStyle name="Comma 4 17 2" xfId="2402" xr:uid="{00000000-0005-0000-0000-00008C020000}"/>
    <cellStyle name="Comma 4 18" xfId="1780" xr:uid="{00000000-0005-0000-0000-00008D020000}"/>
    <cellStyle name="Comma 4 18 2" xfId="2317" xr:uid="{00000000-0005-0000-0000-00008E020000}"/>
    <cellStyle name="Comma 4 19" xfId="1781" xr:uid="{00000000-0005-0000-0000-00008F020000}"/>
    <cellStyle name="Comma 4 19 2" xfId="2318" xr:uid="{00000000-0005-0000-0000-000090020000}"/>
    <cellStyle name="Comma 4 2" xfId="525" xr:uid="{00000000-0005-0000-0000-000091020000}"/>
    <cellStyle name="Comma 4 2 2" xfId="526" xr:uid="{00000000-0005-0000-0000-000092020000}"/>
    <cellStyle name="Comma 4 2 2 2" xfId="1801" xr:uid="{00000000-0005-0000-0000-000093020000}"/>
    <cellStyle name="Comma 4 2 2 2 2" xfId="2324" xr:uid="{00000000-0005-0000-0000-000094020000}"/>
    <cellStyle name="Comma 4 2 3" xfId="527" xr:uid="{00000000-0005-0000-0000-000095020000}"/>
    <cellStyle name="Comma 4 2 3 2" xfId="1742" xr:uid="{00000000-0005-0000-0000-000096020000}"/>
    <cellStyle name="Comma 4 2 3 3" xfId="2170" xr:uid="{00000000-0005-0000-0000-000097020000}"/>
    <cellStyle name="Comma 4 2 3 3 2" xfId="2484" xr:uid="{00000000-0005-0000-0000-000098020000}"/>
    <cellStyle name="Comma 4 2 4" xfId="1741" xr:uid="{00000000-0005-0000-0000-000099020000}"/>
    <cellStyle name="Comma 4 2 4 2" xfId="2071" xr:uid="{00000000-0005-0000-0000-00009A020000}"/>
    <cellStyle name="Comma 4 2 4 2 2" xfId="2436" xr:uid="{00000000-0005-0000-0000-00009B020000}"/>
    <cellStyle name="Comma 4 2 5" xfId="1799" xr:uid="{00000000-0005-0000-0000-00009C020000}"/>
    <cellStyle name="Comma 4 2 5 2" xfId="2323" xr:uid="{00000000-0005-0000-0000-00009D020000}"/>
    <cellStyle name="Comma 4 2 6" xfId="2158" xr:uid="{00000000-0005-0000-0000-00009E020000}"/>
    <cellStyle name="Comma 4 2 6 2" xfId="2475" xr:uid="{00000000-0005-0000-0000-00009F020000}"/>
    <cellStyle name="Comma 4 2 7" xfId="2094" xr:uid="{00000000-0005-0000-0000-0000A0020000}"/>
    <cellStyle name="Comma 4 2 7 2" xfId="2448" xr:uid="{00000000-0005-0000-0000-0000A1020000}"/>
    <cellStyle name="Comma 4 2 8" xfId="2119" xr:uid="{00000000-0005-0000-0000-0000A2020000}"/>
    <cellStyle name="Comma 4 2 8 2" xfId="2457" xr:uid="{00000000-0005-0000-0000-0000A3020000}"/>
    <cellStyle name="Comma 4 20" xfId="1984" xr:uid="{00000000-0005-0000-0000-0000A4020000}"/>
    <cellStyle name="Comma 4 20 2" xfId="2407" xr:uid="{00000000-0005-0000-0000-0000A5020000}"/>
    <cellStyle name="Comma 4 21" xfId="1819" xr:uid="{00000000-0005-0000-0000-0000A6020000}"/>
    <cellStyle name="Comma 4 21 2" xfId="2333" xr:uid="{00000000-0005-0000-0000-0000A7020000}"/>
    <cellStyle name="Comma 4 22" xfId="1990" xr:uid="{00000000-0005-0000-0000-0000A8020000}"/>
    <cellStyle name="Comma 4 22 2" xfId="2411" xr:uid="{00000000-0005-0000-0000-0000A9020000}"/>
    <cellStyle name="Comma 4 23" xfId="2000" xr:uid="{00000000-0005-0000-0000-0000AA020000}"/>
    <cellStyle name="Comma 4 23 2" xfId="2412" xr:uid="{00000000-0005-0000-0000-0000AB020000}"/>
    <cellStyle name="Comma 4 24" xfId="2138" xr:uid="{00000000-0005-0000-0000-0000AC020000}"/>
    <cellStyle name="Comma 4 24 2" xfId="2464" xr:uid="{00000000-0005-0000-0000-0000AD020000}"/>
    <cellStyle name="Comma 4 25" xfId="1786" xr:uid="{00000000-0005-0000-0000-0000AE020000}"/>
    <cellStyle name="Comma 4 25 2" xfId="2321" xr:uid="{00000000-0005-0000-0000-0000AF020000}"/>
    <cellStyle name="Comma 4 26" xfId="2196" xr:uid="{00000000-0005-0000-0000-0000B0020000}"/>
    <cellStyle name="Comma 4 26 2" xfId="2495" xr:uid="{00000000-0005-0000-0000-0000B1020000}"/>
    <cellStyle name="Comma 4 27" xfId="2075" xr:uid="{00000000-0005-0000-0000-0000B2020000}"/>
    <cellStyle name="Comma 4 27 2" xfId="2438" xr:uid="{00000000-0005-0000-0000-0000B3020000}"/>
    <cellStyle name="Comma 4 28" xfId="2141" xr:uid="{00000000-0005-0000-0000-0000B4020000}"/>
    <cellStyle name="Comma 4 28 2" xfId="2467" xr:uid="{00000000-0005-0000-0000-0000B5020000}"/>
    <cellStyle name="Comma 4 29" xfId="2088" xr:uid="{00000000-0005-0000-0000-0000B6020000}"/>
    <cellStyle name="Comma 4 29 2" xfId="2444" xr:uid="{00000000-0005-0000-0000-0000B7020000}"/>
    <cellStyle name="Comma 4 3" xfId="528" xr:uid="{00000000-0005-0000-0000-0000B8020000}"/>
    <cellStyle name="Comma 4 3 2" xfId="529" xr:uid="{00000000-0005-0000-0000-0000B9020000}"/>
    <cellStyle name="Comma 4 3 2 2" xfId="1835" xr:uid="{00000000-0005-0000-0000-0000BA020000}"/>
    <cellStyle name="Comma 4 3 2 2 2" xfId="2341" xr:uid="{00000000-0005-0000-0000-0000BB020000}"/>
    <cellStyle name="Comma 4 3 3" xfId="1743" xr:uid="{00000000-0005-0000-0000-0000BC020000}"/>
    <cellStyle name="Comma 4 3 4" xfId="1880" xr:uid="{00000000-0005-0000-0000-0000BD020000}"/>
    <cellStyle name="Comma 4 30" xfId="2102" xr:uid="{00000000-0005-0000-0000-0000BE020000}"/>
    <cellStyle name="Comma 4 30 2" xfId="2452" xr:uid="{00000000-0005-0000-0000-0000BF020000}"/>
    <cellStyle name="Comma 4 31" xfId="2116" xr:uid="{00000000-0005-0000-0000-0000C0020000}"/>
    <cellStyle name="Comma 4 31 2" xfId="2456" xr:uid="{00000000-0005-0000-0000-0000C1020000}"/>
    <cellStyle name="Comma 4 4" xfId="530" xr:uid="{00000000-0005-0000-0000-0000C2020000}"/>
    <cellStyle name="Comma 4 4 2" xfId="2185" xr:uid="{00000000-0005-0000-0000-0000C3020000}"/>
    <cellStyle name="Comma 4 4 2 2" xfId="2489" xr:uid="{00000000-0005-0000-0000-0000C4020000}"/>
    <cellStyle name="Comma 4 5" xfId="531" xr:uid="{00000000-0005-0000-0000-0000C5020000}"/>
    <cellStyle name="Comma 4 5 2" xfId="2187" xr:uid="{00000000-0005-0000-0000-0000C6020000}"/>
    <cellStyle name="Comma 4 5 2 2" xfId="2490" xr:uid="{00000000-0005-0000-0000-0000C7020000}"/>
    <cellStyle name="Comma 4 5 3" xfId="1884" xr:uid="{00000000-0005-0000-0000-0000C8020000}"/>
    <cellStyle name="Comma 4 5 4" xfId="2236" xr:uid="{00000000-0005-0000-0000-0000C9020000}"/>
    <cellStyle name="Comma 4 6" xfId="1772" xr:uid="{00000000-0005-0000-0000-0000CA020000}"/>
    <cellStyle name="Comma 4 6 2" xfId="1843" xr:uid="{00000000-0005-0000-0000-0000CB020000}"/>
    <cellStyle name="Comma 4 6 2 2" xfId="2345" xr:uid="{00000000-0005-0000-0000-0000CC020000}"/>
    <cellStyle name="Comma 4 7" xfId="1917" xr:uid="{00000000-0005-0000-0000-0000CD020000}"/>
    <cellStyle name="Comma 4 7 2" xfId="2372" xr:uid="{00000000-0005-0000-0000-0000CE020000}"/>
    <cellStyle name="Comma 4 8" xfId="1851" xr:uid="{00000000-0005-0000-0000-0000CF020000}"/>
    <cellStyle name="Comma 4 8 2" xfId="2351" xr:uid="{00000000-0005-0000-0000-0000D0020000}"/>
    <cellStyle name="Comma 4 9" xfId="1923" xr:uid="{00000000-0005-0000-0000-0000D1020000}"/>
    <cellStyle name="Comma 4 9 2" xfId="2375" xr:uid="{00000000-0005-0000-0000-0000D2020000}"/>
    <cellStyle name="Comma 40" xfId="1761" xr:uid="{00000000-0005-0000-0000-0000D3020000}"/>
    <cellStyle name="Comma 40 2" xfId="2300" xr:uid="{00000000-0005-0000-0000-0000D4020000}"/>
    <cellStyle name="Comma 41" xfId="1763" xr:uid="{00000000-0005-0000-0000-0000D5020000}"/>
    <cellStyle name="Comma 41 2" xfId="2302" xr:uid="{00000000-0005-0000-0000-0000D6020000}"/>
    <cellStyle name="Comma 42" xfId="1765" xr:uid="{00000000-0005-0000-0000-0000D7020000}"/>
    <cellStyle name="Comma 42 2" xfId="2304" xr:uid="{00000000-0005-0000-0000-0000D8020000}"/>
    <cellStyle name="Comma 43" xfId="1767" xr:uid="{00000000-0005-0000-0000-0000D9020000}"/>
    <cellStyle name="Comma 43 2" xfId="2306" xr:uid="{00000000-0005-0000-0000-0000DA020000}"/>
    <cellStyle name="Comma 44" xfId="1769" xr:uid="{00000000-0005-0000-0000-0000DB020000}"/>
    <cellStyle name="Comma 44 2" xfId="2308" xr:uid="{00000000-0005-0000-0000-0000DC020000}"/>
    <cellStyle name="Comma 45" xfId="1770" xr:uid="{00000000-0005-0000-0000-0000DD020000}"/>
    <cellStyle name="Comma 45 2" xfId="2309" xr:uid="{00000000-0005-0000-0000-0000DE020000}"/>
    <cellStyle name="Comma 46" xfId="2198" xr:uid="{00000000-0005-0000-0000-0000DF020000}"/>
    <cellStyle name="Comma 46 2" xfId="2497" xr:uid="{00000000-0005-0000-0000-0000E0020000}"/>
    <cellStyle name="Comma 47" xfId="2200" xr:uid="{00000000-0005-0000-0000-0000E1020000}"/>
    <cellStyle name="Comma 47 2" xfId="2499" xr:uid="{00000000-0005-0000-0000-0000E2020000}"/>
    <cellStyle name="Comma 48" xfId="2202" xr:uid="{00000000-0005-0000-0000-0000E3020000}"/>
    <cellStyle name="Comma 48 2" xfId="2501" xr:uid="{00000000-0005-0000-0000-0000E4020000}"/>
    <cellStyle name="Comma 49" xfId="2205" xr:uid="{00000000-0005-0000-0000-0000E5020000}"/>
    <cellStyle name="Comma 49 2" xfId="2502" xr:uid="{00000000-0005-0000-0000-0000E6020000}"/>
    <cellStyle name="Comma 5" xfId="123" xr:uid="{00000000-0005-0000-0000-0000E7020000}"/>
    <cellStyle name="Comma 5 10" xfId="2178" xr:uid="{00000000-0005-0000-0000-0000E8020000}"/>
    <cellStyle name="Comma 5 10 2" xfId="2488" xr:uid="{00000000-0005-0000-0000-0000E9020000}"/>
    <cellStyle name="Comma 5 11" xfId="1935" xr:uid="{00000000-0005-0000-0000-0000EA020000}"/>
    <cellStyle name="Comma 5 11 2" xfId="2382" xr:uid="{00000000-0005-0000-0000-0000EB020000}"/>
    <cellStyle name="Comma 5 12" xfId="1803" xr:uid="{00000000-0005-0000-0000-0000EC020000}"/>
    <cellStyle name="Comma 5 12 2" xfId="2325" xr:uid="{00000000-0005-0000-0000-0000ED020000}"/>
    <cellStyle name="Comma 5 13" xfId="1946" xr:uid="{00000000-0005-0000-0000-0000EE020000}"/>
    <cellStyle name="Comma 5 13 2" xfId="2386" xr:uid="{00000000-0005-0000-0000-0000EF020000}"/>
    <cellStyle name="Comma 5 14" xfId="1950" xr:uid="{00000000-0005-0000-0000-0000F0020000}"/>
    <cellStyle name="Comma 5 14 2" xfId="2390" xr:uid="{00000000-0005-0000-0000-0000F1020000}"/>
    <cellStyle name="Comma 5 15" xfId="2127" xr:uid="{00000000-0005-0000-0000-0000F2020000}"/>
    <cellStyle name="Comma 5 15 2" xfId="2460" xr:uid="{00000000-0005-0000-0000-0000F3020000}"/>
    <cellStyle name="Comma 5 16" xfId="1964" xr:uid="{00000000-0005-0000-0000-0000F4020000}"/>
    <cellStyle name="Comma 5 16 2" xfId="2399" xr:uid="{00000000-0005-0000-0000-0000F5020000}"/>
    <cellStyle name="Comma 5 17" xfId="1973" xr:uid="{00000000-0005-0000-0000-0000F6020000}"/>
    <cellStyle name="Comma 5 17 2" xfId="2403" xr:uid="{00000000-0005-0000-0000-0000F7020000}"/>
    <cellStyle name="Comma 5 18" xfId="1782" xr:uid="{00000000-0005-0000-0000-0000F8020000}"/>
    <cellStyle name="Comma 5 18 2" xfId="2319" xr:uid="{00000000-0005-0000-0000-0000F9020000}"/>
    <cellStyle name="Comma 5 19" xfId="1980" xr:uid="{00000000-0005-0000-0000-0000FA020000}"/>
    <cellStyle name="Comma 5 19 2" xfId="2404" xr:uid="{00000000-0005-0000-0000-0000FB020000}"/>
    <cellStyle name="Comma 5 2" xfId="532" xr:uid="{00000000-0005-0000-0000-0000FC020000}"/>
    <cellStyle name="Comma 5 2 2" xfId="1827" xr:uid="{00000000-0005-0000-0000-0000FD020000}"/>
    <cellStyle name="Comma 5 2 2 2" xfId="2337" xr:uid="{00000000-0005-0000-0000-0000FE020000}"/>
    <cellStyle name="Comma 5 2 3" xfId="2026" xr:uid="{00000000-0005-0000-0000-0000FF020000}"/>
    <cellStyle name="Comma 5 2 3 2" xfId="2421" xr:uid="{00000000-0005-0000-0000-000000030000}"/>
    <cellStyle name="Comma 5 2 4" xfId="2070" xr:uid="{00000000-0005-0000-0000-000001030000}"/>
    <cellStyle name="Comma 5 2 4 2" xfId="2435" xr:uid="{00000000-0005-0000-0000-000002030000}"/>
    <cellStyle name="Comma 5 2 5" xfId="2078" xr:uid="{00000000-0005-0000-0000-000003030000}"/>
    <cellStyle name="Comma 5 2 5 2" xfId="2439" xr:uid="{00000000-0005-0000-0000-000004030000}"/>
    <cellStyle name="Comma 5 2 6" xfId="2084" xr:uid="{00000000-0005-0000-0000-000005030000}"/>
    <cellStyle name="Comma 5 2 6 2" xfId="2442" xr:uid="{00000000-0005-0000-0000-000006030000}"/>
    <cellStyle name="Comma 5 2 7" xfId="2093" xr:uid="{00000000-0005-0000-0000-000007030000}"/>
    <cellStyle name="Comma 5 2 7 2" xfId="2447" xr:uid="{00000000-0005-0000-0000-000008030000}"/>
    <cellStyle name="Comma 5 2 8" xfId="2174" xr:uid="{00000000-0005-0000-0000-000009030000}"/>
    <cellStyle name="Comma 5 2 8 2" xfId="2487" xr:uid="{00000000-0005-0000-0000-00000A030000}"/>
    <cellStyle name="Comma 5 2 9" xfId="1881" xr:uid="{00000000-0005-0000-0000-00000B030000}"/>
    <cellStyle name="Comma 5 20" xfId="1983" xr:uid="{00000000-0005-0000-0000-00000C030000}"/>
    <cellStyle name="Comma 5 20 2" xfId="2406" xr:uid="{00000000-0005-0000-0000-00000D030000}"/>
    <cellStyle name="Comma 5 21" xfId="2132" xr:uid="{00000000-0005-0000-0000-00000E030000}"/>
    <cellStyle name="Comma 5 21 2" xfId="2461" xr:uid="{00000000-0005-0000-0000-00000F030000}"/>
    <cellStyle name="Comma 5 22" xfId="1989" xr:uid="{00000000-0005-0000-0000-000010030000}"/>
    <cellStyle name="Comma 5 22 2" xfId="2410" xr:uid="{00000000-0005-0000-0000-000011030000}"/>
    <cellStyle name="Comma 5 23" xfId="2137" xr:uid="{00000000-0005-0000-0000-000012030000}"/>
    <cellStyle name="Comma 5 23 2" xfId="2463" xr:uid="{00000000-0005-0000-0000-000013030000}"/>
    <cellStyle name="Comma 5 24" xfId="2003" xr:uid="{00000000-0005-0000-0000-000014030000}"/>
    <cellStyle name="Comma 5 24 2" xfId="2415" xr:uid="{00000000-0005-0000-0000-000015030000}"/>
    <cellStyle name="Comma 5 25" xfId="1822" xr:uid="{00000000-0005-0000-0000-000016030000}"/>
    <cellStyle name="Comma 5 25 2" xfId="2335" xr:uid="{00000000-0005-0000-0000-000017030000}"/>
    <cellStyle name="Comma 5 26" xfId="1830" xr:uid="{00000000-0005-0000-0000-000018030000}"/>
    <cellStyle name="Comma 5 26 2" xfId="2339" xr:uid="{00000000-0005-0000-0000-000019030000}"/>
    <cellStyle name="Comma 5 27" xfId="1862" xr:uid="{00000000-0005-0000-0000-00001A030000}"/>
    <cellStyle name="Comma 5 27 2" xfId="2358" xr:uid="{00000000-0005-0000-0000-00001B030000}"/>
    <cellStyle name="Comma 5 28" xfId="2166" xr:uid="{00000000-0005-0000-0000-00001C030000}"/>
    <cellStyle name="Comma 5 28 2" xfId="2481" xr:uid="{00000000-0005-0000-0000-00001D030000}"/>
    <cellStyle name="Comma 5 29" xfId="2165" xr:uid="{00000000-0005-0000-0000-00001E030000}"/>
    <cellStyle name="Comma 5 29 2" xfId="2480" xr:uid="{00000000-0005-0000-0000-00001F030000}"/>
    <cellStyle name="Comma 5 3" xfId="533" xr:uid="{00000000-0005-0000-0000-000020030000}"/>
    <cellStyle name="Comma 5 3 2" xfId="1745" xr:uid="{00000000-0005-0000-0000-000021030000}"/>
    <cellStyle name="Comma 5 3 2 2" xfId="1905" xr:uid="{00000000-0005-0000-0000-000022030000}"/>
    <cellStyle name="Comma 5 3 2 2 2" xfId="2368" xr:uid="{00000000-0005-0000-0000-000023030000}"/>
    <cellStyle name="Comma 5 3 2 3" xfId="2288" xr:uid="{00000000-0005-0000-0000-000024030000}"/>
    <cellStyle name="Comma 5 3 3" xfId="2179" xr:uid="{00000000-0005-0000-0000-000025030000}"/>
    <cellStyle name="Comma 5 3 4" xfId="2237" xr:uid="{00000000-0005-0000-0000-000026030000}"/>
    <cellStyle name="Comma 5 30" xfId="2101" xr:uid="{00000000-0005-0000-0000-000027030000}"/>
    <cellStyle name="Comma 5 30 2" xfId="2451" xr:uid="{00000000-0005-0000-0000-000028030000}"/>
    <cellStyle name="Comma 5 31" xfId="1897" xr:uid="{00000000-0005-0000-0000-000029030000}"/>
    <cellStyle name="Comma 5 31 2" xfId="2364" xr:uid="{00000000-0005-0000-0000-00002A030000}"/>
    <cellStyle name="Comma 5 4" xfId="1696" xr:uid="{00000000-0005-0000-0000-00002B030000}"/>
    <cellStyle name="Comma 5 4 2" xfId="1864" xr:uid="{00000000-0005-0000-0000-00002C030000}"/>
    <cellStyle name="Comma 5 4 2 2" xfId="2360" xr:uid="{00000000-0005-0000-0000-00002D030000}"/>
    <cellStyle name="Comma 5 4 3" xfId="1889" xr:uid="{00000000-0005-0000-0000-00002E030000}"/>
    <cellStyle name="Comma 5 5" xfId="2172" xr:uid="{00000000-0005-0000-0000-00002F030000}"/>
    <cellStyle name="Comma 5 5 2" xfId="1842" xr:uid="{00000000-0005-0000-0000-000030030000}"/>
    <cellStyle name="Comma 5 5 2 2" xfId="2344" xr:uid="{00000000-0005-0000-0000-000031030000}"/>
    <cellStyle name="Comma 5 6" xfId="2189" xr:uid="{00000000-0005-0000-0000-000032030000}"/>
    <cellStyle name="Comma 5 6 2" xfId="2491" xr:uid="{00000000-0005-0000-0000-000033030000}"/>
    <cellStyle name="Comma 5 7" xfId="1847" xr:uid="{00000000-0005-0000-0000-000034030000}"/>
    <cellStyle name="Comma 5 7 2" xfId="2348" xr:uid="{00000000-0005-0000-0000-000035030000}"/>
    <cellStyle name="Comma 5 8" xfId="1920" xr:uid="{00000000-0005-0000-0000-000036030000}"/>
    <cellStyle name="Comma 5 8 2" xfId="2373" xr:uid="{00000000-0005-0000-0000-000037030000}"/>
    <cellStyle name="Comma 5 9" xfId="1922" xr:uid="{00000000-0005-0000-0000-000038030000}"/>
    <cellStyle name="Comma 5 9 2" xfId="2374" xr:uid="{00000000-0005-0000-0000-000039030000}"/>
    <cellStyle name="Comma 50" xfId="2203" xr:uid="{00000000-0005-0000-0000-00003A030000}"/>
    <cellStyle name="Comma 51" xfId="2211" xr:uid="{00000000-0005-0000-0000-00003B030000}"/>
    <cellStyle name="Comma 51 2" xfId="2507" xr:uid="{00000000-0005-0000-0000-00003C030000}"/>
    <cellStyle name="Comma 52" xfId="2212" xr:uid="{00000000-0005-0000-0000-00003D030000}"/>
    <cellStyle name="Comma 52 2" xfId="2508" xr:uid="{00000000-0005-0000-0000-00003E030000}"/>
    <cellStyle name="Comma 53" xfId="2510" xr:uid="{00000000-0005-0000-0000-00003F030000}"/>
    <cellStyle name="Comma 6" xfId="47" xr:uid="{00000000-0005-0000-0000-000040030000}"/>
    <cellStyle name="Comma 6 10" xfId="1929" xr:uid="{00000000-0005-0000-0000-000041030000}"/>
    <cellStyle name="Comma 6 10 2" xfId="2378" xr:uid="{00000000-0005-0000-0000-000042030000}"/>
    <cellStyle name="Comma 6 11" xfId="1934" xr:uid="{00000000-0005-0000-0000-000043030000}"/>
    <cellStyle name="Comma 6 11 2" xfId="2381" xr:uid="{00000000-0005-0000-0000-000044030000}"/>
    <cellStyle name="Comma 6 12" xfId="1939" xr:uid="{00000000-0005-0000-0000-000045030000}"/>
    <cellStyle name="Comma 6 12 2" xfId="2383" xr:uid="{00000000-0005-0000-0000-000046030000}"/>
    <cellStyle name="Comma 6 13" xfId="1947" xr:uid="{00000000-0005-0000-0000-000047030000}"/>
    <cellStyle name="Comma 6 13 2" xfId="2387" xr:uid="{00000000-0005-0000-0000-000048030000}"/>
    <cellStyle name="Comma 6 14" xfId="1949" xr:uid="{00000000-0005-0000-0000-000049030000}"/>
    <cellStyle name="Comma 6 14 2" xfId="2389" xr:uid="{00000000-0005-0000-0000-00004A030000}"/>
    <cellStyle name="Comma 6 15" xfId="1957" xr:uid="{00000000-0005-0000-0000-00004B030000}"/>
    <cellStyle name="Comma 6 15 2" xfId="2394" xr:uid="{00000000-0005-0000-0000-00004C030000}"/>
    <cellStyle name="Comma 6 16" xfId="1963" xr:uid="{00000000-0005-0000-0000-00004D030000}"/>
    <cellStyle name="Comma 6 16 2" xfId="2398" xr:uid="{00000000-0005-0000-0000-00004E030000}"/>
    <cellStyle name="Comma 6 17" xfId="1806" xr:uid="{00000000-0005-0000-0000-00004F030000}"/>
    <cellStyle name="Comma 6 17 2" xfId="2327" xr:uid="{00000000-0005-0000-0000-000050030000}"/>
    <cellStyle name="Comma 6 18" xfId="1857" xr:uid="{00000000-0005-0000-0000-000051030000}"/>
    <cellStyle name="Comma 6 18 2" xfId="2354" xr:uid="{00000000-0005-0000-0000-000052030000}"/>
    <cellStyle name="Comma 6 19" xfId="1981" xr:uid="{00000000-0005-0000-0000-000053030000}"/>
    <cellStyle name="Comma 6 19 2" xfId="2405" xr:uid="{00000000-0005-0000-0000-000054030000}"/>
    <cellStyle name="Comma 6 2" xfId="534" xr:uid="{00000000-0005-0000-0000-000055030000}"/>
    <cellStyle name="Comma 6 2 2" xfId="535" xr:uid="{00000000-0005-0000-0000-000056030000}"/>
    <cellStyle name="Comma 6 2 2 2" xfId="1746" xr:uid="{00000000-0005-0000-0000-000057030000}"/>
    <cellStyle name="Comma 6 2 2 3" xfId="1774" xr:uid="{00000000-0005-0000-0000-000058030000}"/>
    <cellStyle name="Comma 6 2 2 3 2" xfId="2311" xr:uid="{00000000-0005-0000-0000-000059030000}"/>
    <cellStyle name="Comma 6 2 3" xfId="2192" xr:uid="{00000000-0005-0000-0000-00005A030000}"/>
    <cellStyle name="Comma 6 2 3 2" xfId="2493" xr:uid="{00000000-0005-0000-0000-00005B030000}"/>
    <cellStyle name="Comma 6 2 4" xfId="2069" xr:uid="{00000000-0005-0000-0000-00005C030000}"/>
    <cellStyle name="Comma 6 2 4 2" xfId="2434" xr:uid="{00000000-0005-0000-0000-00005D030000}"/>
    <cellStyle name="Comma 6 2 5" xfId="2139" xr:uid="{00000000-0005-0000-0000-00005E030000}"/>
    <cellStyle name="Comma 6 2 5 2" xfId="2465" xr:uid="{00000000-0005-0000-0000-00005F030000}"/>
    <cellStyle name="Comma 6 2 6" xfId="2157" xr:uid="{00000000-0005-0000-0000-000060030000}"/>
    <cellStyle name="Comma 6 2 6 2" xfId="2474" xr:uid="{00000000-0005-0000-0000-000061030000}"/>
    <cellStyle name="Comma 6 2 7" xfId="2092" xr:uid="{00000000-0005-0000-0000-000062030000}"/>
    <cellStyle name="Comma 6 2 7 2" xfId="2446" xr:uid="{00000000-0005-0000-0000-000063030000}"/>
    <cellStyle name="Comma 6 2 8" xfId="1833" xr:uid="{00000000-0005-0000-0000-000064030000}"/>
    <cellStyle name="Comma 6 2 8 2" xfId="2340" xr:uid="{00000000-0005-0000-0000-000065030000}"/>
    <cellStyle name="Comma 6 20" xfId="2153" xr:uid="{00000000-0005-0000-0000-000066030000}"/>
    <cellStyle name="Comma 6 20 2" xfId="2472" xr:uid="{00000000-0005-0000-0000-000067030000}"/>
    <cellStyle name="Comma 6 21" xfId="1860" xr:uid="{00000000-0005-0000-0000-000068030000}"/>
    <cellStyle name="Comma 6 21 2" xfId="2357" xr:uid="{00000000-0005-0000-0000-000069030000}"/>
    <cellStyle name="Comma 6 22" xfId="1988" xr:uid="{00000000-0005-0000-0000-00006A030000}"/>
    <cellStyle name="Comma 6 22 2" xfId="2409" xr:uid="{00000000-0005-0000-0000-00006B030000}"/>
    <cellStyle name="Comma 6 23" xfId="2001" xr:uid="{00000000-0005-0000-0000-00006C030000}"/>
    <cellStyle name="Comma 6 23 2" xfId="2413" xr:uid="{00000000-0005-0000-0000-00006D030000}"/>
    <cellStyle name="Comma 6 24" xfId="2004" xr:uid="{00000000-0005-0000-0000-00006E030000}"/>
    <cellStyle name="Comma 6 24 2" xfId="2416" xr:uid="{00000000-0005-0000-0000-00006F030000}"/>
    <cellStyle name="Comma 6 25" xfId="1810" xr:uid="{00000000-0005-0000-0000-000070030000}"/>
    <cellStyle name="Comma 6 25 2" xfId="2328" xr:uid="{00000000-0005-0000-0000-000071030000}"/>
    <cellStyle name="Comma 6 26" xfId="2028" xr:uid="{00000000-0005-0000-0000-000072030000}"/>
    <cellStyle name="Comma 6 26 2" xfId="2422" xr:uid="{00000000-0005-0000-0000-000073030000}"/>
    <cellStyle name="Comma 6 27" xfId="2074" xr:uid="{00000000-0005-0000-0000-000074030000}"/>
    <cellStyle name="Comma 6 27 2" xfId="2437" xr:uid="{00000000-0005-0000-0000-000075030000}"/>
    <cellStyle name="Comma 6 28" xfId="2081" xr:uid="{00000000-0005-0000-0000-000076030000}"/>
    <cellStyle name="Comma 6 28 2" xfId="2440" xr:uid="{00000000-0005-0000-0000-000077030000}"/>
    <cellStyle name="Comma 6 29" xfId="2144" xr:uid="{00000000-0005-0000-0000-000078030000}"/>
    <cellStyle name="Comma 6 29 2" xfId="2468" xr:uid="{00000000-0005-0000-0000-000079030000}"/>
    <cellStyle name="Comma 6 3" xfId="536" xr:uid="{00000000-0005-0000-0000-00007A030000}"/>
    <cellStyle name="Comma 6 3 2" xfId="1747" xr:uid="{00000000-0005-0000-0000-00007B030000}"/>
    <cellStyle name="Comma 6 3 2 2" xfId="2163" xr:uid="{00000000-0005-0000-0000-00007C030000}"/>
    <cellStyle name="Comma 6 3 2 2 2" xfId="2478" xr:uid="{00000000-0005-0000-0000-00007D030000}"/>
    <cellStyle name="Comma 6 30" xfId="2100" xr:uid="{00000000-0005-0000-0000-00007E030000}"/>
    <cellStyle name="Comma 6 30 2" xfId="2450" xr:uid="{00000000-0005-0000-0000-00007F030000}"/>
    <cellStyle name="Comma 6 31" xfId="1899" xr:uid="{00000000-0005-0000-0000-000080030000}"/>
    <cellStyle name="Comma 6 31 2" xfId="2365" xr:uid="{00000000-0005-0000-0000-000081030000}"/>
    <cellStyle name="Comma 6 4" xfId="537" xr:uid="{00000000-0005-0000-0000-000082030000}"/>
    <cellStyle name="Comma 6 4 2" xfId="1837" xr:uid="{00000000-0005-0000-0000-000083030000}"/>
    <cellStyle name="Comma 6 4 2 2" xfId="2342" xr:uid="{00000000-0005-0000-0000-000084030000}"/>
    <cellStyle name="Comma 6 4 3" xfId="2112" xr:uid="{00000000-0005-0000-0000-000085030000}"/>
    <cellStyle name="Comma 6 4 4" xfId="2238" xr:uid="{00000000-0005-0000-0000-000086030000}"/>
    <cellStyle name="Comma 6 5" xfId="1911" xr:uid="{00000000-0005-0000-0000-000087030000}"/>
    <cellStyle name="Comma 6 5 2" xfId="2369" xr:uid="{00000000-0005-0000-0000-000088030000}"/>
    <cellStyle name="Comma 6 6" xfId="1844" xr:uid="{00000000-0005-0000-0000-000089030000}"/>
    <cellStyle name="Comma 6 6 2" xfId="2346" xr:uid="{00000000-0005-0000-0000-00008A030000}"/>
    <cellStyle name="Comma 6 7" xfId="1916" xr:uid="{00000000-0005-0000-0000-00008B030000}"/>
    <cellStyle name="Comma 6 7 2" xfId="2371" xr:uid="{00000000-0005-0000-0000-00008C030000}"/>
    <cellStyle name="Comma 6 8" xfId="1850" xr:uid="{00000000-0005-0000-0000-00008D030000}"/>
    <cellStyle name="Comma 6 8 2" xfId="2350" xr:uid="{00000000-0005-0000-0000-00008E030000}"/>
    <cellStyle name="Comma 6 9" xfId="1775" xr:uid="{00000000-0005-0000-0000-00008F030000}"/>
    <cellStyle name="Comma 6 9 2" xfId="2312" xr:uid="{00000000-0005-0000-0000-000090030000}"/>
    <cellStyle name="Comma 7" xfId="48" xr:uid="{00000000-0005-0000-0000-000091030000}"/>
    <cellStyle name="Comma 7 2" xfId="538" xr:uid="{00000000-0005-0000-0000-000092030000}"/>
    <cellStyle name="Comma 7 2 2" xfId="2181" xr:uid="{00000000-0005-0000-0000-000093030000}"/>
    <cellStyle name="Comma 7 3" xfId="539" xr:uid="{00000000-0005-0000-0000-000094030000}"/>
    <cellStyle name="Comma 7 3 2" xfId="1890" xr:uid="{00000000-0005-0000-0000-000095030000}"/>
    <cellStyle name="Comma 7 3 3" xfId="2239" xr:uid="{00000000-0005-0000-0000-000096030000}"/>
    <cellStyle name="Comma 7 4" xfId="540" xr:uid="{00000000-0005-0000-0000-000097030000}"/>
    <cellStyle name="Comma 7 4 2" xfId="1900" xr:uid="{00000000-0005-0000-0000-000098030000}"/>
    <cellStyle name="Comma 7 4 2 2" xfId="2366" xr:uid="{00000000-0005-0000-0000-000099030000}"/>
    <cellStyle name="Comma 7 5" xfId="1877" xr:uid="{00000000-0005-0000-0000-00009A030000}"/>
    <cellStyle name="Comma 8" xfId="124" xr:uid="{00000000-0005-0000-0000-00009B030000}"/>
    <cellStyle name="Comma 8 10" xfId="2151" xr:uid="{00000000-0005-0000-0000-00009C030000}"/>
    <cellStyle name="Comma 8 10 2" xfId="2471" xr:uid="{00000000-0005-0000-0000-00009D030000}"/>
    <cellStyle name="Comma 8 11" xfId="1870" xr:uid="{00000000-0005-0000-0000-00009E030000}"/>
    <cellStyle name="Comma 8 11 2" xfId="2361" xr:uid="{00000000-0005-0000-0000-00009F030000}"/>
    <cellStyle name="Comma 8 12" xfId="1948" xr:uid="{00000000-0005-0000-0000-0000A0030000}"/>
    <cellStyle name="Comma 8 12 2" xfId="2388" xr:uid="{00000000-0005-0000-0000-0000A1030000}"/>
    <cellStyle name="Comma 8 13" xfId="1955" xr:uid="{00000000-0005-0000-0000-0000A2030000}"/>
    <cellStyle name="Comma 8 13 2" xfId="2393" xr:uid="{00000000-0005-0000-0000-0000A3030000}"/>
    <cellStyle name="Comma 8 14" xfId="1961" xr:uid="{00000000-0005-0000-0000-0000A4030000}"/>
    <cellStyle name="Comma 8 14 2" xfId="2397" xr:uid="{00000000-0005-0000-0000-0000A5030000}"/>
    <cellStyle name="Comma 8 15" xfId="1779" xr:uid="{00000000-0005-0000-0000-0000A6030000}"/>
    <cellStyle name="Comma 8 15 2" xfId="2316" xr:uid="{00000000-0005-0000-0000-0000A7030000}"/>
    <cellStyle name="Comma 8 16" xfId="1820" xr:uid="{00000000-0005-0000-0000-0000A8030000}"/>
    <cellStyle name="Comma 8 16 2" xfId="2334" xr:uid="{00000000-0005-0000-0000-0000A9030000}"/>
    <cellStyle name="Comma 8 17" xfId="2005" xr:uid="{00000000-0005-0000-0000-0000AA030000}"/>
    <cellStyle name="Comma 8 17 2" xfId="2417" xr:uid="{00000000-0005-0000-0000-0000AB030000}"/>
    <cellStyle name="Comma 8 18" xfId="1903" xr:uid="{00000000-0005-0000-0000-0000AC030000}"/>
    <cellStyle name="Comma 8 18 2" xfId="2367" xr:uid="{00000000-0005-0000-0000-0000AD030000}"/>
    <cellStyle name="Comma 8 19" xfId="1885" xr:uid="{00000000-0005-0000-0000-0000AE030000}"/>
    <cellStyle name="Comma 8 2" xfId="541" xr:uid="{00000000-0005-0000-0000-0000AF030000}"/>
    <cellStyle name="Comma 8 2 2" xfId="2162" xr:uid="{00000000-0005-0000-0000-0000B0030000}"/>
    <cellStyle name="Comma 8 2 2 2" xfId="2477" xr:uid="{00000000-0005-0000-0000-0000B1030000}"/>
    <cellStyle name="Comma 8 2 3" xfId="2182" xr:uid="{00000000-0005-0000-0000-0000B2030000}"/>
    <cellStyle name="Comma 8 3" xfId="542" xr:uid="{00000000-0005-0000-0000-0000B3030000}"/>
    <cellStyle name="Comma 8 3 2" xfId="2240" xr:uid="{00000000-0005-0000-0000-0000B4030000}"/>
    <cellStyle name="Comma 8 4" xfId="1816" xr:uid="{00000000-0005-0000-0000-0000B5030000}"/>
    <cellStyle name="Comma 8 4 2" xfId="2331" xr:uid="{00000000-0005-0000-0000-0000B6030000}"/>
    <cellStyle name="Comma 8 5" xfId="1845" xr:uid="{00000000-0005-0000-0000-0000B7030000}"/>
    <cellStyle name="Comma 8 5 2" xfId="2347" xr:uid="{00000000-0005-0000-0000-0000B8030000}"/>
    <cellStyle name="Comma 8 6" xfId="1849" xr:uid="{00000000-0005-0000-0000-0000B9030000}"/>
    <cellStyle name="Comma 8 6 2" xfId="2349" xr:uid="{00000000-0005-0000-0000-0000BA030000}"/>
    <cellStyle name="Comma 8 7" xfId="2122" xr:uid="{00000000-0005-0000-0000-0000BB030000}"/>
    <cellStyle name="Comma 8 7 2" xfId="2458" xr:uid="{00000000-0005-0000-0000-0000BC030000}"/>
    <cellStyle name="Comma 8 8" xfId="1927" xr:uid="{00000000-0005-0000-0000-0000BD030000}"/>
    <cellStyle name="Comma 8 8 2" xfId="2377" xr:uid="{00000000-0005-0000-0000-0000BE030000}"/>
    <cellStyle name="Comma 8 9" xfId="1932" xr:uid="{00000000-0005-0000-0000-0000BF030000}"/>
    <cellStyle name="Comma 8 9 2" xfId="2380" xr:uid="{00000000-0005-0000-0000-0000C0030000}"/>
    <cellStyle name="Comma 9" xfId="125" xr:uid="{00000000-0005-0000-0000-0000C1030000}"/>
    <cellStyle name="Comma 9 2" xfId="126" xr:uid="{00000000-0005-0000-0000-0000C2030000}"/>
    <cellStyle name="Comma 9 2 2" xfId="1698" xr:uid="{00000000-0005-0000-0000-0000C3030000}"/>
    <cellStyle name="Comma 9 3" xfId="543" xr:uid="{00000000-0005-0000-0000-0000C4030000}"/>
    <cellStyle name="Comma 9 4" xfId="544" xr:uid="{00000000-0005-0000-0000-0000C5030000}"/>
    <cellStyle name="Comma 9 4 2" xfId="2241" xr:uid="{00000000-0005-0000-0000-0000C6030000}"/>
    <cellStyle name="Comma 9 5" xfId="1697" xr:uid="{00000000-0005-0000-0000-0000C7030000}"/>
    <cellStyle name="Comma0" xfId="214" xr:uid="{00000000-0005-0000-0000-0000C8030000}"/>
    <cellStyle name="Comma0 2" xfId="545" xr:uid="{00000000-0005-0000-0000-0000C9030000}"/>
    <cellStyle name="Comma0 2 2" xfId="546" xr:uid="{00000000-0005-0000-0000-0000CA030000}"/>
    <cellStyle name="Comma0 3" xfId="547" xr:uid="{00000000-0005-0000-0000-0000CB030000}"/>
    <cellStyle name="Comma0 4" xfId="548" xr:uid="{00000000-0005-0000-0000-0000CC030000}"/>
    <cellStyle name="Comma0_2011 08 15 -  AFCAC Retail - IKEA Work-in-progress BOQ FIT-OUT" xfId="549" xr:uid="{00000000-0005-0000-0000-0000CD030000}"/>
    <cellStyle name="Commentaire 2" xfId="550" xr:uid="{00000000-0005-0000-0000-0000CE030000}"/>
    <cellStyle name="Condensed_Epson" xfId="551" xr:uid="{00000000-0005-0000-0000-0000CF030000}"/>
    <cellStyle name="Copied" xfId="552" xr:uid="{00000000-0005-0000-0000-0000D0030000}"/>
    <cellStyle name="Currency [k]" xfId="553" xr:uid="{00000000-0005-0000-0000-0000D1030000}"/>
    <cellStyle name="Currency [k] 2" xfId="554" xr:uid="{00000000-0005-0000-0000-0000D2030000}"/>
    <cellStyle name="Currency [m]" xfId="555" xr:uid="{00000000-0005-0000-0000-0000D3030000}"/>
    <cellStyle name="Currency [m] 2" xfId="556" xr:uid="{00000000-0005-0000-0000-0000D4030000}"/>
    <cellStyle name="Currency 2" xfId="557" xr:uid="{00000000-0005-0000-0000-0000D5030000}"/>
    <cellStyle name="Currency 2 2" xfId="1748" xr:uid="{00000000-0005-0000-0000-0000D6030000}"/>
    <cellStyle name="Currency 3" xfId="558" xr:uid="{00000000-0005-0000-0000-0000D7030000}"/>
    <cellStyle name="Currency 3 2" xfId="559" xr:uid="{00000000-0005-0000-0000-0000D8030000}"/>
    <cellStyle name="Currency 3 3" xfId="1749" xr:uid="{00000000-0005-0000-0000-0000D9030000}"/>
    <cellStyle name="Currency0" xfId="215" xr:uid="{00000000-0005-0000-0000-0000DA030000}"/>
    <cellStyle name="Currency0 2" xfId="560" xr:uid="{00000000-0005-0000-0000-0000DB030000}"/>
    <cellStyle name="Currency0 2 2" xfId="561" xr:uid="{00000000-0005-0000-0000-0000DC030000}"/>
    <cellStyle name="Currency0 3" xfId="562" xr:uid="{00000000-0005-0000-0000-0000DD030000}"/>
    <cellStyle name="Currency0 4" xfId="1699" xr:uid="{00000000-0005-0000-0000-0000DE030000}"/>
    <cellStyle name="Currency0_2011 08 15 -  AFCAC Retail - IKEA Work-in-progress BOQ FIT-OUT" xfId="563" xr:uid="{00000000-0005-0000-0000-0000DF030000}"/>
    <cellStyle name="Date" xfId="216" xr:uid="{00000000-0005-0000-0000-0000E0030000}"/>
    <cellStyle name="Date 2" xfId="564" xr:uid="{00000000-0005-0000-0000-0000E1030000}"/>
    <cellStyle name="Date 2 2" xfId="565" xr:uid="{00000000-0005-0000-0000-0000E2030000}"/>
    <cellStyle name="Date 3" xfId="566" xr:uid="{00000000-0005-0000-0000-0000E3030000}"/>
    <cellStyle name="Date 3 2" xfId="567" xr:uid="{00000000-0005-0000-0000-0000E4030000}"/>
    <cellStyle name="Date 4" xfId="568" xr:uid="{00000000-0005-0000-0000-0000E5030000}"/>
    <cellStyle name="Date 5" xfId="569" xr:uid="{00000000-0005-0000-0000-0000E6030000}"/>
    <cellStyle name="Date 6" xfId="570" xr:uid="{00000000-0005-0000-0000-0000E7030000}"/>
    <cellStyle name="Date 7" xfId="571" xr:uid="{00000000-0005-0000-0000-0000E8030000}"/>
    <cellStyle name="Date 8" xfId="572" xr:uid="{00000000-0005-0000-0000-0000E9030000}"/>
    <cellStyle name="Date_2011 08 15 -  AFCAC Retail - IKEA Work-in-progress BOQ FIT-OUT" xfId="573" xr:uid="{00000000-0005-0000-0000-0000EA030000}"/>
    <cellStyle name="Define your own named style" xfId="574" xr:uid="{00000000-0005-0000-0000-0000EB030000}"/>
    <cellStyle name="Draw lines around data in range" xfId="575" xr:uid="{00000000-0005-0000-0000-0000EC030000}"/>
    <cellStyle name="Draw shadow and lines within range" xfId="576" xr:uid="{00000000-0005-0000-0000-0000ED030000}"/>
    <cellStyle name="E9551&amp;R&amp;U&amp;Aآv_x0004_" xfId="217" xr:uid="{00000000-0005-0000-0000-0000EE030000}"/>
    <cellStyle name="Emad" xfId="577" xr:uid="{00000000-0005-0000-0000-0000EF030000}"/>
    <cellStyle name="Emphasis 1" xfId="127" xr:uid="{00000000-0005-0000-0000-0000F0030000}"/>
    <cellStyle name="Emphasis 1 2" xfId="578" xr:uid="{00000000-0005-0000-0000-0000F1030000}"/>
    <cellStyle name="Emphasis 2" xfId="128" xr:uid="{00000000-0005-0000-0000-0000F2030000}"/>
    <cellStyle name="Emphasis 2 2" xfId="579" xr:uid="{00000000-0005-0000-0000-0000F3030000}"/>
    <cellStyle name="Emphasis 3" xfId="129" xr:uid="{00000000-0005-0000-0000-0000F4030000}"/>
    <cellStyle name="Emphasis 3 2" xfId="580" xr:uid="{00000000-0005-0000-0000-0000F5030000}"/>
    <cellStyle name="Enlarge title text, yellow on blue" xfId="581" xr:uid="{00000000-0005-0000-0000-0000F6030000}"/>
    <cellStyle name="Entered" xfId="582" xr:uid="{00000000-0005-0000-0000-0000F7030000}"/>
    <cellStyle name="Euro" xfId="218" xr:uid="{00000000-0005-0000-0000-0000F8030000}"/>
    <cellStyle name="Euro 2" xfId="583" xr:uid="{00000000-0005-0000-0000-0000F9030000}"/>
    <cellStyle name="Euro 3" xfId="584" xr:uid="{00000000-0005-0000-0000-0000FA030000}"/>
    <cellStyle name="Explanatory Text" xfId="2529" builtinId="53" customBuiltin="1"/>
    <cellStyle name="Explanatory Text 2" xfId="585" xr:uid="{00000000-0005-0000-0000-0000FC030000}"/>
    <cellStyle name="Fixed" xfId="219" xr:uid="{00000000-0005-0000-0000-0000FD030000}"/>
    <cellStyle name="Fixed 2" xfId="586" xr:uid="{00000000-0005-0000-0000-0000FE030000}"/>
    <cellStyle name="Fixed 2 2" xfId="587" xr:uid="{00000000-0005-0000-0000-0000FF030000}"/>
    <cellStyle name="Fixed 3" xfId="588" xr:uid="{00000000-0005-0000-0000-000000040000}"/>
    <cellStyle name="Fixed 3 2" xfId="589" xr:uid="{00000000-0005-0000-0000-000001040000}"/>
    <cellStyle name="Fixed 4" xfId="590" xr:uid="{00000000-0005-0000-0000-000002040000}"/>
    <cellStyle name="Fixed 5" xfId="591" xr:uid="{00000000-0005-0000-0000-000003040000}"/>
    <cellStyle name="Fixed 6" xfId="592" xr:uid="{00000000-0005-0000-0000-000004040000}"/>
    <cellStyle name="Fixed 7" xfId="593" xr:uid="{00000000-0005-0000-0000-000005040000}"/>
    <cellStyle name="Fixed 8" xfId="594" xr:uid="{00000000-0005-0000-0000-000006040000}"/>
    <cellStyle name="Fixed_2011 08 15 -  AFCAC Retail - IKEA Work-in-progress BOQ FIT-OUT" xfId="595" xr:uid="{00000000-0005-0000-0000-000007040000}"/>
    <cellStyle name="Followed Hyperlink 10" xfId="596" xr:uid="{00000000-0005-0000-0000-000008040000}"/>
    <cellStyle name="Followed Hyperlink 100" xfId="597" xr:uid="{00000000-0005-0000-0000-000009040000}"/>
    <cellStyle name="Followed Hyperlink 101" xfId="598" xr:uid="{00000000-0005-0000-0000-00000A040000}"/>
    <cellStyle name="Followed Hyperlink 102" xfId="599" xr:uid="{00000000-0005-0000-0000-00000B040000}"/>
    <cellStyle name="Followed Hyperlink 103" xfId="600" xr:uid="{00000000-0005-0000-0000-00000C040000}"/>
    <cellStyle name="Followed Hyperlink 104" xfId="601" xr:uid="{00000000-0005-0000-0000-00000D040000}"/>
    <cellStyle name="Followed Hyperlink 105" xfId="602" xr:uid="{00000000-0005-0000-0000-00000E040000}"/>
    <cellStyle name="Followed Hyperlink 106" xfId="603" xr:uid="{00000000-0005-0000-0000-00000F040000}"/>
    <cellStyle name="Followed Hyperlink 107" xfId="604" xr:uid="{00000000-0005-0000-0000-000010040000}"/>
    <cellStyle name="Followed Hyperlink 108" xfId="605" xr:uid="{00000000-0005-0000-0000-000011040000}"/>
    <cellStyle name="Followed Hyperlink 109" xfId="606" xr:uid="{00000000-0005-0000-0000-000012040000}"/>
    <cellStyle name="Followed Hyperlink 11" xfId="607" xr:uid="{00000000-0005-0000-0000-000013040000}"/>
    <cellStyle name="Followed Hyperlink 110" xfId="608" xr:uid="{00000000-0005-0000-0000-000014040000}"/>
    <cellStyle name="Followed Hyperlink 111" xfId="609" xr:uid="{00000000-0005-0000-0000-000015040000}"/>
    <cellStyle name="Followed Hyperlink 112" xfId="610" xr:uid="{00000000-0005-0000-0000-000016040000}"/>
    <cellStyle name="Followed Hyperlink 113" xfId="611" xr:uid="{00000000-0005-0000-0000-000017040000}"/>
    <cellStyle name="Followed Hyperlink 114" xfId="612" xr:uid="{00000000-0005-0000-0000-000018040000}"/>
    <cellStyle name="Followed Hyperlink 115" xfId="613" xr:uid="{00000000-0005-0000-0000-000019040000}"/>
    <cellStyle name="Followed Hyperlink 116" xfId="614" xr:uid="{00000000-0005-0000-0000-00001A040000}"/>
    <cellStyle name="Followed Hyperlink 117" xfId="615" xr:uid="{00000000-0005-0000-0000-00001B040000}"/>
    <cellStyle name="Followed Hyperlink 118" xfId="616" xr:uid="{00000000-0005-0000-0000-00001C040000}"/>
    <cellStyle name="Followed Hyperlink 119" xfId="617" xr:uid="{00000000-0005-0000-0000-00001D040000}"/>
    <cellStyle name="Followed Hyperlink 12" xfId="618" xr:uid="{00000000-0005-0000-0000-00001E040000}"/>
    <cellStyle name="Followed Hyperlink 120" xfId="619" xr:uid="{00000000-0005-0000-0000-00001F040000}"/>
    <cellStyle name="Followed Hyperlink 121" xfId="620" xr:uid="{00000000-0005-0000-0000-000020040000}"/>
    <cellStyle name="Followed Hyperlink 122" xfId="621" xr:uid="{00000000-0005-0000-0000-000021040000}"/>
    <cellStyle name="Followed Hyperlink 123" xfId="622" xr:uid="{00000000-0005-0000-0000-000022040000}"/>
    <cellStyle name="Followed Hyperlink 124" xfId="623" xr:uid="{00000000-0005-0000-0000-000023040000}"/>
    <cellStyle name="Followed Hyperlink 125" xfId="624" xr:uid="{00000000-0005-0000-0000-000024040000}"/>
    <cellStyle name="Followed Hyperlink 126" xfId="625" xr:uid="{00000000-0005-0000-0000-000025040000}"/>
    <cellStyle name="Followed Hyperlink 127" xfId="626" xr:uid="{00000000-0005-0000-0000-000026040000}"/>
    <cellStyle name="Followed Hyperlink 128" xfId="627" xr:uid="{00000000-0005-0000-0000-000027040000}"/>
    <cellStyle name="Followed Hyperlink 129" xfId="628" xr:uid="{00000000-0005-0000-0000-000028040000}"/>
    <cellStyle name="Followed Hyperlink 13" xfId="629" xr:uid="{00000000-0005-0000-0000-000029040000}"/>
    <cellStyle name="Followed Hyperlink 130" xfId="630" xr:uid="{00000000-0005-0000-0000-00002A040000}"/>
    <cellStyle name="Followed Hyperlink 131" xfId="631" xr:uid="{00000000-0005-0000-0000-00002B040000}"/>
    <cellStyle name="Followed Hyperlink 132" xfId="632" xr:uid="{00000000-0005-0000-0000-00002C040000}"/>
    <cellStyle name="Followed Hyperlink 133" xfId="633" xr:uid="{00000000-0005-0000-0000-00002D040000}"/>
    <cellStyle name="Followed Hyperlink 134" xfId="634" xr:uid="{00000000-0005-0000-0000-00002E040000}"/>
    <cellStyle name="Followed Hyperlink 135" xfId="635" xr:uid="{00000000-0005-0000-0000-00002F040000}"/>
    <cellStyle name="Followed Hyperlink 136" xfId="636" xr:uid="{00000000-0005-0000-0000-000030040000}"/>
    <cellStyle name="Followed Hyperlink 137" xfId="637" xr:uid="{00000000-0005-0000-0000-000031040000}"/>
    <cellStyle name="Followed Hyperlink 138" xfId="638" xr:uid="{00000000-0005-0000-0000-000032040000}"/>
    <cellStyle name="Followed Hyperlink 139" xfId="639" xr:uid="{00000000-0005-0000-0000-000033040000}"/>
    <cellStyle name="Followed Hyperlink 14" xfId="640" xr:uid="{00000000-0005-0000-0000-000034040000}"/>
    <cellStyle name="Followed Hyperlink 140" xfId="641" xr:uid="{00000000-0005-0000-0000-000035040000}"/>
    <cellStyle name="Followed Hyperlink 141" xfId="642" xr:uid="{00000000-0005-0000-0000-000036040000}"/>
    <cellStyle name="Followed Hyperlink 142" xfId="643" xr:uid="{00000000-0005-0000-0000-000037040000}"/>
    <cellStyle name="Followed Hyperlink 143" xfId="644" xr:uid="{00000000-0005-0000-0000-000038040000}"/>
    <cellStyle name="Followed Hyperlink 144" xfId="645" xr:uid="{00000000-0005-0000-0000-000039040000}"/>
    <cellStyle name="Followed Hyperlink 145" xfId="646" xr:uid="{00000000-0005-0000-0000-00003A040000}"/>
    <cellStyle name="Followed Hyperlink 146" xfId="647" xr:uid="{00000000-0005-0000-0000-00003B040000}"/>
    <cellStyle name="Followed Hyperlink 147" xfId="648" xr:uid="{00000000-0005-0000-0000-00003C040000}"/>
    <cellStyle name="Followed Hyperlink 148" xfId="649" xr:uid="{00000000-0005-0000-0000-00003D040000}"/>
    <cellStyle name="Followed Hyperlink 149" xfId="650" xr:uid="{00000000-0005-0000-0000-00003E040000}"/>
    <cellStyle name="Followed Hyperlink 15" xfId="651" xr:uid="{00000000-0005-0000-0000-00003F040000}"/>
    <cellStyle name="Followed Hyperlink 150" xfId="652" xr:uid="{00000000-0005-0000-0000-000040040000}"/>
    <cellStyle name="Followed Hyperlink 151" xfId="653" xr:uid="{00000000-0005-0000-0000-000041040000}"/>
    <cellStyle name="Followed Hyperlink 152" xfId="654" xr:uid="{00000000-0005-0000-0000-000042040000}"/>
    <cellStyle name="Followed Hyperlink 153" xfId="655" xr:uid="{00000000-0005-0000-0000-000043040000}"/>
    <cellStyle name="Followed Hyperlink 154" xfId="656" xr:uid="{00000000-0005-0000-0000-000044040000}"/>
    <cellStyle name="Followed Hyperlink 155" xfId="657" xr:uid="{00000000-0005-0000-0000-000045040000}"/>
    <cellStyle name="Followed Hyperlink 156" xfId="658" xr:uid="{00000000-0005-0000-0000-000046040000}"/>
    <cellStyle name="Followed Hyperlink 157" xfId="659" xr:uid="{00000000-0005-0000-0000-000047040000}"/>
    <cellStyle name="Followed Hyperlink 158" xfId="660" xr:uid="{00000000-0005-0000-0000-000048040000}"/>
    <cellStyle name="Followed Hyperlink 159" xfId="661" xr:uid="{00000000-0005-0000-0000-000049040000}"/>
    <cellStyle name="Followed Hyperlink 16" xfId="662" xr:uid="{00000000-0005-0000-0000-00004A040000}"/>
    <cellStyle name="Followed Hyperlink 160" xfId="663" xr:uid="{00000000-0005-0000-0000-00004B040000}"/>
    <cellStyle name="Followed Hyperlink 161" xfId="664" xr:uid="{00000000-0005-0000-0000-00004C040000}"/>
    <cellStyle name="Followed Hyperlink 162" xfId="665" xr:uid="{00000000-0005-0000-0000-00004D040000}"/>
    <cellStyle name="Followed Hyperlink 163" xfId="666" xr:uid="{00000000-0005-0000-0000-00004E040000}"/>
    <cellStyle name="Followed Hyperlink 164" xfId="667" xr:uid="{00000000-0005-0000-0000-00004F040000}"/>
    <cellStyle name="Followed Hyperlink 165" xfId="668" xr:uid="{00000000-0005-0000-0000-000050040000}"/>
    <cellStyle name="Followed Hyperlink 166" xfId="669" xr:uid="{00000000-0005-0000-0000-000051040000}"/>
    <cellStyle name="Followed Hyperlink 167" xfId="670" xr:uid="{00000000-0005-0000-0000-000052040000}"/>
    <cellStyle name="Followed Hyperlink 168" xfId="671" xr:uid="{00000000-0005-0000-0000-000053040000}"/>
    <cellStyle name="Followed Hyperlink 169" xfId="672" xr:uid="{00000000-0005-0000-0000-000054040000}"/>
    <cellStyle name="Followed Hyperlink 17" xfId="673" xr:uid="{00000000-0005-0000-0000-000055040000}"/>
    <cellStyle name="Followed Hyperlink 170" xfId="674" xr:uid="{00000000-0005-0000-0000-000056040000}"/>
    <cellStyle name="Followed Hyperlink 171" xfId="675" xr:uid="{00000000-0005-0000-0000-000057040000}"/>
    <cellStyle name="Followed Hyperlink 172" xfId="676" xr:uid="{00000000-0005-0000-0000-000058040000}"/>
    <cellStyle name="Followed Hyperlink 173" xfId="677" xr:uid="{00000000-0005-0000-0000-000059040000}"/>
    <cellStyle name="Followed Hyperlink 174" xfId="678" xr:uid="{00000000-0005-0000-0000-00005A040000}"/>
    <cellStyle name="Followed Hyperlink 175" xfId="679" xr:uid="{00000000-0005-0000-0000-00005B040000}"/>
    <cellStyle name="Followed Hyperlink 176" xfId="680" xr:uid="{00000000-0005-0000-0000-00005C040000}"/>
    <cellStyle name="Followed Hyperlink 177" xfId="681" xr:uid="{00000000-0005-0000-0000-00005D040000}"/>
    <cellStyle name="Followed Hyperlink 178" xfId="682" xr:uid="{00000000-0005-0000-0000-00005E040000}"/>
    <cellStyle name="Followed Hyperlink 179" xfId="683" xr:uid="{00000000-0005-0000-0000-00005F040000}"/>
    <cellStyle name="Followed Hyperlink 18" xfId="684" xr:uid="{00000000-0005-0000-0000-000060040000}"/>
    <cellStyle name="Followed Hyperlink 180" xfId="685" xr:uid="{00000000-0005-0000-0000-000061040000}"/>
    <cellStyle name="Followed Hyperlink 181" xfId="686" xr:uid="{00000000-0005-0000-0000-000062040000}"/>
    <cellStyle name="Followed Hyperlink 182" xfId="687" xr:uid="{00000000-0005-0000-0000-000063040000}"/>
    <cellStyle name="Followed Hyperlink 183" xfId="688" xr:uid="{00000000-0005-0000-0000-000064040000}"/>
    <cellStyle name="Followed Hyperlink 184" xfId="689" xr:uid="{00000000-0005-0000-0000-000065040000}"/>
    <cellStyle name="Followed Hyperlink 185" xfId="690" xr:uid="{00000000-0005-0000-0000-000066040000}"/>
    <cellStyle name="Followed Hyperlink 186" xfId="691" xr:uid="{00000000-0005-0000-0000-000067040000}"/>
    <cellStyle name="Followed Hyperlink 187" xfId="692" xr:uid="{00000000-0005-0000-0000-000068040000}"/>
    <cellStyle name="Followed Hyperlink 188" xfId="693" xr:uid="{00000000-0005-0000-0000-000069040000}"/>
    <cellStyle name="Followed Hyperlink 189" xfId="694" xr:uid="{00000000-0005-0000-0000-00006A040000}"/>
    <cellStyle name="Followed Hyperlink 19" xfId="695" xr:uid="{00000000-0005-0000-0000-00006B040000}"/>
    <cellStyle name="Followed Hyperlink 190" xfId="696" xr:uid="{00000000-0005-0000-0000-00006C040000}"/>
    <cellStyle name="Followed Hyperlink 191" xfId="697" xr:uid="{00000000-0005-0000-0000-00006D040000}"/>
    <cellStyle name="Followed Hyperlink 192" xfId="698" xr:uid="{00000000-0005-0000-0000-00006E040000}"/>
    <cellStyle name="Followed Hyperlink 2" xfId="699" xr:uid="{00000000-0005-0000-0000-00006F040000}"/>
    <cellStyle name="Followed Hyperlink 20" xfId="700" xr:uid="{00000000-0005-0000-0000-000070040000}"/>
    <cellStyle name="Followed Hyperlink 21" xfId="701" xr:uid="{00000000-0005-0000-0000-000071040000}"/>
    <cellStyle name="Followed Hyperlink 22" xfId="702" xr:uid="{00000000-0005-0000-0000-000072040000}"/>
    <cellStyle name="Followed Hyperlink 23" xfId="703" xr:uid="{00000000-0005-0000-0000-000073040000}"/>
    <cellStyle name="Followed Hyperlink 24" xfId="704" xr:uid="{00000000-0005-0000-0000-000074040000}"/>
    <cellStyle name="Followed Hyperlink 25" xfId="705" xr:uid="{00000000-0005-0000-0000-000075040000}"/>
    <cellStyle name="Followed Hyperlink 26" xfId="706" xr:uid="{00000000-0005-0000-0000-000076040000}"/>
    <cellStyle name="Followed Hyperlink 27" xfId="707" xr:uid="{00000000-0005-0000-0000-000077040000}"/>
    <cellStyle name="Followed Hyperlink 28" xfId="708" xr:uid="{00000000-0005-0000-0000-000078040000}"/>
    <cellStyle name="Followed Hyperlink 29" xfId="709" xr:uid="{00000000-0005-0000-0000-000079040000}"/>
    <cellStyle name="Followed Hyperlink 3" xfId="710" xr:uid="{00000000-0005-0000-0000-00007A040000}"/>
    <cellStyle name="Followed Hyperlink 30" xfId="711" xr:uid="{00000000-0005-0000-0000-00007B040000}"/>
    <cellStyle name="Followed Hyperlink 31" xfId="712" xr:uid="{00000000-0005-0000-0000-00007C040000}"/>
    <cellStyle name="Followed Hyperlink 32" xfId="713" xr:uid="{00000000-0005-0000-0000-00007D040000}"/>
    <cellStyle name="Followed Hyperlink 33" xfId="714" xr:uid="{00000000-0005-0000-0000-00007E040000}"/>
    <cellStyle name="Followed Hyperlink 34" xfId="715" xr:uid="{00000000-0005-0000-0000-00007F040000}"/>
    <cellStyle name="Followed Hyperlink 35" xfId="716" xr:uid="{00000000-0005-0000-0000-000080040000}"/>
    <cellStyle name="Followed Hyperlink 36" xfId="717" xr:uid="{00000000-0005-0000-0000-000081040000}"/>
    <cellStyle name="Followed Hyperlink 37" xfId="718" xr:uid="{00000000-0005-0000-0000-000082040000}"/>
    <cellStyle name="Followed Hyperlink 38" xfId="719" xr:uid="{00000000-0005-0000-0000-000083040000}"/>
    <cellStyle name="Followed Hyperlink 39" xfId="720" xr:uid="{00000000-0005-0000-0000-000084040000}"/>
    <cellStyle name="Followed Hyperlink 4" xfId="721" xr:uid="{00000000-0005-0000-0000-000085040000}"/>
    <cellStyle name="Followed Hyperlink 40" xfId="722" xr:uid="{00000000-0005-0000-0000-000086040000}"/>
    <cellStyle name="Followed Hyperlink 41" xfId="723" xr:uid="{00000000-0005-0000-0000-000087040000}"/>
    <cellStyle name="Followed Hyperlink 42" xfId="724" xr:uid="{00000000-0005-0000-0000-000088040000}"/>
    <cellStyle name="Followed Hyperlink 43" xfId="725" xr:uid="{00000000-0005-0000-0000-000089040000}"/>
    <cellStyle name="Followed Hyperlink 44" xfId="726" xr:uid="{00000000-0005-0000-0000-00008A040000}"/>
    <cellStyle name="Followed Hyperlink 45" xfId="727" xr:uid="{00000000-0005-0000-0000-00008B040000}"/>
    <cellStyle name="Followed Hyperlink 46" xfId="728" xr:uid="{00000000-0005-0000-0000-00008C040000}"/>
    <cellStyle name="Followed Hyperlink 47" xfId="729" xr:uid="{00000000-0005-0000-0000-00008D040000}"/>
    <cellStyle name="Followed Hyperlink 48" xfId="730" xr:uid="{00000000-0005-0000-0000-00008E040000}"/>
    <cellStyle name="Followed Hyperlink 49" xfId="731" xr:uid="{00000000-0005-0000-0000-00008F040000}"/>
    <cellStyle name="Followed Hyperlink 5" xfId="732" xr:uid="{00000000-0005-0000-0000-000090040000}"/>
    <cellStyle name="Followed Hyperlink 50" xfId="733" xr:uid="{00000000-0005-0000-0000-000091040000}"/>
    <cellStyle name="Followed Hyperlink 51" xfId="734" xr:uid="{00000000-0005-0000-0000-000092040000}"/>
    <cellStyle name="Followed Hyperlink 52" xfId="735" xr:uid="{00000000-0005-0000-0000-000093040000}"/>
    <cellStyle name="Followed Hyperlink 53" xfId="736" xr:uid="{00000000-0005-0000-0000-000094040000}"/>
    <cellStyle name="Followed Hyperlink 54" xfId="737" xr:uid="{00000000-0005-0000-0000-000095040000}"/>
    <cellStyle name="Followed Hyperlink 55" xfId="738" xr:uid="{00000000-0005-0000-0000-000096040000}"/>
    <cellStyle name="Followed Hyperlink 56" xfId="739" xr:uid="{00000000-0005-0000-0000-000097040000}"/>
    <cellStyle name="Followed Hyperlink 57" xfId="740" xr:uid="{00000000-0005-0000-0000-000098040000}"/>
    <cellStyle name="Followed Hyperlink 58" xfId="741" xr:uid="{00000000-0005-0000-0000-000099040000}"/>
    <cellStyle name="Followed Hyperlink 59" xfId="742" xr:uid="{00000000-0005-0000-0000-00009A040000}"/>
    <cellStyle name="Followed Hyperlink 6" xfId="743" xr:uid="{00000000-0005-0000-0000-00009B040000}"/>
    <cellStyle name="Followed Hyperlink 60" xfId="744" xr:uid="{00000000-0005-0000-0000-00009C040000}"/>
    <cellStyle name="Followed Hyperlink 61" xfId="745" xr:uid="{00000000-0005-0000-0000-00009D040000}"/>
    <cellStyle name="Followed Hyperlink 62" xfId="746" xr:uid="{00000000-0005-0000-0000-00009E040000}"/>
    <cellStyle name="Followed Hyperlink 63" xfId="747" xr:uid="{00000000-0005-0000-0000-00009F040000}"/>
    <cellStyle name="Followed Hyperlink 64" xfId="748" xr:uid="{00000000-0005-0000-0000-0000A0040000}"/>
    <cellStyle name="Followed Hyperlink 65" xfId="749" xr:uid="{00000000-0005-0000-0000-0000A1040000}"/>
    <cellStyle name="Followed Hyperlink 66" xfId="750" xr:uid="{00000000-0005-0000-0000-0000A2040000}"/>
    <cellStyle name="Followed Hyperlink 67" xfId="751" xr:uid="{00000000-0005-0000-0000-0000A3040000}"/>
    <cellStyle name="Followed Hyperlink 68" xfId="752" xr:uid="{00000000-0005-0000-0000-0000A4040000}"/>
    <cellStyle name="Followed Hyperlink 69" xfId="753" xr:uid="{00000000-0005-0000-0000-0000A5040000}"/>
    <cellStyle name="Followed Hyperlink 7" xfId="754" xr:uid="{00000000-0005-0000-0000-0000A6040000}"/>
    <cellStyle name="Followed Hyperlink 70" xfId="755" xr:uid="{00000000-0005-0000-0000-0000A7040000}"/>
    <cellStyle name="Followed Hyperlink 71" xfId="756" xr:uid="{00000000-0005-0000-0000-0000A8040000}"/>
    <cellStyle name="Followed Hyperlink 72" xfId="757" xr:uid="{00000000-0005-0000-0000-0000A9040000}"/>
    <cellStyle name="Followed Hyperlink 73" xfId="758" xr:uid="{00000000-0005-0000-0000-0000AA040000}"/>
    <cellStyle name="Followed Hyperlink 74" xfId="759" xr:uid="{00000000-0005-0000-0000-0000AB040000}"/>
    <cellStyle name="Followed Hyperlink 75" xfId="760" xr:uid="{00000000-0005-0000-0000-0000AC040000}"/>
    <cellStyle name="Followed Hyperlink 76" xfId="761" xr:uid="{00000000-0005-0000-0000-0000AD040000}"/>
    <cellStyle name="Followed Hyperlink 77" xfId="762" xr:uid="{00000000-0005-0000-0000-0000AE040000}"/>
    <cellStyle name="Followed Hyperlink 78" xfId="763" xr:uid="{00000000-0005-0000-0000-0000AF040000}"/>
    <cellStyle name="Followed Hyperlink 79" xfId="764" xr:uid="{00000000-0005-0000-0000-0000B0040000}"/>
    <cellStyle name="Followed Hyperlink 8" xfId="765" xr:uid="{00000000-0005-0000-0000-0000B1040000}"/>
    <cellStyle name="Followed Hyperlink 80" xfId="766" xr:uid="{00000000-0005-0000-0000-0000B2040000}"/>
    <cellStyle name="Followed Hyperlink 81" xfId="767" xr:uid="{00000000-0005-0000-0000-0000B3040000}"/>
    <cellStyle name="Followed Hyperlink 82" xfId="768" xr:uid="{00000000-0005-0000-0000-0000B4040000}"/>
    <cellStyle name="Followed Hyperlink 83" xfId="769" xr:uid="{00000000-0005-0000-0000-0000B5040000}"/>
    <cellStyle name="Followed Hyperlink 84" xfId="770" xr:uid="{00000000-0005-0000-0000-0000B6040000}"/>
    <cellStyle name="Followed Hyperlink 85" xfId="771" xr:uid="{00000000-0005-0000-0000-0000B7040000}"/>
    <cellStyle name="Followed Hyperlink 86" xfId="772" xr:uid="{00000000-0005-0000-0000-0000B8040000}"/>
    <cellStyle name="Followed Hyperlink 87" xfId="773" xr:uid="{00000000-0005-0000-0000-0000B9040000}"/>
    <cellStyle name="Followed Hyperlink 88" xfId="774" xr:uid="{00000000-0005-0000-0000-0000BA040000}"/>
    <cellStyle name="Followed Hyperlink 89" xfId="775" xr:uid="{00000000-0005-0000-0000-0000BB040000}"/>
    <cellStyle name="Followed Hyperlink 9" xfId="776" xr:uid="{00000000-0005-0000-0000-0000BC040000}"/>
    <cellStyle name="Followed Hyperlink 90" xfId="777" xr:uid="{00000000-0005-0000-0000-0000BD040000}"/>
    <cellStyle name="Followed Hyperlink 91" xfId="778" xr:uid="{00000000-0005-0000-0000-0000BE040000}"/>
    <cellStyle name="Followed Hyperlink 92" xfId="779" xr:uid="{00000000-0005-0000-0000-0000BF040000}"/>
    <cellStyle name="Followed Hyperlink 93" xfId="780" xr:uid="{00000000-0005-0000-0000-0000C0040000}"/>
    <cellStyle name="Followed Hyperlink 94" xfId="781" xr:uid="{00000000-0005-0000-0000-0000C1040000}"/>
    <cellStyle name="Followed Hyperlink 95" xfId="782" xr:uid="{00000000-0005-0000-0000-0000C2040000}"/>
    <cellStyle name="Followed Hyperlink 96" xfId="783" xr:uid="{00000000-0005-0000-0000-0000C3040000}"/>
    <cellStyle name="Followed Hyperlink 97" xfId="784" xr:uid="{00000000-0005-0000-0000-0000C4040000}"/>
    <cellStyle name="Followed Hyperlink 98" xfId="785" xr:uid="{00000000-0005-0000-0000-0000C5040000}"/>
    <cellStyle name="Followed Hyperlink 99" xfId="786" xr:uid="{00000000-0005-0000-0000-0000C6040000}"/>
    <cellStyle name="Format a column of totals" xfId="787" xr:uid="{00000000-0005-0000-0000-0000C7040000}"/>
    <cellStyle name="Format a row of totals" xfId="788" xr:uid="{00000000-0005-0000-0000-0000C8040000}"/>
    <cellStyle name="Format text as bold, black on yellow" xfId="789" xr:uid="{00000000-0005-0000-0000-0000C9040000}"/>
    <cellStyle name="Good" xfId="2519" builtinId="26" customBuiltin="1"/>
    <cellStyle name="Good 2" xfId="130" xr:uid="{00000000-0005-0000-0000-0000CB040000}"/>
    <cellStyle name="Good 2 2" xfId="790" xr:uid="{00000000-0005-0000-0000-0000CC040000}"/>
    <cellStyle name="Good 3" xfId="131" xr:uid="{00000000-0005-0000-0000-0000CD040000}"/>
    <cellStyle name="Good 4" xfId="132" xr:uid="{00000000-0005-0000-0000-0000CE040000}"/>
    <cellStyle name="Good 5" xfId="133" xr:uid="{00000000-0005-0000-0000-0000CF040000}"/>
    <cellStyle name="Grey" xfId="791" xr:uid="{00000000-0005-0000-0000-0000D0040000}"/>
    <cellStyle name="HEADER" xfId="792" xr:uid="{00000000-0005-0000-0000-0000D1040000}"/>
    <cellStyle name="Header 1" xfId="220" xr:uid="{00000000-0005-0000-0000-0000D2040000}"/>
    <cellStyle name="Header 2" xfId="221" xr:uid="{00000000-0005-0000-0000-0000D3040000}"/>
    <cellStyle name="Header 3" xfId="222" xr:uid="{00000000-0005-0000-0000-0000D4040000}"/>
    <cellStyle name="Header1" xfId="793" xr:uid="{00000000-0005-0000-0000-0000D5040000}"/>
    <cellStyle name="Header2" xfId="794" xr:uid="{00000000-0005-0000-0000-0000D6040000}"/>
    <cellStyle name="heading" xfId="795" xr:uid="{00000000-0005-0000-0000-0000D7040000}"/>
    <cellStyle name="Heading 1" xfId="2515" builtinId="16" customBuiltin="1"/>
    <cellStyle name="Heading 1 2" xfId="134" xr:uid="{00000000-0005-0000-0000-0000D9040000}"/>
    <cellStyle name="Heading 1 2 2" xfId="796" xr:uid="{00000000-0005-0000-0000-0000DA040000}"/>
    <cellStyle name="Heading 1 3" xfId="135" xr:uid="{00000000-0005-0000-0000-0000DB040000}"/>
    <cellStyle name="Heading 1 3 2" xfId="797" xr:uid="{00000000-0005-0000-0000-0000DC040000}"/>
    <cellStyle name="Heading 1 4" xfId="136" xr:uid="{00000000-0005-0000-0000-0000DD040000}"/>
    <cellStyle name="Heading 1 5" xfId="137" xr:uid="{00000000-0005-0000-0000-0000DE040000}"/>
    <cellStyle name="Heading 1 6" xfId="798" xr:uid="{00000000-0005-0000-0000-0000DF040000}"/>
    <cellStyle name="Heading 2" xfId="2516" builtinId="17" customBuiltin="1"/>
    <cellStyle name="Heading 2 2" xfId="138" xr:uid="{00000000-0005-0000-0000-0000E1040000}"/>
    <cellStyle name="Heading 2 2 2" xfId="799" xr:uid="{00000000-0005-0000-0000-0000E2040000}"/>
    <cellStyle name="Heading 2 3" xfId="139" xr:uid="{00000000-0005-0000-0000-0000E3040000}"/>
    <cellStyle name="Heading 2 4" xfId="140" xr:uid="{00000000-0005-0000-0000-0000E4040000}"/>
    <cellStyle name="Heading 2 5" xfId="141" xr:uid="{00000000-0005-0000-0000-0000E5040000}"/>
    <cellStyle name="Heading 3" xfId="2517" builtinId="18" customBuiltin="1"/>
    <cellStyle name="Heading 3 2" xfId="142" xr:uid="{00000000-0005-0000-0000-0000E7040000}"/>
    <cellStyle name="Heading 3 2 2" xfId="800" xr:uid="{00000000-0005-0000-0000-0000E8040000}"/>
    <cellStyle name="Heading 3 3" xfId="143" xr:uid="{00000000-0005-0000-0000-0000E9040000}"/>
    <cellStyle name="Heading 3 4" xfId="144" xr:uid="{00000000-0005-0000-0000-0000EA040000}"/>
    <cellStyle name="Heading 3 5" xfId="145" xr:uid="{00000000-0005-0000-0000-0000EB040000}"/>
    <cellStyle name="Heading 4" xfId="2518" builtinId="19" customBuiltin="1"/>
    <cellStyle name="Heading 4 2" xfId="146" xr:uid="{00000000-0005-0000-0000-0000ED040000}"/>
    <cellStyle name="Heading 4 2 2" xfId="801" xr:uid="{00000000-0005-0000-0000-0000EE040000}"/>
    <cellStyle name="Heading 4 3" xfId="147" xr:uid="{00000000-0005-0000-0000-0000EF040000}"/>
    <cellStyle name="Heading 4 4" xfId="148" xr:uid="{00000000-0005-0000-0000-0000F0040000}"/>
    <cellStyle name="Heading 4 5" xfId="149" xr:uid="{00000000-0005-0000-0000-0000F1040000}"/>
    <cellStyle name="Heading”آ_x0008_" xfId="223" xr:uid="{00000000-0005-0000-0000-0000F2040000}"/>
    <cellStyle name="Heading”آ_x0008_ 2" xfId="802" xr:uid="{00000000-0005-0000-0000-0000F3040000}"/>
    <cellStyle name="Heading”آ_x0008_ 3" xfId="803" xr:uid="{00000000-0005-0000-0000-0000F4040000}"/>
    <cellStyle name="Heading”آ_x0008_ 4" xfId="804" xr:uid="{00000000-0005-0000-0000-0000F5040000}"/>
    <cellStyle name="Heading”آ_x0008_ 5" xfId="805" xr:uid="{00000000-0005-0000-0000-0000F6040000}"/>
    <cellStyle name="Heading”آ_x0008_ 6" xfId="806" xr:uid="{00000000-0005-0000-0000-0000F7040000}"/>
    <cellStyle name="Heading”آ_x0008_ 7" xfId="807" xr:uid="{00000000-0005-0000-0000-0000F8040000}"/>
    <cellStyle name="Heading1" xfId="224" xr:uid="{00000000-0005-0000-0000-0000F9040000}"/>
    <cellStyle name="Heading1 2" xfId="808" xr:uid="{00000000-0005-0000-0000-0000FA040000}"/>
    <cellStyle name="Heading1 3" xfId="809" xr:uid="{00000000-0005-0000-0000-0000FB040000}"/>
    <cellStyle name="Heading1 4" xfId="810" xr:uid="{00000000-0005-0000-0000-0000FC040000}"/>
    <cellStyle name="Heading1 5" xfId="811" xr:uid="{00000000-0005-0000-0000-0000FD040000}"/>
    <cellStyle name="Heading1 6" xfId="812" xr:uid="{00000000-0005-0000-0000-0000FE040000}"/>
    <cellStyle name="Heading1 7" xfId="813" xr:uid="{00000000-0005-0000-0000-0000FF040000}"/>
    <cellStyle name="Heading2" xfId="225" xr:uid="{00000000-0005-0000-0000-000000050000}"/>
    <cellStyle name="Heading2 2" xfId="814" xr:uid="{00000000-0005-0000-0000-000001050000}"/>
    <cellStyle name="Heading2 3" xfId="815" xr:uid="{00000000-0005-0000-0000-000002050000}"/>
    <cellStyle name="Heading2 4" xfId="816" xr:uid="{00000000-0005-0000-0000-000003050000}"/>
    <cellStyle name="Heading2 5" xfId="817" xr:uid="{00000000-0005-0000-0000-000004050000}"/>
    <cellStyle name="Heading2 6" xfId="818" xr:uid="{00000000-0005-0000-0000-000005050000}"/>
    <cellStyle name="Heading2 7" xfId="819" xr:uid="{00000000-0005-0000-0000-000006050000}"/>
    <cellStyle name="Headline1" xfId="820" xr:uid="{00000000-0005-0000-0000-000007050000}"/>
    <cellStyle name="Headline2" xfId="821" xr:uid="{00000000-0005-0000-0000-000008050000}"/>
    <cellStyle name="Headline3" xfId="822" xr:uid="{00000000-0005-0000-0000-000009050000}"/>
    <cellStyle name="Heads" xfId="226" xr:uid="{00000000-0005-0000-0000-00000A050000}"/>
    <cellStyle name="Heads 2" xfId="823" xr:uid="{00000000-0005-0000-0000-00000B050000}"/>
    <cellStyle name="helv" xfId="227" xr:uid="{00000000-0005-0000-0000-00000C050000}"/>
    <cellStyle name="hidden" xfId="824" xr:uid="{00000000-0005-0000-0000-00000D050000}"/>
    <cellStyle name="hidden 2" xfId="825" xr:uid="{00000000-0005-0000-0000-00000E050000}"/>
    <cellStyle name="Hyperlifk" xfId="1" xr:uid="{00000000-0005-0000-0000-00000F050000}"/>
    <cellStyle name="Hyperlink 10" xfId="826" xr:uid="{00000000-0005-0000-0000-000010050000}"/>
    <cellStyle name="Hyperlink 100" xfId="827" xr:uid="{00000000-0005-0000-0000-000011050000}"/>
    <cellStyle name="Hyperlink 101" xfId="828" xr:uid="{00000000-0005-0000-0000-000012050000}"/>
    <cellStyle name="Hyperlink 102" xfId="829" xr:uid="{00000000-0005-0000-0000-000013050000}"/>
    <cellStyle name="Hyperlink 103" xfId="830" xr:uid="{00000000-0005-0000-0000-000014050000}"/>
    <cellStyle name="Hyperlink 104" xfId="831" xr:uid="{00000000-0005-0000-0000-000015050000}"/>
    <cellStyle name="Hyperlink 105" xfId="832" xr:uid="{00000000-0005-0000-0000-000016050000}"/>
    <cellStyle name="Hyperlink 106" xfId="833" xr:uid="{00000000-0005-0000-0000-000017050000}"/>
    <cellStyle name="Hyperlink 107" xfId="834" xr:uid="{00000000-0005-0000-0000-000018050000}"/>
    <cellStyle name="Hyperlink 108" xfId="835" xr:uid="{00000000-0005-0000-0000-000019050000}"/>
    <cellStyle name="Hyperlink 109" xfId="836" xr:uid="{00000000-0005-0000-0000-00001A050000}"/>
    <cellStyle name="Hyperlink 11" xfId="837" xr:uid="{00000000-0005-0000-0000-00001B050000}"/>
    <cellStyle name="Hyperlink 110" xfId="838" xr:uid="{00000000-0005-0000-0000-00001C050000}"/>
    <cellStyle name="Hyperlink 111" xfId="839" xr:uid="{00000000-0005-0000-0000-00001D050000}"/>
    <cellStyle name="Hyperlink 112" xfId="840" xr:uid="{00000000-0005-0000-0000-00001E050000}"/>
    <cellStyle name="Hyperlink 113" xfId="841" xr:uid="{00000000-0005-0000-0000-00001F050000}"/>
    <cellStyle name="Hyperlink 114" xfId="842" xr:uid="{00000000-0005-0000-0000-000020050000}"/>
    <cellStyle name="Hyperlink 115" xfId="843" xr:uid="{00000000-0005-0000-0000-000021050000}"/>
    <cellStyle name="Hyperlink 116" xfId="844" xr:uid="{00000000-0005-0000-0000-000022050000}"/>
    <cellStyle name="Hyperlink 117" xfId="845" xr:uid="{00000000-0005-0000-0000-000023050000}"/>
    <cellStyle name="Hyperlink 118" xfId="846" xr:uid="{00000000-0005-0000-0000-000024050000}"/>
    <cellStyle name="Hyperlink 119" xfId="847" xr:uid="{00000000-0005-0000-0000-000025050000}"/>
    <cellStyle name="Hyperlink 12" xfId="848" xr:uid="{00000000-0005-0000-0000-000026050000}"/>
    <cellStyle name="Hyperlink 120" xfId="849" xr:uid="{00000000-0005-0000-0000-000027050000}"/>
    <cellStyle name="Hyperlink 121" xfId="850" xr:uid="{00000000-0005-0000-0000-000028050000}"/>
    <cellStyle name="Hyperlink 122" xfId="851" xr:uid="{00000000-0005-0000-0000-000029050000}"/>
    <cellStyle name="Hyperlink 123" xfId="852" xr:uid="{00000000-0005-0000-0000-00002A050000}"/>
    <cellStyle name="Hyperlink 124" xfId="853" xr:uid="{00000000-0005-0000-0000-00002B050000}"/>
    <cellStyle name="Hyperlink 125" xfId="854" xr:uid="{00000000-0005-0000-0000-00002C050000}"/>
    <cellStyle name="Hyperlink 126" xfId="855" xr:uid="{00000000-0005-0000-0000-00002D050000}"/>
    <cellStyle name="Hyperlink 127" xfId="856" xr:uid="{00000000-0005-0000-0000-00002E050000}"/>
    <cellStyle name="Hyperlink 128" xfId="857" xr:uid="{00000000-0005-0000-0000-00002F050000}"/>
    <cellStyle name="Hyperlink 129" xfId="858" xr:uid="{00000000-0005-0000-0000-000030050000}"/>
    <cellStyle name="Hyperlink 13" xfId="859" xr:uid="{00000000-0005-0000-0000-000031050000}"/>
    <cellStyle name="Hyperlink 130" xfId="860" xr:uid="{00000000-0005-0000-0000-000032050000}"/>
    <cellStyle name="Hyperlink 131" xfId="861" xr:uid="{00000000-0005-0000-0000-000033050000}"/>
    <cellStyle name="Hyperlink 132" xfId="862" xr:uid="{00000000-0005-0000-0000-000034050000}"/>
    <cellStyle name="Hyperlink 133" xfId="863" xr:uid="{00000000-0005-0000-0000-000035050000}"/>
    <cellStyle name="Hyperlink 134" xfId="864" xr:uid="{00000000-0005-0000-0000-000036050000}"/>
    <cellStyle name="Hyperlink 135" xfId="865" xr:uid="{00000000-0005-0000-0000-000037050000}"/>
    <cellStyle name="Hyperlink 136" xfId="866" xr:uid="{00000000-0005-0000-0000-000038050000}"/>
    <cellStyle name="Hyperlink 137" xfId="867" xr:uid="{00000000-0005-0000-0000-000039050000}"/>
    <cellStyle name="Hyperlink 138" xfId="868" xr:uid="{00000000-0005-0000-0000-00003A050000}"/>
    <cellStyle name="Hyperlink 139" xfId="869" xr:uid="{00000000-0005-0000-0000-00003B050000}"/>
    <cellStyle name="Hyperlink 14" xfId="870" xr:uid="{00000000-0005-0000-0000-00003C050000}"/>
    <cellStyle name="Hyperlink 140" xfId="871" xr:uid="{00000000-0005-0000-0000-00003D050000}"/>
    <cellStyle name="Hyperlink 141" xfId="872" xr:uid="{00000000-0005-0000-0000-00003E050000}"/>
    <cellStyle name="Hyperlink 142" xfId="873" xr:uid="{00000000-0005-0000-0000-00003F050000}"/>
    <cellStyle name="Hyperlink 143" xfId="874" xr:uid="{00000000-0005-0000-0000-000040050000}"/>
    <cellStyle name="Hyperlink 144" xfId="875" xr:uid="{00000000-0005-0000-0000-000041050000}"/>
    <cellStyle name="Hyperlink 145" xfId="876" xr:uid="{00000000-0005-0000-0000-000042050000}"/>
    <cellStyle name="Hyperlink 146" xfId="877" xr:uid="{00000000-0005-0000-0000-000043050000}"/>
    <cellStyle name="Hyperlink 147" xfId="878" xr:uid="{00000000-0005-0000-0000-000044050000}"/>
    <cellStyle name="Hyperlink 148" xfId="879" xr:uid="{00000000-0005-0000-0000-000045050000}"/>
    <cellStyle name="Hyperlink 149" xfId="880" xr:uid="{00000000-0005-0000-0000-000046050000}"/>
    <cellStyle name="Hyperlink 15" xfId="881" xr:uid="{00000000-0005-0000-0000-000047050000}"/>
    <cellStyle name="Hyperlink 150" xfId="882" xr:uid="{00000000-0005-0000-0000-000048050000}"/>
    <cellStyle name="Hyperlink 151" xfId="883" xr:uid="{00000000-0005-0000-0000-000049050000}"/>
    <cellStyle name="Hyperlink 152" xfId="884" xr:uid="{00000000-0005-0000-0000-00004A050000}"/>
    <cellStyle name="Hyperlink 153" xfId="885" xr:uid="{00000000-0005-0000-0000-00004B050000}"/>
    <cellStyle name="Hyperlink 154" xfId="886" xr:uid="{00000000-0005-0000-0000-00004C050000}"/>
    <cellStyle name="Hyperlink 155" xfId="887" xr:uid="{00000000-0005-0000-0000-00004D050000}"/>
    <cellStyle name="Hyperlink 156" xfId="888" xr:uid="{00000000-0005-0000-0000-00004E050000}"/>
    <cellStyle name="Hyperlink 157" xfId="889" xr:uid="{00000000-0005-0000-0000-00004F050000}"/>
    <cellStyle name="Hyperlink 158" xfId="890" xr:uid="{00000000-0005-0000-0000-000050050000}"/>
    <cellStyle name="Hyperlink 159" xfId="891" xr:uid="{00000000-0005-0000-0000-000051050000}"/>
    <cellStyle name="Hyperlink 16" xfId="892" xr:uid="{00000000-0005-0000-0000-000052050000}"/>
    <cellStyle name="Hyperlink 160" xfId="893" xr:uid="{00000000-0005-0000-0000-000053050000}"/>
    <cellStyle name="Hyperlink 161" xfId="894" xr:uid="{00000000-0005-0000-0000-000054050000}"/>
    <cellStyle name="Hyperlink 162" xfId="895" xr:uid="{00000000-0005-0000-0000-000055050000}"/>
    <cellStyle name="Hyperlink 163" xfId="896" xr:uid="{00000000-0005-0000-0000-000056050000}"/>
    <cellStyle name="Hyperlink 164" xfId="897" xr:uid="{00000000-0005-0000-0000-000057050000}"/>
    <cellStyle name="Hyperlink 165" xfId="898" xr:uid="{00000000-0005-0000-0000-000058050000}"/>
    <cellStyle name="Hyperlink 166" xfId="899" xr:uid="{00000000-0005-0000-0000-000059050000}"/>
    <cellStyle name="Hyperlink 167" xfId="900" xr:uid="{00000000-0005-0000-0000-00005A050000}"/>
    <cellStyle name="Hyperlink 168" xfId="901" xr:uid="{00000000-0005-0000-0000-00005B050000}"/>
    <cellStyle name="Hyperlink 169" xfId="902" xr:uid="{00000000-0005-0000-0000-00005C050000}"/>
    <cellStyle name="Hyperlink 17" xfId="903" xr:uid="{00000000-0005-0000-0000-00005D050000}"/>
    <cellStyle name="Hyperlink 170" xfId="904" xr:uid="{00000000-0005-0000-0000-00005E050000}"/>
    <cellStyle name="Hyperlink 171" xfId="905" xr:uid="{00000000-0005-0000-0000-00005F050000}"/>
    <cellStyle name="Hyperlink 172" xfId="906" xr:uid="{00000000-0005-0000-0000-000060050000}"/>
    <cellStyle name="Hyperlink 173" xfId="907" xr:uid="{00000000-0005-0000-0000-000061050000}"/>
    <cellStyle name="Hyperlink 174" xfId="908" xr:uid="{00000000-0005-0000-0000-000062050000}"/>
    <cellStyle name="Hyperlink 175" xfId="909" xr:uid="{00000000-0005-0000-0000-000063050000}"/>
    <cellStyle name="Hyperlink 176" xfId="910" xr:uid="{00000000-0005-0000-0000-000064050000}"/>
    <cellStyle name="Hyperlink 177" xfId="911" xr:uid="{00000000-0005-0000-0000-000065050000}"/>
    <cellStyle name="Hyperlink 178" xfId="912" xr:uid="{00000000-0005-0000-0000-000066050000}"/>
    <cellStyle name="Hyperlink 179" xfId="913" xr:uid="{00000000-0005-0000-0000-000067050000}"/>
    <cellStyle name="Hyperlink 18" xfId="914" xr:uid="{00000000-0005-0000-0000-000068050000}"/>
    <cellStyle name="Hyperlink 180" xfId="915" xr:uid="{00000000-0005-0000-0000-000069050000}"/>
    <cellStyle name="Hyperlink 181" xfId="916" xr:uid="{00000000-0005-0000-0000-00006A050000}"/>
    <cellStyle name="Hyperlink 182" xfId="917" xr:uid="{00000000-0005-0000-0000-00006B050000}"/>
    <cellStyle name="Hyperlink 183" xfId="918" xr:uid="{00000000-0005-0000-0000-00006C050000}"/>
    <cellStyle name="Hyperlink 184" xfId="919" xr:uid="{00000000-0005-0000-0000-00006D050000}"/>
    <cellStyle name="Hyperlink 185" xfId="920" xr:uid="{00000000-0005-0000-0000-00006E050000}"/>
    <cellStyle name="Hyperlink 186" xfId="921" xr:uid="{00000000-0005-0000-0000-00006F050000}"/>
    <cellStyle name="Hyperlink 187" xfId="922" xr:uid="{00000000-0005-0000-0000-000070050000}"/>
    <cellStyle name="Hyperlink 188" xfId="923" xr:uid="{00000000-0005-0000-0000-000071050000}"/>
    <cellStyle name="Hyperlink 189" xfId="924" xr:uid="{00000000-0005-0000-0000-000072050000}"/>
    <cellStyle name="Hyperlink 19" xfId="925" xr:uid="{00000000-0005-0000-0000-000073050000}"/>
    <cellStyle name="Hyperlink 190" xfId="926" xr:uid="{00000000-0005-0000-0000-000074050000}"/>
    <cellStyle name="Hyperlink 191" xfId="927" xr:uid="{00000000-0005-0000-0000-000075050000}"/>
    <cellStyle name="Hyperlink 192" xfId="928" xr:uid="{00000000-0005-0000-0000-000076050000}"/>
    <cellStyle name="Hyperlink 193" xfId="1872" xr:uid="{00000000-0005-0000-0000-000077050000}"/>
    <cellStyle name="Hyperlink 2" xfId="228" xr:uid="{00000000-0005-0000-0000-000078050000}"/>
    <cellStyle name="Hyperlink 2 2" xfId="929" xr:uid="{00000000-0005-0000-0000-000079050000}"/>
    <cellStyle name="Hyperlink 2 3" xfId="930" xr:uid="{00000000-0005-0000-0000-00007A050000}"/>
    <cellStyle name="Hyperlink 20" xfId="931" xr:uid="{00000000-0005-0000-0000-00007B050000}"/>
    <cellStyle name="Hyperlink 21" xfId="932" xr:uid="{00000000-0005-0000-0000-00007C050000}"/>
    <cellStyle name="Hyperlink 22" xfId="933" xr:uid="{00000000-0005-0000-0000-00007D050000}"/>
    <cellStyle name="Hyperlink 23" xfId="934" xr:uid="{00000000-0005-0000-0000-00007E050000}"/>
    <cellStyle name="Hyperlink 24" xfId="935" xr:uid="{00000000-0005-0000-0000-00007F050000}"/>
    <cellStyle name="Hyperlink 25" xfId="936" xr:uid="{00000000-0005-0000-0000-000080050000}"/>
    <cellStyle name="Hyperlink 26" xfId="937" xr:uid="{00000000-0005-0000-0000-000081050000}"/>
    <cellStyle name="Hyperlink 27" xfId="938" xr:uid="{00000000-0005-0000-0000-000082050000}"/>
    <cellStyle name="Hyperlink 28" xfId="939" xr:uid="{00000000-0005-0000-0000-000083050000}"/>
    <cellStyle name="Hyperlink 29" xfId="940" xr:uid="{00000000-0005-0000-0000-000084050000}"/>
    <cellStyle name="Hyperlink 3" xfId="941" xr:uid="{00000000-0005-0000-0000-000085050000}"/>
    <cellStyle name="Hyperlink 30" xfId="942" xr:uid="{00000000-0005-0000-0000-000086050000}"/>
    <cellStyle name="Hyperlink 31" xfId="943" xr:uid="{00000000-0005-0000-0000-000087050000}"/>
    <cellStyle name="Hyperlink 32" xfId="944" xr:uid="{00000000-0005-0000-0000-000088050000}"/>
    <cellStyle name="Hyperlink 33" xfId="945" xr:uid="{00000000-0005-0000-0000-000089050000}"/>
    <cellStyle name="Hyperlink 34" xfId="946" xr:uid="{00000000-0005-0000-0000-00008A050000}"/>
    <cellStyle name="Hyperlink 35" xfId="947" xr:uid="{00000000-0005-0000-0000-00008B050000}"/>
    <cellStyle name="Hyperlink 36" xfId="948" xr:uid="{00000000-0005-0000-0000-00008C050000}"/>
    <cellStyle name="Hyperlink 37" xfId="949" xr:uid="{00000000-0005-0000-0000-00008D050000}"/>
    <cellStyle name="Hyperlink 38" xfId="950" xr:uid="{00000000-0005-0000-0000-00008E050000}"/>
    <cellStyle name="Hyperlink 39" xfId="951" xr:uid="{00000000-0005-0000-0000-00008F050000}"/>
    <cellStyle name="Hyperlink 4" xfId="952" xr:uid="{00000000-0005-0000-0000-000090050000}"/>
    <cellStyle name="Hyperlink 40" xfId="953" xr:uid="{00000000-0005-0000-0000-000091050000}"/>
    <cellStyle name="Hyperlink 41" xfId="954" xr:uid="{00000000-0005-0000-0000-000092050000}"/>
    <cellStyle name="Hyperlink 42" xfId="955" xr:uid="{00000000-0005-0000-0000-000093050000}"/>
    <cellStyle name="Hyperlink 43" xfId="956" xr:uid="{00000000-0005-0000-0000-000094050000}"/>
    <cellStyle name="Hyperlink 44" xfId="957" xr:uid="{00000000-0005-0000-0000-000095050000}"/>
    <cellStyle name="Hyperlink 45" xfId="958" xr:uid="{00000000-0005-0000-0000-000096050000}"/>
    <cellStyle name="Hyperlink 46" xfId="959" xr:uid="{00000000-0005-0000-0000-000097050000}"/>
    <cellStyle name="Hyperlink 47" xfId="960" xr:uid="{00000000-0005-0000-0000-000098050000}"/>
    <cellStyle name="Hyperlink 48" xfId="961" xr:uid="{00000000-0005-0000-0000-000099050000}"/>
    <cellStyle name="Hyperlink 49" xfId="962" xr:uid="{00000000-0005-0000-0000-00009A050000}"/>
    <cellStyle name="Hyperlink 5" xfId="963" xr:uid="{00000000-0005-0000-0000-00009B050000}"/>
    <cellStyle name="Hyperlink 50" xfId="964" xr:uid="{00000000-0005-0000-0000-00009C050000}"/>
    <cellStyle name="Hyperlink 51" xfId="965" xr:uid="{00000000-0005-0000-0000-00009D050000}"/>
    <cellStyle name="Hyperlink 52" xfId="966" xr:uid="{00000000-0005-0000-0000-00009E050000}"/>
    <cellStyle name="Hyperlink 53" xfId="967" xr:uid="{00000000-0005-0000-0000-00009F050000}"/>
    <cellStyle name="Hyperlink 54" xfId="968" xr:uid="{00000000-0005-0000-0000-0000A0050000}"/>
    <cellStyle name="Hyperlink 55" xfId="969" xr:uid="{00000000-0005-0000-0000-0000A1050000}"/>
    <cellStyle name="Hyperlink 56" xfId="970" xr:uid="{00000000-0005-0000-0000-0000A2050000}"/>
    <cellStyle name="Hyperlink 57" xfId="971" xr:uid="{00000000-0005-0000-0000-0000A3050000}"/>
    <cellStyle name="Hyperlink 58" xfId="972" xr:uid="{00000000-0005-0000-0000-0000A4050000}"/>
    <cellStyle name="Hyperlink 59" xfId="973" xr:uid="{00000000-0005-0000-0000-0000A5050000}"/>
    <cellStyle name="Hyperlink 6" xfId="974" xr:uid="{00000000-0005-0000-0000-0000A6050000}"/>
    <cellStyle name="Hyperlink 60" xfId="975" xr:uid="{00000000-0005-0000-0000-0000A7050000}"/>
    <cellStyle name="Hyperlink 61" xfId="976" xr:uid="{00000000-0005-0000-0000-0000A8050000}"/>
    <cellStyle name="Hyperlink 62" xfId="977" xr:uid="{00000000-0005-0000-0000-0000A9050000}"/>
    <cellStyle name="Hyperlink 63" xfId="978" xr:uid="{00000000-0005-0000-0000-0000AA050000}"/>
    <cellStyle name="Hyperlink 64" xfId="979" xr:uid="{00000000-0005-0000-0000-0000AB050000}"/>
    <cellStyle name="Hyperlink 65" xfId="980" xr:uid="{00000000-0005-0000-0000-0000AC050000}"/>
    <cellStyle name="Hyperlink 66" xfId="981" xr:uid="{00000000-0005-0000-0000-0000AD050000}"/>
    <cellStyle name="Hyperlink 67" xfId="982" xr:uid="{00000000-0005-0000-0000-0000AE050000}"/>
    <cellStyle name="Hyperlink 68" xfId="983" xr:uid="{00000000-0005-0000-0000-0000AF050000}"/>
    <cellStyle name="Hyperlink 69" xfId="984" xr:uid="{00000000-0005-0000-0000-0000B0050000}"/>
    <cellStyle name="Hyperlink 7" xfId="985" xr:uid="{00000000-0005-0000-0000-0000B1050000}"/>
    <cellStyle name="Hyperlink 70" xfId="986" xr:uid="{00000000-0005-0000-0000-0000B2050000}"/>
    <cellStyle name="Hyperlink 71" xfId="987" xr:uid="{00000000-0005-0000-0000-0000B3050000}"/>
    <cellStyle name="Hyperlink 72" xfId="988" xr:uid="{00000000-0005-0000-0000-0000B4050000}"/>
    <cellStyle name="Hyperlink 73" xfId="989" xr:uid="{00000000-0005-0000-0000-0000B5050000}"/>
    <cellStyle name="Hyperlink 74" xfId="990" xr:uid="{00000000-0005-0000-0000-0000B6050000}"/>
    <cellStyle name="Hyperlink 75" xfId="991" xr:uid="{00000000-0005-0000-0000-0000B7050000}"/>
    <cellStyle name="Hyperlink 76" xfId="992" xr:uid="{00000000-0005-0000-0000-0000B8050000}"/>
    <cellStyle name="Hyperlink 77" xfId="993" xr:uid="{00000000-0005-0000-0000-0000B9050000}"/>
    <cellStyle name="Hyperlink 78" xfId="994" xr:uid="{00000000-0005-0000-0000-0000BA050000}"/>
    <cellStyle name="Hyperlink 79" xfId="995" xr:uid="{00000000-0005-0000-0000-0000BB050000}"/>
    <cellStyle name="Hyperlink 8" xfId="996" xr:uid="{00000000-0005-0000-0000-0000BC050000}"/>
    <cellStyle name="Hyperlink 80" xfId="997" xr:uid="{00000000-0005-0000-0000-0000BD050000}"/>
    <cellStyle name="Hyperlink 81" xfId="998" xr:uid="{00000000-0005-0000-0000-0000BE050000}"/>
    <cellStyle name="Hyperlink 82" xfId="999" xr:uid="{00000000-0005-0000-0000-0000BF050000}"/>
    <cellStyle name="Hyperlink 83" xfId="1000" xr:uid="{00000000-0005-0000-0000-0000C0050000}"/>
    <cellStyle name="Hyperlink 84" xfId="1001" xr:uid="{00000000-0005-0000-0000-0000C1050000}"/>
    <cellStyle name="Hyperlink 85" xfId="1002" xr:uid="{00000000-0005-0000-0000-0000C2050000}"/>
    <cellStyle name="Hyperlink 86" xfId="1003" xr:uid="{00000000-0005-0000-0000-0000C3050000}"/>
    <cellStyle name="Hyperlink 87" xfId="1004" xr:uid="{00000000-0005-0000-0000-0000C4050000}"/>
    <cellStyle name="Hyperlink 88" xfId="1005" xr:uid="{00000000-0005-0000-0000-0000C5050000}"/>
    <cellStyle name="Hyperlink 89" xfId="1006" xr:uid="{00000000-0005-0000-0000-0000C6050000}"/>
    <cellStyle name="Hyperlink 9" xfId="1007" xr:uid="{00000000-0005-0000-0000-0000C7050000}"/>
    <cellStyle name="Hyperlink 90" xfId="1008" xr:uid="{00000000-0005-0000-0000-0000C8050000}"/>
    <cellStyle name="Hyperlink 91" xfId="1009" xr:uid="{00000000-0005-0000-0000-0000C9050000}"/>
    <cellStyle name="Hyperlink 92" xfId="1010" xr:uid="{00000000-0005-0000-0000-0000CA050000}"/>
    <cellStyle name="Hyperlink 93" xfId="1011" xr:uid="{00000000-0005-0000-0000-0000CB050000}"/>
    <cellStyle name="Hyperlink 94" xfId="1012" xr:uid="{00000000-0005-0000-0000-0000CC050000}"/>
    <cellStyle name="Hyperlink 95" xfId="1013" xr:uid="{00000000-0005-0000-0000-0000CD050000}"/>
    <cellStyle name="Hyperlink 96" xfId="1014" xr:uid="{00000000-0005-0000-0000-0000CE050000}"/>
    <cellStyle name="Hyperlink 97" xfId="1015" xr:uid="{00000000-0005-0000-0000-0000CF050000}"/>
    <cellStyle name="Hyperlink 98" xfId="1016" xr:uid="{00000000-0005-0000-0000-0000D0050000}"/>
    <cellStyle name="Hyperlink 99" xfId="1017" xr:uid="{00000000-0005-0000-0000-0000D1050000}"/>
    <cellStyle name="îàïµ‡ذéك [0.00]_laroux_1ameedlte" xfId="229" xr:uid="{00000000-0005-0000-0000-0000D2050000}"/>
    <cellStyle name="îàïµ‡ذéك_laroux_1aroux_1a" xfId="230" xr:uid="{00000000-0005-0000-0000-0000D3050000}"/>
    <cellStyle name="ill N (2)" xfId="231" xr:uid="{00000000-0005-0000-0000-0000D4050000}"/>
    <cellStyle name="ill N (2) 2" xfId="1018" xr:uid="{00000000-0005-0000-0000-0000D5050000}"/>
    <cellStyle name="Input" xfId="2522" builtinId="20" customBuiltin="1"/>
    <cellStyle name="Input [yellow]" xfId="1019" xr:uid="{00000000-0005-0000-0000-0000D7050000}"/>
    <cellStyle name="Input 2" xfId="150" xr:uid="{00000000-0005-0000-0000-0000D8050000}"/>
    <cellStyle name="Input 2 2" xfId="1020" xr:uid="{00000000-0005-0000-0000-0000D9050000}"/>
    <cellStyle name="Input 3" xfId="151" xr:uid="{00000000-0005-0000-0000-0000DA050000}"/>
    <cellStyle name="Input 4" xfId="152" xr:uid="{00000000-0005-0000-0000-0000DB050000}"/>
    <cellStyle name="Input 5" xfId="153" xr:uid="{00000000-0005-0000-0000-0000DC050000}"/>
    <cellStyle name="Input 6" xfId="1021" xr:uid="{00000000-0005-0000-0000-0000DD050000}"/>
    <cellStyle name="KPMG Heading 1" xfId="1022" xr:uid="{00000000-0005-0000-0000-0000DE050000}"/>
    <cellStyle name="KPMG Heading 2" xfId="1023" xr:uid="{00000000-0005-0000-0000-0000DF050000}"/>
    <cellStyle name="KPMG Heading 3" xfId="1024" xr:uid="{00000000-0005-0000-0000-0000E0050000}"/>
    <cellStyle name="KPMG Heading 4" xfId="1025" xr:uid="{00000000-0005-0000-0000-0000E1050000}"/>
    <cellStyle name="KPMG Normal" xfId="1026" xr:uid="{00000000-0005-0000-0000-0000E2050000}"/>
    <cellStyle name="KPMG Normal Text" xfId="1027" xr:uid="{00000000-0005-0000-0000-0000E3050000}"/>
    <cellStyle name="Linked Cell" xfId="2525" builtinId="24" customBuiltin="1"/>
    <cellStyle name="Linked Cell 2" xfId="154" xr:uid="{00000000-0005-0000-0000-0000E5050000}"/>
    <cellStyle name="Linked Cell 2 2" xfId="1028" xr:uid="{00000000-0005-0000-0000-0000E6050000}"/>
    <cellStyle name="Linked Cell 3" xfId="155" xr:uid="{00000000-0005-0000-0000-0000E7050000}"/>
    <cellStyle name="Linked Cell 4" xfId="156" xr:uid="{00000000-0005-0000-0000-0000E8050000}"/>
    <cellStyle name="Linked Cell 5" xfId="157" xr:uid="{00000000-0005-0000-0000-0000E9050000}"/>
    <cellStyle name="MARGIN_MAN" xfId="1029" xr:uid="{00000000-0005-0000-0000-0000EA050000}"/>
    <cellStyle name="Microsoft Excel found an error in the formula you entered. Do you want to accept the correction proposed below?_x000a__x000a_|_x000a__x000a_• To accept the correction, click Yes._x000a_• To close this message and correct the formula yourself, click No." xfId="232" xr:uid="{00000000-0005-0000-0000-0000EB050000}"/>
    <cellStyle name="Millares [0]_elec" xfId="1030" xr:uid="{00000000-0005-0000-0000-0000EC050000}"/>
    <cellStyle name="Millares_elec" xfId="1031" xr:uid="{00000000-0005-0000-0000-0000ED050000}"/>
    <cellStyle name="Milliers [0]_06" xfId="1032" xr:uid="{00000000-0005-0000-0000-0000EE050000}"/>
    <cellStyle name="Milliers_!BILLGCA" xfId="1033" xr:uid="{00000000-0005-0000-0000-0000EF050000}"/>
    <cellStyle name="Model" xfId="1034" xr:uid="{00000000-0005-0000-0000-0000F0050000}"/>
    <cellStyle name="Model 2" xfId="1035" xr:uid="{00000000-0005-0000-0000-0000F1050000}"/>
    <cellStyle name="Moneda [0]_Project Summary-Sept.Corporation.xls Gráfico 1" xfId="1036" xr:uid="{00000000-0005-0000-0000-0000F2050000}"/>
    <cellStyle name="Moneda_Project Summary-Sept.Corporation.xls Gráfico 1" xfId="1037" xr:uid="{00000000-0005-0000-0000-0000F3050000}"/>
    <cellStyle name="Monétaire [0]_06" xfId="1038" xr:uid="{00000000-0005-0000-0000-0000F4050000}"/>
    <cellStyle name="Monétaire 2" xfId="1039" xr:uid="{00000000-0005-0000-0000-0000F5050000}"/>
    <cellStyle name="Monétaire_!BILLGCA" xfId="1040" xr:uid="{00000000-0005-0000-0000-0000F6050000}"/>
    <cellStyle name="MS_Arabic" xfId="233" xr:uid="{00000000-0005-0000-0000-0000F7050000}"/>
    <cellStyle name="Neutral" xfId="2521" builtinId="28" customBuiltin="1"/>
    <cellStyle name="Neutral 2" xfId="158" xr:uid="{00000000-0005-0000-0000-0000F9050000}"/>
    <cellStyle name="Neutral 2 2" xfId="1041" xr:uid="{00000000-0005-0000-0000-0000FA050000}"/>
    <cellStyle name="Neutral 3" xfId="159" xr:uid="{00000000-0005-0000-0000-0000FB050000}"/>
    <cellStyle name="Neutral 4" xfId="160" xr:uid="{00000000-0005-0000-0000-0000FC050000}"/>
    <cellStyle name="Neutral 5" xfId="161" xr:uid="{00000000-0005-0000-0000-0000FD050000}"/>
    <cellStyle name="no dec" xfId="1042" xr:uid="{00000000-0005-0000-0000-0000FE050000}"/>
    <cellStyle name="Normal" xfId="0" builtinId="0"/>
    <cellStyle name="Normal - Style1" xfId="1043" xr:uid="{00000000-0005-0000-0000-000000060000}"/>
    <cellStyle name="Normal - Style1 2" xfId="1044" xr:uid="{00000000-0005-0000-0000-000001060000}"/>
    <cellStyle name="Normal - Style1 3" xfId="1045" xr:uid="{00000000-0005-0000-0000-000002060000}"/>
    <cellStyle name="Normal 1" xfId="1046" xr:uid="{00000000-0005-0000-0000-000003060000}"/>
    <cellStyle name="Normal 10" xfId="4" xr:uid="{00000000-0005-0000-0000-000004060000}"/>
    <cellStyle name="Normal 10 2" xfId="1047" xr:uid="{00000000-0005-0000-0000-000005060000}"/>
    <cellStyle name="Normal 10 2 2" xfId="1048" xr:uid="{00000000-0005-0000-0000-000006060000}"/>
    <cellStyle name="Normal 10 3" xfId="1049" xr:uid="{00000000-0005-0000-0000-000007060000}"/>
    <cellStyle name="Normal 10 4" xfId="1050" xr:uid="{00000000-0005-0000-0000-000008060000}"/>
    <cellStyle name="Normal 10 5" xfId="1910" xr:uid="{00000000-0005-0000-0000-000009060000}"/>
    <cellStyle name="Normal 10 6" xfId="2511" xr:uid="{00000000-0005-0000-0000-00000A060000}"/>
    <cellStyle name="Normal 11" xfId="5" xr:uid="{00000000-0005-0000-0000-00000B060000}"/>
    <cellStyle name="Normal 11 2" xfId="1051" xr:uid="{00000000-0005-0000-0000-00000C060000}"/>
    <cellStyle name="Normal 11 3" xfId="1052" xr:uid="{00000000-0005-0000-0000-00000D060000}"/>
    <cellStyle name="Normal 11 3 2" xfId="1053" xr:uid="{00000000-0005-0000-0000-00000E060000}"/>
    <cellStyle name="Normal 11 4" xfId="1054" xr:uid="{00000000-0005-0000-0000-00000F060000}"/>
    <cellStyle name="Normal 11 5" xfId="2149" xr:uid="{00000000-0005-0000-0000-000010060000}"/>
    <cellStyle name="Normal 12" xfId="6" xr:uid="{00000000-0005-0000-0000-000011060000}"/>
    <cellStyle name="Normal 12 2" xfId="1055" xr:uid="{00000000-0005-0000-0000-000012060000}"/>
    <cellStyle name="Normal 12 3" xfId="1056" xr:uid="{00000000-0005-0000-0000-000013060000}"/>
    <cellStyle name="Normal 12 4" xfId="2188" xr:uid="{00000000-0005-0000-0000-000014060000}"/>
    <cellStyle name="Normal 13" xfId="7" xr:uid="{00000000-0005-0000-0000-000015060000}"/>
    <cellStyle name="Normal 13 2" xfId="1057" xr:uid="{00000000-0005-0000-0000-000016060000}"/>
    <cellStyle name="Normal 13 3" xfId="1058" xr:uid="{00000000-0005-0000-0000-000017060000}"/>
    <cellStyle name="Normal 13 4" xfId="2150" xr:uid="{00000000-0005-0000-0000-000018060000}"/>
    <cellStyle name="Normal 14" xfId="8" xr:uid="{00000000-0005-0000-0000-000019060000}"/>
    <cellStyle name="Normal 14 2" xfId="1059" xr:uid="{00000000-0005-0000-0000-00001A060000}"/>
    <cellStyle name="Normal 14 3" xfId="1060" xr:uid="{00000000-0005-0000-0000-00001B060000}"/>
    <cellStyle name="Normal 14 4" xfId="1793" xr:uid="{00000000-0005-0000-0000-00001C060000}"/>
    <cellStyle name="Normal 15" xfId="44" xr:uid="{00000000-0005-0000-0000-00001D060000}"/>
    <cellStyle name="Normal 15 2" xfId="1061" xr:uid="{00000000-0005-0000-0000-00001E060000}"/>
    <cellStyle name="Normal 15 3" xfId="1062" xr:uid="{00000000-0005-0000-0000-00001F060000}"/>
    <cellStyle name="Normal 15 4" xfId="1063" xr:uid="{00000000-0005-0000-0000-000020060000}"/>
    <cellStyle name="Normal 15 4 2" xfId="1064" xr:uid="{00000000-0005-0000-0000-000021060000}"/>
    <cellStyle name="Normal 15 5" xfId="1065" xr:uid="{00000000-0005-0000-0000-000022060000}"/>
    <cellStyle name="Normal 16" xfId="9" xr:uid="{00000000-0005-0000-0000-000023060000}"/>
    <cellStyle name="Normal 16 2" xfId="1066" xr:uid="{00000000-0005-0000-0000-000024060000}"/>
    <cellStyle name="Normal 16 2 2" xfId="2242" xr:uid="{00000000-0005-0000-0000-000025060000}"/>
    <cellStyle name="Normal 16 3" xfId="1067" xr:uid="{00000000-0005-0000-0000-000026060000}"/>
    <cellStyle name="Normal 17" xfId="10" xr:uid="{00000000-0005-0000-0000-000027060000}"/>
    <cellStyle name="Normal 17 2" xfId="1068" xr:uid="{00000000-0005-0000-0000-000028060000}"/>
    <cellStyle name="Normal 17 3" xfId="1069" xr:uid="{00000000-0005-0000-0000-000029060000}"/>
    <cellStyle name="Normal 17 3 2" xfId="2243" xr:uid="{00000000-0005-0000-0000-00002A060000}"/>
    <cellStyle name="Normal 17 4" xfId="1070" xr:uid="{00000000-0005-0000-0000-00002B060000}"/>
    <cellStyle name="Normal 18" xfId="11" xr:uid="{00000000-0005-0000-0000-00002C060000}"/>
    <cellStyle name="Normal 18 2" xfId="1071" xr:uid="{00000000-0005-0000-0000-00002D060000}"/>
    <cellStyle name="Normal 18 3" xfId="1072" xr:uid="{00000000-0005-0000-0000-00002E060000}"/>
    <cellStyle name="Normal 19" xfId="12" xr:uid="{00000000-0005-0000-0000-00002F060000}"/>
    <cellStyle name="Normal 19 2" xfId="1073" xr:uid="{00000000-0005-0000-0000-000030060000}"/>
    <cellStyle name="Normal 19 2 2" xfId="1074" xr:uid="{00000000-0005-0000-0000-000031060000}"/>
    <cellStyle name="Normal 19 3" xfId="1075" xr:uid="{00000000-0005-0000-0000-000032060000}"/>
    <cellStyle name="Normal 19 4" xfId="1943" xr:uid="{00000000-0005-0000-0000-000033060000}"/>
    <cellStyle name="Normal 19 5" xfId="2512" xr:uid="{00000000-0005-0000-0000-000034060000}"/>
    <cellStyle name="Normal 2" xfId="13" xr:uid="{00000000-0005-0000-0000-000035060000}"/>
    <cellStyle name="Normal 2 10" xfId="1076" xr:uid="{00000000-0005-0000-0000-000036060000}"/>
    <cellStyle name="Normal 2 10 2" xfId="1846" xr:uid="{00000000-0005-0000-0000-000037060000}"/>
    <cellStyle name="Normal 2 11" xfId="1077" xr:uid="{00000000-0005-0000-0000-000038060000}"/>
    <cellStyle name="Normal 2 11 2" xfId="1918" xr:uid="{00000000-0005-0000-0000-000039060000}"/>
    <cellStyle name="Normal 2 12" xfId="1078" xr:uid="{00000000-0005-0000-0000-00003A060000}"/>
    <cellStyle name="Normal 2 12 2" xfId="1818" xr:uid="{00000000-0005-0000-0000-00003B060000}"/>
    <cellStyle name="Normal 2 13" xfId="1079" xr:uid="{00000000-0005-0000-0000-00003C060000}"/>
    <cellStyle name="Normal 2 13 2" xfId="1928" xr:uid="{00000000-0005-0000-0000-00003D060000}"/>
    <cellStyle name="Normal 2 14" xfId="1080" xr:uid="{00000000-0005-0000-0000-00003E060000}"/>
    <cellStyle name="Normal 2 14 2" xfId="1866" xr:uid="{00000000-0005-0000-0000-00003F060000}"/>
    <cellStyle name="Normal 2 15" xfId="1081" xr:uid="{00000000-0005-0000-0000-000040060000}"/>
    <cellStyle name="Normal 2 15 2" xfId="2124" xr:uid="{00000000-0005-0000-0000-000041060000}"/>
    <cellStyle name="Normal 2 16" xfId="1082" xr:uid="{00000000-0005-0000-0000-000042060000}"/>
    <cellStyle name="Normal 2 16 2" xfId="2125" xr:uid="{00000000-0005-0000-0000-000043060000}"/>
    <cellStyle name="Normal 2 17" xfId="1083" xr:uid="{00000000-0005-0000-0000-000044060000}"/>
    <cellStyle name="Normal 2 17 2" xfId="1795" xr:uid="{00000000-0005-0000-0000-000045060000}"/>
    <cellStyle name="Normal 2 18" xfId="1084" xr:uid="{00000000-0005-0000-0000-000046060000}"/>
    <cellStyle name="Normal 2 18 2" xfId="2155" xr:uid="{00000000-0005-0000-0000-000047060000}"/>
    <cellStyle name="Normal 2 19" xfId="1085" xr:uid="{00000000-0005-0000-0000-000048060000}"/>
    <cellStyle name="Normal 2 19 2" xfId="1962" xr:uid="{00000000-0005-0000-0000-000049060000}"/>
    <cellStyle name="Normal 2 2" xfId="14" xr:uid="{00000000-0005-0000-0000-00004A060000}"/>
    <cellStyle name="Normal 2 2 10" xfId="1915" xr:uid="{00000000-0005-0000-0000-00004B060000}"/>
    <cellStyle name="Normal 2 2 11" xfId="1919" xr:uid="{00000000-0005-0000-0000-00004C060000}"/>
    <cellStyle name="Normal 2 2 12" xfId="1921" xr:uid="{00000000-0005-0000-0000-00004D060000}"/>
    <cellStyle name="Normal 2 2 13" xfId="1865" xr:uid="{00000000-0005-0000-0000-00004E060000}"/>
    <cellStyle name="Normal 2 2 14" xfId="1933" xr:uid="{00000000-0005-0000-0000-00004F060000}"/>
    <cellStyle name="Normal 2 2 15" xfId="1938" xr:uid="{00000000-0005-0000-0000-000050060000}"/>
    <cellStyle name="Normal 2 2 16" xfId="1942" xr:uid="{00000000-0005-0000-0000-000051060000}"/>
    <cellStyle name="Normal 2 2 17" xfId="2126" xr:uid="{00000000-0005-0000-0000-000052060000}"/>
    <cellStyle name="Normal 2 2 18" xfId="1956" xr:uid="{00000000-0005-0000-0000-000053060000}"/>
    <cellStyle name="Normal 2 2 19" xfId="2129" xr:uid="{00000000-0005-0000-0000-000054060000}"/>
    <cellStyle name="Normal 2 2 2" xfId="162" xr:uid="{00000000-0005-0000-0000-000055060000}"/>
    <cellStyle name="Normal 2 2 2 2" xfId="1086" xr:uid="{00000000-0005-0000-0000-000056060000}"/>
    <cellStyle name="Normal 2 2 2 2 2" xfId="1087" xr:uid="{00000000-0005-0000-0000-000057060000}"/>
    <cellStyle name="Normal 2 2 2 3" xfId="1088" xr:uid="{00000000-0005-0000-0000-000058060000}"/>
    <cellStyle name="Normal 2 2 2 4" xfId="1089" xr:uid="{00000000-0005-0000-0000-000059060000}"/>
    <cellStyle name="Normal 2 2 20" xfId="1968" xr:uid="{00000000-0005-0000-0000-00005A060000}"/>
    <cellStyle name="Normal 2 2 21" xfId="1975" xr:uid="{00000000-0005-0000-0000-00005B060000}"/>
    <cellStyle name="Normal 2 2 22" xfId="1977" xr:uid="{00000000-0005-0000-0000-00005C060000}"/>
    <cellStyle name="Normal 2 2 23" xfId="1807" xr:uid="{00000000-0005-0000-0000-00005D060000}"/>
    <cellStyle name="Normal 2 2 24" xfId="1985" xr:uid="{00000000-0005-0000-0000-00005E060000}"/>
    <cellStyle name="Normal 2 2 25" xfId="2133" xr:uid="{00000000-0005-0000-0000-00005F060000}"/>
    <cellStyle name="Normal 2 2 26" xfId="1993" xr:uid="{00000000-0005-0000-0000-000060060000}"/>
    <cellStyle name="Normal 2 2 27" xfId="1996" xr:uid="{00000000-0005-0000-0000-000061060000}"/>
    <cellStyle name="Normal 2 2 28" xfId="2136" xr:uid="{00000000-0005-0000-0000-000062060000}"/>
    <cellStyle name="Normal 2 2 29" xfId="2008" xr:uid="{00000000-0005-0000-0000-000063060000}"/>
    <cellStyle name="Normal 2 2 3" xfId="163" xr:uid="{00000000-0005-0000-0000-000064060000}"/>
    <cellStyle name="Normal 2 2 3 2" xfId="1090" xr:uid="{00000000-0005-0000-0000-000065060000}"/>
    <cellStyle name="Normal 2 2 30" xfId="2012" xr:uid="{00000000-0005-0000-0000-000066060000}"/>
    <cellStyle name="Normal 2 2 31" xfId="2016" xr:uid="{00000000-0005-0000-0000-000067060000}"/>
    <cellStyle name="Normal 2 2 32" xfId="2106" xr:uid="{00000000-0005-0000-0000-000068060000}"/>
    <cellStyle name="Normal 2 2 33" xfId="1895" xr:uid="{00000000-0005-0000-0000-000069060000}"/>
    <cellStyle name="Normal 2 2 4" xfId="164" xr:uid="{00000000-0005-0000-0000-00006A060000}"/>
    <cellStyle name="Normal 2 2 4 2" xfId="1904" xr:uid="{00000000-0005-0000-0000-00006B060000}"/>
    <cellStyle name="Normal 2 2 5" xfId="165" xr:uid="{00000000-0005-0000-0000-00006C060000}"/>
    <cellStyle name="Normal 2 2 5 2" xfId="1836" xr:uid="{00000000-0005-0000-0000-00006D060000}"/>
    <cellStyle name="Normal 2 2 6" xfId="1091" xr:uid="{00000000-0005-0000-0000-00006E060000}"/>
    <cellStyle name="Normal 2 2 7" xfId="2186" xr:uid="{00000000-0005-0000-0000-00006F060000}"/>
    <cellStyle name="Normal 2 2 8" xfId="1839" xr:uid="{00000000-0005-0000-0000-000070060000}"/>
    <cellStyle name="Normal 2 2 9" xfId="1912" xr:uid="{00000000-0005-0000-0000-000071060000}"/>
    <cellStyle name="Normal 2 2_Locked-FINAL_BP3_-__BOQ1st_October_2009" xfId="1092" xr:uid="{00000000-0005-0000-0000-000072060000}"/>
    <cellStyle name="Normal 2 20" xfId="1093" xr:uid="{00000000-0005-0000-0000-000073060000}"/>
    <cellStyle name="Normal 2 20 2" xfId="1967" xr:uid="{00000000-0005-0000-0000-000074060000}"/>
    <cellStyle name="Normal 2 21" xfId="1094" xr:uid="{00000000-0005-0000-0000-000075060000}"/>
    <cellStyle name="Normal 2 21 2" xfId="1974" xr:uid="{00000000-0005-0000-0000-000076060000}"/>
    <cellStyle name="Normal 2 22" xfId="1095" xr:uid="{00000000-0005-0000-0000-000077060000}"/>
    <cellStyle name="Normal 2 22 2" xfId="1976" xr:uid="{00000000-0005-0000-0000-000078060000}"/>
    <cellStyle name="Normal 2 23" xfId="1096" xr:uid="{00000000-0005-0000-0000-000079060000}"/>
    <cellStyle name="Normal 2 23 2" xfId="1982" xr:uid="{00000000-0005-0000-0000-00007A060000}"/>
    <cellStyle name="Normal 2 24" xfId="1097" xr:uid="{00000000-0005-0000-0000-00007B060000}"/>
    <cellStyle name="Normal 2 24 2" xfId="1809" xr:uid="{00000000-0005-0000-0000-00007C060000}"/>
    <cellStyle name="Normal 2 25" xfId="1098" xr:uid="{00000000-0005-0000-0000-00007D060000}"/>
    <cellStyle name="Normal 2 25 2" xfId="1987" xr:uid="{00000000-0005-0000-0000-00007E060000}"/>
    <cellStyle name="Normal 2 26" xfId="1099" xr:uid="{00000000-0005-0000-0000-00007F060000}"/>
    <cellStyle name="Normal 2 26 2" xfId="2135" xr:uid="{00000000-0005-0000-0000-000080060000}"/>
    <cellStyle name="Normal 2 27" xfId="1100" xr:uid="{00000000-0005-0000-0000-000081060000}"/>
    <cellStyle name="Normal 2 27 2" xfId="1995" xr:uid="{00000000-0005-0000-0000-000082060000}"/>
    <cellStyle name="Normal 2 28" xfId="1101" xr:uid="{00000000-0005-0000-0000-000083060000}"/>
    <cellStyle name="Normal 2 28 2" xfId="1997" xr:uid="{00000000-0005-0000-0000-000084060000}"/>
    <cellStyle name="Normal 2 29" xfId="1102" xr:uid="{00000000-0005-0000-0000-000085060000}"/>
    <cellStyle name="Normal 2 29 2" xfId="2007" xr:uid="{00000000-0005-0000-0000-000086060000}"/>
    <cellStyle name="Normal 2 3" xfId="166" xr:uid="{00000000-0005-0000-0000-000087060000}"/>
    <cellStyle name="Normal 2 3 10" xfId="1103" xr:uid="{00000000-0005-0000-0000-000088060000}"/>
    <cellStyle name="Normal 2 3 11" xfId="1104" xr:uid="{00000000-0005-0000-0000-000089060000}"/>
    <cellStyle name="Normal 2 3 12" xfId="1105" xr:uid="{00000000-0005-0000-0000-00008A060000}"/>
    <cellStyle name="Normal 2 3 13" xfId="1106" xr:uid="{00000000-0005-0000-0000-00008B060000}"/>
    <cellStyle name="Normal 2 3 14" xfId="1107" xr:uid="{00000000-0005-0000-0000-00008C060000}"/>
    <cellStyle name="Normal 2 3 15" xfId="1108" xr:uid="{00000000-0005-0000-0000-00008D060000}"/>
    <cellStyle name="Normal 2 3 16" xfId="1109" xr:uid="{00000000-0005-0000-0000-00008E060000}"/>
    <cellStyle name="Normal 2 3 17" xfId="1110" xr:uid="{00000000-0005-0000-0000-00008F060000}"/>
    <cellStyle name="Normal 2 3 18" xfId="1111" xr:uid="{00000000-0005-0000-0000-000090060000}"/>
    <cellStyle name="Normal 2 3 19" xfId="1112" xr:uid="{00000000-0005-0000-0000-000091060000}"/>
    <cellStyle name="Normal 2 3 2" xfId="1113" xr:uid="{00000000-0005-0000-0000-000092060000}"/>
    <cellStyle name="Normal 2 3 2 10" xfId="1114" xr:uid="{00000000-0005-0000-0000-000093060000}"/>
    <cellStyle name="Normal 2 3 2 11" xfId="1115" xr:uid="{00000000-0005-0000-0000-000094060000}"/>
    <cellStyle name="Normal 2 3 2 12" xfId="1116" xr:uid="{00000000-0005-0000-0000-000095060000}"/>
    <cellStyle name="Normal 2 3 2 13" xfId="1117" xr:uid="{00000000-0005-0000-0000-000096060000}"/>
    <cellStyle name="Normal 2 3 2 14" xfId="1118" xr:uid="{00000000-0005-0000-0000-000097060000}"/>
    <cellStyle name="Normal 2 3 2 15" xfId="1119" xr:uid="{00000000-0005-0000-0000-000098060000}"/>
    <cellStyle name="Normal 2 3 2 16" xfId="1120" xr:uid="{00000000-0005-0000-0000-000099060000}"/>
    <cellStyle name="Normal 2 3 2 17" xfId="1121" xr:uid="{00000000-0005-0000-0000-00009A060000}"/>
    <cellStyle name="Normal 2 3 2 18" xfId="1122" xr:uid="{00000000-0005-0000-0000-00009B060000}"/>
    <cellStyle name="Normal 2 3 2 19" xfId="1123" xr:uid="{00000000-0005-0000-0000-00009C060000}"/>
    <cellStyle name="Normal 2 3 2 2" xfId="1124" xr:uid="{00000000-0005-0000-0000-00009D060000}"/>
    <cellStyle name="Normal 2 3 2 2 10" xfId="1125" xr:uid="{00000000-0005-0000-0000-00009E060000}"/>
    <cellStyle name="Normal 2 3 2 2 11" xfId="1126" xr:uid="{00000000-0005-0000-0000-00009F060000}"/>
    <cellStyle name="Normal 2 3 2 2 12" xfId="1127" xr:uid="{00000000-0005-0000-0000-0000A0060000}"/>
    <cellStyle name="Normal 2 3 2 2 13" xfId="1128" xr:uid="{00000000-0005-0000-0000-0000A1060000}"/>
    <cellStyle name="Normal 2 3 2 2 14" xfId="1129" xr:uid="{00000000-0005-0000-0000-0000A2060000}"/>
    <cellStyle name="Normal 2 3 2 2 15" xfId="1130" xr:uid="{00000000-0005-0000-0000-0000A3060000}"/>
    <cellStyle name="Normal 2 3 2 2 16" xfId="1131" xr:uid="{00000000-0005-0000-0000-0000A4060000}"/>
    <cellStyle name="Normal 2 3 2 2 17" xfId="1132" xr:uid="{00000000-0005-0000-0000-0000A5060000}"/>
    <cellStyle name="Normal 2 3 2 2 18" xfId="1133" xr:uid="{00000000-0005-0000-0000-0000A6060000}"/>
    <cellStyle name="Normal 2 3 2 2 19" xfId="1134" xr:uid="{00000000-0005-0000-0000-0000A7060000}"/>
    <cellStyle name="Normal 2 3 2 2 2" xfId="1135" xr:uid="{00000000-0005-0000-0000-0000A8060000}"/>
    <cellStyle name="Normal 2 3 2 2 20" xfId="1136" xr:uid="{00000000-0005-0000-0000-0000A9060000}"/>
    <cellStyle name="Normal 2 3 2 2 21" xfId="1137" xr:uid="{00000000-0005-0000-0000-0000AA060000}"/>
    <cellStyle name="Normal 2 3 2 2 22" xfId="1138" xr:uid="{00000000-0005-0000-0000-0000AB060000}"/>
    <cellStyle name="Normal 2 3 2 2 23" xfId="1139" xr:uid="{00000000-0005-0000-0000-0000AC060000}"/>
    <cellStyle name="Normal 2 3 2 2 24" xfId="1140" xr:uid="{00000000-0005-0000-0000-0000AD060000}"/>
    <cellStyle name="Normal 2 3 2 2 25" xfId="1141" xr:uid="{00000000-0005-0000-0000-0000AE060000}"/>
    <cellStyle name="Normal 2 3 2 2 26" xfId="1142" xr:uid="{00000000-0005-0000-0000-0000AF060000}"/>
    <cellStyle name="Normal 2 3 2 2 27" xfId="2024" xr:uid="{00000000-0005-0000-0000-0000B0060000}"/>
    <cellStyle name="Normal 2 3 2 2 27 2" xfId="2419" xr:uid="{00000000-0005-0000-0000-0000B1060000}"/>
    <cellStyle name="Normal 2 3 2 2 3" xfId="1143" xr:uid="{00000000-0005-0000-0000-0000B2060000}"/>
    <cellStyle name="Normal 2 3 2 2 4" xfId="1144" xr:uid="{00000000-0005-0000-0000-0000B3060000}"/>
    <cellStyle name="Normal 2 3 2 2 5" xfId="1145" xr:uid="{00000000-0005-0000-0000-0000B4060000}"/>
    <cellStyle name="Normal 2 3 2 2 6" xfId="1146" xr:uid="{00000000-0005-0000-0000-0000B5060000}"/>
    <cellStyle name="Normal 2 3 2 2 7" xfId="1147" xr:uid="{00000000-0005-0000-0000-0000B6060000}"/>
    <cellStyle name="Normal 2 3 2 2 8" xfId="1148" xr:uid="{00000000-0005-0000-0000-0000B7060000}"/>
    <cellStyle name="Normal 2 3 2 2 9" xfId="1149" xr:uid="{00000000-0005-0000-0000-0000B8060000}"/>
    <cellStyle name="Normal 2 3 2 20" xfId="1150" xr:uid="{00000000-0005-0000-0000-0000B9060000}"/>
    <cellStyle name="Normal 2 3 2 21" xfId="1151" xr:uid="{00000000-0005-0000-0000-0000BA060000}"/>
    <cellStyle name="Normal 2 3 2 22" xfId="1152" xr:uid="{00000000-0005-0000-0000-0000BB060000}"/>
    <cellStyle name="Normal 2 3 2 23" xfId="1153" xr:uid="{00000000-0005-0000-0000-0000BC060000}"/>
    <cellStyle name="Normal 2 3 2 24" xfId="1154" xr:uid="{00000000-0005-0000-0000-0000BD060000}"/>
    <cellStyle name="Normal 2 3 2 25" xfId="1155" xr:uid="{00000000-0005-0000-0000-0000BE060000}"/>
    <cellStyle name="Normal 2 3 2 26" xfId="1156" xr:uid="{00000000-0005-0000-0000-0000BF060000}"/>
    <cellStyle name="Normal 2 3 2 27" xfId="1157" xr:uid="{00000000-0005-0000-0000-0000C0060000}"/>
    <cellStyle name="Normal 2 3 2 28" xfId="1158" xr:uid="{00000000-0005-0000-0000-0000C1060000}"/>
    <cellStyle name="Normal 2 3 2 29" xfId="2175" xr:uid="{00000000-0005-0000-0000-0000C2060000}"/>
    <cellStyle name="Normal 2 3 2 3" xfId="1159" xr:uid="{00000000-0005-0000-0000-0000C3060000}"/>
    <cellStyle name="Normal 2 3 2 3 2" xfId="2066" xr:uid="{00000000-0005-0000-0000-0000C4060000}"/>
    <cellStyle name="Normal 2 3 2 3 2 2" xfId="2432" xr:uid="{00000000-0005-0000-0000-0000C5060000}"/>
    <cellStyle name="Normal 2 3 2 4" xfId="1160" xr:uid="{00000000-0005-0000-0000-0000C6060000}"/>
    <cellStyle name="Normal 2 3 2 4 2" xfId="2061" xr:uid="{00000000-0005-0000-0000-0000C7060000}"/>
    <cellStyle name="Normal 2 3 2 4 2 2" xfId="2431" xr:uid="{00000000-0005-0000-0000-0000C8060000}"/>
    <cellStyle name="Normal 2 3 2 5" xfId="1161" xr:uid="{00000000-0005-0000-0000-0000C9060000}"/>
    <cellStyle name="Normal 2 3 2 5 2" xfId="2045" xr:uid="{00000000-0005-0000-0000-0000CA060000}"/>
    <cellStyle name="Normal 2 3 2 5 2 2" xfId="2427" xr:uid="{00000000-0005-0000-0000-0000CB060000}"/>
    <cellStyle name="Normal 2 3 2 6" xfId="1162" xr:uid="{00000000-0005-0000-0000-0000CC060000}"/>
    <cellStyle name="Normal 2 3 2 6 2" xfId="2173" xr:uid="{00000000-0005-0000-0000-0000CD060000}"/>
    <cellStyle name="Normal 2 3 2 6 2 2" xfId="2486" xr:uid="{00000000-0005-0000-0000-0000CE060000}"/>
    <cellStyle name="Normal 2 3 2 7" xfId="1163" xr:uid="{00000000-0005-0000-0000-0000CF060000}"/>
    <cellStyle name="Normal 2 3 2 7 2" xfId="2030" xr:uid="{00000000-0005-0000-0000-0000D0060000}"/>
    <cellStyle name="Normal 2 3 2 7 2 2" xfId="2423" xr:uid="{00000000-0005-0000-0000-0000D1060000}"/>
    <cellStyle name="Normal 2 3 2 8" xfId="1164" xr:uid="{00000000-0005-0000-0000-0000D2060000}"/>
    <cellStyle name="Normal 2 3 2 9" xfId="1165" xr:uid="{00000000-0005-0000-0000-0000D3060000}"/>
    <cellStyle name="Normal 2 3 20" xfId="1166" xr:uid="{00000000-0005-0000-0000-0000D4060000}"/>
    <cellStyle name="Normal 2 3 21" xfId="1167" xr:uid="{00000000-0005-0000-0000-0000D5060000}"/>
    <cellStyle name="Normal 2 3 22" xfId="1168" xr:uid="{00000000-0005-0000-0000-0000D6060000}"/>
    <cellStyle name="Normal 2 3 23" xfId="1169" xr:uid="{00000000-0005-0000-0000-0000D7060000}"/>
    <cellStyle name="Normal 2 3 24" xfId="1170" xr:uid="{00000000-0005-0000-0000-0000D8060000}"/>
    <cellStyle name="Normal 2 3 25" xfId="1171" xr:uid="{00000000-0005-0000-0000-0000D9060000}"/>
    <cellStyle name="Normal 2 3 26" xfId="1172" xr:uid="{00000000-0005-0000-0000-0000DA060000}"/>
    <cellStyle name="Normal 2 3 27" xfId="1173" xr:uid="{00000000-0005-0000-0000-0000DB060000}"/>
    <cellStyle name="Normal 2 3 28" xfId="1174" xr:uid="{00000000-0005-0000-0000-0000DC060000}"/>
    <cellStyle name="Normal 2 3 29" xfId="1175" xr:uid="{00000000-0005-0000-0000-0000DD060000}"/>
    <cellStyle name="Normal 2 3 3" xfId="1176" xr:uid="{00000000-0005-0000-0000-0000DE060000}"/>
    <cellStyle name="Normal 2 3 3 10" xfId="1177" xr:uid="{00000000-0005-0000-0000-0000DF060000}"/>
    <cellStyle name="Normal 2 3 3 11" xfId="1178" xr:uid="{00000000-0005-0000-0000-0000E0060000}"/>
    <cellStyle name="Normal 2 3 3 12" xfId="1179" xr:uid="{00000000-0005-0000-0000-0000E1060000}"/>
    <cellStyle name="Normal 2 3 3 13" xfId="1180" xr:uid="{00000000-0005-0000-0000-0000E2060000}"/>
    <cellStyle name="Normal 2 3 3 14" xfId="1181" xr:uid="{00000000-0005-0000-0000-0000E3060000}"/>
    <cellStyle name="Normal 2 3 3 15" xfId="1182" xr:uid="{00000000-0005-0000-0000-0000E4060000}"/>
    <cellStyle name="Normal 2 3 3 16" xfId="1183" xr:uid="{00000000-0005-0000-0000-0000E5060000}"/>
    <cellStyle name="Normal 2 3 3 17" xfId="1184" xr:uid="{00000000-0005-0000-0000-0000E6060000}"/>
    <cellStyle name="Normal 2 3 3 18" xfId="1185" xr:uid="{00000000-0005-0000-0000-0000E7060000}"/>
    <cellStyle name="Normal 2 3 3 19" xfId="1186" xr:uid="{00000000-0005-0000-0000-0000E8060000}"/>
    <cellStyle name="Normal 2 3 3 2" xfId="1187" xr:uid="{00000000-0005-0000-0000-0000E9060000}"/>
    <cellStyle name="Normal 2 3 3 20" xfId="1188" xr:uid="{00000000-0005-0000-0000-0000EA060000}"/>
    <cellStyle name="Normal 2 3 3 21" xfId="1189" xr:uid="{00000000-0005-0000-0000-0000EB060000}"/>
    <cellStyle name="Normal 2 3 3 22" xfId="1190" xr:uid="{00000000-0005-0000-0000-0000EC060000}"/>
    <cellStyle name="Normal 2 3 3 23" xfId="1191" xr:uid="{00000000-0005-0000-0000-0000ED060000}"/>
    <cellStyle name="Normal 2 3 3 24" xfId="1192" xr:uid="{00000000-0005-0000-0000-0000EE060000}"/>
    <cellStyle name="Normal 2 3 3 25" xfId="1193" xr:uid="{00000000-0005-0000-0000-0000EF060000}"/>
    <cellStyle name="Normal 2 3 3 26" xfId="1194" xr:uid="{00000000-0005-0000-0000-0000F0060000}"/>
    <cellStyle name="Normal 2 3 3 27" xfId="2195" xr:uid="{00000000-0005-0000-0000-0000F1060000}"/>
    <cellStyle name="Normal 2 3 3 3" xfId="1195" xr:uid="{00000000-0005-0000-0000-0000F2060000}"/>
    <cellStyle name="Normal 2 3 3 4" xfId="1196" xr:uid="{00000000-0005-0000-0000-0000F3060000}"/>
    <cellStyle name="Normal 2 3 3 5" xfId="1197" xr:uid="{00000000-0005-0000-0000-0000F4060000}"/>
    <cellStyle name="Normal 2 3 3 6" xfId="1198" xr:uid="{00000000-0005-0000-0000-0000F5060000}"/>
    <cellStyle name="Normal 2 3 3 7" xfId="1199" xr:uid="{00000000-0005-0000-0000-0000F6060000}"/>
    <cellStyle name="Normal 2 3 3 8" xfId="1200" xr:uid="{00000000-0005-0000-0000-0000F7060000}"/>
    <cellStyle name="Normal 2 3 3 9" xfId="1201" xr:uid="{00000000-0005-0000-0000-0000F8060000}"/>
    <cellStyle name="Normal 2 3 30" xfId="1202" xr:uid="{00000000-0005-0000-0000-0000F9060000}"/>
    <cellStyle name="Normal 2 3 31" xfId="1203" xr:uid="{00000000-0005-0000-0000-0000FA060000}"/>
    <cellStyle name="Normal 2 3 32" xfId="1204" xr:uid="{00000000-0005-0000-0000-0000FB060000}"/>
    <cellStyle name="Normal 2 3 33" xfId="1205" xr:uid="{00000000-0005-0000-0000-0000FC060000}"/>
    <cellStyle name="Normal 2 3 33 2" xfId="2244" xr:uid="{00000000-0005-0000-0000-0000FD060000}"/>
    <cellStyle name="Normal 2 3 34" xfId="1206" xr:uid="{00000000-0005-0000-0000-0000FE060000}"/>
    <cellStyle name="Normal 2 3 4" xfId="1207" xr:uid="{00000000-0005-0000-0000-0000FF060000}"/>
    <cellStyle name="Normal 2 3 4 2" xfId="1790" xr:uid="{00000000-0005-0000-0000-000000070000}"/>
    <cellStyle name="Normal 2 3 5" xfId="1208" xr:uid="{00000000-0005-0000-0000-000001070000}"/>
    <cellStyle name="Normal 2 3 5 2" xfId="1825" xr:uid="{00000000-0005-0000-0000-000002070000}"/>
    <cellStyle name="Normal 2 3 6" xfId="1209" xr:uid="{00000000-0005-0000-0000-000003070000}"/>
    <cellStyle name="Normal 2 3 6 2" xfId="2087" xr:uid="{00000000-0005-0000-0000-000004070000}"/>
    <cellStyle name="Normal 2 3 7" xfId="1210" xr:uid="{00000000-0005-0000-0000-000005070000}"/>
    <cellStyle name="Normal 2 3 7 2" xfId="2099" xr:uid="{00000000-0005-0000-0000-000006070000}"/>
    <cellStyle name="Normal 2 3 8" xfId="1211" xr:uid="{00000000-0005-0000-0000-000007070000}"/>
    <cellStyle name="Normal 2 3 8 2" xfId="2169" xr:uid="{00000000-0005-0000-0000-000008070000}"/>
    <cellStyle name="Normal 2 3 8 2 2" xfId="2483" xr:uid="{00000000-0005-0000-0000-000009070000}"/>
    <cellStyle name="Normal 2 3 9" xfId="1212" xr:uid="{00000000-0005-0000-0000-00000A070000}"/>
    <cellStyle name="Normal 2 30" xfId="1213" xr:uid="{00000000-0005-0000-0000-00000B070000}"/>
    <cellStyle name="Normal 2 30 2" xfId="2011" xr:uid="{00000000-0005-0000-0000-00000C070000}"/>
    <cellStyle name="Normal 2 31" xfId="1214" xr:uid="{00000000-0005-0000-0000-00000D070000}"/>
    <cellStyle name="Normal 2 31 2" xfId="2031" xr:uid="{00000000-0005-0000-0000-00000E070000}"/>
    <cellStyle name="Normal 2 32" xfId="1215" xr:uid="{00000000-0005-0000-0000-00000F070000}"/>
    <cellStyle name="Normal 2 32 2" xfId="2077" xr:uid="{00000000-0005-0000-0000-000010070000}"/>
    <cellStyle name="Normal 2 33" xfId="1216" xr:uid="{00000000-0005-0000-0000-000011070000}"/>
    <cellStyle name="Normal 2 33 2" xfId="2083" xr:uid="{00000000-0005-0000-0000-000012070000}"/>
    <cellStyle name="Normal 2 34" xfId="1217" xr:uid="{00000000-0005-0000-0000-000013070000}"/>
    <cellStyle name="Normal 2 34 2" xfId="2091" xr:uid="{00000000-0005-0000-0000-000014070000}"/>
    <cellStyle name="Normal 2 35" xfId="1218" xr:uid="{00000000-0005-0000-0000-000015070000}"/>
    <cellStyle name="Normal 2 35 2" xfId="2104" xr:uid="{00000000-0005-0000-0000-000016070000}"/>
    <cellStyle name="Normal 2 36" xfId="1219" xr:uid="{00000000-0005-0000-0000-000017070000}"/>
    <cellStyle name="Normal 2 37" xfId="1892" xr:uid="{00000000-0005-0000-0000-000018070000}"/>
    <cellStyle name="Normal 2 37 2" xfId="2363" xr:uid="{00000000-0005-0000-0000-000019070000}"/>
    <cellStyle name="Normal 2 38" xfId="2110" xr:uid="{00000000-0005-0000-0000-00001A070000}"/>
    <cellStyle name="Normal 2 4" xfId="167" xr:uid="{00000000-0005-0000-0000-00001B070000}"/>
    <cellStyle name="Normal 2 4 2" xfId="1220" xr:uid="{00000000-0005-0000-0000-00001C070000}"/>
    <cellStyle name="Normal 2 4 2 2" xfId="2118" xr:uid="{00000000-0005-0000-0000-00001D070000}"/>
    <cellStyle name="Normal 2 4 3" xfId="1221" xr:uid="{00000000-0005-0000-0000-00001E070000}"/>
    <cellStyle name="Normal 2 4 4" xfId="1222" xr:uid="{00000000-0005-0000-0000-00001F070000}"/>
    <cellStyle name="Normal 2 5" xfId="168" xr:uid="{00000000-0005-0000-0000-000020070000}"/>
    <cellStyle name="Normal 2 5 2" xfId="1802" xr:uid="{00000000-0005-0000-0000-000021070000}"/>
    <cellStyle name="Normal 2 6" xfId="1223" xr:uid="{00000000-0005-0000-0000-000022070000}"/>
    <cellStyle name="Normal 2 6 2" xfId="1907" xr:uid="{00000000-0005-0000-0000-000023070000}"/>
    <cellStyle name="Normal 2 7" xfId="1224" xr:uid="{00000000-0005-0000-0000-000024070000}"/>
    <cellStyle name="Normal 2 7 2" xfId="1838" xr:uid="{00000000-0005-0000-0000-000025070000}"/>
    <cellStyle name="Normal 2 8" xfId="1225" xr:uid="{00000000-0005-0000-0000-000026070000}"/>
    <cellStyle name="Normal 2 8 2" xfId="1909" xr:uid="{00000000-0005-0000-0000-000027070000}"/>
    <cellStyle name="Normal 2 9" xfId="1226" xr:uid="{00000000-0005-0000-0000-000028070000}"/>
    <cellStyle name="Normal 2 9 10" xfId="1227" xr:uid="{00000000-0005-0000-0000-000029070000}"/>
    <cellStyle name="Normal 2 9 11" xfId="1228" xr:uid="{00000000-0005-0000-0000-00002A070000}"/>
    <cellStyle name="Normal 2 9 12" xfId="1229" xr:uid="{00000000-0005-0000-0000-00002B070000}"/>
    <cellStyle name="Normal 2 9 13" xfId="1230" xr:uid="{00000000-0005-0000-0000-00002C070000}"/>
    <cellStyle name="Normal 2 9 14" xfId="1231" xr:uid="{00000000-0005-0000-0000-00002D070000}"/>
    <cellStyle name="Normal 2 9 15" xfId="1232" xr:uid="{00000000-0005-0000-0000-00002E070000}"/>
    <cellStyle name="Normal 2 9 16" xfId="1233" xr:uid="{00000000-0005-0000-0000-00002F070000}"/>
    <cellStyle name="Normal 2 9 17" xfId="1234" xr:uid="{00000000-0005-0000-0000-000030070000}"/>
    <cellStyle name="Normal 2 9 18" xfId="1235" xr:uid="{00000000-0005-0000-0000-000031070000}"/>
    <cellStyle name="Normal 2 9 19" xfId="1236" xr:uid="{00000000-0005-0000-0000-000032070000}"/>
    <cellStyle name="Normal 2 9 2" xfId="1237" xr:uid="{00000000-0005-0000-0000-000033070000}"/>
    <cellStyle name="Normal 2 9 20" xfId="1238" xr:uid="{00000000-0005-0000-0000-000034070000}"/>
    <cellStyle name="Normal 2 9 21" xfId="1239" xr:uid="{00000000-0005-0000-0000-000035070000}"/>
    <cellStyle name="Normal 2 9 22" xfId="1240" xr:uid="{00000000-0005-0000-0000-000036070000}"/>
    <cellStyle name="Normal 2 9 23" xfId="1241" xr:uid="{00000000-0005-0000-0000-000037070000}"/>
    <cellStyle name="Normal 2 9 24" xfId="1242" xr:uid="{00000000-0005-0000-0000-000038070000}"/>
    <cellStyle name="Normal 2 9 25" xfId="1243" xr:uid="{00000000-0005-0000-0000-000039070000}"/>
    <cellStyle name="Normal 2 9 26" xfId="1244" xr:uid="{00000000-0005-0000-0000-00003A070000}"/>
    <cellStyle name="Normal 2 9 27" xfId="1913" xr:uid="{00000000-0005-0000-0000-00003B070000}"/>
    <cellStyle name="Normal 2 9 3" xfId="1245" xr:uid="{00000000-0005-0000-0000-00003C070000}"/>
    <cellStyle name="Normal 2 9 4" xfId="1246" xr:uid="{00000000-0005-0000-0000-00003D070000}"/>
    <cellStyle name="Normal 2 9 5" xfId="1247" xr:uid="{00000000-0005-0000-0000-00003E070000}"/>
    <cellStyle name="Normal 2 9 6" xfId="1248" xr:uid="{00000000-0005-0000-0000-00003F070000}"/>
    <cellStyle name="Normal 2 9 7" xfId="1249" xr:uid="{00000000-0005-0000-0000-000040070000}"/>
    <cellStyle name="Normal 2 9 8" xfId="1250" xr:uid="{00000000-0005-0000-0000-000041070000}"/>
    <cellStyle name="Normal 2 9 9" xfId="1251" xr:uid="{00000000-0005-0000-0000-000042070000}"/>
    <cellStyle name="Normal 2_1255-02" xfId="259" xr:uid="{00000000-0005-0000-0000-000043070000}"/>
    <cellStyle name="Normal 20" xfId="15" xr:uid="{00000000-0005-0000-0000-000044070000}"/>
    <cellStyle name="Normal 20 2" xfId="1252" xr:uid="{00000000-0005-0000-0000-000045070000}"/>
    <cellStyle name="Normal 20 3" xfId="1954" xr:uid="{00000000-0005-0000-0000-000046070000}"/>
    <cellStyle name="Normal 21" xfId="16" xr:uid="{00000000-0005-0000-0000-000047070000}"/>
    <cellStyle name="Normal 21 2" xfId="1253" xr:uid="{00000000-0005-0000-0000-000048070000}"/>
    <cellStyle name="Normal 22" xfId="17" xr:uid="{00000000-0005-0000-0000-000049070000}"/>
    <cellStyle name="Normal 22 2" xfId="1254" xr:uid="{00000000-0005-0000-0000-00004A070000}"/>
    <cellStyle name="Normal 23" xfId="18" xr:uid="{00000000-0005-0000-0000-00004B070000}"/>
    <cellStyle name="Normal 23 2" xfId="1255" xr:uid="{00000000-0005-0000-0000-00004C070000}"/>
    <cellStyle name="Normal 23 3" xfId="1969" xr:uid="{00000000-0005-0000-0000-00004D070000}"/>
    <cellStyle name="Normal 24" xfId="19" xr:uid="{00000000-0005-0000-0000-00004E070000}"/>
    <cellStyle name="Normal 24 2" xfId="1256" xr:uid="{00000000-0005-0000-0000-00004F070000}"/>
    <cellStyle name="Normal 25" xfId="20" xr:uid="{00000000-0005-0000-0000-000050070000}"/>
    <cellStyle name="Normal 25 2" xfId="1257" xr:uid="{00000000-0005-0000-0000-000051070000}"/>
    <cellStyle name="Normal 25 3" xfId="1978" xr:uid="{00000000-0005-0000-0000-000052070000}"/>
    <cellStyle name="Normal 26" xfId="21" xr:uid="{00000000-0005-0000-0000-000053070000}"/>
    <cellStyle name="Normal 26 2" xfId="1258" xr:uid="{00000000-0005-0000-0000-000054070000}"/>
    <cellStyle name="Normal 26 3" xfId="1259" xr:uid="{00000000-0005-0000-0000-000055070000}"/>
    <cellStyle name="Normal 26 4" xfId="2130" xr:uid="{00000000-0005-0000-0000-000056070000}"/>
    <cellStyle name="Normal 27" xfId="203" xr:uid="{00000000-0005-0000-0000-000057070000}"/>
    <cellStyle name="Normal 27 2" xfId="1260" xr:uid="{00000000-0005-0000-0000-000058070000}"/>
    <cellStyle name="Normal 27 3" xfId="1784" xr:uid="{00000000-0005-0000-0000-000059070000}"/>
    <cellStyle name="Normal 28" xfId="2" xr:uid="{00000000-0005-0000-0000-00005A070000}"/>
    <cellStyle name="Normal 28 2" xfId="1261" xr:uid="{00000000-0005-0000-0000-00005B070000}"/>
    <cellStyle name="Normal 28 3" xfId="1992" xr:uid="{00000000-0005-0000-0000-00005C070000}"/>
    <cellStyle name="Normal 29" xfId="22" xr:uid="{00000000-0005-0000-0000-00005D070000}"/>
    <cellStyle name="Normal 29 2" xfId="1262" xr:uid="{00000000-0005-0000-0000-00005E070000}"/>
    <cellStyle name="Normal 29 3" xfId="1263" xr:uid="{00000000-0005-0000-0000-00005F070000}"/>
    <cellStyle name="Normal 29 4" xfId="1994" xr:uid="{00000000-0005-0000-0000-000060070000}"/>
    <cellStyle name="Normal 3" xfId="23" xr:uid="{00000000-0005-0000-0000-000061070000}"/>
    <cellStyle name="Normal 3 10" xfId="1264" xr:uid="{00000000-0005-0000-0000-000062070000}"/>
    <cellStyle name="Normal 3 11" xfId="1265" xr:uid="{00000000-0005-0000-0000-000063070000}"/>
    <cellStyle name="Normal 3 12" xfId="1266" xr:uid="{00000000-0005-0000-0000-000064070000}"/>
    <cellStyle name="Normal 3 13" xfId="1267" xr:uid="{00000000-0005-0000-0000-000065070000}"/>
    <cellStyle name="Normal 3 14" xfId="1268" xr:uid="{00000000-0005-0000-0000-000066070000}"/>
    <cellStyle name="Normal 3 15" xfId="1269" xr:uid="{00000000-0005-0000-0000-000067070000}"/>
    <cellStyle name="Normal 3 16" xfId="1270" xr:uid="{00000000-0005-0000-0000-000068070000}"/>
    <cellStyle name="Normal 3 17" xfId="1271" xr:uid="{00000000-0005-0000-0000-000069070000}"/>
    <cellStyle name="Normal 3 18" xfId="1272" xr:uid="{00000000-0005-0000-0000-00006A070000}"/>
    <cellStyle name="Normal 3 19" xfId="1273" xr:uid="{00000000-0005-0000-0000-00006B070000}"/>
    <cellStyle name="Normal 3 2" xfId="234" xr:uid="{00000000-0005-0000-0000-00006C070000}"/>
    <cellStyle name="Normal 3 2 10" xfId="1274" xr:uid="{00000000-0005-0000-0000-00006D070000}"/>
    <cellStyle name="Normal 3 2 11" xfId="1275" xr:uid="{00000000-0005-0000-0000-00006E070000}"/>
    <cellStyle name="Normal 3 2 12" xfId="1276" xr:uid="{00000000-0005-0000-0000-00006F070000}"/>
    <cellStyle name="Normal 3 2 13" xfId="1277" xr:uid="{00000000-0005-0000-0000-000070070000}"/>
    <cellStyle name="Normal 3 2 14" xfId="1278" xr:uid="{00000000-0005-0000-0000-000071070000}"/>
    <cellStyle name="Normal 3 2 15" xfId="1279" xr:uid="{00000000-0005-0000-0000-000072070000}"/>
    <cellStyle name="Normal 3 2 16" xfId="1280" xr:uid="{00000000-0005-0000-0000-000073070000}"/>
    <cellStyle name="Normal 3 2 17" xfId="1281" xr:uid="{00000000-0005-0000-0000-000074070000}"/>
    <cellStyle name="Normal 3 2 18" xfId="1282" xr:uid="{00000000-0005-0000-0000-000075070000}"/>
    <cellStyle name="Normal 3 2 19" xfId="1283" xr:uid="{00000000-0005-0000-0000-000076070000}"/>
    <cellStyle name="Normal 3 2 2" xfId="1284" xr:uid="{00000000-0005-0000-0000-000077070000}"/>
    <cellStyle name="Normal 3 2 2 10" xfId="1285" xr:uid="{00000000-0005-0000-0000-000078070000}"/>
    <cellStyle name="Normal 3 2 2 11" xfId="1286" xr:uid="{00000000-0005-0000-0000-000079070000}"/>
    <cellStyle name="Normal 3 2 2 12" xfId="1287" xr:uid="{00000000-0005-0000-0000-00007A070000}"/>
    <cellStyle name="Normal 3 2 2 13" xfId="1288" xr:uid="{00000000-0005-0000-0000-00007B070000}"/>
    <cellStyle name="Normal 3 2 2 14" xfId="1289" xr:uid="{00000000-0005-0000-0000-00007C070000}"/>
    <cellStyle name="Normal 3 2 2 15" xfId="1290" xr:uid="{00000000-0005-0000-0000-00007D070000}"/>
    <cellStyle name="Normal 3 2 2 16" xfId="1291" xr:uid="{00000000-0005-0000-0000-00007E070000}"/>
    <cellStyle name="Normal 3 2 2 17" xfId="1292" xr:uid="{00000000-0005-0000-0000-00007F070000}"/>
    <cellStyle name="Normal 3 2 2 18" xfId="1293" xr:uid="{00000000-0005-0000-0000-000080070000}"/>
    <cellStyle name="Normal 3 2 2 19" xfId="1294" xr:uid="{00000000-0005-0000-0000-000081070000}"/>
    <cellStyle name="Normal 3 2 2 2" xfId="1295" xr:uid="{00000000-0005-0000-0000-000082070000}"/>
    <cellStyle name="Normal 3 2 2 20" xfId="1296" xr:uid="{00000000-0005-0000-0000-000083070000}"/>
    <cellStyle name="Normal 3 2 2 21" xfId="1297" xr:uid="{00000000-0005-0000-0000-000084070000}"/>
    <cellStyle name="Normal 3 2 2 22" xfId="1298" xr:uid="{00000000-0005-0000-0000-000085070000}"/>
    <cellStyle name="Normal 3 2 2 23" xfId="1299" xr:uid="{00000000-0005-0000-0000-000086070000}"/>
    <cellStyle name="Normal 3 2 2 24" xfId="1300" xr:uid="{00000000-0005-0000-0000-000087070000}"/>
    <cellStyle name="Normal 3 2 2 25" xfId="1301" xr:uid="{00000000-0005-0000-0000-000088070000}"/>
    <cellStyle name="Normal 3 2 2 26" xfId="1302" xr:uid="{00000000-0005-0000-0000-000089070000}"/>
    <cellStyle name="Normal 3 2 2 27" xfId="1303" xr:uid="{00000000-0005-0000-0000-00008A070000}"/>
    <cellStyle name="Normal 3 2 2 28" xfId="2015" xr:uid="{00000000-0005-0000-0000-00008B070000}"/>
    <cellStyle name="Normal 3 2 2 28 2" xfId="2418" xr:uid="{00000000-0005-0000-0000-00008C070000}"/>
    <cellStyle name="Normal 3 2 2 3" xfId="1304" xr:uid="{00000000-0005-0000-0000-00008D070000}"/>
    <cellStyle name="Normal 3 2 2 4" xfId="1305" xr:uid="{00000000-0005-0000-0000-00008E070000}"/>
    <cellStyle name="Normal 3 2 2 5" xfId="1306" xr:uid="{00000000-0005-0000-0000-00008F070000}"/>
    <cellStyle name="Normal 3 2 2 6" xfId="1307" xr:uid="{00000000-0005-0000-0000-000090070000}"/>
    <cellStyle name="Normal 3 2 2 7" xfId="1308" xr:uid="{00000000-0005-0000-0000-000091070000}"/>
    <cellStyle name="Normal 3 2 2 8" xfId="1309" xr:uid="{00000000-0005-0000-0000-000092070000}"/>
    <cellStyle name="Normal 3 2 2 9" xfId="1310" xr:uid="{00000000-0005-0000-0000-000093070000}"/>
    <cellStyle name="Normal 3 2 20" xfId="1311" xr:uid="{00000000-0005-0000-0000-000094070000}"/>
    <cellStyle name="Normal 3 2 21" xfId="1312" xr:uid="{00000000-0005-0000-0000-000095070000}"/>
    <cellStyle name="Normal 3 2 22" xfId="1313" xr:uid="{00000000-0005-0000-0000-000096070000}"/>
    <cellStyle name="Normal 3 2 23" xfId="1314" xr:uid="{00000000-0005-0000-0000-000097070000}"/>
    <cellStyle name="Normal 3 2 24" xfId="1315" xr:uid="{00000000-0005-0000-0000-000098070000}"/>
    <cellStyle name="Normal 3 2 25" xfId="1316" xr:uid="{00000000-0005-0000-0000-000099070000}"/>
    <cellStyle name="Normal 3 2 26" xfId="1317" xr:uid="{00000000-0005-0000-0000-00009A070000}"/>
    <cellStyle name="Normal 3 2 27" xfId="1318" xr:uid="{00000000-0005-0000-0000-00009B070000}"/>
    <cellStyle name="Normal 3 2 28" xfId="1319" xr:uid="{00000000-0005-0000-0000-00009C070000}"/>
    <cellStyle name="Normal 3 2 29" xfId="1320" xr:uid="{00000000-0005-0000-0000-00009D070000}"/>
    <cellStyle name="Normal 3 2 3" xfId="1321" xr:uid="{00000000-0005-0000-0000-00009E070000}"/>
    <cellStyle name="Normal 3 2 3 2" xfId="1817" xr:uid="{00000000-0005-0000-0000-00009F070000}"/>
    <cellStyle name="Normal 3 2 3 2 2" xfId="2332" xr:uid="{00000000-0005-0000-0000-0000A0070000}"/>
    <cellStyle name="Normal 3 2 30" xfId="1322" xr:uid="{00000000-0005-0000-0000-0000A1070000}"/>
    <cellStyle name="Normal 3 2 31" xfId="1323" xr:uid="{00000000-0005-0000-0000-0000A2070000}"/>
    <cellStyle name="Normal 3 2 32" xfId="1324" xr:uid="{00000000-0005-0000-0000-0000A3070000}"/>
    <cellStyle name="Normal 3 2 33" xfId="1325" xr:uid="{00000000-0005-0000-0000-0000A4070000}"/>
    <cellStyle name="Normal 3 2 33 2" xfId="2245" xr:uid="{00000000-0005-0000-0000-0000A5070000}"/>
    <cellStyle name="Normal 3 2 34" xfId="1326" xr:uid="{00000000-0005-0000-0000-0000A6070000}"/>
    <cellStyle name="Normal 3 2 4" xfId="1327" xr:uid="{00000000-0005-0000-0000-0000A7070000}"/>
    <cellStyle name="Normal 3 2 4 2" xfId="2037" xr:uid="{00000000-0005-0000-0000-0000A8070000}"/>
    <cellStyle name="Normal 3 2 4 2 2" xfId="2425" xr:uid="{00000000-0005-0000-0000-0000A9070000}"/>
    <cellStyle name="Normal 3 2 5" xfId="1328" xr:uid="{00000000-0005-0000-0000-0000AA070000}"/>
    <cellStyle name="Normal 3 2 5 2" xfId="2154" xr:uid="{00000000-0005-0000-0000-0000AB070000}"/>
    <cellStyle name="Normal 3 2 5 2 2" xfId="2473" xr:uid="{00000000-0005-0000-0000-0000AC070000}"/>
    <cellStyle name="Normal 3 2 6" xfId="1329" xr:uid="{00000000-0005-0000-0000-0000AD070000}"/>
    <cellStyle name="Normal 3 2 6 2" xfId="2033" xr:uid="{00000000-0005-0000-0000-0000AE070000}"/>
    <cellStyle name="Normal 3 2 6 2 2" xfId="2424" xr:uid="{00000000-0005-0000-0000-0000AF070000}"/>
    <cellStyle name="Normal 3 2 7" xfId="1330" xr:uid="{00000000-0005-0000-0000-0000B0070000}"/>
    <cellStyle name="Normal 3 2 7 2" xfId="2040" xr:uid="{00000000-0005-0000-0000-0000B1070000}"/>
    <cellStyle name="Normal 3 2 7 2 2" xfId="2426" xr:uid="{00000000-0005-0000-0000-0000B2070000}"/>
    <cellStyle name="Normal 3 2 8" xfId="1331" xr:uid="{00000000-0005-0000-0000-0000B3070000}"/>
    <cellStyle name="Normal 3 2 9" xfId="1332" xr:uid="{00000000-0005-0000-0000-0000B4070000}"/>
    <cellStyle name="Normal 3 20" xfId="1333" xr:uid="{00000000-0005-0000-0000-0000B5070000}"/>
    <cellStyle name="Normal 3 21" xfId="1334" xr:uid="{00000000-0005-0000-0000-0000B6070000}"/>
    <cellStyle name="Normal 3 22" xfId="1335" xr:uid="{00000000-0005-0000-0000-0000B7070000}"/>
    <cellStyle name="Normal 3 23" xfId="1336" xr:uid="{00000000-0005-0000-0000-0000B8070000}"/>
    <cellStyle name="Normal 3 24" xfId="1337" xr:uid="{00000000-0005-0000-0000-0000B9070000}"/>
    <cellStyle name="Normal 3 25" xfId="1338" xr:uid="{00000000-0005-0000-0000-0000BA070000}"/>
    <cellStyle name="Normal 3 26" xfId="1339" xr:uid="{00000000-0005-0000-0000-0000BB070000}"/>
    <cellStyle name="Normal 3 27" xfId="1340" xr:uid="{00000000-0005-0000-0000-0000BC070000}"/>
    <cellStyle name="Normal 3 28" xfId="235" xr:uid="{00000000-0005-0000-0000-0000BD070000}"/>
    <cellStyle name="Normal 3 28 2" xfId="1341" xr:uid="{00000000-0005-0000-0000-0000BE070000}"/>
    <cellStyle name="Normal 3 28 2 2" xfId="2246" xr:uid="{00000000-0005-0000-0000-0000BF070000}"/>
    <cellStyle name="Normal 3 28 3" xfId="2215" xr:uid="{00000000-0005-0000-0000-0000C0070000}"/>
    <cellStyle name="Normal 3 29" xfId="1342" xr:uid="{00000000-0005-0000-0000-0000C1070000}"/>
    <cellStyle name="Normal 3 29 2" xfId="2247" xr:uid="{00000000-0005-0000-0000-0000C2070000}"/>
    <cellStyle name="Normal 3 3" xfId="1343" xr:uid="{00000000-0005-0000-0000-0000C3070000}"/>
    <cellStyle name="Normal 3 3 10" xfId="1344" xr:uid="{00000000-0005-0000-0000-0000C4070000}"/>
    <cellStyle name="Normal 3 3 11" xfId="1345" xr:uid="{00000000-0005-0000-0000-0000C5070000}"/>
    <cellStyle name="Normal 3 3 12" xfId="1346" xr:uid="{00000000-0005-0000-0000-0000C6070000}"/>
    <cellStyle name="Normal 3 3 13" xfId="1347" xr:uid="{00000000-0005-0000-0000-0000C7070000}"/>
    <cellStyle name="Normal 3 3 14" xfId="1348" xr:uid="{00000000-0005-0000-0000-0000C8070000}"/>
    <cellStyle name="Normal 3 3 15" xfId="1349" xr:uid="{00000000-0005-0000-0000-0000C9070000}"/>
    <cellStyle name="Normal 3 3 16" xfId="1350" xr:uid="{00000000-0005-0000-0000-0000CA070000}"/>
    <cellStyle name="Normal 3 3 17" xfId="1351" xr:uid="{00000000-0005-0000-0000-0000CB070000}"/>
    <cellStyle name="Normal 3 3 18" xfId="1352" xr:uid="{00000000-0005-0000-0000-0000CC070000}"/>
    <cellStyle name="Normal 3 3 19" xfId="1353" xr:uid="{00000000-0005-0000-0000-0000CD070000}"/>
    <cellStyle name="Normal 3 3 2" xfId="1354" xr:uid="{00000000-0005-0000-0000-0000CE070000}"/>
    <cellStyle name="Normal 3 3 20" xfId="1355" xr:uid="{00000000-0005-0000-0000-0000CF070000}"/>
    <cellStyle name="Normal 3 3 21" xfId="1356" xr:uid="{00000000-0005-0000-0000-0000D0070000}"/>
    <cellStyle name="Normal 3 3 22" xfId="1357" xr:uid="{00000000-0005-0000-0000-0000D1070000}"/>
    <cellStyle name="Normal 3 3 23" xfId="1358" xr:uid="{00000000-0005-0000-0000-0000D2070000}"/>
    <cellStyle name="Normal 3 3 24" xfId="1359" xr:uid="{00000000-0005-0000-0000-0000D3070000}"/>
    <cellStyle name="Normal 3 3 25" xfId="1360" xr:uid="{00000000-0005-0000-0000-0000D4070000}"/>
    <cellStyle name="Normal 3 3 26" xfId="1361" xr:uid="{00000000-0005-0000-0000-0000D5070000}"/>
    <cellStyle name="Normal 3 3 27" xfId="1362" xr:uid="{00000000-0005-0000-0000-0000D6070000}"/>
    <cellStyle name="Normal 3 3 27 2" xfId="2248" xr:uid="{00000000-0005-0000-0000-0000D7070000}"/>
    <cellStyle name="Normal 3 3 3" xfId="1363" xr:uid="{00000000-0005-0000-0000-0000D8070000}"/>
    <cellStyle name="Normal 3 3 4" xfId="1364" xr:uid="{00000000-0005-0000-0000-0000D9070000}"/>
    <cellStyle name="Normal 3 3 5" xfId="1365" xr:uid="{00000000-0005-0000-0000-0000DA070000}"/>
    <cellStyle name="Normal 3 3 6" xfId="1366" xr:uid="{00000000-0005-0000-0000-0000DB070000}"/>
    <cellStyle name="Normal 3 3 7" xfId="1367" xr:uid="{00000000-0005-0000-0000-0000DC070000}"/>
    <cellStyle name="Normal 3 3 8" xfId="1368" xr:uid="{00000000-0005-0000-0000-0000DD070000}"/>
    <cellStyle name="Normal 3 3 9" xfId="1369" xr:uid="{00000000-0005-0000-0000-0000DE070000}"/>
    <cellStyle name="Normal 3 30" xfId="1370" xr:uid="{00000000-0005-0000-0000-0000DF070000}"/>
    <cellStyle name="Normal 3 30 2" xfId="2249" xr:uid="{00000000-0005-0000-0000-0000E0070000}"/>
    <cellStyle name="Normal 3 31" xfId="1371" xr:uid="{00000000-0005-0000-0000-0000E1070000}"/>
    <cellStyle name="Normal 3 31 2" xfId="2250" xr:uid="{00000000-0005-0000-0000-0000E2070000}"/>
    <cellStyle name="Normal 3 32" xfId="1372" xr:uid="{00000000-0005-0000-0000-0000E3070000}"/>
    <cellStyle name="Normal 3 32 2" xfId="2251" xr:uid="{00000000-0005-0000-0000-0000E4070000}"/>
    <cellStyle name="Normal 3 33" xfId="1373" xr:uid="{00000000-0005-0000-0000-0000E5070000}"/>
    <cellStyle name="Normal 3 4" xfId="1374" xr:uid="{00000000-0005-0000-0000-0000E6070000}"/>
    <cellStyle name="Normal 3 4 2" xfId="1375" xr:uid="{00000000-0005-0000-0000-0000E7070000}"/>
    <cellStyle name="Normal 3 5" xfId="1376" xr:uid="{00000000-0005-0000-0000-0000E8070000}"/>
    <cellStyle name="Normal 3 5 2" xfId="1377" xr:uid="{00000000-0005-0000-0000-0000E9070000}"/>
    <cellStyle name="Normal 3 5 2 2" xfId="2252" xr:uid="{00000000-0005-0000-0000-0000EA070000}"/>
    <cellStyle name="Normal 3 6" xfId="1378" xr:uid="{00000000-0005-0000-0000-0000EB070000}"/>
    <cellStyle name="Normal 3 7" xfId="1379" xr:uid="{00000000-0005-0000-0000-0000EC070000}"/>
    <cellStyle name="Normal 3 8" xfId="1380" xr:uid="{00000000-0005-0000-0000-0000ED070000}"/>
    <cellStyle name="Normal 3 9" xfId="1381" xr:uid="{00000000-0005-0000-0000-0000EE070000}"/>
    <cellStyle name="Normal 3_3.1 CFC Takeoff" xfId="1382" xr:uid="{00000000-0005-0000-0000-0000EF070000}"/>
    <cellStyle name="Normal 30" xfId="24" xr:uid="{00000000-0005-0000-0000-0000F0070000}"/>
    <cellStyle name="Normal 30 2" xfId="1383" xr:uid="{00000000-0005-0000-0000-0000F1070000}"/>
    <cellStyle name="Normal 30 2 2" xfId="1384" xr:uid="{00000000-0005-0000-0000-0000F2070000}"/>
    <cellStyle name="Normal 30 3" xfId="1385" xr:uid="{00000000-0005-0000-0000-0000F3070000}"/>
    <cellStyle name="Normal 30 4" xfId="1999" xr:uid="{00000000-0005-0000-0000-0000F4070000}"/>
    <cellStyle name="Normal 31" xfId="25" xr:uid="{00000000-0005-0000-0000-0000F5070000}"/>
    <cellStyle name="Normal 31 2" xfId="1386" xr:uid="{00000000-0005-0000-0000-0000F6070000}"/>
    <cellStyle name="Normal 31 3" xfId="1821" xr:uid="{00000000-0005-0000-0000-0000F7070000}"/>
    <cellStyle name="Normal 32" xfId="26" xr:uid="{00000000-0005-0000-0000-0000F8070000}"/>
    <cellStyle name="Normal 32 2" xfId="1387" xr:uid="{00000000-0005-0000-0000-0000F9070000}"/>
    <cellStyle name="Normal 32 2 2" xfId="2253" xr:uid="{00000000-0005-0000-0000-0000FA070000}"/>
    <cellStyle name="Normal 32 3" xfId="1388" xr:uid="{00000000-0005-0000-0000-0000FB070000}"/>
    <cellStyle name="Normal 32 3 2" xfId="2254" xr:uid="{00000000-0005-0000-0000-0000FC070000}"/>
    <cellStyle name="Normal 32 4" xfId="1389" xr:uid="{00000000-0005-0000-0000-0000FD070000}"/>
    <cellStyle name="Normal 32 5" xfId="2010" xr:uid="{00000000-0005-0000-0000-0000FE070000}"/>
    <cellStyle name="Normal 33" xfId="27" xr:uid="{00000000-0005-0000-0000-0000FF070000}"/>
    <cellStyle name="Normal 33 2" xfId="1390" xr:uid="{00000000-0005-0000-0000-000000080000}"/>
    <cellStyle name="Normal 33 3" xfId="1391" xr:uid="{00000000-0005-0000-0000-000001080000}"/>
    <cellStyle name="Normal 34" xfId="28" xr:uid="{00000000-0005-0000-0000-000002080000}"/>
    <cellStyle name="Normal 34 2" xfId="1392" xr:uid="{00000000-0005-0000-0000-000003080000}"/>
    <cellStyle name="Normal 34 3" xfId="1393" xr:uid="{00000000-0005-0000-0000-000004080000}"/>
    <cellStyle name="Normal 35" xfId="29" xr:uid="{00000000-0005-0000-0000-000005080000}"/>
    <cellStyle name="Normal 35 2" xfId="1394" xr:uid="{00000000-0005-0000-0000-000006080000}"/>
    <cellStyle name="Normal 35 3" xfId="1395" xr:uid="{00000000-0005-0000-0000-000007080000}"/>
    <cellStyle name="Normal 36" xfId="30" xr:uid="{00000000-0005-0000-0000-000008080000}"/>
    <cellStyle name="Normal 36 2" xfId="1396" xr:uid="{00000000-0005-0000-0000-000009080000}"/>
    <cellStyle name="Normal 36 2 2" xfId="1397" xr:uid="{00000000-0005-0000-0000-00000A080000}"/>
    <cellStyle name="Normal 36 2 2 2" xfId="2255" xr:uid="{00000000-0005-0000-0000-00000B080000}"/>
    <cellStyle name="Normal 36 3" xfId="1398" xr:uid="{00000000-0005-0000-0000-00000C080000}"/>
    <cellStyle name="Normal 37" xfId="31" xr:uid="{00000000-0005-0000-0000-00000D080000}"/>
    <cellStyle name="Normal 37 2" xfId="1399" xr:uid="{00000000-0005-0000-0000-00000E080000}"/>
    <cellStyle name="Normal 37 3" xfId="1400" xr:uid="{00000000-0005-0000-0000-00000F080000}"/>
    <cellStyle name="Normal 38" xfId="32" xr:uid="{00000000-0005-0000-0000-000010080000}"/>
    <cellStyle name="Normal 38 2" xfId="1401" xr:uid="{00000000-0005-0000-0000-000011080000}"/>
    <cellStyle name="Normal 38 2 2" xfId="1402" xr:uid="{00000000-0005-0000-0000-000012080000}"/>
    <cellStyle name="Normal 38 3" xfId="1403" xr:uid="{00000000-0005-0000-0000-000013080000}"/>
    <cellStyle name="Normal 39" xfId="33" xr:uid="{00000000-0005-0000-0000-000014080000}"/>
    <cellStyle name="Normal 39 2" xfId="1404" xr:uid="{00000000-0005-0000-0000-000015080000}"/>
    <cellStyle name="Normal 39 3" xfId="1405" xr:uid="{00000000-0005-0000-0000-000016080000}"/>
    <cellStyle name="Normal 4" xfId="34" xr:uid="{00000000-0005-0000-0000-000017080000}"/>
    <cellStyle name="Normal 4 10" xfId="1406" xr:uid="{00000000-0005-0000-0000-000018080000}"/>
    <cellStyle name="Normal 4 11" xfId="1407" xr:uid="{00000000-0005-0000-0000-000019080000}"/>
    <cellStyle name="Normal 4 12" xfId="1408" xr:uid="{00000000-0005-0000-0000-00001A080000}"/>
    <cellStyle name="Normal 4 13" xfId="1409" xr:uid="{00000000-0005-0000-0000-00001B080000}"/>
    <cellStyle name="Normal 4 14" xfId="1410" xr:uid="{00000000-0005-0000-0000-00001C080000}"/>
    <cellStyle name="Normal 4 15" xfId="1411" xr:uid="{00000000-0005-0000-0000-00001D080000}"/>
    <cellStyle name="Normal 4 16" xfId="1412" xr:uid="{00000000-0005-0000-0000-00001E080000}"/>
    <cellStyle name="Normal 4 17" xfId="1413" xr:uid="{00000000-0005-0000-0000-00001F080000}"/>
    <cellStyle name="Normal 4 18" xfId="1414" xr:uid="{00000000-0005-0000-0000-000020080000}"/>
    <cellStyle name="Normal 4 19" xfId="1415" xr:uid="{00000000-0005-0000-0000-000021080000}"/>
    <cellStyle name="Normal 4 2" xfId="35" xr:uid="{00000000-0005-0000-0000-000022080000}"/>
    <cellStyle name="Normal 4 2 2" xfId="1416" xr:uid="{00000000-0005-0000-0000-000023080000}"/>
    <cellStyle name="Normal 4 2 3" xfId="1417" xr:uid="{00000000-0005-0000-0000-000024080000}"/>
    <cellStyle name="Normal 4 2 4" xfId="1418" xr:uid="{00000000-0005-0000-0000-000025080000}"/>
    <cellStyle name="Normal 4 2 5" xfId="1419" xr:uid="{00000000-0005-0000-0000-000026080000}"/>
    <cellStyle name="Normal 4 2 6" xfId="1420" xr:uid="{00000000-0005-0000-0000-000027080000}"/>
    <cellStyle name="Normal 4 2 7" xfId="1421" xr:uid="{00000000-0005-0000-0000-000028080000}"/>
    <cellStyle name="Normal 4 2 8" xfId="1422" xr:uid="{00000000-0005-0000-0000-000029080000}"/>
    <cellStyle name="Normal 4 2 8 2" xfId="1423" xr:uid="{00000000-0005-0000-0000-00002A080000}"/>
    <cellStyle name="Normal 4 20" xfId="1424" xr:uid="{00000000-0005-0000-0000-00002B080000}"/>
    <cellStyle name="Normal 4 21" xfId="1425" xr:uid="{00000000-0005-0000-0000-00002C080000}"/>
    <cellStyle name="Normal 4 22" xfId="1426" xr:uid="{00000000-0005-0000-0000-00002D080000}"/>
    <cellStyle name="Normal 4 23" xfId="1427" xr:uid="{00000000-0005-0000-0000-00002E080000}"/>
    <cellStyle name="Normal 4 24" xfId="1428" xr:uid="{00000000-0005-0000-0000-00002F080000}"/>
    <cellStyle name="Normal 4 3" xfId="1429" xr:uid="{00000000-0005-0000-0000-000030080000}"/>
    <cellStyle name="Normal 4 3 2" xfId="1430" xr:uid="{00000000-0005-0000-0000-000031080000}"/>
    <cellStyle name="Normal 4 3 2 2" xfId="1800" xr:uid="{00000000-0005-0000-0000-000032080000}"/>
    <cellStyle name="Normal 4 3 3" xfId="1875" xr:uid="{00000000-0005-0000-0000-000033080000}"/>
    <cellStyle name="Normal 4 4" xfId="1431" xr:uid="{00000000-0005-0000-0000-000034080000}"/>
    <cellStyle name="Normal 4 4 2" xfId="1796" xr:uid="{00000000-0005-0000-0000-000035080000}"/>
    <cellStyle name="Normal 4 4 3" xfId="2256" xr:uid="{00000000-0005-0000-0000-000036080000}"/>
    <cellStyle name="Normal 4 5" xfId="1432" xr:uid="{00000000-0005-0000-0000-000037080000}"/>
    <cellStyle name="Normal 4 5 2" xfId="1873" xr:uid="{00000000-0005-0000-0000-000038080000}"/>
    <cellStyle name="Normal 4 5 3" xfId="2257" xr:uid="{00000000-0005-0000-0000-000039080000}"/>
    <cellStyle name="Normal 4 6" xfId="1433" xr:uid="{00000000-0005-0000-0000-00003A080000}"/>
    <cellStyle name="Normal 4 6 2" xfId="1876" xr:uid="{00000000-0005-0000-0000-00003B080000}"/>
    <cellStyle name="Normal 4 6 3" xfId="2258" xr:uid="{00000000-0005-0000-0000-00003C080000}"/>
    <cellStyle name="Normal 4 7" xfId="1434" xr:uid="{00000000-0005-0000-0000-00003D080000}"/>
    <cellStyle name="Normal 4 7 2" xfId="2259" xr:uid="{00000000-0005-0000-0000-00003E080000}"/>
    <cellStyle name="Normal 4 8" xfId="1435" xr:uid="{00000000-0005-0000-0000-00003F080000}"/>
    <cellStyle name="Normal 4 8 2" xfId="1436" xr:uid="{00000000-0005-0000-0000-000040080000}"/>
    <cellStyle name="Normal 4 9" xfId="1437" xr:uid="{00000000-0005-0000-0000-000041080000}"/>
    <cellStyle name="Normal 4 9 2" xfId="1438" xr:uid="{00000000-0005-0000-0000-000042080000}"/>
    <cellStyle name="Normal 40" xfId="36" xr:uid="{00000000-0005-0000-0000-000043080000}"/>
    <cellStyle name="Normal 40 2" xfId="1439" xr:uid="{00000000-0005-0000-0000-000044080000}"/>
    <cellStyle name="Normal 41" xfId="1440" xr:uid="{00000000-0005-0000-0000-000045080000}"/>
    <cellStyle name="Normal 41 2" xfId="2260" xr:uid="{00000000-0005-0000-0000-000046080000}"/>
    <cellStyle name="Normal 42" xfId="1441" xr:uid="{00000000-0005-0000-0000-000047080000}"/>
    <cellStyle name="Normal 42 2" xfId="2261" xr:uid="{00000000-0005-0000-0000-000048080000}"/>
    <cellStyle name="Normal 43" xfId="37" xr:uid="{00000000-0005-0000-0000-000049080000}"/>
    <cellStyle name="Normal 43 2" xfId="1442" xr:uid="{00000000-0005-0000-0000-00004A080000}"/>
    <cellStyle name="Normal 44" xfId="1443" xr:uid="{00000000-0005-0000-0000-00004B080000}"/>
    <cellStyle name="Normal 45" xfId="1444" xr:uid="{00000000-0005-0000-0000-00004C080000}"/>
    <cellStyle name="Normal 46" xfId="3" xr:uid="{00000000-0005-0000-0000-00004D080000}"/>
    <cellStyle name="Normal 46 2" xfId="2214" xr:uid="{00000000-0005-0000-0000-00004E080000}"/>
    <cellStyle name="Normal 47" xfId="258" xr:uid="{00000000-0005-0000-0000-00004F080000}"/>
    <cellStyle name="Normal 47 2" xfId="2216" xr:uid="{00000000-0005-0000-0000-000050080000}"/>
    <cellStyle name="Normal 48" xfId="1690" xr:uid="{00000000-0005-0000-0000-000051080000}"/>
    <cellStyle name="Normal 48 2" xfId="2274" xr:uid="{00000000-0005-0000-0000-000052080000}"/>
    <cellStyle name="Normal 49" xfId="1754" xr:uid="{00000000-0005-0000-0000-000053080000}"/>
    <cellStyle name="Normal 49 2" xfId="2293" xr:uid="{00000000-0005-0000-0000-000054080000}"/>
    <cellStyle name="Normal 5" xfId="38" xr:uid="{00000000-0005-0000-0000-000055080000}"/>
    <cellStyle name="Normal 5 2" xfId="1445" xr:uid="{00000000-0005-0000-0000-000056080000}"/>
    <cellStyle name="Normal 5 2 2" xfId="1446" xr:uid="{00000000-0005-0000-0000-000057080000}"/>
    <cellStyle name="Normal 5 2 2 2" xfId="2191" xr:uid="{00000000-0005-0000-0000-000058080000}"/>
    <cellStyle name="Normal 5 2 2 3" xfId="2067" xr:uid="{00000000-0005-0000-0000-000059080000}"/>
    <cellStyle name="Normal 5 2 2 4" xfId="2060" xr:uid="{00000000-0005-0000-0000-00005A080000}"/>
    <cellStyle name="Normal 5 2 2 5" xfId="2049" xr:uid="{00000000-0005-0000-0000-00005B080000}"/>
    <cellStyle name="Normal 5 2 2 6" xfId="1773" xr:uid="{00000000-0005-0000-0000-00005C080000}"/>
    <cellStyle name="Normal 5 2 2 7" xfId="2054" xr:uid="{00000000-0005-0000-0000-00005D080000}"/>
    <cellStyle name="Normal 5 2 2 8" xfId="1867" xr:uid="{00000000-0005-0000-0000-00005E080000}"/>
    <cellStyle name="Normal 5 2 2 9" xfId="2262" xr:uid="{00000000-0005-0000-0000-00005F080000}"/>
    <cellStyle name="Normal 5 2 3" xfId="2032" xr:uid="{00000000-0005-0000-0000-000060080000}"/>
    <cellStyle name="Normal 5 2 4" xfId="2046" xr:uid="{00000000-0005-0000-0000-000061080000}"/>
    <cellStyle name="Normal 5 2 5" xfId="1789" xr:uid="{00000000-0005-0000-0000-000062080000}"/>
    <cellStyle name="Normal 5 2 6" xfId="1831" xr:uid="{00000000-0005-0000-0000-000063080000}"/>
    <cellStyle name="Normal 5 2 7" xfId="2064" xr:uid="{00000000-0005-0000-0000-000064080000}"/>
    <cellStyle name="Normal 5 3" xfId="39" xr:uid="{00000000-0005-0000-0000-000065080000}"/>
    <cellStyle name="Normal 5 3 2" xfId="1447" xr:uid="{00000000-0005-0000-0000-000066080000}"/>
    <cellStyle name="Normal 5 3 2 2" xfId="2121" xr:uid="{00000000-0005-0000-0000-000067080000}"/>
    <cellStyle name="Normal 5 4" xfId="1448" xr:uid="{00000000-0005-0000-0000-000068080000}"/>
    <cellStyle name="Normal 5 4 2" xfId="2156" xr:uid="{00000000-0005-0000-0000-000069080000}"/>
    <cellStyle name="Normal 5 5" xfId="1449" xr:uid="{00000000-0005-0000-0000-00006A080000}"/>
    <cellStyle name="Normal 5 5 2" xfId="2013" xr:uid="{00000000-0005-0000-0000-00006B080000}"/>
    <cellStyle name="Normal 5 6" xfId="1450" xr:uid="{00000000-0005-0000-0000-00006C080000}"/>
    <cellStyle name="Normal 5 7" xfId="1451" xr:uid="{00000000-0005-0000-0000-00006D080000}"/>
    <cellStyle name="Normal 5 8" xfId="1452" xr:uid="{00000000-0005-0000-0000-00006E080000}"/>
    <cellStyle name="Normal 5 9" xfId="1453" xr:uid="{00000000-0005-0000-0000-00006F080000}"/>
    <cellStyle name="Normal 50" xfId="1756" xr:uid="{00000000-0005-0000-0000-000070080000}"/>
    <cellStyle name="Normal 50 2" xfId="2295" xr:uid="{00000000-0005-0000-0000-000071080000}"/>
    <cellStyle name="Normal 51" xfId="1454" xr:uid="{00000000-0005-0000-0000-000072080000}"/>
    <cellStyle name="Normal 52" xfId="1758" xr:uid="{00000000-0005-0000-0000-000073080000}"/>
    <cellStyle name="Normal 52 2" xfId="2297" xr:uid="{00000000-0005-0000-0000-000074080000}"/>
    <cellStyle name="Normal 53" xfId="1760" xr:uid="{00000000-0005-0000-0000-000075080000}"/>
    <cellStyle name="Normal 53 2" xfId="2299" xr:uid="{00000000-0005-0000-0000-000076080000}"/>
    <cellStyle name="Normal 54" xfId="1455" xr:uid="{00000000-0005-0000-0000-000077080000}"/>
    <cellStyle name="Normal 55" xfId="1456" xr:uid="{00000000-0005-0000-0000-000078080000}"/>
    <cellStyle name="Normal 56" xfId="1762" xr:uid="{00000000-0005-0000-0000-000079080000}"/>
    <cellStyle name="Normal 56 2" xfId="2301" xr:uid="{00000000-0005-0000-0000-00007A080000}"/>
    <cellStyle name="Normal 57" xfId="1764" xr:uid="{00000000-0005-0000-0000-00007B080000}"/>
    <cellStyle name="Normal 57 2" xfId="2303" xr:uid="{00000000-0005-0000-0000-00007C080000}"/>
    <cellStyle name="Normal 58" xfId="1766" xr:uid="{00000000-0005-0000-0000-00007D080000}"/>
    <cellStyle name="Normal 58 2" xfId="2305" xr:uid="{00000000-0005-0000-0000-00007E080000}"/>
    <cellStyle name="Normal 59" xfId="1768" xr:uid="{00000000-0005-0000-0000-00007F080000}"/>
    <cellStyle name="Normal 59 2" xfId="2307" xr:uid="{00000000-0005-0000-0000-000080080000}"/>
    <cellStyle name="Normal 6" xfId="40" xr:uid="{00000000-0005-0000-0000-000081080000}"/>
    <cellStyle name="Normal 6 2" xfId="169" xr:uid="{00000000-0005-0000-0000-000082080000}"/>
    <cellStyle name="Normal 6 2 2" xfId="1457" xr:uid="{00000000-0005-0000-0000-000083080000}"/>
    <cellStyle name="Normal 6 2 3" xfId="1458" xr:uid="{00000000-0005-0000-0000-000084080000}"/>
    <cellStyle name="Normal 6 2 4" xfId="2053" xr:uid="{00000000-0005-0000-0000-000085080000}"/>
    <cellStyle name="Normal 6 2 5" xfId="1787" xr:uid="{00000000-0005-0000-0000-000086080000}"/>
    <cellStyle name="Normal 6 2 6" xfId="2048" xr:uid="{00000000-0005-0000-0000-000087080000}"/>
    <cellStyle name="Normal 6 2 7" xfId="2035" xr:uid="{00000000-0005-0000-0000-000088080000}"/>
    <cellStyle name="Normal 6 2 8" xfId="2183" xr:uid="{00000000-0005-0000-0000-000089080000}"/>
    <cellStyle name="Normal 6 3" xfId="1459" xr:uid="{00000000-0005-0000-0000-00008A080000}"/>
    <cellStyle name="Normal 6 3 2" xfId="2194" xr:uid="{00000000-0005-0000-0000-00008B080000}"/>
    <cellStyle name="Normal 6 4" xfId="1460" xr:uid="{00000000-0005-0000-0000-00008C080000}"/>
    <cellStyle name="Normal 6 4 2" xfId="1869" xr:uid="{00000000-0005-0000-0000-00008D080000}"/>
    <cellStyle name="Normal 6 5" xfId="1461" xr:uid="{00000000-0005-0000-0000-00008E080000}"/>
    <cellStyle name="Normal 6 5 2" xfId="2111" xr:uid="{00000000-0005-0000-0000-00008F080000}"/>
    <cellStyle name="Normal 6 6" xfId="1462" xr:uid="{00000000-0005-0000-0000-000090080000}"/>
    <cellStyle name="Normal 6 6 2" xfId="2086" xr:uid="{00000000-0005-0000-0000-000091080000}"/>
    <cellStyle name="Normal 6 7" xfId="1463" xr:uid="{00000000-0005-0000-0000-000092080000}"/>
    <cellStyle name="Normal 6 7 2" xfId="2097" xr:uid="{00000000-0005-0000-0000-000093080000}"/>
    <cellStyle name="Normal 6 8" xfId="1464" xr:uid="{00000000-0005-0000-0000-000094080000}"/>
    <cellStyle name="Normal 60" xfId="1771" xr:uid="{00000000-0005-0000-0000-000095080000}"/>
    <cellStyle name="Normal 60 2" xfId="2310" xr:uid="{00000000-0005-0000-0000-000096080000}"/>
    <cellStyle name="Normal 61" xfId="2197" xr:uid="{00000000-0005-0000-0000-000097080000}"/>
    <cellStyle name="Normal 61 2" xfId="2496" xr:uid="{00000000-0005-0000-0000-000098080000}"/>
    <cellStyle name="Normal 62" xfId="2199" xr:uid="{00000000-0005-0000-0000-000099080000}"/>
    <cellStyle name="Normal 62 2" xfId="2498" xr:uid="{00000000-0005-0000-0000-00009A080000}"/>
    <cellStyle name="Normal 63" xfId="2201" xr:uid="{00000000-0005-0000-0000-00009B080000}"/>
    <cellStyle name="Normal 63 2" xfId="2500" xr:uid="{00000000-0005-0000-0000-00009C080000}"/>
    <cellStyle name="Normal 64" xfId="2204" xr:uid="{00000000-0005-0000-0000-00009D080000}"/>
    <cellStyle name="Normal 64 2" xfId="2213" xr:uid="{00000000-0005-0000-0000-00009E080000}"/>
    <cellStyle name="Normal 65" xfId="2207" xr:uid="{00000000-0005-0000-0000-00009F080000}"/>
    <cellStyle name="Normal 65 2" xfId="2503" xr:uid="{00000000-0005-0000-0000-0000A0080000}"/>
    <cellStyle name="Normal 66" xfId="2210" xr:uid="{00000000-0005-0000-0000-0000A1080000}"/>
    <cellStyle name="Normal 66 2" xfId="2506" xr:uid="{00000000-0005-0000-0000-0000A2080000}"/>
    <cellStyle name="Normal 67" xfId="2509" xr:uid="{00000000-0005-0000-0000-0000A3080000}"/>
    <cellStyle name="Normal 68" xfId="2556" xr:uid="{00000000-0005-0000-0000-0000A4080000}"/>
    <cellStyle name="Normal 69" xfId="2555" xr:uid="{00000000-0005-0000-0000-0000A5080000}"/>
    <cellStyle name="Normal 7" xfId="41" xr:uid="{00000000-0005-0000-0000-0000A6080000}"/>
    <cellStyle name="Normal 7 2" xfId="1465" xr:uid="{00000000-0005-0000-0000-0000A7080000}"/>
    <cellStyle name="Normal 7 2 2" xfId="1466" xr:uid="{00000000-0005-0000-0000-0000A8080000}"/>
    <cellStyle name="Normal 7 2 3" xfId="1879" xr:uid="{00000000-0005-0000-0000-0000A9080000}"/>
    <cellStyle name="Normal 7 2 4" xfId="2263" xr:uid="{00000000-0005-0000-0000-0000AA080000}"/>
    <cellStyle name="Normal 7 3" xfId="1467" xr:uid="{00000000-0005-0000-0000-0000AB080000}"/>
    <cellStyle name="Normal 7 3 2" xfId="1468" xr:uid="{00000000-0005-0000-0000-0000AC080000}"/>
    <cellStyle name="Normal 7 3 3" xfId="1882" xr:uid="{00000000-0005-0000-0000-0000AD080000}"/>
    <cellStyle name="Normal 7 3 4" xfId="2264" xr:uid="{00000000-0005-0000-0000-0000AE080000}"/>
    <cellStyle name="Normal 7 4" xfId="1469" xr:uid="{00000000-0005-0000-0000-0000AF080000}"/>
    <cellStyle name="Normal 7 4 2" xfId="1883" xr:uid="{00000000-0005-0000-0000-0000B0080000}"/>
    <cellStyle name="Normal 7 4 3" xfId="2265" xr:uid="{00000000-0005-0000-0000-0000B1080000}"/>
    <cellStyle name="Normal 7 5" xfId="1470" xr:uid="{00000000-0005-0000-0000-0000B2080000}"/>
    <cellStyle name="Normal 7 5 2" xfId="1878" xr:uid="{00000000-0005-0000-0000-0000B3080000}"/>
    <cellStyle name="Normal 7 5 3" xfId="2266" xr:uid="{00000000-0005-0000-0000-0000B4080000}"/>
    <cellStyle name="Normal 7 6" xfId="1471" xr:uid="{00000000-0005-0000-0000-0000B5080000}"/>
    <cellStyle name="Normal 7 6 2" xfId="1797" xr:uid="{00000000-0005-0000-0000-0000B6080000}"/>
    <cellStyle name="Normal 7 6 3" xfId="2267" xr:uid="{00000000-0005-0000-0000-0000B7080000}"/>
    <cellStyle name="Normal 7 7" xfId="1472" xr:uid="{00000000-0005-0000-0000-0000B8080000}"/>
    <cellStyle name="Normal 70" xfId="2557" xr:uid="{00000000-0005-0000-0000-0000B9080000}"/>
    <cellStyle name="Normal 8" xfId="42" xr:uid="{00000000-0005-0000-0000-0000BA080000}"/>
    <cellStyle name="Normal 8 2" xfId="1473" xr:uid="{00000000-0005-0000-0000-0000BB080000}"/>
    <cellStyle name="Normal 8 3" xfId="1474" xr:uid="{00000000-0005-0000-0000-0000BC080000}"/>
    <cellStyle name="Normal 8 4" xfId="2180" xr:uid="{00000000-0005-0000-0000-0000BD080000}"/>
    <cellStyle name="Normal 8 5" xfId="2117" xr:uid="{00000000-0005-0000-0000-0000BE080000}"/>
    <cellStyle name="Normal 8 6" xfId="1792" xr:uid="{00000000-0005-0000-0000-0000BF080000}"/>
    <cellStyle name="Normal 8_Sub-Structur BD 246-PAYMENT-18 2" xfId="1475" xr:uid="{00000000-0005-0000-0000-0000C0080000}"/>
    <cellStyle name="Normal 9" xfId="43" xr:uid="{00000000-0005-0000-0000-0000C1080000}"/>
    <cellStyle name="Normal 9 2" xfId="1476" xr:uid="{00000000-0005-0000-0000-0000C2080000}"/>
    <cellStyle name="Normal 9 2 2" xfId="1888" xr:uid="{00000000-0005-0000-0000-0000C3080000}"/>
    <cellStyle name="Normal 9 3" xfId="1477" xr:uid="{00000000-0005-0000-0000-0000C4080000}"/>
    <cellStyle name="Normal 9 3 2" xfId="1886" xr:uid="{00000000-0005-0000-0000-0000C5080000}"/>
    <cellStyle name="Normal 9 4" xfId="1478" xr:uid="{00000000-0005-0000-0000-0000C6080000}"/>
    <cellStyle name="Normal 9 5" xfId="1887" xr:uid="{00000000-0005-0000-0000-0000C7080000}"/>
    <cellStyle name="Normal 9 6" xfId="1908" xr:uid="{00000000-0005-0000-0000-0000C8080000}"/>
    <cellStyle name="Normale_Foglio1" xfId="1479" xr:uid="{00000000-0005-0000-0000-0000C9080000}"/>
    <cellStyle name="Note" xfId="2528" builtinId="10" customBuiltin="1"/>
    <cellStyle name="Note 2" xfId="170" xr:uid="{00000000-0005-0000-0000-0000CB080000}"/>
    <cellStyle name="Note 2 2" xfId="1480" xr:uid="{00000000-0005-0000-0000-0000CC080000}"/>
    <cellStyle name="Note 2 3" xfId="1481" xr:uid="{00000000-0005-0000-0000-0000CD080000}"/>
    <cellStyle name="Note 2 4" xfId="1482" xr:uid="{00000000-0005-0000-0000-0000CE080000}"/>
    <cellStyle name="Note 3" xfId="171" xr:uid="{00000000-0005-0000-0000-0000CF080000}"/>
    <cellStyle name="Note 3 2" xfId="1483" xr:uid="{00000000-0005-0000-0000-0000D0080000}"/>
    <cellStyle name="Note 4" xfId="172" xr:uid="{00000000-0005-0000-0000-0000D1080000}"/>
    <cellStyle name="Note 4 2" xfId="1484" xr:uid="{00000000-0005-0000-0000-0000D2080000}"/>
    <cellStyle name="Note 5" xfId="173" xr:uid="{00000000-0005-0000-0000-0000D3080000}"/>
    <cellStyle name="Note 5 2" xfId="1485" xr:uid="{00000000-0005-0000-0000-0000D4080000}"/>
    <cellStyle name="Note 6 2" xfId="1486" xr:uid="{00000000-0005-0000-0000-0000D5080000}"/>
    <cellStyle name="Note 7" xfId="1487" xr:uid="{00000000-0005-0000-0000-0000D6080000}"/>
    <cellStyle name="Number" xfId="1488" xr:uid="{00000000-0005-0000-0000-0000D7080000}"/>
    <cellStyle name="Œ…‹æØ‚è [0.00]_PRODUCT DETAIL Q1" xfId="1489" xr:uid="{00000000-0005-0000-0000-0000D8080000}"/>
    <cellStyle name="Œ…‹æØ‚è_PRODUCT DETAIL Q1" xfId="1490" xr:uid="{00000000-0005-0000-0000-0000D9080000}"/>
    <cellStyle name="OperisMoney" xfId="1491" xr:uid="{00000000-0005-0000-0000-0000DA080000}"/>
    <cellStyle name="Output" xfId="2523" builtinId="21" customBuiltin="1"/>
    <cellStyle name="Output 2" xfId="174" xr:uid="{00000000-0005-0000-0000-0000DC080000}"/>
    <cellStyle name="Output 2 2" xfId="1492" xr:uid="{00000000-0005-0000-0000-0000DD080000}"/>
    <cellStyle name="Output 3" xfId="175" xr:uid="{00000000-0005-0000-0000-0000DE080000}"/>
    <cellStyle name="Output 4" xfId="176" xr:uid="{00000000-0005-0000-0000-0000DF080000}"/>
    <cellStyle name="Output 5" xfId="177" xr:uid="{00000000-0005-0000-0000-0000E0080000}"/>
    <cellStyle name="Percent" xfId="2206" builtinId="5"/>
    <cellStyle name="Percent [2]" xfId="1493" xr:uid="{00000000-0005-0000-0000-0000E2080000}"/>
    <cellStyle name="Percent 10" xfId="1494" xr:uid="{00000000-0005-0000-0000-0000E3080000}"/>
    <cellStyle name="Percent 10 2" xfId="1495" xr:uid="{00000000-0005-0000-0000-0000E4080000}"/>
    <cellStyle name="Percent 10 3" xfId="1496" xr:uid="{00000000-0005-0000-0000-0000E5080000}"/>
    <cellStyle name="Percent 10 4" xfId="1497" xr:uid="{00000000-0005-0000-0000-0000E6080000}"/>
    <cellStyle name="Percent 11" xfId="1498" xr:uid="{00000000-0005-0000-0000-0000E7080000}"/>
    <cellStyle name="Percent 11 2" xfId="1499" xr:uid="{00000000-0005-0000-0000-0000E8080000}"/>
    <cellStyle name="Percent 11 3" xfId="1500" xr:uid="{00000000-0005-0000-0000-0000E9080000}"/>
    <cellStyle name="Percent 12" xfId="1501" xr:uid="{00000000-0005-0000-0000-0000EA080000}"/>
    <cellStyle name="Percent 13" xfId="1502" xr:uid="{00000000-0005-0000-0000-0000EB080000}"/>
    <cellStyle name="Percent 14" xfId="1503" xr:uid="{00000000-0005-0000-0000-0000EC080000}"/>
    <cellStyle name="Percent 14 2" xfId="1504" xr:uid="{00000000-0005-0000-0000-0000ED080000}"/>
    <cellStyle name="Percent 15" xfId="1505" xr:uid="{00000000-0005-0000-0000-0000EE080000}"/>
    <cellStyle name="Percent 16" xfId="1506" xr:uid="{00000000-0005-0000-0000-0000EF080000}"/>
    <cellStyle name="Percent 17" xfId="1507" xr:uid="{00000000-0005-0000-0000-0000F0080000}"/>
    <cellStyle name="Percent 18" xfId="1508" xr:uid="{00000000-0005-0000-0000-0000F1080000}"/>
    <cellStyle name="Percent 18 2" xfId="1509" xr:uid="{00000000-0005-0000-0000-0000F2080000}"/>
    <cellStyle name="Percent 19" xfId="1510" xr:uid="{00000000-0005-0000-0000-0000F3080000}"/>
    <cellStyle name="Percent 19 2" xfId="1511" xr:uid="{00000000-0005-0000-0000-0000F4080000}"/>
    <cellStyle name="Percent 19 2 2" xfId="1512" xr:uid="{00000000-0005-0000-0000-0000F5080000}"/>
    <cellStyle name="Percent 19 3" xfId="1513" xr:uid="{00000000-0005-0000-0000-0000F6080000}"/>
    <cellStyle name="Percent 2" xfId="178" xr:uid="{00000000-0005-0000-0000-0000F7080000}"/>
    <cellStyle name="Percent 2 10" xfId="1514" xr:uid="{00000000-0005-0000-0000-0000F8080000}"/>
    <cellStyle name="Percent 2 2" xfId="179" xr:uid="{00000000-0005-0000-0000-0000F9080000}"/>
    <cellStyle name="Percent 2 2 2" xfId="1894" xr:uid="{00000000-0005-0000-0000-0000FA080000}"/>
    <cellStyle name="Percent 2 3" xfId="1515" xr:uid="{00000000-0005-0000-0000-0000FB080000}"/>
    <cellStyle name="Percent 2 3 2" xfId="1516" xr:uid="{00000000-0005-0000-0000-0000FC080000}"/>
    <cellStyle name="Percent 2 3 3" xfId="2107" xr:uid="{00000000-0005-0000-0000-0000FD080000}"/>
    <cellStyle name="Percent 2 4" xfId="1517" xr:uid="{00000000-0005-0000-0000-0000FE080000}"/>
    <cellStyle name="Percent 2 4 2" xfId="1518" xr:uid="{00000000-0005-0000-0000-0000FF080000}"/>
    <cellStyle name="Percent 2 5" xfId="1519" xr:uid="{00000000-0005-0000-0000-000000090000}"/>
    <cellStyle name="Percent 2 5 2" xfId="1520" xr:uid="{00000000-0005-0000-0000-000001090000}"/>
    <cellStyle name="Percent 2 6" xfId="1521" xr:uid="{00000000-0005-0000-0000-000002090000}"/>
    <cellStyle name="Percent 2 6 2" xfId="1522" xr:uid="{00000000-0005-0000-0000-000003090000}"/>
    <cellStyle name="Percent 2 7" xfId="1523" xr:uid="{00000000-0005-0000-0000-000004090000}"/>
    <cellStyle name="Percent 2 7 2" xfId="1524" xr:uid="{00000000-0005-0000-0000-000005090000}"/>
    <cellStyle name="Percent 2 8" xfId="1525" xr:uid="{00000000-0005-0000-0000-000006090000}"/>
    <cellStyle name="Percent 2 9" xfId="1526" xr:uid="{00000000-0005-0000-0000-000007090000}"/>
    <cellStyle name="Percent 2 9 2" xfId="1527" xr:uid="{00000000-0005-0000-0000-000008090000}"/>
    <cellStyle name="Percent 20" xfId="1528" xr:uid="{00000000-0005-0000-0000-000009090000}"/>
    <cellStyle name="Percent 20 2" xfId="1529" xr:uid="{00000000-0005-0000-0000-00000A090000}"/>
    <cellStyle name="Percent 21" xfId="1530" xr:uid="{00000000-0005-0000-0000-00000B090000}"/>
    <cellStyle name="Percent 22" xfId="1531" xr:uid="{00000000-0005-0000-0000-00000C090000}"/>
    <cellStyle name="Percent 23" xfId="1532" xr:uid="{00000000-0005-0000-0000-00000D090000}"/>
    <cellStyle name="Percent 24" xfId="1533" xr:uid="{00000000-0005-0000-0000-00000E090000}"/>
    <cellStyle name="Percent 24 2" xfId="2268" xr:uid="{00000000-0005-0000-0000-00000F090000}"/>
    <cellStyle name="Percent 25" xfId="1534" xr:uid="{00000000-0005-0000-0000-000010090000}"/>
    <cellStyle name="Percent 26" xfId="1535" xr:uid="{00000000-0005-0000-0000-000011090000}"/>
    <cellStyle name="Percent 27" xfId="261" xr:uid="{00000000-0005-0000-0000-000012090000}"/>
    <cellStyle name="Percent 27 2" xfId="2217" xr:uid="{00000000-0005-0000-0000-000013090000}"/>
    <cellStyle name="Percent 28" xfId="1687" xr:uid="{00000000-0005-0000-0000-000014090000}"/>
    <cellStyle name="Percent 28 2" xfId="2272" xr:uid="{00000000-0005-0000-0000-000015090000}"/>
    <cellStyle name="Percent 29" xfId="1701" xr:uid="{00000000-0005-0000-0000-000016090000}"/>
    <cellStyle name="Percent 29 2" xfId="2276" xr:uid="{00000000-0005-0000-0000-000017090000}"/>
    <cellStyle name="Percent 3" xfId="180" xr:uid="{00000000-0005-0000-0000-000018090000}"/>
    <cellStyle name="Percent 3 10" xfId="1536" xr:uid="{00000000-0005-0000-0000-000019090000}"/>
    <cellStyle name="Percent 3 11" xfId="1537" xr:uid="{00000000-0005-0000-0000-00001A090000}"/>
    <cellStyle name="Percent 3 11 2" xfId="2269" xr:uid="{00000000-0005-0000-0000-00001B090000}"/>
    <cellStyle name="Percent 3 2" xfId="181" xr:uid="{00000000-0005-0000-0000-00001C090000}"/>
    <cellStyle name="Percent 3 3" xfId="182" xr:uid="{00000000-0005-0000-0000-00001D090000}"/>
    <cellStyle name="Percent 3 4" xfId="1538" xr:uid="{00000000-0005-0000-0000-00001E090000}"/>
    <cellStyle name="Percent 3 4 2" xfId="1539" xr:uid="{00000000-0005-0000-0000-00001F090000}"/>
    <cellStyle name="Percent 3 5" xfId="1540" xr:uid="{00000000-0005-0000-0000-000020090000}"/>
    <cellStyle name="Percent 3 5 2" xfId="1541" xr:uid="{00000000-0005-0000-0000-000021090000}"/>
    <cellStyle name="Percent 3 6" xfId="1542" xr:uid="{00000000-0005-0000-0000-000022090000}"/>
    <cellStyle name="Percent 3 6 2" xfId="1543" xr:uid="{00000000-0005-0000-0000-000023090000}"/>
    <cellStyle name="Percent 3 7" xfId="1544" xr:uid="{00000000-0005-0000-0000-000024090000}"/>
    <cellStyle name="Percent 3 7 2" xfId="1545" xr:uid="{00000000-0005-0000-0000-000025090000}"/>
    <cellStyle name="Percent 3 8" xfId="1546" xr:uid="{00000000-0005-0000-0000-000026090000}"/>
    <cellStyle name="Percent 3 8 2" xfId="1547" xr:uid="{00000000-0005-0000-0000-000027090000}"/>
    <cellStyle name="Percent 3 9" xfId="1548" xr:uid="{00000000-0005-0000-0000-000028090000}"/>
    <cellStyle name="Percent 30" xfId="1752" xr:uid="{00000000-0005-0000-0000-000029090000}"/>
    <cellStyle name="Percent 30 2" xfId="2291" xr:uid="{00000000-0005-0000-0000-00002A090000}"/>
    <cellStyle name="Percent 31" xfId="1691" xr:uid="{00000000-0005-0000-0000-00002B090000}"/>
    <cellStyle name="Percent 31 2" xfId="2275" xr:uid="{00000000-0005-0000-0000-00002C090000}"/>
    <cellStyle name="Percent 32" xfId="1751" xr:uid="{00000000-0005-0000-0000-00002D090000}"/>
    <cellStyle name="Percent 32 2" xfId="2290" xr:uid="{00000000-0005-0000-0000-00002E090000}"/>
    <cellStyle name="Percent 33" xfId="1702" xr:uid="{00000000-0005-0000-0000-00002F090000}"/>
    <cellStyle name="Percent 33 2" xfId="2277" xr:uid="{00000000-0005-0000-0000-000030090000}"/>
    <cellStyle name="Percent 34" xfId="1750" xr:uid="{00000000-0005-0000-0000-000031090000}"/>
    <cellStyle name="Percent 34 2" xfId="2289" xr:uid="{00000000-0005-0000-0000-000032090000}"/>
    <cellStyle name="Percent 35" xfId="1703" xr:uid="{00000000-0005-0000-0000-000033090000}"/>
    <cellStyle name="Percent 35 2" xfId="2278" xr:uid="{00000000-0005-0000-0000-000034090000}"/>
    <cellStyle name="Percent 36" xfId="1753" xr:uid="{00000000-0005-0000-0000-000035090000}"/>
    <cellStyle name="Percent 36 2" xfId="2292" xr:uid="{00000000-0005-0000-0000-000036090000}"/>
    <cellStyle name="Percent 37" xfId="1744" xr:uid="{00000000-0005-0000-0000-000037090000}"/>
    <cellStyle name="Percent 37 2" xfId="2287" xr:uid="{00000000-0005-0000-0000-000038090000}"/>
    <cellStyle name="Percent 38" xfId="1828" xr:uid="{00000000-0005-0000-0000-000039090000}"/>
    <cellStyle name="Percent 38 2" xfId="2338" xr:uid="{00000000-0005-0000-0000-00003A090000}"/>
    <cellStyle name="Percent 39" xfId="2145" xr:uid="{00000000-0005-0000-0000-00003B090000}"/>
    <cellStyle name="Percent 39 2" xfId="2469" xr:uid="{00000000-0005-0000-0000-00003C090000}"/>
    <cellStyle name="Percent 4" xfId="183" xr:uid="{00000000-0005-0000-0000-00003D090000}"/>
    <cellStyle name="Percent 4 2" xfId="184" xr:uid="{00000000-0005-0000-0000-00003E090000}"/>
    <cellStyle name="Percent 4 3" xfId="1549" xr:uid="{00000000-0005-0000-0000-00003F090000}"/>
    <cellStyle name="Percent 4 4" xfId="1550" xr:uid="{00000000-0005-0000-0000-000040090000}"/>
    <cellStyle name="Percent 40" xfId="1871" xr:uid="{00000000-0005-0000-0000-000041090000}"/>
    <cellStyle name="Percent 40 2" xfId="2362" xr:uid="{00000000-0005-0000-0000-000042090000}"/>
    <cellStyle name="Percent 41" xfId="2168" xr:uid="{00000000-0005-0000-0000-000043090000}"/>
    <cellStyle name="Percent 41 2" xfId="2482" xr:uid="{00000000-0005-0000-0000-000044090000}"/>
    <cellStyle name="Percent 42" xfId="2208" xr:uid="{00000000-0005-0000-0000-000045090000}"/>
    <cellStyle name="Percent 42 2" xfId="2504" xr:uid="{00000000-0005-0000-0000-000046090000}"/>
    <cellStyle name="Percent 43" xfId="2209" xr:uid="{00000000-0005-0000-0000-000047090000}"/>
    <cellStyle name="Percent 43 2" xfId="2505" xr:uid="{00000000-0005-0000-0000-000048090000}"/>
    <cellStyle name="Percent 44" xfId="2513" xr:uid="{00000000-0005-0000-0000-000049090000}"/>
    <cellStyle name="Percent 5" xfId="185" xr:uid="{00000000-0005-0000-0000-00004A090000}"/>
    <cellStyle name="Percent 5 2" xfId="1551" xr:uid="{00000000-0005-0000-0000-00004B090000}"/>
    <cellStyle name="Percent 5 3" xfId="1552" xr:uid="{00000000-0005-0000-0000-00004C090000}"/>
    <cellStyle name="Percent 5 4" xfId="1553" xr:uid="{00000000-0005-0000-0000-00004D090000}"/>
    <cellStyle name="Percent 6" xfId="186" xr:uid="{00000000-0005-0000-0000-00004E090000}"/>
    <cellStyle name="Percent 6 2" xfId="1554" xr:uid="{00000000-0005-0000-0000-00004F090000}"/>
    <cellStyle name="Percent 6 2 2" xfId="2270" xr:uid="{00000000-0005-0000-0000-000050090000}"/>
    <cellStyle name="Percent 7" xfId="187" xr:uid="{00000000-0005-0000-0000-000051090000}"/>
    <cellStyle name="Percent 8" xfId="188" xr:uid="{00000000-0005-0000-0000-000052090000}"/>
    <cellStyle name="Percent 8 2" xfId="189" xr:uid="{00000000-0005-0000-0000-000053090000}"/>
    <cellStyle name="Percent 8 2 2" xfId="190" xr:uid="{00000000-0005-0000-0000-000054090000}"/>
    <cellStyle name="Percent 9" xfId="191" xr:uid="{00000000-0005-0000-0000-000055090000}"/>
    <cellStyle name="Percent 9 2" xfId="192" xr:uid="{00000000-0005-0000-0000-000056090000}"/>
    <cellStyle name="Percent[0]" xfId="1555" xr:uid="{00000000-0005-0000-0000-000057090000}"/>
    <cellStyle name="print_titles" xfId="1556" xr:uid="{00000000-0005-0000-0000-000058090000}"/>
    <cellStyle name="PSChar" xfId="1557" xr:uid="{00000000-0005-0000-0000-000059090000}"/>
    <cellStyle name="PSDate" xfId="1558" xr:uid="{00000000-0005-0000-0000-00005A090000}"/>
    <cellStyle name="PSDec" xfId="1559" xr:uid="{00000000-0005-0000-0000-00005B090000}"/>
    <cellStyle name="PSHeading" xfId="1560" xr:uid="{00000000-0005-0000-0000-00005C090000}"/>
    <cellStyle name="PSHeading 2" xfId="1561" xr:uid="{00000000-0005-0000-0000-00005D090000}"/>
    <cellStyle name="PSInt" xfId="1562" xr:uid="{00000000-0005-0000-0000-00005E090000}"/>
    <cellStyle name="PSSpacer" xfId="1563" xr:uid="{00000000-0005-0000-0000-00005F090000}"/>
    <cellStyle name="Reports-0" xfId="1564" xr:uid="{00000000-0005-0000-0000-000060090000}"/>
    <cellStyle name="Reports-2" xfId="1565" xr:uid="{00000000-0005-0000-0000-000061090000}"/>
    <cellStyle name="Reset range style to defaults" xfId="1566" xr:uid="{00000000-0005-0000-0000-000062090000}"/>
    <cellStyle name="RevList" xfId="1567" xr:uid="{00000000-0005-0000-0000-000063090000}"/>
    <cellStyle name="Sheet Title" xfId="193" xr:uid="{00000000-0005-0000-0000-000064090000}"/>
    <cellStyle name="Sheet Title 2" xfId="1568" xr:uid="{00000000-0005-0000-0000-000065090000}"/>
    <cellStyle name="Spelling 1033,0" xfId="236" xr:uid="{00000000-0005-0000-0000-000066090000}"/>
    <cellStyle name="Standard_db_hier" xfId="237" xr:uid="{00000000-0005-0000-0000-000067090000}"/>
    <cellStyle name="Style 1" xfId="194" xr:uid="{00000000-0005-0000-0000-000068090000}"/>
    <cellStyle name="Style 1 2" xfId="1569" xr:uid="{00000000-0005-0000-0000-000069090000}"/>
    <cellStyle name="Style 1 3" xfId="1570" xr:uid="{00000000-0005-0000-0000-00006A090000}"/>
    <cellStyle name="Style 1 4" xfId="1571" xr:uid="{00000000-0005-0000-0000-00006B090000}"/>
    <cellStyle name="Style 1 5" xfId="1902" xr:uid="{00000000-0005-0000-0000-00006C090000}"/>
    <cellStyle name="Style 10" xfId="238" xr:uid="{00000000-0005-0000-0000-00006D090000}"/>
    <cellStyle name="Style 10 2" xfId="1572" xr:uid="{00000000-0005-0000-0000-00006E090000}"/>
    <cellStyle name="Style 10 3" xfId="1573" xr:uid="{00000000-0005-0000-0000-00006F090000}"/>
    <cellStyle name="Style 10 4" xfId="1574" xr:uid="{00000000-0005-0000-0000-000070090000}"/>
    <cellStyle name="Style 10 5" xfId="1575" xr:uid="{00000000-0005-0000-0000-000071090000}"/>
    <cellStyle name="Style 10 6" xfId="1576" xr:uid="{00000000-0005-0000-0000-000072090000}"/>
    <cellStyle name="Style 11" xfId="239" xr:uid="{00000000-0005-0000-0000-000073090000}"/>
    <cellStyle name="Style 12" xfId="240" xr:uid="{00000000-0005-0000-0000-000074090000}"/>
    <cellStyle name="Style 13" xfId="241" xr:uid="{00000000-0005-0000-0000-000075090000}"/>
    <cellStyle name="Style 14" xfId="242" xr:uid="{00000000-0005-0000-0000-000076090000}"/>
    <cellStyle name="Style 14 2" xfId="1577" xr:uid="{00000000-0005-0000-0000-000077090000}"/>
    <cellStyle name="Style 14 3" xfId="1578" xr:uid="{00000000-0005-0000-0000-000078090000}"/>
    <cellStyle name="Style 14 4" xfId="1579" xr:uid="{00000000-0005-0000-0000-000079090000}"/>
    <cellStyle name="Style 14 5" xfId="1580" xr:uid="{00000000-0005-0000-0000-00007A090000}"/>
    <cellStyle name="Style 14 6" xfId="1581" xr:uid="{00000000-0005-0000-0000-00007B090000}"/>
    <cellStyle name="Style 15" xfId="1582" xr:uid="{00000000-0005-0000-0000-00007C090000}"/>
    <cellStyle name="Style 15 2" xfId="1583" xr:uid="{00000000-0005-0000-0000-00007D090000}"/>
    <cellStyle name="Style 15 3" xfId="1584" xr:uid="{00000000-0005-0000-0000-00007E090000}"/>
    <cellStyle name="Style 15 4" xfId="1585" xr:uid="{00000000-0005-0000-0000-00007F090000}"/>
    <cellStyle name="Style 15 5" xfId="1586" xr:uid="{00000000-0005-0000-0000-000080090000}"/>
    <cellStyle name="Style 15 6" xfId="1587" xr:uid="{00000000-0005-0000-0000-000081090000}"/>
    <cellStyle name="Style 2" xfId="243" xr:uid="{00000000-0005-0000-0000-000082090000}"/>
    <cellStyle name="Style 2 2" xfId="1588" xr:uid="{00000000-0005-0000-0000-000083090000}"/>
    <cellStyle name="Style 2 3" xfId="1589" xr:uid="{00000000-0005-0000-0000-000084090000}"/>
    <cellStyle name="Style 2 4" xfId="1590" xr:uid="{00000000-0005-0000-0000-000085090000}"/>
    <cellStyle name="Style 2 5" xfId="1591" xr:uid="{00000000-0005-0000-0000-000086090000}"/>
    <cellStyle name="Style 2 6" xfId="1592" xr:uid="{00000000-0005-0000-0000-000087090000}"/>
    <cellStyle name="Style 2 7" xfId="1593" xr:uid="{00000000-0005-0000-0000-000088090000}"/>
    <cellStyle name="Style 3" xfId="244" xr:uid="{00000000-0005-0000-0000-000089090000}"/>
    <cellStyle name="Style 3 2" xfId="1594" xr:uid="{00000000-0005-0000-0000-00008A090000}"/>
    <cellStyle name="Style 4" xfId="245" xr:uid="{00000000-0005-0000-0000-00008B090000}"/>
    <cellStyle name="Style 4 2" xfId="1595" xr:uid="{00000000-0005-0000-0000-00008C090000}"/>
    <cellStyle name="Style 4 3" xfId="1596" xr:uid="{00000000-0005-0000-0000-00008D090000}"/>
    <cellStyle name="Style 4 4" xfId="1597" xr:uid="{00000000-0005-0000-0000-00008E090000}"/>
    <cellStyle name="Style 4 5" xfId="1598" xr:uid="{00000000-0005-0000-0000-00008F090000}"/>
    <cellStyle name="Style 4 6" xfId="1599" xr:uid="{00000000-0005-0000-0000-000090090000}"/>
    <cellStyle name="Style 5" xfId="246" xr:uid="{00000000-0005-0000-0000-000091090000}"/>
    <cellStyle name="Style 5 2" xfId="1600" xr:uid="{00000000-0005-0000-0000-000092090000}"/>
    <cellStyle name="Style 5 3" xfId="1601" xr:uid="{00000000-0005-0000-0000-000093090000}"/>
    <cellStyle name="Style 5 4" xfId="1602" xr:uid="{00000000-0005-0000-0000-000094090000}"/>
    <cellStyle name="Style 5 5" xfId="1603" xr:uid="{00000000-0005-0000-0000-000095090000}"/>
    <cellStyle name="Style 5 6" xfId="1604" xr:uid="{00000000-0005-0000-0000-000096090000}"/>
    <cellStyle name="Style 5 7" xfId="1605" xr:uid="{00000000-0005-0000-0000-000097090000}"/>
    <cellStyle name="Style 6" xfId="247" xr:uid="{00000000-0005-0000-0000-000098090000}"/>
    <cellStyle name="Style 6 2" xfId="1606" xr:uid="{00000000-0005-0000-0000-000099090000}"/>
    <cellStyle name="Style 6 3" xfId="1607" xr:uid="{00000000-0005-0000-0000-00009A090000}"/>
    <cellStyle name="Style 6 4" xfId="1608" xr:uid="{00000000-0005-0000-0000-00009B090000}"/>
    <cellStyle name="Style 6 5" xfId="1609" xr:uid="{00000000-0005-0000-0000-00009C090000}"/>
    <cellStyle name="Style 6 6" xfId="1610" xr:uid="{00000000-0005-0000-0000-00009D090000}"/>
    <cellStyle name="Style 6 7" xfId="1611" xr:uid="{00000000-0005-0000-0000-00009E090000}"/>
    <cellStyle name="Style 7" xfId="248" xr:uid="{00000000-0005-0000-0000-00009F090000}"/>
    <cellStyle name="Style 8" xfId="249" xr:uid="{00000000-0005-0000-0000-0000A0090000}"/>
    <cellStyle name="Style 9" xfId="250" xr:uid="{00000000-0005-0000-0000-0000A1090000}"/>
    <cellStyle name="Style 9 2" xfId="1612" xr:uid="{00000000-0005-0000-0000-0000A2090000}"/>
    <cellStyle name="subhead" xfId="1613" xr:uid="{00000000-0005-0000-0000-0000A3090000}"/>
    <cellStyle name="Subtotal" xfId="1614" xr:uid="{00000000-0005-0000-0000-0000A4090000}"/>
    <cellStyle name="Summe" xfId="1615" xr:uid="{00000000-0005-0000-0000-0000A5090000}"/>
    <cellStyle name="SWT-Number" xfId="1616" xr:uid="{00000000-0005-0000-0000-0000A6090000}"/>
    <cellStyle name="T" xfId="251" xr:uid="{00000000-0005-0000-0000-0000A7090000}"/>
    <cellStyle name="T 2" xfId="1617" xr:uid="{00000000-0005-0000-0000-0000A8090000}"/>
    <cellStyle name="T_BOQ ( insulation r )" xfId="1618" xr:uid="{00000000-0005-0000-0000-0000A9090000}"/>
    <cellStyle name="T_Civil - Comparison" xfId="252" xr:uid="{00000000-0005-0000-0000-0000AA090000}"/>
    <cellStyle name="T_Copy of salaries" xfId="1619" xr:uid="{00000000-0005-0000-0000-0000AB090000}"/>
    <cellStyle name="Title" xfId="2514" builtinId="15" customBuiltin="1"/>
    <cellStyle name="Title 2" xfId="1620" xr:uid="{00000000-0005-0000-0000-0000AD090000}"/>
    <cellStyle name="Total" xfId="2530" builtinId="25" customBuiltin="1"/>
    <cellStyle name="Total 2" xfId="195" xr:uid="{00000000-0005-0000-0000-0000AF090000}"/>
    <cellStyle name="Total 2 2" xfId="1621" xr:uid="{00000000-0005-0000-0000-0000B0090000}"/>
    <cellStyle name="Total 3" xfId="196" xr:uid="{00000000-0005-0000-0000-0000B1090000}"/>
    <cellStyle name="Total 4" xfId="197" xr:uid="{00000000-0005-0000-0000-0000B2090000}"/>
    <cellStyle name="Total 5" xfId="198" xr:uid="{00000000-0005-0000-0000-0000B3090000}"/>
    <cellStyle name="unitrate" xfId="1622" xr:uid="{00000000-0005-0000-0000-0000B4090000}"/>
    <cellStyle name="unitrate 2" xfId="1623" xr:uid="{00000000-0005-0000-0000-0000B5090000}"/>
    <cellStyle name="_x0002_urrency [0]_ " xfId="253" xr:uid="{00000000-0005-0000-0000-0000B6090000}"/>
    <cellStyle name="Warning Text" xfId="2527" builtinId="11" customBuiltin="1"/>
    <cellStyle name="Warning Text 2" xfId="199" xr:uid="{00000000-0005-0000-0000-0000B8090000}"/>
    <cellStyle name="Warning Text 2 2" xfId="1624" xr:uid="{00000000-0005-0000-0000-0000B9090000}"/>
    <cellStyle name="Warning Text 3" xfId="200" xr:uid="{00000000-0005-0000-0000-0000BA090000}"/>
    <cellStyle name="Warning Text 4" xfId="201" xr:uid="{00000000-0005-0000-0000-0000BB090000}"/>
    <cellStyle name="Warning Text 5" xfId="202" xr:uid="{00000000-0005-0000-0000-0000BC090000}"/>
    <cellStyle name="ハイパーリンク" xfId="254" xr:uid="{00000000-0005-0000-0000-0000BD090000}"/>
    <cellStyle name="ハイパーリンク 2" xfId="1625" xr:uid="{00000000-0005-0000-0000-0000BE090000}"/>
    <cellStyle name="إخراج" xfId="1626" xr:uid="{00000000-0005-0000-0000-0000BF090000}"/>
    <cellStyle name="إدخال" xfId="1627" xr:uid="{00000000-0005-0000-0000-0000C0090000}"/>
    <cellStyle name="الإجمالي" xfId="1628" xr:uid="{00000000-0005-0000-0000-0000C1090000}"/>
    <cellStyle name="ترقيم" xfId="1629" xr:uid="{00000000-0005-0000-0000-0000C2090000}"/>
    <cellStyle name="تمييز1" xfId="1630" xr:uid="{00000000-0005-0000-0000-0000C3090000}"/>
    <cellStyle name="تمييز2" xfId="1631" xr:uid="{00000000-0005-0000-0000-0000C4090000}"/>
    <cellStyle name="تمييز3" xfId="1632" xr:uid="{00000000-0005-0000-0000-0000C5090000}"/>
    <cellStyle name="تمييز4" xfId="1633" xr:uid="{00000000-0005-0000-0000-0000C6090000}"/>
    <cellStyle name="تمييز5" xfId="1634" xr:uid="{00000000-0005-0000-0000-0000C7090000}"/>
    <cellStyle name="تمييز6" xfId="1635" xr:uid="{00000000-0005-0000-0000-0000C8090000}"/>
    <cellStyle name="جيد" xfId="1636" xr:uid="{00000000-0005-0000-0000-0000C9090000}"/>
    <cellStyle name="حساب" xfId="1637" xr:uid="{00000000-0005-0000-0000-0000CA090000}"/>
    <cellStyle name="خلية تدقيق" xfId="1638" xr:uid="{00000000-0005-0000-0000-0000CB090000}"/>
    <cellStyle name="خلية مرتبطة" xfId="1639" xr:uid="{00000000-0005-0000-0000-0000CC090000}"/>
    <cellStyle name="سيئ" xfId="1640" xr:uid="{00000000-0005-0000-0000-0000CD090000}"/>
    <cellStyle name="عادي_Book2" xfId="1641" xr:uid="{00000000-0005-0000-0000-0000CE090000}"/>
    <cellStyle name="عملة [0＀_xffff_＀_xffff_＀_xffff_＀_xffff_＀_xffff_＀_xffff_＀_xffff_＀" xfId="1642" xr:uid="{00000000-0005-0000-0000-0000CF090000}"/>
    <cellStyle name="عملة [0]_BEVERLY HILLS" xfId="1643" xr:uid="{00000000-0005-0000-0000-0000D0090000}"/>
    <cellStyle name="عملة_BEVERLY HILLS" xfId="1644" xr:uid="{00000000-0005-0000-0000-0000D1090000}"/>
    <cellStyle name="عنوان" xfId="1645" xr:uid="{00000000-0005-0000-0000-0000D2090000}"/>
    <cellStyle name="عنوان 1" xfId="1646" xr:uid="{00000000-0005-0000-0000-0000D3090000}"/>
    <cellStyle name="عنوان 2" xfId="1647" xr:uid="{00000000-0005-0000-0000-0000D4090000}"/>
    <cellStyle name="عنوان 3" xfId="1648" xr:uid="{00000000-0005-0000-0000-0000D5090000}"/>
    <cellStyle name="عنوان 4" xfId="1649" xr:uid="{00000000-0005-0000-0000-0000D6090000}"/>
    <cellStyle name="فاصلة [0]_BEVERLY HILLS" xfId="1650" xr:uid="{00000000-0005-0000-0000-0000D7090000}"/>
    <cellStyle name="فاصلة_BEVERLY HILLS" xfId="1651" xr:uid="{00000000-0005-0000-0000-0000D8090000}"/>
    <cellStyle name="محايد" xfId="1652" xr:uid="{00000000-0005-0000-0000-0000D9090000}"/>
    <cellStyle name="ملاحظة" xfId="1653" xr:uid="{00000000-0005-0000-0000-0000DA090000}"/>
    <cellStyle name="نص تحذير" xfId="1654" xr:uid="{00000000-0005-0000-0000-0000DB090000}"/>
    <cellStyle name="نص توضيحي" xfId="1655" xr:uid="{00000000-0005-0000-0000-0000DC090000}"/>
    <cellStyle name="نمط 1" xfId="1656" xr:uid="{00000000-0005-0000-0000-0000DD090000}"/>
    <cellStyle name="콤마 [0]_0f83zlkyXsZvDZOSbMwizTl2F" xfId="1657" xr:uid="{00000000-0005-0000-0000-0000DE090000}"/>
    <cellStyle name="콤마_0f83zlkyXsZvDZOSbMwizTl2F" xfId="1658" xr:uid="{00000000-0005-0000-0000-0000DF090000}"/>
    <cellStyle name="표준_FF-bm(투자비-050916))" xfId="1659" xr:uid="{00000000-0005-0000-0000-0000E0090000}"/>
    <cellStyle name="价格" xfId="1660" xr:uid="{00000000-0005-0000-0000-0000E1090000}"/>
    <cellStyle name="价格(0)" xfId="1661" xr:uid="{00000000-0005-0000-0000-0000E2090000}"/>
    <cellStyle name="价格_Sheet1" xfId="1662" xr:uid="{00000000-0005-0000-0000-0000E3090000}"/>
    <cellStyle name="分级显示行_1_05 (2)" xfId="1663" xr:uid="{00000000-0005-0000-0000-0000E4090000}"/>
    <cellStyle name="千位[0]_02E" xfId="1664" xr:uid="{00000000-0005-0000-0000-0000E5090000}"/>
    <cellStyle name="千位_02E" xfId="1665" xr:uid="{00000000-0005-0000-0000-0000E6090000}"/>
    <cellStyle name="千分位[0]_02" xfId="1666" xr:uid="{00000000-0005-0000-0000-0000E7090000}"/>
    <cellStyle name="千分位_02" xfId="1667" xr:uid="{00000000-0005-0000-0000-0000E8090000}"/>
    <cellStyle name="单位" xfId="1668" xr:uid="{00000000-0005-0000-0000-0000E9090000}"/>
    <cellStyle name="名称" xfId="1669" xr:uid="{00000000-0005-0000-0000-0000EA090000}"/>
    <cellStyle name="好_main commercial terms clarification for Contract negotiation " xfId="1670" xr:uid="{00000000-0005-0000-0000-0000EB090000}"/>
    <cellStyle name="定额号" xfId="1671" xr:uid="{00000000-0005-0000-0000-0000EC090000}"/>
    <cellStyle name="差_main commercial terms clarification for Contract negotiation " xfId="1672" xr:uid="{00000000-0005-0000-0000-0000ED090000}"/>
    <cellStyle name="常规_Sheet1" xfId="1673" xr:uid="{00000000-0005-0000-0000-0000EE090000}"/>
    <cellStyle name="序号" xfId="1674" xr:uid="{00000000-0005-0000-0000-0000EF090000}"/>
    <cellStyle name="数量" xfId="1675" xr:uid="{00000000-0005-0000-0000-0000F0090000}"/>
    <cellStyle name="普通_ 保温" xfId="1676" xr:uid="{00000000-0005-0000-0000-0000F1090000}"/>
    <cellStyle name="未定義" xfId="1677" xr:uid="{00000000-0005-0000-0000-0000F2090000}"/>
    <cellStyle name="未定義 2" xfId="1678" xr:uid="{00000000-0005-0000-0000-0000F3090000}"/>
    <cellStyle name="桁区切り [0.00]_A7_ERQ1" xfId="255" xr:uid="{00000000-0005-0000-0000-0000F4090000}"/>
    <cellStyle name="桁区切り_A7_ERQ1" xfId="256" xr:uid="{00000000-0005-0000-0000-0000F5090000}"/>
    <cellStyle name="標準_ Att. 1- Cover" xfId="1679" xr:uid="{00000000-0005-0000-0000-0000F6090000}"/>
    <cellStyle name="百分比(2)" xfId="1680" xr:uid="{00000000-0005-0000-0000-0000F7090000}"/>
    <cellStyle name="编号" xfId="1681" xr:uid="{00000000-0005-0000-0000-0000F8090000}"/>
    <cellStyle name="表示済みのハイパーリンク" xfId="257" xr:uid="{00000000-0005-0000-0000-0000F9090000}"/>
    <cellStyle name="表示済みのハイパーリンク 2" xfId="1682" xr:uid="{00000000-0005-0000-0000-0000FA090000}"/>
    <cellStyle name="通貨 [0.00]_ Att. 1- Cover" xfId="1683" xr:uid="{00000000-0005-0000-0000-0000FB090000}"/>
    <cellStyle name="通貨_ Att. 1- Cover" xfId="1684" xr:uid="{00000000-0005-0000-0000-0000FC090000}"/>
    <cellStyle name="重量" xfId="1685" xr:uid="{00000000-0005-0000-0000-0000FD090000}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Blue II">
      <a:dk1>
        <a:sysClr val="windowText" lastClr="000000"/>
      </a:dk1>
      <a:lt1>
        <a:sysClr val="window" lastClr="FFFFFF"/>
      </a:lt1>
      <a:dk2>
        <a:srgbClr val="335B74"/>
      </a:dk2>
      <a:lt2>
        <a:srgbClr val="DFE3E5"/>
      </a:lt2>
      <a:accent1>
        <a:srgbClr val="1CADE4"/>
      </a:accent1>
      <a:accent2>
        <a:srgbClr val="2683C6"/>
      </a:accent2>
      <a:accent3>
        <a:srgbClr val="27CED7"/>
      </a:accent3>
      <a:accent4>
        <a:srgbClr val="42BA97"/>
      </a:accent4>
      <a:accent5>
        <a:srgbClr val="3E8853"/>
      </a:accent5>
      <a:accent6>
        <a:srgbClr val="62A39F"/>
      </a:accent6>
      <a:hlink>
        <a:srgbClr val="6EAC1C"/>
      </a:hlink>
      <a:folHlink>
        <a:srgbClr val="B26B02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X194"/>
  <sheetViews>
    <sheetView topLeftCell="A70" workbookViewId="0">
      <selection activeCell="S24" sqref="S24"/>
    </sheetView>
  </sheetViews>
  <sheetFormatPr defaultRowHeight="15"/>
  <cols>
    <col min="1" max="1" width="40.28515625" bestFit="1" customWidth="1"/>
    <col min="2" max="2" width="14.42578125" customWidth="1"/>
    <col min="3" max="5" width="12.7109375" customWidth="1"/>
    <col min="6" max="6" width="12.7109375" bestFit="1" customWidth="1"/>
    <col min="7" max="13" width="12.7109375" customWidth="1"/>
    <col min="14" max="14" width="15.140625" customWidth="1"/>
    <col min="15" max="15" width="12.42578125" customWidth="1"/>
    <col min="16" max="16" width="11.85546875" customWidth="1"/>
    <col min="17" max="17" width="17" customWidth="1"/>
    <col min="18" max="18" width="14.140625" customWidth="1"/>
    <col min="19" max="19" width="14.28515625" bestFit="1" customWidth="1"/>
    <col min="20" max="20" width="12.7109375" customWidth="1"/>
    <col min="21" max="21" width="13.85546875" bestFit="1" customWidth="1"/>
  </cols>
  <sheetData>
    <row r="1" spans="1:24" ht="20.100000000000001" customHeight="1">
      <c r="A1" s="426" t="s">
        <v>0</v>
      </c>
      <c r="B1" s="428" t="s">
        <v>1</v>
      </c>
      <c r="C1" s="430" t="s">
        <v>2</v>
      </c>
      <c r="D1" s="422" t="s">
        <v>3</v>
      </c>
      <c r="E1" s="422" t="s">
        <v>4</v>
      </c>
      <c r="F1" s="422" t="s">
        <v>5</v>
      </c>
      <c r="G1" s="422" t="s">
        <v>6</v>
      </c>
      <c r="H1" s="424" t="s">
        <v>7</v>
      </c>
      <c r="I1" s="422" t="s">
        <v>8</v>
      </c>
      <c r="J1" s="422" t="s">
        <v>9</v>
      </c>
      <c r="K1" s="422" t="s">
        <v>10</v>
      </c>
      <c r="L1" s="422" t="s">
        <v>11</v>
      </c>
      <c r="M1" s="422" t="s">
        <v>12</v>
      </c>
      <c r="N1" s="424" t="s">
        <v>13</v>
      </c>
      <c r="O1" s="424" t="s">
        <v>14</v>
      </c>
      <c r="P1" s="424" t="s">
        <v>64</v>
      </c>
      <c r="Q1" s="424" t="s">
        <v>62</v>
      </c>
      <c r="R1" s="424" t="s">
        <v>61</v>
      </c>
      <c r="S1" s="428" t="s">
        <v>15</v>
      </c>
      <c r="V1" s="420" t="s">
        <v>16</v>
      </c>
      <c r="W1" s="420"/>
    </row>
    <row r="2" spans="1:24" ht="20.100000000000001" customHeight="1">
      <c r="A2" s="427"/>
      <c r="B2" s="429"/>
      <c r="C2" s="429"/>
      <c r="D2" s="431"/>
      <c r="E2" s="431"/>
      <c r="F2" s="423"/>
      <c r="G2" s="423"/>
      <c r="H2" s="425"/>
      <c r="I2" s="423"/>
      <c r="J2" s="423"/>
      <c r="K2" s="423"/>
      <c r="L2" s="423"/>
      <c r="M2" s="423"/>
      <c r="N2" s="425"/>
      <c r="O2" s="425"/>
      <c r="P2" s="425"/>
      <c r="Q2" s="425"/>
      <c r="R2" s="425"/>
      <c r="S2" s="429"/>
    </row>
    <row r="3" spans="1:24" ht="20.100000000000001" customHeight="1">
      <c r="A3" s="1" t="s">
        <v>17</v>
      </c>
      <c r="B3" s="2">
        <v>33000000</v>
      </c>
      <c r="C3" s="3">
        <v>65143328.030000001</v>
      </c>
      <c r="D3" s="4">
        <v>162482670</v>
      </c>
      <c r="E3" s="4">
        <v>57304000</v>
      </c>
      <c r="F3" s="4">
        <v>149999784</v>
      </c>
      <c r="G3" s="4">
        <v>186777525</v>
      </c>
      <c r="H3" s="4">
        <v>16510059.279999999</v>
      </c>
      <c r="I3" s="4">
        <v>34207969</v>
      </c>
      <c r="J3" s="4">
        <v>15492289.890000001</v>
      </c>
      <c r="K3" s="4">
        <v>288918027</v>
      </c>
      <c r="L3" s="4">
        <v>144891598</v>
      </c>
      <c r="M3" s="4">
        <v>35402400</v>
      </c>
      <c r="N3" s="4">
        <v>103000000</v>
      </c>
      <c r="O3" s="4">
        <v>116000000</v>
      </c>
      <c r="P3" s="4">
        <v>37657920</v>
      </c>
      <c r="Q3" s="4">
        <v>128555539.35860059</v>
      </c>
      <c r="R3" s="4">
        <v>3312000</v>
      </c>
      <c r="S3" s="5">
        <f>SUM(B3:R3)</f>
        <v>1578655109.5586004</v>
      </c>
      <c r="X3" s="6"/>
    </row>
    <row r="4" spans="1:24" ht="20.100000000000001" customHeight="1">
      <c r="A4" s="1" t="s">
        <v>18</v>
      </c>
      <c r="B4" s="3">
        <v>27627323</v>
      </c>
      <c r="C4" s="3">
        <v>32038401</v>
      </c>
      <c r="D4" s="3">
        <v>13311632.409999996</v>
      </c>
      <c r="E4" s="3">
        <v>42269205</v>
      </c>
      <c r="F4" s="3">
        <v>36874316</v>
      </c>
      <c r="G4" s="3">
        <v>-28777525</v>
      </c>
      <c r="H4" s="3">
        <v>0</v>
      </c>
      <c r="I4" s="3">
        <v>32427521</v>
      </c>
      <c r="J4" s="3">
        <v>19181531</v>
      </c>
      <c r="K4" s="3">
        <v>0</v>
      </c>
      <c r="L4" s="3">
        <v>0</v>
      </c>
      <c r="M4" s="3">
        <v>387328262</v>
      </c>
      <c r="N4" s="3">
        <v>0</v>
      </c>
      <c r="O4" s="3">
        <v>0</v>
      </c>
      <c r="P4" s="3"/>
      <c r="Q4" s="3"/>
      <c r="R4" s="3"/>
      <c r="S4" s="5">
        <f>SUM(B4:R4)</f>
        <v>562280666.40999997</v>
      </c>
      <c r="X4" s="7"/>
    </row>
    <row r="5" spans="1:24" ht="20.100000000000001" customHeight="1" thickBot="1">
      <c r="A5" s="8" t="s">
        <v>19</v>
      </c>
      <c r="B5" s="9">
        <f t="shared" ref="B5:Q5" si="0">SUM(B3:B4)</f>
        <v>60627323</v>
      </c>
      <c r="C5" s="9">
        <f t="shared" si="0"/>
        <v>97181729.030000001</v>
      </c>
      <c r="D5" s="9">
        <f t="shared" si="0"/>
        <v>175794302.41</v>
      </c>
      <c r="E5" s="9">
        <f t="shared" si="0"/>
        <v>99573205</v>
      </c>
      <c r="F5" s="9">
        <f t="shared" si="0"/>
        <v>186874100</v>
      </c>
      <c r="G5" s="9">
        <f t="shared" si="0"/>
        <v>158000000</v>
      </c>
      <c r="H5" s="9">
        <f t="shared" si="0"/>
        <v>16510059.279999999</v>
      </c>
      <c r="I5" s="9">
        <f t="shared" si="0"/>
        <v>66635490</v>
      </c>
      <c r="J5" s="9">
        <f t="shared" si="0"/>
        <v>34673820.890000001</v>
      </c>
      <c r="K5" s="9">
        <f t="shared" si="0"/>
        <v>288918027</v>
      </c>
      <c r="L5" s="9">
        <f t="shared" si="0"/>
        <v>144891598</v>
      </c>
      <c r="M5" s="9">
        <f t="shared" si="0"/>
        <v>422730662</v>
      </c>
      <c r="N5" s="9">
        <f t="shared" si="0"/>
        <v>103000000</v>
      </c>
      <c r="O5" s="9">
        <f t="shared" si="0"/>
        <v>116000000</v>
      </c>
      <c r="P5" s="9">
        <f>SUM(P3:P4)</f>
        <v>37657920</v>
      </c>
      <c r="Q5" s="9">
        <f t="shared" si="0"/>
        <v>128555539.35860059</v>
      </c>
      <c r="R5" s="9">
        <f>SUM(R3:R4)</f>
        <v>3312000</v>
      </c>
      <c r="S5" s="10">
        <f>SUM(S3:S4)</f>
        <v>2140935775.9686003</v>
      </c>
      <c r="T5" s="11" t="s">
        <v>20</v>
      </c>
      <c r="U5" s="6"/>
      <c r="X5" s="12"/>
    </row>
    <row r="6" spans="1:24" ht="20.100000000000001" customHeight="1" thickTop="1">
      <c r="A6" s="13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5"/>
      <c r="W6" s="6"/>
      <c r="X6" s="16"/>
    </row>
    <row r="7" spans="1:24" ht="20.100000000000001" customHeight="1">
      <c r="A7" s="1" t="s">
        <v>21</v>
      </c>
      <c r="B7" s="3">
        <v>30000000</v>
      </c>
      <c r="C7" s="3">
        <v>63597605.63170369</v>
      </c>
      <c r="D7" s="3">
        <v>157051086</v>
      </c>
      <c r="E7" s="3">
        <v>55087640</v>
      </c>
      <c r="F7" s="3">
        <v>110000000</v>
      </c>
      <c r="G7" s="3">
        <v>173629627.08250004</v>
      </c>
      <c r="H7" s="3">
        <v>15612624.567045338</v>
      </c>
      <c r="I7" s="3">
        <v>33484323</v>
      </c>
      <c r="J7" s="3">
        <v>13982628</v>
      </c>
      <c r="K7" s="3">
        <v>266252587.52250001</v>
      </c>
      <c r="L7" s="3">
        <v>137108129</v>
      </c>
      <c r="M7" s="3">
        <v>31526907</v>
      </c>
      <c r="N7" s="3">
        <v>95465467</v>
      </c>
      <c r="O7" s="3">
        <v>105254776</v>
      </c>
      <c r="P7" s="3">
        <v>34313058</v>
      </c>
      <c r="Q7" s="3">
        <v>114041436.62099126</v>
      </c>
      <c r="R7" s="3">
        <v>2544000</v>
      </c>
      <c r="S7" s="5">
        <f>SUM(B7:R7)</f>
        <v>1438951895.4247403</v>
      </c>
      <c r="T7" s="6" t="s">
        <v>20</v>
      </c>
      <c r="W7" s="6"/>
      <c r="X7" s="17"/>
    </row>
    <row r="8" spans="1:24" ht="20.100000000000001" customHeight="1">
      <c r="A8" s="18" t="s">
        <v>22</v>
      </c>
      <c r="B8" s="3">
        <v>20000000</v>
      </c>
      <c r="C8" s="3">
        <v>28402394</v>
      </c>
      <c r="D8" s="3">
        <v>21966159.532740533</v>
      </c>
      <c r="E8" s="3">
        <f>39208040.5305692+793982</f>
        <v>40002022.530569203</v>
      </c>
      <c r="F8" s="3">
        <v>84096.5</v>
      </c>
      <c r="G8" s="3">
        <v>-26751778.26725845</v>
      </c>
      <c r="H8" s="3">
        <v>0</v>
      </c>
      <c r="I8" s="3">
        <v>29184769</v>
      </c>
      <c r="J8" s="3">
        <v>17312367.270934664</v>
      </c>
      <c r="K8" s="3">
        <v>0</v>
      </c>
      <c r="L8" s="3">
        <v>0</v>
      </c>
      <c r="M8" s="3">
        <v>347021779.13362002</v>
      </c>
      <c r="N8" s="3">
        <v>0</v>
      </c>
      <c r="O8" s="3">
        <v>0</v>
      </c>
      <c r="P8" s="3"/>
      <c r="Q8" s="3"/>
      <c r="R8" s="3"/>
      <c r="S8" s="5">
        <f>SUM(B8:R8)</f>
        <v>477221809.70060599</v>
      </c>
      <c r="U8" s="19" t="s">
        <v>20</v>
      </c>
      <c r="V8" s="11"/>
      <c r="X8" s="17"/>
    </row>
    <row r="9" spans="1:24" ht="20.100000000000001" customHeight="1" thickBot="1">
      <c r="A9" s="8" t="s">
        <v>23</v>
      </c>
      <c r="B9" s="9">
        <f>SUM(B7:B8)</f>
        <v>50000000</v>
      </c>
      <c r="C9" s="9">
        <f>SUM(C7:C8)</f>
        <v>91999999.63170369</v>
      </c>
      <c r="D9" s="9">
        <f>SUM(D7:D8)</f>
        <v>179017245.53274053</v>
      </c>
      <c r="E9" s="9">
        <f>SUM(E7:E8)</f>
        <v>95089662.530569196</v>
      </c>
      <c r="F9" s="9">
        <f>SUM(F7:F8)</f>
        <v>110084096.5</v>
      </c>
      <c r="G9" s="9">
        <f t="shared" ref="G9:Q9" si="1">SUM(G7:G8)</f>
        <v>146877848.81524158</v>
      </c>
      <c r="H9" s="9">
        <f t="shared" si="1"/>
        <v>15612624.567045338</v>
      </c>
      <c r="I9" s="9">
        <f t="shared" si="1"/>
        <v>62669092</v>
      </c>
      <c r="J9" s="9">
        <f t="shared" si="1"/>
        <v>31294995.270934664</v>
      </c>
      <c r="K9" s="9">
        <f t="shared" si="1"/>
        <v>266252587.52250001</v>
      </c>
      <c r="L9" s="9">
        <f t="shared" si="1"/>
        <v>137108129</v>
      </c>
      <c r="M9" s="9">
        <f t="shared" si="1"/>
        <v>378548686.13362002</v>
      </c>
      <c r="N9" s="9">
        <f t="shared" si="1"/>
        <v>95465467</v>
      </c>
      <c r="O9" s="9">
        <f t="shared" si="1"/>
        <v>105254776</v>
      </c>
      <c r="P9" s="9">
        <f>SUM(P7:P8)</f>
        <v>34313058</v>
      </c>
      <c r="Q9" s="9">
        <f t="shared" si="1"/>
        <v>114041436.62099126</v>
      </c>
      <c r="R9" s="9">
        <f>SUM(R7:R8)</f>
        <v>2544000</v>
      </c>
      <c r="S9" s="10">
        <f>SUM(S7:S8)</f>
        <v>1916173705.1253462</v>
      </c>
      <c r="T9" s="11"/>
      <c r="U9" s="6"/>
      <c r="X9" s="16"/>
    </row>
    <row r="10" spans="1:24" ht="20.100000000000001" customHeight="1" thickTop="1">
      <c r="A10" s="20" t="s">
        <v>24</v>
      </c>
      <c r="B10" s="21">
        <f t="shared" ref="B10:P10" si="2">B5-B9</f>
        <v>10627323</v>
      </c>
      <c r="C10" s="21">
        <f t="shared" si="2"/>
        <v>5181729.3982963115</v>
      </c>
      <c r="D10" s="21">
        <f t="shared" si="2"/>
        <v>-3222943.1227405369</v>
      </c>
      <c r="E10" s="21">
        <f t="shared" si="2"/>
        <v>4483542.4694308043</v>
      </c>
      <c r="F10" s="21">
        <f t="shared" si="2"/>
        <v>76790003.5</v>
      </c>
      <c r="G10" s="21">
        <f t="shared" si="2"/>
        <v>11122151.184758425</v>
      </c>
      <c r="H10" s="21">
        <f t="shared" si="2"/>
        <v>897434.71295466088</v>
      </c>
      <c r="I10" s="21">
        <f t="shared" si="2"/>
        <v>3966398</v>
      </c>
      <c r="J10" s="21">
        <f t="shared" si="2"/>
        <v>3378825.6190653369</v>
      </c>
      <c r="K10" s="21">
        <f t="shared" si="2"/>
        <v>22665439.477499992</v>
      </c>
      <c r="L10" s="21">
        <f t="shared" si="2"/>
        <v>7783469</v>
      </c>
      <c r="M10" s="21">
        <f t="shared" si="2"/>
        <v>44181975.866379976</v>
      </c>
      <c r="N10" s="21">
        <f t="shared" si="2"/>
        <v>7534533</v>
      </c>
      <c r="O10" s="21">
        <f t="shared" si="2"/>
        <v>10745224</v>
      </c>
      <c r="P10" s="21">
        <f t="shared" si="2"/>
        <v>3344862</v>
      </c>
      <c r="Q10" s="21">
        <f>Q5-Q9</f>
        <v>14514102.737609327</v>
      </c>
      <c r="R10" s="21">
        <f>R5-R9</f>
        <v>768000</v>
      </c>
      <c r="S10" s="22">
        <f>SUM(B10:R10)</f>
        <v>224762070.8432543</v>
      </c>
      <c r="V10" s="11"/>
      <c r="X10" s="16"/>
    </row>
    <row r="11" spans="1:24" ht="20.100000000000001" customHeight="1">
      <c r="A11" s="1"/>
      <c r="B11" s="2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24"/>
      <c r="U11" s="11"/>
      <c r="X11" s="17"/>
    </row>
    <row r="12" spans="1:24" ht="20.100000000000001" customHeight="1">
      <c r="A12" s="18" t="s">
        <v>25</v>
      </c>
      <c r="B12" s="3">
        <v>47932563.871178709</v>
      </c>
      <c r="C12" s="3">
        <v>84545900.204888374</v>
      </c>
      <c r="D12" s="3">
        <v>155682611.54478461</v>
      </c>
      <c r="E12" s="3">
        <v>36325080.791289553</v>
      </c>
      <c r="F12" s="3">
        <v>88445914.055211455</v>
      </c>
      <c r="G12" s="3">
        <v>60816719.235740691</v>
      </c>
      <c r="H12" s="3">
        <v>7577984.8528124634</v>
      </c>
      <c r="I12" s="3">
        <v>12220225.726490799</v>
      </c>
      <c r="J12" s="3">
        <v>13885758.799601741</v>
      </c>
      <c r="K12" s="3">
        <v>42296563.127918445</v>
      </c>
      <c r="L12" s="3">
        <v>21503119.256620791</v>
      </c>
      <c r="M12" s="3">
        <v>32080291.608869329</v>
      </c>
      <c r="N12" s="3">
        <v>11225623.298316371</v>
      </c>
      <c r="O12" s="3">
        <v>1248305.75</v>
      </c>
      <c r="P12" s="3">
        <v>0</v>
      </c>
      <c r="Q12" s="3">
        <v>0</v>
      </c>
      <c r="R12" s="3">
        <v>0</v>
      </c>
      <c r="S12" s="5">
        <f>SUM(B12:R12)</f>
        <v>615786662.12372327</v>
      </c>
      <c r="X12" s="25"/>
    </row>
    <row r="13" spans="1:24" ht="20.100000000000001" customHeight="1">
      <c r="A13" s="18" t="s">
        <v>26</v>
      </c>
      <c r="B13" s="3">
        <f>$N$111</f>
        <v>8659090.5199999996</v>
      </c>
      <c r="C13" s="3">
        <f>$N$112</f>
        <v>4022009.36</v>
      </c>
      <c r="D13" s="3">
        <f>$N$113</f>
        <v>12537753.469999999</v>
      </c>
      <c r="E13" s="3">
        <f>$N$114</f>
        <v>20050517.640000001</v>
      </c>
      <c r="F13" s="3">
        <f>$N$115</f>
        <v>10077512.93</v>
      </c>
      <c r="G13" s="3">
        <f>$N$116</f>
        <v>38274642.200000003</v>
      </c>
      <c r="H13" s="3">
        <f>$N$117</f>
        <v>3233659.82</v>
      </c>
      <c r="I13" s="3">
        <f>$N$118</f>
        <v>15270253.040000001</v>
      </c>
      <c r="J13" s="3">
        <f>$N$119</f>
        <v>10913638.620000001</v>
      </c>
      <c r="K13" s="3">
        <f>$N$120</f>
        <v>38490250.93</v>
      </c>
      <c r="L13" s="3">
        <f>$N$121</f>
        <v>22737334.530000001</v>
      </c>
      <c r="M13" s="3">
        <f>$N$122</f>
        <v>91498513.709999993</v>
      </c>
      <c r="N13" s="3">
        <f>$N$123</f>
        <v>21096278.359999999</v>
      </c>
      <c r="O13" s="3">
        <f>$N$124</f>
        <v>11993734.619999999</v>
      </c>
      <c r="P13" s="3">
        <f>$N$127</f>
        <v>259327</v>
      </c>
      <c r="Q13" s="3">
        <f>$N$126</f>
        <v>1764978.77</v>
      </c>
      <c r="R13" s="3">
        <f>$N$125</f>
        <v>209382</v>
      </c>
      <c r="S13" s="5">
        <f>SUM(B13:R13)</f>
        <v>311088877.51999998</v>
      </c>
      <c r="U13" s="11" t="s">
        <v>20</v>
      </c>
      <c r="X13" s="16"/>
    </row>
    <row r="14" spans="1:24" ht="20.100000000000001" customHeight="1">
      <c r="A14" s="1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26"/>
      <c r="X14" s="16"/>
    </row>
    <row r="15" spans="1:24" ht="20.100000000000001" customHeight="1">
      <c r="A15" s="27" t="s">
        <v>27</v>
      </c>
      <c r="B15" s="28">
        <f t="shared" ref="B15:S15" si="3">B12/B9</f>
        <v>0.95865127742357414</v>
      </c>
      <c r="C15" s="29">
        <f t="shared" si="3"/>
        <v>0.91897717981895954</v>
      </c>
      <c r="D15" s="28">
        <f t="shared" si="3"/>
        <v>0.86965147453523828</v>
      </c>
      <c r="E15" s="28">
        <f t="shared" si="3"/>
        <v>0.38200872549749404</v>
      </c>
      <c r="F15" s="28">
        <f t="shared" si="3"/>
        <v>0.80343952366644944</v>
      </c>
      <c r="G15" s="28">
        <f t="shared" si="3"/>
        <v>0.41406324865393668</v>
      </c>
      <c r="H15" s="28">
        <f t="shared" si="3"/>
        <v>0.48537546139473869</v>
      </c>
      <c r="I15" s="28">
        <f t="shared" si="3"/>
        <v>0.19499605525624655</v>
      </c>
      <c r="J15" s="28">
        <f t="shared" si="3"/>
        <v>0.44370541293860455</v>
      </c>
      <c r="K15" s="28">
        <f t="shared" si="3"/>
        <v>0.15885878714453477</v>
      </c>
      <c r="L15" s="28">
        <f t="shared" ref="L15:R15" si="4">L12/L9</f>
        <v>0.15683329218664191</v>
      </c>
      <c r="M15" s="28">
        <f t="shared" si="4"/>
        <v>8.4745483960141491E-2</v>
      </c>
      <c r="N15" s="28">
        <f t="shared" si="4"/>
        <v>0.11758831388020519</v>
      </c>
      <c r="O15" s="28">
        <f t="shared" si="4"/>
        <v>1.1859849001056256E-2</v>
      </c>
      <c r="P15" s="28">
        <f t="shared" si="4"/>
        <v>0</v>
      </c>
      <c r="Q15" s="28">
        <f t="shared" si="4"/>
        <v>0</v>
      </c>
      <c r="R15" s="28">
        <f t="shared" si="4"/>
        <v>0</v>
      </c>
      <c r="S15" s="30">
        <f t="shared" si="3"/>
        <v>0.32136265124431485</v>
      </c>
      <c r="X15" s="16"/>
    </row>
    <row r="16" spans="1:24" ht="20.100000000000001" customHeight="1">
      <c r="A16" s="27" t="s">
        <v>28</v>
      </c>
      <c r="B16" s="28">
        <f t="shared" ref="B16:S16" si="5">B13/B9</f>
        <v>0.1731818104</v>
      </c>
      <c r="C16" s="29">
        <f t="shared" si="5"/>
        <v>4.3717493218489036E-2</v>
      </c>
      <c r="D16" s="28">
        <f t="shared" si="5"/>
        <v>7.0036567888689602E-2</v>
      </c>
      <c r="E16" s="28">
        <f t="shared" si="5"/>
        <v>0.21085906823524805</v>
      </c>
      <c r="F16" s="28">
        <f t="shared" si="5"/>
        <v>9.1543767450550859E-2</v>
      </c>
      <c r="G16" s="28">
        <f t="shared" si="5"/>
        <v>0.26058825417674708</v>
      </c>
      <c r="H16" s="28">
        <f t="shared" si="5"/>
        <v>0.20711827189039775</v>
      </c>
      <c r="I16" s="28">
        <f t="shared" si="5"/>
        <v>0.24366482029131684</v>
      </c>
      <c r="J16" s="28">
        <f t="shared" si="5"/>
        <v>0.34873431120585857</v>
      </c>
      <c r="K16" s="28">
        <f t="shared" si="5"/>
        <v>0.14456291782233791</v>
      </c>
      <c r="L16" s="28">
        <f t="shared" ref="L16:R16" si="6">L13/L9</f>
        <v>0.16583505803656617</v>
      </c>
      <c r="M16" s="28">
        <f t="shared" si="6"/>
        <v>0.24170870765538166</v>
      </c>
      <c r="N16" s="28">
        <f t="shared" si="6"/>
        <v>0.22098334636544542</v>
      </c>
      <c r="O16" s="28">
        <f t="shared" si="6"/>
        <v>0.11394955246496367</v>
      </c>
      <c r="P16" s="28">
        <f t="shared" si="6"/>
        <v>7.5576767305321488E-3</v>
      </c>
      <c r="Q16" s="28">
        <f t="shared" si="6"/>
        <v>1.5476644474988364E-2</v>
      </c>
      <c r="R16" s="28">
        <f t="shared" si="6"/>
        <v>8.230424528301887E-2</v>
      </c>
      <c r="S16" s="30">
        <f t="shared" si="5"/>
        <v>0.16234899617289664</v>
      </c>
      <c r="X16" s="16"/>
    </row>
    <row r="17" spans="1:24" ht="20.100000000000001" customHeight="1">
      <c r="A17" s="31" t="s">
        <v>29</v>
      </c>
      <c r="B17" s="32">
        <f t="shared" ref="B17:S17" si="7">SUM(B15:B16)</f>
        <v>1.1318330878235741</v>
      </c>
      <c r="C17" s="33">
        <f t="shared" si="7"/>
        <v>0.9626946730374486</v>
      </c>
      <c r="D17" s="32">
        <f t="shared" si="7"/>
        <v>0.93968804242392789</v>
      </c>
      <c r="E17" s="32">
        <f t="shared" si="7"/>
        <v>0.59286779373274212</v>
      </c>
      <c r="F17" s="32">
        <f t="shared" si="7"/>
        <v>0.89498329111700026</v>
      </c>
      <c r="G17" s="32">
        <f t="shared" si="7"/>
        <v>0.67465150283068376</v>
      </c>
      <c r="H17" s="32">
        <f t="shared" si="7"/>
        <v>0.69249373328513641</v>
      </c>
      <c r="I17" s="32">
        <f t="shared" si="7"/>
        <v>0.43866087554756339</v>
      </c>
      <c r="J17" s="32">
        <f t="shared" si="7"/>
        <v>0.79243972414446318</v>
      </c>
      <c r="K17" s="32">
        <f t="shared" si="7"/>
        <v>0.30342170496687271</v>
      </c>
      <c r="L17" s="32">
        <f t="shared" ref="L17:R17" si="8">SUM(L15:L16)</f>
        <v>0.32266835022320806</v>
      </c>
      <c r="M17" s="32">
        <f t="shared" si="8"/>
        <v>0.32645419161552314</v>
      </c>
      <c r="N17" s="32">
        <f t="shared" si="8"/>
        <v>0.33857166024565061</v>
      </c>
      <c r="O17" s="32">
        <f t="shared" si="8"/>
        <v>0.12580940146601993</v>
      </c>
      <c r="P17" s="32">
        <f t="shared" si="8"/>
        <v>7.5576767305321488E-3</v>
      </c>
      <c r="Q17" s="32">
        <f t="shared" si="8"/>
        <v>1.5476644474988364E-2</v>
      </c>
      <c r="R17" s="32">
        <f t="shared" si="8"/>
        <v>8.230424528301887E-2</v>
      </c>
      <c r="S17" s="34">
        <f t="shared" si="7"/>
        <v>0.48371164741721151</v>
      </c>
      <c r="X17" s="35"/>
    </row>
    <row r="18" spans="1:24" ht="20.100000000000001" customHeight="1">
      <c r="A18" s="20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24"/>
      <c r="X18" s="35"/>
    </row>
    <row r="19" spans="1:24" ht="20.100000000000001" customHeight="1">
      <c r="A19" s="31" t="s">
        <v>30</v>
      </c>
      <c r="B19" s="3">
        <f t="shared" ref="B19:K19" si="9">B17*B5</f>
        <v>68620010.197567195</v>
      </c>
      <c r="C19" s="4">
        <f t="shared" si="9"/>
        <v>93556332.853749782</v>
      </c>
      <c r="D19" s="4">
        <f t="shared" si="9"/>
        <v>165191803.90093288</v>
      </c>
      <c r="E19" s="4">
        <f t="shared" si="9"/>
        <v>59033746.363248043</v>
      </c>
      <c r="F19" s="4">
        <f t="shared" si="9"/>
        <v>167249197.04252741</v>
      </c>
      <c r="G19" s="4">
        <f t="shared" si="9"/>
        <v>106594937.44724803</v>
      </c>
      <c r="H19" s="4">
        <f t="shared" si="9"/>
        <v>11433112.587566111</v>
      </c>
      <c r="I19" s="4">
        <f t="shared" si="9"/>
        <v>29230382.385940906</v>
      </c>
      <c r="J19" s="4">
        <f t="shared" si="9"/>
        <v>27476913.061106127</v>
      </c>
      <c r="K19" s="4">
        <f t="shared" si="9"/>
        <v>87664000.348004967</v>
      </c>
      <c r="L19" s="4">
        <f t="shared" ref="L19:R19" si="10">L17*L5</f>
        <v>46751932.887864269</v>
      </c>
      <c r="M19" s="4">
        <f t="shared" si="10"/>
        <v>138002196.53430495</v>
      </c>
      <c r="N19" s="4">
        <f t="shared" si="10"/>
        <v>34872881.005302012</v>
      </c>
      <c r="O19" s="4">
        <f t="shared" si="10"/>
        <v>14593890.570058312</v>
      </c>
      <c r="P19" s="4">
        <f t="shared" si="10"/>
        <v>284606.38570424123</v>
      </c>
      <c r="Q19" s="4">
        <f t="shared" si="10"/>
        <v>1989608.377943435</v>
      </c>
      <c r="R19" s="4">
        <f t="shared" si="10"/>
        <v>272591.66037735849</v>
      </c>
      <c r="S19" s="5">
        <f t="shared" ref="S19:S24" si="11">SUM(B19:R19)</f>
        <v>1052818143.609446</v>
      </c>
      <c r="X19" s="36"/>
    </row>
    <row r="20" spans="1:24" ht="20.100000000000001" customHeight="1">
      <c r="A20" s="37">
        <v>2015</v>
      </c>
      <c r="B20" s="3">
        <v>21550245.035993785</v>
      </c>
      <c r="C20" s="3">
        <v>58330254.273919702</v>
      </c>
      <c r="D20" s="3">
        <v>131211720.3057501</v>
      </c>
      <c r="E20" s="3">
        <v>37462470.465750702</v>
      </c>
      <c r="F20" s="3">
        <v>150142037.88959643</v>
      </c>
      <c r="G20" s="3">
        <v>65421993.287321992</v>
      </c>
      <c r="H20" s="3">
        <v>8013577.6406844873</v>
      </c>
      <c r="I20" s="3">
        <v>12993657.690067064</v>
      </c>
      <c r="J20" s="3">
        <v>15384962.016156662</v>
      </c>
      <c r="K20" s="3">
        <v>45897167.35341195</v>
      </c>
      <c r="L20" s="3">
        <v>22723826.32452346</v>
      </c>
      <c r="M20" s="3">
        <v>35824514.535980992</v>
      </c>
      <c r="N20" s="3">
        <v>12111596.329661135</v>
      </c>
      <c r="O20" s="3">
        <v>1375742.4841225257</v>
      </c>
      <c r="P20" s="3">
        <v>0</v>
      </c>
      <c r="Q20" s="3">
        <v>0</v>
      </c>
      <c r="R20" s="3">
        <v>0</v>
      </c>
      <c r="S20" s="5">
        <f t="shared" si="11"/>
        <v>618443765.63294089</v>
      </c>
      <c r="X20" s="16"/>
    </row>
    <row r="21" spans="1:24" ht="20.100000000000001" customHeight="1">
      <c r="A21" s="37">
        <v>2014</v>
      </c>
      <c r="B21" s="3">
        <v>27590161</v>
      </c>
      <c r="C21" s="3">
        <v>30977537</v>
      </c>
      <c r="D21" s="3">
        <v>21668054</v>
      </c>
      <c r="E21" s="3">
        <v>575362.67000000004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5">
        <f t="shared" si="11"/>
        <v>80811114.670000002</v>
      </c>
      <c r="X21" s="16"/>
    </row>
    <row r="22" spans="1:24" ht="20.100000000000001" customHeight="1">
      <c r="A22" s="37">
        <v>2013</v>
      </c>
      <c r="B22" s="3">
        <v>5206901.4250000026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5">
        <f t="shared" si="11"/>
        <v>5206901.4250000026</v>
      </c>
      <c r="X22" s="16"/>
    </row>
    <row r="23" spans="1:24" ht="20.100000000000001" customHeight="1">
      <c r="A23" s="37">
        <v>2012</v>
      </c>
      <c r="B23" s="3">
        <v>3773153.1797278509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5">
        <f t="shared" si="11"/>
        <v>3773153.1797278509</v>
      </c>
      <c r="X23" s="16"/>
    </row>
    <row r="24" spans="1:24" ht="15.75" thickBot="1">
      <c r="A24" s="38" t="s">
        <v>31</v>
      </c>
      <c r="B24" s="39">
        <f>B19-B20-B21-B22-B23</f>
        <v>10499549.556845557</v>
      </c>
      <c r="C24" s="39">
        <f t="shared" ref="C24:R24" si="12">C19-C20-C21-C22-C23</f>
        <v>4248541.5798300803</v>
      </c>
      <c r="D24" s="39">
        <f t="shared" si="12"/>
        <v>12312029.595182776</v>
      </c>
      <c r="E24" s="39">
        <f t="shared" si="12"/>
        <v>20995913.227497339</v>
      </c>
      <c r="F24" s="39">
        <f t="shared" si="12"/>
        <v>17107159.152930975</v>
      </c>
      <c r="G24" s="39">
        <f t="shared" si="12"/>
        <v>41172944.159926035</v>
      </c>
      <c r="H24" s="39">
        <f t="shared" si="12"/>
        <v>3419534.9468816239</v>
      </c>
      <c r="I24" s="39">
        <f t="shared" si="12"/>
        <v>16236724.695873842</v>
      </c>
      <c r="J24" s="39">
        <f t="shared" si="12"/>
        <v>12091951.044949464</v>
      </c>
      <c r="K24" s="39">
        <f t="shared" si="12"/>
        <v>41766832.994593017</v>
      </c>
      <c r="L24" s="39">
        <f t="shared" si="12"/>
        <v>24028106.563340809</v>
      </c>
      <c r="M24" s="39">
        <f t="shared" si="12"/>
        <v>102177681.99832395</v>
      </c>
      <c r="N24" s="39">
        <f t="shared" si="12"/>
        <v>22761284.675640877</v>
      </c>
      <c r="O24" s="39">
        <f t="shared" si="12"/>
        <v>13218148.085935786</v>
      </c>
      <c r="P24" s="39">
        <f t="shared" si="12"/>
        <v>284606.38570424123</v>
      </c>
      <c r="Q24" s="39">
        <f t="shared" si="12"/>
        <v>1989608.377943435</v>
      </c>
      <c r="R24" s="39">
        <f t="shared" si="12"/>
        <v>272591.66037735849</v>
      </c>
      <c r="S24" s="40">
        <f t="shared" si="11"/>
        <v>344583208.70177722</v>
      </c>
      <c r="X24" s="16"/>
    </row>
    <row r="25" spans="1:24" ht="15.75" thickTop="1">
      <c r="B25" s="41">
        <f t="shared" ref="B25:S25" si="13">B24/B5</f>
        <v>0.17318181039999997</v>
      </c>
      <c r="C25" s="41">
        <f t="shared" si="13"/>
        <v>4.3717493218489202E-2</v>
      </c>
      <c r="D25" s="41">
        <f t="shared" si="13"/>
        <v>7.0036567888689491E-2</v>
      </c>
      <c r="E25" s="41">
        <f t="shared" si="13"/>
        <v>0.21085906823524803</v>
      </c>
      <c r="F25" s="41">
        <f t="shared" si="13"/>
        <v>9.1543767450550803E-2</v>
      </c>
      <c r="G25" s="41">
        <f t="shared" si="13"/>
        <v>0.26058825417674708</v>
      </c>
      <c r="H25" s="41">
        <f t="shared" si="13"/>
        <v>0.20711827189039772</v>
      </c>
      <c r="I25" s="41">
        <f t="shared" si="13"/>
        <v>0.24366482029131686</v>
      </c>
      <c r="J25" s="41">
        <f t="shared" si="13"/>
        <v>0.34873431120585868</v>
      </c>
      <c r="K25" s="41">
        <f t="shared" si="13"/>
        <v>0.14456291782233796</v>
      </c>
      <c r="L25" s="41">
        <f t="shared" si="13"/>
        <v>0.16583505803656612</v>
      </c>
      <c r="M25" s="41">
        <f t="shared" si="13"/>
        <v>0.24170870765538163</v>
      </c>
      <c r="N25" s="41">
        <f t="shared" si="13"/>
        <v>0.22098334636544542</v>
      </c>
      <c r="O25" s="41">
        <f t="shared" si="13"/>
        <v>0.11394955246496367</v>
      </c>
      <c r="P25" s="41">
        <f t="shared" si="13"/>
        <v>7.5576767305321488E-3</v>
      </c>
      <c r="Q25" s="41">
        <f t="shared" si="13"/>
        <v>1.5476644474988364E-2</v>
      </c>
      <c r="R25" s="41">
        <f t="shared" si="13"/>
        <v>8.230424528301887E-2</v>
      </c>
      <c r="S25" s="41">
        <f t="shared" si="13"/>
        <v>0.16094981109177886</v>
      </c>
      <c r="X25" s="16"/>
    </row>
    <row r="26" spans="1:24"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>
        <f>S24-N49</f>
        <v>33005027.081777215</v>
      </c>
      <c r="X26" s="25"/>
    </row>
    <row r="27" spans="1:24" ht="20.100000000000001" customHeight="1">
      <c r="A27" s="421" t="s">
        <v>32</v>
      </c>
      <c r="B27" s="421"/>
      <c r="C27" s="421"/>
      <c r="D27" s="421"/>
      <c r="E27" s="421"/>
      <c r="F27" s="421"/>
      <c r="G27" s="421"/>
      <c r="H27" s="421"/>
      <c r="I27" s="421"/>
      <c r="J27" s="421"/>
      <c r="K27" s="421"/>
      <c r="L27" s="421"/>
      <c r="M27" s="421"/>
      <c r="N27" s="421"/>
    </row>
    <row r="28" spans="1:24">
      <c r="A28" s="42" t="s">
        <v>33</v>
      </c>
      <c r="B28" s="432">
        <v>42370</v>
      </c>
      <c r="C28" s="432">
        <v>42401</v>
      </c>
      <c r="D28" s="432">
        <v>42430</v>
      </c>
      <c r="E28" s="432">
        <v>42461</v>
      </c>
      <c r="F28" s="432">
        <v>42491</v>
      </c>
      <c r="G28" s="432">
        <v>42522</v>
      </c>
      <c r="H28" s="432">
        <v>42552</v>
      </c>
      <c r="I28" s="432">
        <v>42583</v>
      </c>
      <c r="J28" s="432">
        <v>42614</v>
      </c>
      <c r="K28" s="432">
        <v>42644</v>
      </c>
      <c r="L28" s="432">
        <v>42675</v>
      </c>
      <c r="M28" s="432">
        <v>42705</v>
      </c>
      <c r="N28" s="432" t="s">
        <v>15</v>
      </c>
      <c r="O28" s="43"/>
      <c r="P28" s="43"/>
      <c r="Q28" s="43"/>
      <c r="R28" s="43"/>
      <c r="S28" s="43"/>
      <c r="T28" s="434"/>
    </row>
    <row r="29" spans="1:24" ht="15.75" thickBot="1">
      <c r="A29" s="44" t="s">
        <v>34</v>
      </c>
      <c r="B29" s="433"/>
      <c r="C29" s="433"/>
      <c r="D29" s="433"/>
      <c r="E29" s="433"/>
      <c r="F29" s="433"/>
      <c r="G29" s="433"/>
      <c r="H29" s="433"/>
      <c r="I29" s="433"/>
      <c r="J29" s="433"/>
      <c r="K29" s="433"/>
      <c r="L29" s="433"/>
      <c r="M29" s="433"/>
      <c r="N29" s="433"/>
      <c r="O29" s="43"/>
      <c r="P29" s="43"/>
      <c r="Q29" s="43"/>
      <c r="R29" s="43"/>
      <c r="S29" s="43"/>
      <c r="T29" s="434"/>
    </row>
    <row r="30" spans="1:24" ht="15.75" thickTop="1">
      <c r="A30" s="45" t="s">
        <v>35</v>
      </c>
      <c r="B30" s="46"/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3"/>
      <c r="P30" s="43"/>
      <c r="Q30" s="43"/>
      <c r="R30" s="43"/>
      <c r="S30" s="43"/>
      <c r="T30" s="43"/>
    </row>
    <row r="31" spans="1:24">
      <c r="A31" s="47" t="str">
        <f>B1</f>
        <v>Al Oula</v>
      </c>
      <c r="B31" s="48">
        <v>0</v>
      </c>
      <c r="C31" s="49">
        <v>0</v>
      </c>
      <c r="D31" s="49">
        <v>5147052</v>
      </c>
      <c r="E31" s="49">
        <v>0</v>
      </c>
      <c r="F31" s="49">
        <v>2373550</v>
      </c>
      <c r="G31" s="49">
        <v>0</v>
      </c>
      <c r="H31" s="49">
        <v>0</v>
      </c>
      <c r="I31" s="49">
        <v>0</v>
      </c>
      <c r="J31" s="49">
        <v>0</v>
      </c>
      <c r="K31" s="49">
        <v>0</v>
      </c>
      <c r="L31" s="49">
        <v>0</v>
      </c>
      <c r="M31" s="49">
        <v>0</v>
      </c>
      <c r="N31" s="48">
        <f>SUM(B31:M31)</f>
        <v>7520602</v>
      </c>
      <c r="O31" s="12"/>
      <c r="P31" s="12"/>
      <c r="Q31" s="12"/>
      <c r="R31" s="12"/>
      <c r="S31" s="12"/>
    </row>
    <row r="32" spans="1:24">
      <c r="A32" s="47" t="str">
        <f>C1</f>
        <v>Hyper Al Sulaimaniya</v>
      </c>
      <c r="B32" s="48">
        <v>0</v>
      </c>
      <c r="C32" s="49">
        <v>0</v>
      </c>
      <c r="D32" s="49">
        <v>0</v>
      </c>
      <c r="E32" s="49">
        <v>0</v>
      </c>
      <c r="F32" s="49">
        <v>0</v>
      </c>
      <c r="G32" s="49">
        <v>0</v>
      </c>
      <c r="H32" s="49">
        <v>0</v>
      </c>
      <c r="I32" s="49">
        <v>0</v>
      </c>
      <c r="J32" s="49">
        <v>0</v>
      </c>
      <c r="K32" s="49">
        <v>0</v>
      </c>
      <c r="L32" s="49">
        <v>0</v>
      </c>
      <c r="M32" s="49">
        <v>0</v>
      </c>
      <c r="N32" s="48">
        <f t="shared" ref="N32:N48" si="14">SUM(B32:M32)</f>
        <v>0</v>
      </c>
      <c r="O32" s="12"/>
      <c r="P32" s="12"/>
      <c r="Q32" s="12"/>
      <c r="R32" s="12"/>
      <c r="S32" s="12"/>
    </row>
    <row r="33" spans="1:19">
      <c r="A33" s="47" t="str">
        <f>D1</f>
        <v>New Giza</v>
      </c>
      <c r="B33" s="48">
        <v>4099757.46</v>
      </c>
      <c r="C33" s="49">
        <v>0</v>
      </c>
      <c r="D33" s="49">
        <f>7571664.74-1848060.73</f>
        <v>5723604.0099999998</v>
      </c>
      <c r="E33" s="49">
        <v>486605.53</v>
      </c>
      <c r="F33" s="49">
        <v>2045554</v>
      </c>
      <c r="G33" s="49">
        <v>0</v>
      </c>
      <c r="H33" s="49">
        <v>0</v>
      </c>
      <c r="I33" s="49">
        <v>0</v>
      </c>
      <c r="J33" s="49">
        <v>0</v>
      </c>
      <c r="K33" s="49">
        <v>0</v>
      </c>
      <c r="L33" s="49">
        <v>0</v>
      </c>
      <c r="M33" s="49">
        <v>0</v>
      </c>
      <c r="N33" s="48">
        <f t="shared" si="14"/>
        <v>12355520.999999998</v>
      </c>
      <c r="O33" s="12"/>
      <c r="P33" s="12"/>
      <c r="Q33" s="12"/>
      <c r="R33" s="12"/>
      <c r="S33" s="12"/>
    </row>
    <row r="34" spans="1:19">
      <c r="A34" s="47" t="str">
        <f>E1</f>
        <v>Maxim mall</v>
      </c>
      <c r="B34" s="48">
        <v>2562304.1800000002</v>
      </c>
      <c r="C34" s="49">
        <f>4289375.56+6208410.6</f>
        <v>10497786.16</v>
      </c>
      <c r="D34" s="49">
        <v>3538507.9</v>
      </c>
      <c r="E34" s="49">
        <v>5914679.5800000001</v>
      </c>
      <c r="F34" s="49">
        <v>4894978</v>
      </c>
      <c r="G34" s="49">
        <v>0</v>
      </c>
      <c r="H34" s="49">
        <v>0</v>
      </c>
      <c r="I34" s="49">
        <v>0</v>
      </c>
      <c r="J34" s="49">
        <v>0</v>
      </c>
      <c r="K34" s="49">
        <v>0</v>
      </c>
      <c r="L34" s="49">
        <v>0</v>
      </c>
      <c r="M34" s="49">
        <v>0</v>
      </c>
      <c r="N34" s="48">
        <f t="shared" si="14"/>
        <v>27408255.82</v>
      </c>
      <c r="O34" s="12"/>
      <c r="P34" s="12"/>
      <c r="Q34" s="12"/>
      <c r="R34" s="12"/>
      <c r="S34" s="12"/>
    </row>
    <row r="35" spans="1:19">
      <c r="A35" s="47" t="str">
        <f>F1</f>
        <v>Attaka</v>
      </c>
      <c r="B35" s="48">
        <v>137802</v>
      </c>
      <c r="C35" s="49">
        <f>2732628+10657131</f>
        <v>13389759</v>
      </c>
      <c r="D35" s="49">
        <v>0</v>
      </c>
      <c r="E35" s="49">
        <v>0</v>
      </c>
      <c r="F35" s="49">
        <v>452519</v>
      </c>
      <c r="G35" s="49">
        <v>0</v>
      </c>
      <c r="H35" s="49">
        <v>0</v>
      </c>
      <c r="I35" s="49">
        <v>0</v>
      </c>
      <c r="J35" s="49">
        <v>0</v>
      </c>
      <c r="K35" s="49">
        <v>0</v>
      </c>
      <c r="L35" s="49">
        <v>0</v>
      </c>
      <c r="M35" s="49">
        <v>0</v>
      </c>
      <c r="N35" s="48">
        <f t="shared" si="14"/>
        <v>13980080</v>
      </c>
      <c r="O35" s="12"/>
      <c r="P35" s="12"/>
      <c r="Q35" s="12"/>
      <c r="R35" s="12"/>
      <c r="S35" s="12"/>
    </row>
    <row r="36" spans="1:19">
      <c r="A36" s="47" t="str">
        <f>G1</f>
        <v>مول مصر</v>
      </c>
      <c r="B36" s="48">
        <v>0</v>
      </c>
      <c r="C36" s="49">
        <v>0</v>
      </c>
      <c r="D36" s="49">
        <v>0</v>
      </c>
      <c r="E36" s="49">
        <v>0</v>
      </c>
      <c r="F36" s="49">
        <v>22665950</v>
      </c>
      <c r="G36" s="49">
        <v>0</v>
      </c>
      <c r="H36" s="49">
        <v>0</v>
      </c>
      <c r="I36" s="49">
        <v>0</v>
      </c>
      <c r="J36" s="49">
        <v>0</v>
      </c>
      <c r="K36" s="49">
        <v>0</v>
      </c>
      <c r="L36" s="49">
        <v>0</v>
      </c>
      <c r="M36" s="49">
        <v>0</v>
      </c>
      <c r="N36" s="48">
        <f t="shared" si="14"/>
        <v>22665950</v>
      </c>
      <c r="O36" s="12"/>
      <c r="P36" s="12"/>
      <c r="Q36" s="12"/>
      <c r="R36" s="12"/>
      <c r="S36" s="12"/>
    </row>
    <row r="37" spans="1:19">
      <c r="A37" s="47" t="str">
        <f>H1</f>
        <v>مراسى تانك الخزان الجديد PKG22 New</v>
      </c>
      <c r="B37" s="48">
        <v>857796</v>
      </c>
      <c r="C37" s="49">
        <v>0</v>
      </c>
      <c r="D37" s="49">
        <v>896457</v>
      </c>
      <c r="E37" s="49">
        <v>0</v>
      </c>
      <c r="F37" s="49">
        <v>0</v>
      </c>
      <c r="G37" s="49">
        <v>0</v>
      </c>
      <c r="H37" s="49">
        <v>0</v>
      </c>
      <c r="I37" s="49">
        <v>0</v>
      </c>
      <c r="J37" s="49">
        <v>0</v>
      </c>
      <c r="K37" s="49">
        <v>0</v>
      </c>
      <c r="L37" s="49">
        <v>0</v>
      </c>
      <c r="M37" s="49">
        <v>0</v>
      </c>
      <c r="N37" s="48">
        <f t="shared" si="14"/>
        <v>1754253</v>
      </c>
      <c r="O37" s="12"/>
      <c r="P37" s="12"/>
      <c r="Q37" s="12"/>
      <c r="R37" s="12"/>
      <c r="S37" s="12"/>
    </row>
    <row r="38" spans="1:19">
      <c r="A38" s="47" t="str">
        <f>I1</f>
        <v>نادي سوديك</v>
      </c>
      <c r="B38" s="48">
        <v>5873689.8399999999</v>
      </c>
      <c r="C38" s="49">
        <v>-619050.98</v>
      </c>
      <c r="D38" s="49">
        <v>2692512.76</v>
      </c>
      <c r="E38" s="49">
        <v>2758942.7</v>
      </c>
      <c r="F38" s="49">
        <v>2981570</v>
      </c>
      <c r="G38" s="49">
        <v>0</v>
      </c>
      <c r="H38" s="49">
        <v>0</v>
      </c>
      <c r="I38" s="49">
        <v>0</v>
      </c>
      <c r="J38" s="49">
        <v>0</v>
      </c>
      <c r="K38" s="49">
        <v>0</v>
      </c>
      <c r="L38" s="49">
        <v>0</v>
      </c>
      <c r="M38" s="49">
        <v>0</v>
      </c>
      <c r="N38" s="48">
        <f t="shared" si="14"/>
        <v>13687664.32</v>
      </c>
      <c r="O38" s="12"/>
      <c r="P38" s="12"/>
      <c r="Q38" s="12"/>
      <c r="R38" s="12"/>
      <c r="S38" s="12"/>
    </row>
    <row r="39" spans="1:19">
      <c r="A39" s="47" t="str">
        <f>J1</f>
        <v>شرم الشيخ</v>
      </c>
      <c r="B39" s="48">
        <v>2509177</v>
      </c>
      <c r="C39" s="49">
        <v>2945219</v>
      </c>
      <c r="D39" s="49">
        <v>0</v>
      </c>
      <c r="E39" s="49">
        <v>2147092</v>
      </c>
      <c r="F39" s="49">
        <v>5372540</v>
      </c>
      <c r="G39" s="49">
        <v>0</v>
      </c>
      <c r="H39" s="49">
        <v>0</v>
      </c>
      <c r="I39" s="49">
        <v>0</v>
      </c>
      <c r="J39" s="49">
        <v>0</v>
      </c>
      <c r="K39" s="49">
        <v>0</v>
      </c>
      <c r="L39" s="49">
        <v>0</v>
      </c>
      <c r="M39" s="49">
        <v>0</v>
      </c>
      <c r="N39" s="48">
        <f t="shared" si="14"/>
        <v>12974028</v>
      </c>
      <c r="O39" s="12"/>
      <c r="P39" s="12"/>
      <c r="Q39" s="12"/>
      <c r="R39" s="12"/>
      <c r="S39" s="12"/>
    </row>
    <row r="40" spans="1:19">
      <c r="A40" s="47" t="str">
        <f>K1</f>
        <v>عمائر اب تاون 53</v>
      </c>
      <c r="B40" s="48">
        <v>10056533.76</v>
      </c>
      <c r="C40" s="49">
        <v>6046517.9800000004</v>
      </c>
      <c r="D40" s="49">
        <v>0</v>
      </c>
      <c r="E40" s="49">
        <v>9769442.3499999996</v>
      </c>
      <c r="F40" s="49">
        <v>9548964</v>
      </c>
      <c r="G40" s="49">
        <v>0</v>
      </c>
      <c r="H40" s="49">
        <v>0</v>
      </c>
      <c r="I40" s="49">
        <v>0</v>
      </c>
      <c r="J40" s="49">
        <v>0</v>
      </c>
      <c r="K40" s="49">
        <v>0</v>
      </c>
      <c r="L40" s="49">
        <v>0</v>
      </c>
      <c r="M40" s="49">
        <v>0</v>
      </c>
      <c r="N40" s="48">
        <f t="shared" si="14"/>
        <v>35421458.090000004</v>
      </c>
      <c r="O40" s="12"/>
      <c r="P40" s="12"/>
      <c r="Q40" s="12"/>
      <c r="R40" s="12"/>
      <c r="S40" s="12"/>
    </row>
    <row r="41" spans="1:19">
      <c r="A41" s="47" t="str">
        <f>L1</f>
        <v>New Giza phase 2</v>
      </c>
      <c r="B41" s="48">
        <v>5682154.3300000001</v>
      </c>
      <c r="C41" s="49">
        <v>5746118.2999999998</v>
      </c>
      <c r="D41" s="49">
        <v>5473408.6500000004</v>
      </c>
      <c r="E41" s="49">
        <v>3968781</v>
      </c>
      <c r="F41" s="49">
        <v>7884396</v>
      </c>
      <c r="G41" s="49">
        <v>0</v>
      </c>
      <c r="H41" s="49">
        <v>0</v>
      </c>
      <c r="I41" s="49">
        <v>0</v>
      </c>
      <c r="J41" s="49">
        <v>0</v>
      </c>
      <c r="K41" s="49">
        <v>0</v>
      </c>
      <c r="L41" s="49">
        <v>0</v>
      </c>
      <c r="M41" s="49">
        <v>0</v>
      </c>
      <c r="N41" s="48">
        <f t="shared" si="14"/>
        <v>28754858.280000001</v>
      </c>
      <c r="O41" s="12"/>
      <c r="P41" s="12"/>
      <c r="Q41" s="12"/>
      <c r="R41" s="12"/>
      <c r="S41" s="12"/>
    </row>
    <row r="42" spans="1:19">
      <c r="A42" s="47" t="str">
        <f>M1</f>
        <v>Beni suef</v>
      </c>
      <c r="B42" s="48">
        <v>-376305.89</v>
      </c>
      <c r="C42" s="49">
        <f>2077186+14501814</f>
        <v>16579000</v>
      </c>
      <c r="D42" s="49">
        <f>27451033</f>
        <v>27451033</v>
      </c>
      <c r="E42" s="49">
        <v>40278342</v>
      </c>
      <c r="F42" s="49">
        <v>27877387</v>
      </c>
      <c r="G42" s="49">
        <v>0</v>
      </c>
      <c r="H42" s="49">
        <v>0</v>
      </c>
      <c r="I42" s="49">
        <v>0</v>
      </c>
      <c r="J42" s="49">
        <v>0</v>
      </c>
      <c r="K42" s="49">
        <v>0</v>
      </c>
      <c r="L42" s="49">
        <v>0</v>
      </c>
      <c r="M42" s="49">
        <v>0</v>
      </c>
      <c r="N42" s="48">
        <f t="shared" si="14"/>
        <v>111809456.11</v>
      </c>
      <c r="O42" s="12"/>
      <c r="P42" s="12"/>
      <c r="Q42" s="12"/>
      <c r="R42" s="12"/>
      <c r="S42" s="12"/>
    </row>
    <row r="43" spans="1:19">
      <c r="A43" s="47" t="str">
        <f>N1</f>
        <v>كوبرى الشيخ بن زايد - كوبرى العاصمة</v>
      </c>
      <c r="B43" s="48">
        <v>0</v>
      </c>
      <c r="C43" s="49">
        <v>0</v>
      </c>
      <c r="D43" s="49">
        <v>0</v>
      </c>
      <c r="E43" s="49">
        <v>0</v>
      </c>
      <c r="F43" s="49">
        <v>0</v>
      </c>
      <c r="G43" s="49">
        <v>0</v>
      </c>
      <c r="H43" s="49">
        <v>0</v>
      </c>
      <c r="I43" s="49">
        <v>0</v>
      </c>
      <c r="J43" s="49">
        <v>0</v>
      </c>
      <c r="K43" s="49">
        <v>0</v>
      </c>
      <c r="L43" s="49">
        <v>0</v>
      </c>
      <c r="M43" s="49">
        <v>0</v>
      </c>
      <c r="N43" s="48">
        <f t="shared" si="14"/>
        <v>0</v>
      </c>
      <c r="O43" s="12"/>
      <c r="P43" s="12"/>
      <c r="Q43" s="12"/>
      <c r="R43" s="12"/>
      <c r="S43" s="12"/>
    </row>
    <row r="44" spans="1:19">
      <c r="A44" s="47" t="str">
        <f>O1</f>
        <v>جبل الزيت - GAMISA</v>
      </c>
      <c r="B44" s="48">
        <v>0</v>
      </c>
      <c r="C44" s="49">
        <v>6596770</v>
      </c>
      <c r="D44" s="49">
        <v>10725650</v>
      </c>
      <c r="E44" s="49">
        <v>5923635</v>
      </c>
      <c r="F44" s="49">
        <v>0</v>
      </c>
      <c r="G44" s="49">
        <v>0</v>
      </c>
      <c r="H44" s="49">
        <v>0</v>
      </c>
      <c r="I44" s="49">
        <v>0</v>
      </c>
      <c r="J44" s="49">
        <v>0</v>
      </c>
      <c r="K44" s="49">
        <v>0</v>
      </c>
      <c r="L44" s="49">
        <v>0</v>
      </c>
      <c r="M44" s="49">
        <v>0</v>
      </c>
      <c r="N44" s="48">
        <f t="shared" si="14"/>
        <v>23246055</v>
      </c>
      <c r="O44" s="12"/>
      <c r="P44" s="12"/>
      <c r="Q44" s="12"/>
      <c r="R44" s="12"/>
      <c r="S44" s="12"/>
    </row>
    <row r="45" spans="1:19">
      <c r="A45" s="47" t="s">
        <v>61</v>
      </c>
      <c r="B45" s="48">
        <v>0</v>
      </c>
      <c r="C45" s="48">
        <v>0</v>
      </c>
      <c r="D45" s="49">
        <v>0</v>
      </c>
      <c r="E45" s="49">
        <v>0</v>
      </c>
      <c r="F45" s="49">
        <v>0</v>
      </c>
      <c r="G45" s="49">
        <v>0</v>
      </c>
      <c r="H45" s="49">
        <v>0</v>
      </c>
      <c r="I45" s="49">
        <v>0</v>
      </c>
      <c r="J45" s="49">
        <v>0</v>
      </c>
      <c r="K45" s="49">
        <v>0</v>
      </c>
      <c r="L45" s="49">
        <v>0</v>
      </c>
      <c r="M45" s="49">
        <v>0</v>
      </c>
      <c r="N45" s="48">
        <f t="shared" si="14"/>
        <v>0</v>
      </c>
      <c r="O45" s="11"/>
      <c r="P45" s="11"/>
      <c r="Q45" s="11"/>
      <c r="R45" s="11"/>
    </row>
    <row r="46" spans="1:19">
      <c r="A46" s="47" t="s">
        <v>62</v>
      </c>
      <c r="B46" s="48">
        <v>0</v>
      </c>
      <c r="C46" s="48">
        <v>0</v>
      </c>
      <c r="D46" s="49">
        <v>0</v>
      </c>
      <c r="E46" s="49">
        <v>0</v>
      </c>
      <c r="F46" s="49">
        <v>0</v>
      </c>
      <c r="G46" s="49">
        <v>0</v>
      </c>
      <c r="H46" s="49">
        <v>0</v>
      </c>
      <c r="I46" s="49">
        <v>0</v>
      </c>
      <c r="J46" s="49">
        <v>0</v>
      </c>
      <c r="K46" s="49">
        <v>0</v>
      </c>
      <c r="L46" s="49">
        <v>0</v>
      </c>
      <c r="M46" s="49">
        <v>0</v>
      </c>
      <c r="N46" s="48">
        <f t="shared" si="14"/>
        <v>0</v>
      </c>
      <c r="O46" s="11"/>
      <c r="P46" s="11"/>
      <c r="Q46" s="11"/>
      <c r="R46" s="11"/>
    </row>
    <row r="47" spans="1:19">
      <c r="A47" s="47" t="s">
        <v>63</v>
      </c>
      <c r="B47" s="48">
        <v>0</v>
      </c>
      <c r="C47" s="48">
        <v>0</v>
      </c>
      <c r="D47" s="49">
        <v>0</v>
      </c>
      <c r="E47" s="49">
        <v>0</v>
      </c>
      <c r="F47" s="49">
        <v>0</v>
      </c>
      <c r="G47" s="49">
        <v>0</v>
      </c>
      <c r="H47" s="49">
        <v>0</v>
      </c>
      <c r="I47" s="49">
        <v>0</v>
      </c>
      <c r="J47" s="49">
        <v>0</v>
      </c>
      <c r="K47" s="49">
        <v>0</v>
      </c>
      <c r="L47" s="49">
        <v>0</v>
      </c>
      <c r="M47" s="49">
        <v>0</v>
      </c>
      <c r="N47" s="48">
        <f t="shared" si="14"/>
        <v>0</v>
      </c>
      <c r="O47" s="11"/>
      <c r="P47" s="11"/>
      <c r="Q47" s="11"/>
      <c r="R47" s="11"/>
    </row>
    <row r="48" spans="1:19">
      <c r="A48" s="47" t="s">
        <v>64</v>
      </c>
      <c r="B48" s="48">
        <v>0</v>
      </c>
      <c r="C48" s="48">
        <v>0</v>
      </c>
      <c r="D48" s="49">
        <v>0</v>
      </c>
      <c r="E48" s="49">
        <v>0</v>
      </c>
      <c r="F48" s="49">
        <v>0</v>
      </c>
      <c r="G48" s="49">
        <v>0</v>
      </c>
      <c r="H48" s="49">
        <v>0</v>
      </c>
      <c r="I48" s="49">
        <v>0</v>
      </c>
      <c r="J48" s="49">
        <v>0</v>
      </c>
      <c r="K48" s="49">
        <v>0</v>
      </c>
      <c r="L48" s="49">
        <v>0</v>
      </c>
      <c r="M48" s="49">
        <v>0</v>
      </c>
      <c r="N48" s="48">
        <f t="shared" si="14"/>
        <v>0</v>
      </c>
      <c r="O48" s="11"/>
      <c r="P48" s="11"/>
      <c r="Q48" s="11"/>
      <c r="R48" s="11"/>
    </row>
    <row r="49" spans="1:20" ht="15.75" thickBot="1">
      <c r="A49" s="50" t="s">
        <v>37</v>
      </c>
      <c r="B49" s="51">
        <f t="shared" ref="B49:N49" si="15">SUM(B31:B48)</f>
        <v>31402908.68</v>
      </c>
      <c r="C49" s="51">
        <f t="shared" si="15"/>
        <v>61182119.460000001</v>
      </c>
      <c r="D49" s="51">
        <f t="shared" si="15"/>
        <v>61648225.32</v>
      </c>
      <c r="E49" s="51">
        <f t="shared" si="15"/>
        <v>71247520.159999996</v>
      </c>
      <c r="F49" s="51">
        <f t="shared" si="15"/>
        <v>86097408</v>
      </c>
      <c r="G49" s="51">
        <f t="shared" si="15"/>
        <v>0</v>
      </c>
      <c r="H49" s="51">
        <f t="shared" si="15"/>
        <v>0</v>
      </c>
      <c r="I49" s="51">
        <f t="shared" si="15"/>
        <v>0</v>
      </c>
      <c r="J49" s="51">
        <f t="shared" si="15"/>
        <v>0</v>
      </c>
      <c r="K49" s="51">
        <f t="shared" si="15"/>
        <v>0</v>
      </c>
      <c r="L49" s="51">
        <f t="shared" si="15"/>
        <v>0</v>
      </c>
      <c r="M49" s="51">
        <f t="shared" si="15"/>
        <v>0</v>
      </c>
      <c r="N49" s="51">
        <f t="shared" si="15"/>
        <v>311578181.62</v>
      </c>
      <c r="O49" s="12"/>
      <c r="P49" s="12"/>
      <c r="Q49" s="12"/>
      <c r="R49" s="12"/>
      <c r="S49" s="12"/>
      <c r="T49" s="12"/>
    </row>
    <row r="50" spans="1:20" ht="15.75" thickTop="1">
      <c r="A50" s="45" t="s">
        <v>38</v>
      </c>
      <c r="B50" s="48"/>
      <c r="C50" s="48"/>
      <c r="D50" s="48"/>
      <c r="E50" s="48"/>
      <c r="F50" s="48"/>
      <c r="G50" s="48"/>
      <c r="H50" s="48"/>
      <c r="I50" s="48"/>
      <c r="J50" s="48"/>
      <c r="K50" s="48"/>
      <c r="L50" s="48"/>
      <c r="M50" s="48"/>
      <c r="N50" s="48"/>
      <c r="O50" s="12"/>
      <c r="P50" s="12"/>
      <c r="Q50" s="12"/>
      <c r="R50" s="12"/>
      <c r="S50" s="12"/>
      <c r="T50" s="12"/>
    </row>
    <row r="51" spans="1:20">
      <c r="A51" s="47" t="s">
        <v>39</v>
      </c>
      <c r="B51" s="48">
        <v>101636</v>
      </c>
      <c r="C51" s="49">
        <v>0</v>
      </c>
      <c r="D51" s="49">
        <v>0</v>
      </c>
      <c r="E51" s="49">
        <v>0</v>
      </c>
      <c r="F51" s="49">
        <v>0</v>
      </c>
      <c r="G51" s="49">
        <v>0</v>
      </c>
      <c r="H51" s="49">
        <v>0</v>
      </c>
      <c r="I51" s="49">
        <v>0</v>
      </c>
      <c r="J51" s="49">
        <v>0</v>
      </c>
      <c r="K51" s="49">
        <v>0</v>
      </c>
      <c r="L51" s="49">
        <v>0</v>
      </c>
      <c r="M51" s="49">
        <v>0</v>
      </c>
      <c r="N51" s="48">
        <f t="shared" ref="N51:N60" si="16">SUM(B51:M51)</f>
        <v>101636</v>
      </c>
      <c r="O51" s="12"/>
      <c r="P51" s="12"/>
      <c r="Q51" s="12"/>
      <c r="R51" s="12"/>
      <c r="S51" s="52"/>
    </row>
    <row r="52" spans="1:20">
      <c r="A52" s="47" t="s">
        <v>40</v>
      </c>
      <c r="B52" s="48">
        <v>-107619.49</v>
      </c>
      <c r="C52" s="49">
        <v>0</v>
      </c>
      <c r="D52" s="49">
        <v>159382</v>
      </c>
      <c r="E52" s="49">
        <v>0</v>
      </c>
      <c r="F52" s="49">
        <v>0</v>
      </c>
      <c r="G52" s="49">
        <v>0</v>
      </c>
      <c r="H52" s="49">
        <v>0</v>
      </c>
      <c r="I52" s="49">
        <v>0</v>
      </c>
      <c r="J52" s="49">
        <v>0</v>
      </c>
      <c r="K52" s="49">
        <v>0</v>
      </c>
      <c r="L52" s="49">
        <v>0</v>
      </c>
      <c r="M52" s="49">
        <v>0</v>
      </c>
      <c r="N52" s="48">
        <f t="shared" si="16"/>
        <v>51762.509999999995</v>
      </c>
      <c r="O52" s="12"/>
      <c r="P52" s="12"/>
      <c r="Q52" s="12"/>
      <c r="R52" s="12"/>
      <c r="S52" s="52"/>
    </row>
    <row r="53" spans="1:20">
      <c r="A53" s="47" t="s">
        <v>41</v>
      </c>
      <c r="B53" s="48">
        <v>254298</v>
      </c>
      <c r="C53" s="49">
        <v>0</v>
      </c>
      <c r="D53" s="49">
        <v>0</v>
      </c>
      <c r="E53" s="49">
        <v>0</v>
      </c>
      <c r="F53" s="49">
        <v>0</v>
      </c>
      <c r="G53" s="49">
        <v>0</v>
      </c>
      <c r="H53" s="49">
        <v>0</v>
      </c>
      <c r="I53" s="49">
        <v>0</v>
      </c>
      <c r="J53" s="49">
        <v>0</v>
      </c>
      <c r="K53" s="49">
        <v>0</v>
      </c>
      <c r="L53" s="49">
        <v>0</v>
      </c>
      <c r="M53" s="49">
        <v>0</v>
      </c>
      <c r="N53" s="48">
        <f t="shared" si="16"/>
        <v>254298</v>
      </c>
      <c r="O53" s="12"/>
      <c r="P53" s="12"/>
      <c r="Q53" s="12"/>
      <c r="R53" s="12"/>
      <c r="S53" s="52"/>
    </row>
    <row r="54" spans="1:20">
      <c r="A54" s="53" t="s">
        <v>42</v>
      </c>
      <c r="B54" s="48">
        <v>1258165</v>
      </c>
      <c r="C54" s="49">
        <v>308208</v>
      </c>
      <c r="D54" s="49">
        <v>769574</v>
      </c>
      <c r="E54" s="49">
        <v>0</v>
      </c>
      <c r="F54" s="49">
        <v>0</v>
      </c>
      <c r="G54" s="49">
        <v>0</v>
      </c>
      <c r="H54" s="49">
        <v>0</v>
      </c>
      <c r="I54" s="49">
        <v>0</v>
      </c>
      <c r="J54" s="49">
        <v>0</v>
      </c>
      <c r="K54" s="49">
        <v>0</v>
      </c>
      <c r="L54" s="49">
        <v>0</v>
      </c>
      <c r="M54" s="49">
        <v>0</v>
      </c>
      <c r="N54" s="48">
        <f t="shared" si="16"/>
        <v>2335947</v>
      </c>
      <c r="O54" s="12"/>
      <c r="P54" s="12"/>
      <c r="Q54" s="12"/>
      <c r="R54" s="12"/>
      <c r="S54" s="52"/>
    </row>
    <row r="55" spans="1:20">
      <c r="A55" s="53" t="s">
        <v>43</v>
      </c>
      <c r="B55" s="48">
        <v>1110732</v>
      </c>
      <c r="C55" s="49">
        <v>0</v>
      </c>
      <c r="D55" s="49">
        <v>0</v>
      </c>
      <c r="E55" s="49">
        <v>0</v>
      </c>
      <c r="F55" s="49">
        <v>0</v>
      </c>
      <c r="G55" s="49">
        <v>0</v>
      </c>
      <c r="H55" s="49">
        <v>0</v>
      </c>
      <c r="I55" s="49">
        <v>0</v>
      </c>
      <c r="J55" s="49">
        <v>0</v>
      </c>
      <c r="K55" s="49">
        <v>0</v>
      </c>
      <c r="L55" s="49">
        <v>0</v>
      </c>
      <c r="M55" s="49">
        <v>0</v>
      </c>
      <c r="N55" s="48">
        <f t="shared" si="16"/>
        <v>1110732</v>
      </c>
      <c r="O55" s="12"/>
      <c r="P55" s="12"/>
      <c r="Q55" s="12"/>
      <c r="R55" s="12"/>
      <c r="S55" s="52"/>
    </row>
    <row r="56" spans="1:20">
      <c r="A56" s="53" t="s">
        <v>44</v>
      </c>
      <c r="B56" s="48">
        <v>627547</v>
      </c>
      <c r="C56" s="49">
        <v>0</v>
      </c>
      <c r="D56" s="49">
        <v>397133</v>
      </c>
      <c r="E56" s="49">
        <v>754074</v>
      </c>
      <c r="F56" s="49">
        <v>0</v>
      </c>
      <c r="G56" s="49">
        <v>0</v>
      </c>
      <c r="H56" s="49">
        <v>0</v>
      </c>
      <c r="I56" s="49">
        <v>0</v>
      </c>
      <c r="J56" s="49">
        <v>0</v>
      </c>
      <c r="K56" s="49">
        <v>0</v>
      </c>
      <c r="L56" s="49">
        <v>0</v>
      </c>
      <c r="M56" s="49">
        <v>0</v>
      </c>
      <c r="N56" s="48">
        <f t="shared" si="16"/>
        <v>1778754</v>
      </c>
      <c r="O56" s="12"/>
      <c r="P56" s="12"/>
      <c r="Q56" s="12"/>
      <c r="R56" s="12"/>
      <c r="S56" s="52"/>
    </row>
    <row r="57" spans="1:20">
      <c r="A57" s="53" t="s">
        <v>45</v>
      </c>
      <c r="B57" s="48">
        <v>3608866</v>
      </c>
      <c r="C57" s="49">
        <v>0</v>
      </c>
      <c r="D57" s="49">
        <v>0</v>
      </c>
      <c r="E57" s="49">
        <v>0</v>
      </c>
      <c r="F57" s="49">
        <v>0</v>
      </c>
      <c r="G57" s="49">
        <v>0</v>
      </c>
      <c r="H57" s="49">
        <v>0</v>
      </c>
      <c r="I57" s="49">
        <v>0</v>
      </c>
      <c r="J57" s="49">
        <v>0</v>
      </c>
      <c r="K57" s="49">
        <v>0</v>
      </c>
      <c r="L57" s="49">
        <v>0</v>
      </c>
      <c r="M57" s="49">
        <v>0</v>
      </c>
      <c r="N57" s="48">
        <f t="shared" si="16"/>
        <v>3608866</v>
      </c>
      <c r="O57" s="12"/>
      <c r="P57" s="12"/>
      <c r="Q57" s="12"/>
      <c r="R57" s="12"/>
      <c r="S57" s="52"/>
    </row>
    <row r="58" spans="1:20">
      <c r="A58" s="53" t="s">
        <v>46</v>
      </c>
      <c r="B58" s="48">
        <v>-1787461.1</v>
      </c>
      <c r="C58" s="49">
        <v>0</v>
      </c>
      <c r="D58" s="49">
        <v>1787461.1</v>
      </c>
      <c r="E58" s="49">
        <v>0</v>
      </c>
      <c r="F58" s="49">
        <v>0</v>
      </c>
      <c r="G58" s="49">
        <v>0</v>
      </c>
      <c r="H58" s="49">
        <v>0</v>
      </c>
      <c r="I58" s="49">
        <v>0</v>
      </c>
      <c r="J58" s="49">
        <v>0</v>
      </c>
      <c r="K58" s="49">
        <v>0</v>
      </c>
      <c r="L58" s="49">
        <v>0</v>
      </c>
      <c r="M58" s="49">
        <v>0</v>
      </c>
      <c r="N58" s="48">
        <f t="shared" si="16"/>
        <v>0</v>
      </c>
      <c r="O58" s="12"/>
      <c r="P58" s="12"/>
      <c r="Q58" s="12"/>
      <c r="R58" s="12"/>
      <c r="S58" s="52"/>
    </row>
    <row r="59" spans="1:20">
      <c r="A59" s="53" t="s">
        <v>47</v>
      </c>
      <c r="B59" s="48">
        <v>0</v>
      </c>
      <c r="C59" s="49">
        <v>410860</v>
      </c>
      <c r="D59" s="49">
        <v>318578</v>
      </c>
      <c r="E59" s="49">
        <v>0</v>
      </c>
      <c r="F59" s="49">
        <v>0</v>
      </c>
      <c r="G59" s="49">
        <v>0</v>
      </c>
      <c r="H59" s="49">
        <v>0</v>
      </c>
      <c r="I59" s="49">
        <v>0</v>
      </c>
      <c r="J59" s="49">
        <v>0</v>
      </c>
      <c r="K59" s="49">
        <v>0</v>
      </c>
      <c r="L59" s="49">
        <v>0</v>
      </c>
      <c r="M59" s="49">
        <v>0</v>
      </c>
      <c r="N59" s="48">
        <f t="shared" si="16"/>
        <v>729438</v>
      </c>
      <c r="O59" s="12"/>
      <c r="P59" s="12"/>
      <c r="Q59" s="12"/>
      <c r="R59" s="12"/>
      <c r="S59" s="52"/>
    </row>
    <row r="60" spans="1:20">
      <c r="A60" s="53" t="s">
        <v>36</v>
      </c>
      <c r="B60" s="48">
        <v>0</v>
      </c>
      <c r="C60" s="49">
        <v>0</v>
      </c>
      <c r="D60" s="49">
        <v>1173484</v>
      </c>
      <c r="E60" s="49">
        <v>3109784</v>
      </c>
      <c r="F60" s="49">
        <v>0</v>
      </c>
      <c r="G60" s="49">
        <v>0</v>
      </c>
      <c r="H60" s="49">
        <v>0</v>
      </c>
      <c r="I60" s="49">
        <v>0</v>
      </c>
      <c r="J60" s="49">
        <v>0</v>
      </c>
      <c r="K60" s="49">
        <v>0</v>
      </c>
      <c r="L60" s="49">
        <v>0</v>
      </c>
      <c r="M60" s="49">
        <v>0</v>
      </c>
      <c r="N60" s="48">
        <f t="shared" si="16"/>
        <v>4283268</v>
      </c>
      <c r="O60" s="12"/>
      <c r="P60" s="12"/>
      <c r="Q60" s="12"/>
      <c r="R60" s="12"/>
      <c r="S60" s="52"/>
    </row>
    <row r="61" spans="1:20" ht="15.75" thickBot="1">
      <c r="A61" s="50" t="s">
        <v>37</v>
      </c>
      <c r="B61" s="51">
        <f>SUM(B51:B60)</f>
        <v>5066163.41</v>
      </c>
      <c r="C61" s="51">
        <f t="shared" ref="C61:N61" si="17">SUM(C51:C60)</f>
        <v>719068</v>
      </c>
      <c r="D61" s="51">
        <f t="shared" si="17"/>
        <v>4605612.0999999996</v>
      </c>
      <c r="E61" s="51">
        <f t="shared" si="17"/>
        <v>3863858</v>
      </c>
      <c r="F61" s="51">
        <f t="shared" si="17"/>
        <v>0</v>
      </c>
      <c r="G61" s="51">
        <f t="shared" si="17"/>
        <v>0</v>
      </c>
      <c r="H61" s="51">
        <f t="shared" si="17"/>
        <v>0</v>
      </c>
      <c r="I61" s="51">
        <f t="shared" si="17"/>
        <v>0</v>
      </c>
      <c r="J61" s="51">
        <f t="shared" si="17"/>
        <v>0</v>
      </c>
      <c r="K61" s="51">
        <f t="shared" si="17"/>
        <v>0</v>
      </c>
      <c r="L61" s="51">
        <f t="shared" si="17"/>
        <v>0</v>
      </c>
      <c r="M61" s="51">
        <f t="shared" si="17"/>
        <v>0</v>
      </c>
      <c r="N61" s="51">
        <f t="shared" si="17"/>
        <v>14254701.51</v>
      </c>
      <c r="O61" s="12"/>
      <c r="P61" s="12"/>
      <c r="Q61" s="12"/>
      <c r="R61" s="12"/>
      <c r="S61" s="52"/>
    </row>
    <row r="62" spans="1:20" ht="15.75" thickTop="1">
      <c r="A62" s="45" t="s">
        <v>48</v>
      </c>
      <c r="B62" s="48"/>
      <c r="C62" s="49"/>
      <c r="D62" s="49"/>
      <c r="E62" s="49"/>
      <c r="F62" s="49"/>
      <c r="G62" s="49"/>
      <c r="H62" s="49"/>
      <c r="I62" s="49"/>
      <c r="J62" s="49"/>
      <c r="K62" s="49"/>
      <c r="L62" s="49"/>
      <c r="M62" s="49"/>
      <c r="N62" s="48"/>
      <c r="O62" s="12"/>
      <c r="P62" s="12"/>
      <c r="Q62" s="12"/>
      <c r="R62" s="12"/>
      <c r="S62" s="52"/>
    </row>
    <row r="63" spans="1:20">
      <c r="A63" s="54" t="s">
        <v>49</v>
      </c>
      <c r="B63" s="48">
        <v>6616932</v>
      </c>
      <c r="C63" s="49">
        <v>0</v>
      </c>
      <c r="D63" s="49">
        <v>0</v>
      </c>
      <c r="E63" s="49">
        <v>0</v>
      </c>
      <c r="F63" s="49">
        <v>0</v>
      </c>
      <c r="G63" s="49">
        <v>0</v>
      </c>
      <c r="H63" s="49">
        <v>0</v>
      </c>
      <c r="I63" s="49">
        <v>0</v>
      </c>
      <c r="J63" s="49">
        <v>0</v>
      </c>
      <c r="K63" s="49">
        <v>0</v>
      </c>
      <c r="L63" s="49">
        <v>0</v>
      </c>
      <c r="M63" s="49">
        <v>0</v>
      </c>
      <c r="N63" s="48">
        <f>SUM(B63:M63)</f>
        <v>6616932</v>
      </c>
      <c r="O63" s="12"/>
      <c r="P63" s="12"/>
      <c r="Q63" s="12"/>
      <c r="R63" s="12"/>
      <c r="S63" s="52"/>
    </row>
    <row r="64" spans="1:20">
      <c r="A64" s="55" t="s">
        <v>50</v>
      </c>
      <c r="B64" s="48">
        <v>0</v>
      </c>
      <c r="C64" s="48">
        <v>0</v>
      </c>
      <c r="D64" s="48">
        <v>0</v>
      </c>
      <c r="E64" s="48">
        <v>0</v>
      </c>
      <c r="F64" s="48">
        <v>0</v>
      </c>
      <c r="G64" s="48">
        <v>0</v>
      </c>
      <c r="H64" s="48">
        <v>0</v>
      </c>
      <c r="I64" s="48">
        <v>0</v>
      </c>
      <c r="J64" s="48">
        <v>0</v>
      </c>
      <c r="K64" s="48">
        <v>0</v>
      </c>
      <c r="L64" s="48">
        <v>0</v>
      </c>
      <c r="M64" s="48">
        <v>0</v>
      </c>
      <c r="N64" s="48">
        <f>SUM(B64:M64)</f>
        <v>0</v>
      </c>
      <c r="O64" s="12"/>
      <c r="P64" s="12"/>
      <c r="Q64" s="12"/>
      <c r="R64" s="12"/>
      <c r="S64" s="52"/>
    </row>
    <row r="65" spans="1:20">
      <c r="A65" s="55" t="s">
        <v>50</v>
      </c>
      <c r="B65" s="48">
        <v>0</v>
      </c>
      <c r="C65" s="48">
        <v>0</v>
      </c>
      <c r="D65" s="48">
        <v>0</v>
      </c>
      <c r="E65" s="48">
        <v>0</v>
      </c>
      <c r="F65" s="48">
        <v>0</v>
      </c>
      <c r="G65" s="48">
        <v>0</v>
      </c>
      <c r="H65" s="48">
        <v>0</v>
      </c>
      <c r="I65" s="48">
        <v>0</v>
      </c>
      <c r="J65" s="48">
        <v>0</v>
      </c>
      <c r="K65" s="48">
        <v>0</v>
      </c>
      <c r="L65" s="48">
        <v>0</v>
      </c>
      <c r="M65" s="48">
        <v>0</v>
      </c>
      <c r="N65" s="48">
        <f>SUM(B65:M65)</f>
        <v>0</v>
      </c>
      <c r="O65" s="12"/>
      <c r="P65" s="12"/>
      <c r="Q65" s="12"/>
      <c r="R65" s="12"/>
      <c r="S65" s="52"/>
    </row>
    <row r="66" spans="1:20">
      <c r="A66" s="55" t="s">
        <v>50</v>
      </c>
      <c r="B66" s="48">
        <v>0</v>
      </c>
      <c r="C66" s="48">
        <v>0</v>
      </c>
      <c r="D66" s="48">
        <v>0</v>
      </c>
      <c r="E66" s="48">
        <v>0</v>
      </c>
      <c r="F66" s="48">
        <v>0</v>
      </c>
      <c r="G66" s="48">
        <v>0</v>
      </c>
      <c r="H66" s="48">
        <v>0</v>
      </c>
      <c r="I66" s="48">
        <v>0</v>
      </c>
      <c r="J66" s="48">
        <v>0</v>
      </c>
      <c r="K66" s="48">
        <v>0</v>
      </c>
      <c r="L66" s="48">
        <v>0</v>
      </c>
      <c r="M66" s="48">
        <v>0</v>
      </c>
      <c r="N66" s="48">
        <f>SUM(B66:M66)</f>
        <v>0</v>
      </c>
      <c r="O66" s="12"/>
      <c r="P66" s="12"/>
      <c r="Q66" s="12"/>
      <c r="R66" s="12"/>
      <c r="S66" s="52"/>
    </row>
    <row r="67" spans="1:20">
      <c r="A67" s="55" t="s">
        <v>50</v>
      </c>
      <c r="B67" s="48">
        <v>0</v>
      </c>
      <c r="C67" s="48">
        <v>0</v>
      </c>
      <c r="D67" s="48">
        <v>0</v>
      </c>
      <c r="E67" s="48">
        <v>0</v>
      </c>
      <c r="F67" s="48">
        <v>0</v>
      </c>
      <c r="G67" s="48">
        <v>0</v>
      </c>
      <c r="H67" s="48">
        <v>0</v>
      </c>
      <c r="I67" s="48">
        <v>0</v>
      </c>
      <c r="J67" s="48">
        <v>0</v>
      </c>
      <c r="K67" s="48">
        <v>0</v>
      </c>
      <c r="L67" s="48">
        <v>0</v>
      </c>
      <c r="M67" s="48">
        <v>0</v>
      </c>
      <c r="N67" s="48">
        <f>SUM(B67:M67)</f>
        <v>0</v>
      </c>
      <c r="O67" s="12"/>
      <c r="P67" s="12"/>
      <c r="Q67" s="12"/>
      <c r="R67" s="12"/>
      <c r="S67" s="52"/>
    </row>
    <row r="68" spans="1:20" ht="15.75" thickBot="1">
      <c r="A68" s="50" t="s">
        <v>37</v>
      </c>
      <c r="B68" s="56">
        <f>SUM(B63:B67)</f>
        <v>6616932</v>
      </c>
      <c r="C68" s="56">
        <f t="shared" ref="C68:N68" si="18">SUM(C63:C67)</f>
        <v>0</v>
      </c>
      <c r="D68" s="56">
        <f t="shared" si="18"/>
        <v>0</v>
      </c>
      <c r="E68" s="56">
        <f t="shared" si="18"/>
        <v>0</v>
      </c>
      <c r="F68" s="56">
        <f t="shared" si="18"/>
        <v>0</v>
      </c>
      <c r="G68" s="56">
        <f t="shared" si="18"/>
        <v>0</v>
      </c>
      <c r="H68" s="56">
        <f t="shared" si="18"/>
        <v>0</v>
      </c>
      <c r="I68" s="56">
        <f t="shared" si="18"/>
        <v>0</v>
      </c>
      <c r="J68" s="56">
        <f t="shared" si="18"/>
        <v>0</v>
      </c>
      <c r="K68" s="56">
        <f t="shared" si="18"/>
        <v>0</v>
      </c>
      <c r="L68" s="56">
        <f t="shared" si="18"/>
        <v>0</v>
      </c>
      <c r="M68" s="56">
        <f t="shared" si="18"/>
        <v>0</v>
      </c>
      <c r="N68" s="56">
        <f t="shared" si="18"/>
        <v>6616932</v>
      </c>
      <c r="O68" s="16"/>
      <c r="P68" s="16"/>
      <c r="Q68" s="16"/>
      <c r="R68" s="16"/>
      <c r="S68" s="16"/>
      <c r="T68" s="17"/>
    </row>
    <row r="69" spans="1:20" ht="16.5" thickTop="1" thickBot="1">
      <c r="A69" s="44" t="s">
        <v>51</v>
      </c>
      <c r="B69" s="9">
        <f>B49+B68+B61</f>
        <v>43086004.090000004</v>
      </c>
      <c r="C69" s="9">
        <f>C49+C68+C61</f>
        <v>61901187.460000001</v>
      </c>
      <c r="D69" s="9">
        <f>D49+D68+D61</f>
        <v>66253837.420000002</v>
      </c>
      <c r="E69" s="9">
        <f t="shared" ref="E69:N69" si="19">E49+E68+E61</f>
        <v>75111378.159999996</v>
      </c>
      <c r="F69" s="9">
        <f t="shared" si="19"/>
        <v>86097408</v>
      </c>
      <c r="G69" s="9">
        <f t="shared" si="19"/>
        <v>0</v>
      </c>
      <c r="H69" s="9">
        <f t="shared" si="19"/>
        <v>0</v>
      </c>
      <c r="I69" s="9">
        <f t="shared" si="19"/>
        <v>0</v>
      </c>
      <c r="J69" s="9">
        <f t="shared" si="19"/>
        <v>0</v>
      </c>
      <c r="K69" s="9">
        <f t="shared" si="19"/>
        <v>0</v>
      </c>
      <c r="L69" s="9">
        <f t="shared" si="19"/>
        <v>0</v>
      </c>
      <c r="M69" s="9">
        <f t="shared" si="19"/>
        <v>0</v>
      </c>
      <c r="N69" s="9">
        <f t="shared" si="19"/>
        <v>332449815.13</v>
      </c>
      <c r="O69" s="17"/>
      <c r="P69" s="17"/>
      <c r="Q69" s="17"/>
      <c r="R69" s="17"/>
      <c r="S69" s="17"/>
      <c r="T69" s="17"/>
    </row>
    <row r="70" spans="1:20" ht="16.5" thickTop="1" thickBot="1">
      <c r="A70" s="44" t="s">
        <v>52</v>
      </c>
      <c r="B70" s="9">
        <f>B49+B94</f>
        <v>53651615.325248562</v>
      </c>
      <c r="C70" s="9">
        <f>C49+C94</f>
        <v>52014357.943963535</v>
      </c>
      <c r="D70" s="9">
        <f>D49+D94</f>
        <v>110749809.88462022</v>
      </c>
      <c r="E70" s="9">
        <f>E49+E94</f>
        <v>58703080.857259467</v>
      </c>
      <c r="F70" s="9">
        <f t="shared" ref="F70:M70" si="20">F69+F106</f>
        <v>69464344.690685362</v>
      </c>
      <c r="G70" s="9">
        <f t="shared" si="20"/>
        <v>0</v>
      </c>
      <c r="H70" s="9">
        <f t="shared" si="20"/>
        <v>0</v>
      </c>
      <c r="I70" s="9">
        <f t="shared" si="20"/>
        <v>0</v>
      </c>
      <c r="J70" s="9">
        <f t="shared" si="20"/>
        <v>0</v>
      </c>
      <c r="K70" s="9">
        <f t="shared" si="20"/>
        <v>0</v>
      </c>
      <c r="L70" s="9">
        <f t="shared" si="20"/>
        <v>0</v>
      </c>
      <c r="M70" s="9">
        <f t="shared" si="20"/>
        <v>0</v>
      </c>
      <c r="N70" s="9">
        <f>SUM(B70:M70)</f>
        <v>344583208.7017771</v>
      </c>
      <c r="O70" s="11">
        <f>+N70-S24</f>
        <v>0</v>
      </c>
      <c r="P70" s="11"/>
      <c r="Q70" s="11"/>
      <c r="R70" s="11"/>
    </row>
    <row r="71" spans="1:20" ht="16.5" thickTop="1" thickBot="1">
      <c r="A71" s="44" t="s">
        <v>53</v>
      </c>
      <c r="B71" s="9">
        <f t="shared" ref="B71:N71" si="21">B70+B68+B105+B61</f>
        <v>60268547.325248554</v>
      </c>
      <c r="C71" s="9">
        <f t="shared" si="21"/>
        <v>52425217.943963535</v>
      </c>
      <c r="D71" s="9">
        <f t="shared" si="21"/>
        <v>111923293.88462022</v>
      </c>
      <c r="E71" s="9">
        <f t="shared" si="21"/>
        <v>61812864.857259467</v>
      </c>
      <c r="F71" s="9">
        <f t="shared" si="21"/>
        <v>69464344.690685362</v>
      </c>
      <c r="G71" s="9">
        <f t="shared" si="21"/>
        <v>0</v>
      </c>
      <c r="H71" s="9">
        <f t="shared" si="21"/>
        <v>0</v>
      </c>
      <c r="I71" s="9">
        <f t="shared" si="21"/>
        <v>0</v>
      </c>
      <c r="J71" s="9">
        <f t="shared" si="21"/>
        <v>0</v>
      </c>
      <c r="K71" s="9">
        <f t="shared" si="21"/>
        <v>0</v>
      </c>
      <c r="L71" s="9">
        <f t="shared" si="21"/>
        <v>0</v>
      </c>
      <c r="M71" s="9">
        <f t="shared" si="21"/>
        <v>0</v>
      </c>
      <c r="N71" s="9">
        <f t="shared" si="21"/>
        <v>355894268.7017771</v>
      </c>
      <c r="O71" s="57"/>
      <c r="P71" s="57"/>
      <c r="Q71" s="57"/>
      <c r="R71" s="57"/>
    </row>
    <row r="72" spans="1:20" ht="15.75" thickTop="1">
      <c r="A72" s="6"/>
      <c r="B72" s="58"/>
      <c r="O72" s="57"/>
      <c r="P72" s="57"/>
      <c r="Q72" s="57"/>
      <c r="R72" s="57"/>
    </row>
    <row r="73" spans="1:20">
      <c r="A73" s="42" t="s">
        <v>52</v>
      </c>
      <c r="B73" s="432">
        <v>42370</v>
      </c>
      <c r="C73" s="432">
        <v>42401</v>
      </c>
      <c r="D73" s="432">
        <v>42430</v>
      </c>
      <c r="E73" s="432">
        <v>42461</v>
      </c>
      <c r="F73" s="432">
        <v>42491</v>
      </c>
      <c r="G73" s="432">
        <v>42522</v>
      </c>
      <c r="H73" s="432">
        <v>42552</v>
      </c>
      <c r="I73" s="432">
        <v>42583</v>
      </c>
      <c r="J73" s="432">
        <v>42614</v>
      </c>
      <c r="K73" s="432">
        <v>42644</v>
      </c>
      <c r="L73" s="432">
        <v>42675</v>
      </c>
      <c r="M73" s="432">
        <v>42705</v>
      </c>
      <c r="N73" s="432" t="s">
        <v>15</v>
      </c>
    </row>
    <row r="74" spans="1:20" ht="15.75" thickBot="1">
      <c r="A74" s="44" t="s">
        <v>34</v>
      </c>
      <c r="B74" s="433"/>
      <c r="C74" s="433"/>
      <c r="D74" s="433"/>
      <c r="E74" s="433"/>
      <c r="F74" s="433"/>
      <c r="G74" s="433"/>
      <c r="H74" s="433"/>
      <c r="I74" s="433"/>
      <c r="J74" s="433"/>
      <c r="K74" s="433"/>
      <c r="L74" s="433"/>
      <c r="M74" s="433"/>
      <c r="N74" s="433"/>
    </row>
    <row r="75" spans="1:20" ht="15.75" thickTop="1">
      <c r="A75" s="45" t="s">
        <v>35</v>
      </c>
      <c r="B75" s="46"/>
      <c r="C75" s="46"/>
      <c r="D75" s="46"/>
      <c r="E75" s="46"/>
      <c r="F75" s="46"/>
      <c r="G75" s="46"/>
      <c r="H75" s="46"/>
      <c r="I75" s="46"/>
      <c r="J75" s="46"/>
      <c r="K75" s="46"/>
      <c r="L75" s="46"/>
      <c r="M75" s="46"/>
      <c r="N75" s="46"/>
    </row>
    <row r="76" spans="1:20">
      <c r="A76" s="47" t="str">
        <f t="shared" ref="A76:A89" si="22">A31</f>
        <v>Al Oula</v>
      </c>
      <c r="B76" s="48">
        <v>886805.80852743564</v>
      </c>
      <c r="C76" s="48">
        <v>991385.46710766107</v>
      </c>
      <c r="D76" s="48">
        <v>1331618.5479888618</v>
      </c>
      <c r="E76" s="48">
        <v>310736.16505979747</v>
      </c>
      <c r="F76" s="48">
        <f>$B$24-($N31+B76+C76+E76+D76)</f>
        <v>-541598.4318381995</v>
      </c>
      <c r="G76" s="49">
        <v>0</v>
      </c>
      <c r="H76" s="49">
        <v>0</v>
      </c>
      <c r="I76" s="49">
        <v>0</v>
      </c>
      <c r="J76" s="49">
        <v>0</v>
      </c>
      <c r="K76" s="49">
        <v>0</v>
      </c>
      <c r="L76" s="49">
        <v>0</v>
      </c>
      <c r="M76" s="49">
        <v>0</v>
      </c>
      <c r="N76" s="48">
        <f>SUM(B76:M76)</f>
        <v>2978947.5568455565</v>
      </c>
    </row>
    <row r="77" spans="1:20">
      <c r="A77" s="47" t="str">
        <f t="shared" si="22"/>
        <v>Hyper Al Sulaimaniya</v>
      </c>
      <c r="B77" s="48">
        <v>2486680.7262528241</v>
      </c>
      <c r="C77" s="48">
        <v>876208.8313383311</v>
      </c>
      <c r="D77" s="48">
        <v>651040.91917364299</v>
      </c>
      <c r="E77" s="48">
        <v>114353.99452494085</v>
      </c>
      <c r="F77" s="48">
        <f>$C$24-($N32+B77+C77+E77+D77)</f>
        <v>120257.10854034126</v>
      </c>
      <c r="G77" s="49">
        <v>0</v>
      </c>
      <c r="H77" s="49">
        <v>0</v>
      </c>
      <c r="I77" s="49">
        <v>0</v>
      </c>
      <c r="J77" s="49">
        <v>0</v>
      </c>
      <c r="K77" s="49">
        <v>0</v>
      </c>
      <c r="L77" s="49">
        <v>0</v>
      </c>
      <c r="M77" s="49">
        <v>0</v>
      </c>
      <c r="N77" s="48">
        <f t="shared" ref="N77:N93" si="23">SUM(B77:M77)</f>
        <v>4248541.5798300803</v>
      </c>
    </row>
    <row r="78" spans="1:20">
      <c r="A78" s="47" t="str">
        <f t="shared" si="22"/>
        <v>New Giza</v>
      </c>
      <c r="B78" s="48">
        <v>-629871.85848232266</v>
      </c>
      <c r="C78" s="48">
        <v>2177675.9907830656</v>
      </c>
      <c r="D78" s="48">
        <v>-3114231.4629205838</v>
      </c>
      <c r="E78" s="48">
        <v>2417485.9763932228</v>
      </c>
      <c r="F78" s="48">
        <f>$D$24-($N33+B78+C78+E78+D78)</f>
        <v>-894550.05059060454</v>
      </c>
      <c r="G78" s="49">
        <v>0</v>
      </c>
      <c r="H78" s="49">
        <v>0</v>
      </c>
      <c r="I78" s="49">
        <v>0</v>
      </c>
      <c r="J78" s="49">
        <v>0</v>
      </c>
      <c r="K78" s="49">
        <v>0</v>
      </c>
      <c r="L78" s="49">
        <v>0</v>
      </c>
      <c r="M78" s="49">
        <v>0</v>
      </c>
      <c r="N78" s="48">
        <f t="shared" si="23"/>
        <v>-43491.404817222618</v>
      </c>
    </row>
    <row r="79" spans="1:20">
      <c r="A79" s="47" t="str">
        <f t="shared" si="22"/>
        <v>Maxim mall</v>
      </c>
      <c r="B79" s="48">
        <v>109739.11742232135</v>
      </c>
      <c r="C79" s="48">
        <v>-6499450.8039597385</v>
      </c>
      <c r="D79" s="48">
        <v>3925753.9904976245</v>
      </c>
      <c r="E79" s="48">
        <v>-4003919.6036278773</v>
      </c>
      <c r="F79" s="48">
        <f>$E$24-($N34+B79+C79+E79+D79)</f>
        <v>55534.707165010273</v>
      </c>
      <c r="G79" s="49">
        <v>0</v>
      </c>
      <c r="H79" s="49">
        <v>0</v>
      </c>
      <c r="I79" s="49">
        <v>0</v>
      </c>
      <c r="J79" s="49">
        <v>0</v>
      </c>
      <c r="K79" s="49">
        <v>0</v>
      </c>
      <c r="L79" s="49">
        <v>0</v>
      </c>
      <c r="M79" s="49">
        <v>0</v>
      </c>
      <c r="N79" s="48">
        <f t="shared" si="23"/>
        <v>-6412342.5925026592</v>
      </c>
    </row>
    <row r="80" spans="1:20">
      <c r="A80" s="47" t="str">
        <f t="shared" si="22"/>
        <v>Attaka</v>
      </c>
      <c r="B80" s="48">
        <v>6006889.910413444</v>
      </c>
      <c r="C80" s="48">
        <v>-7825016.2709956765</v>
      </c>
      <c r="D80" s="48">
        <v>1327167.7998657525</v>
      </c>
      <c r="E80" s="48">
        <v>1025973.4904677272</v>
      </c>
      <c r="F80" s="48">
        <f>$F$24-($N35+B80+C80+E80+D80)</f>
        <v>2592064.2231797278</v>
      </c>
      <c r="G80" s="49">
        <v>0</v>
      </c>
      <c r="H80" s="49">
        <v>0</v>
      </c>
      <c r="I80" s="49">
        <v>0</v>
      </c>
      <c r="J80" s="49">
        <v>0</v>
      </c>
      <c r="K80" s="49">
        <v>0</v>
      </c>
      <c r="L80" s="49">
        <v>0</v>
      </c>
      <c r="M80" s="49">
        <v>0</v>
      </c>
      <c r="N80" s="48">
        <f t="shared" si="23"/>
        <v>3127079.152930975</v>
      </c>
    </row>
    <row r="81" spans="1:18">
      <c r="A81" s="47" t="str">
        <f t="shared" si="22"/>
        <v>مول مصر</v>
      </c>
      <c r="B81" s="48">
        <v>11031129.458452888</v>
      </c>
      <c r="C81" s="48">
        <v>4796284.7481933981</v>
      </c>
      <c r="D81" s="48">
        <v>8355244.3064692616</v>
      </c>
      <c r="E81" s="48">
        <v>4922414.6349628121</v>
      </c>
      <c r="F81" s="48">
        <f>$G$24-($N36+B81+C81+E81+D81)</f>
        <v>-10598078.988152325</v>
      </c>
      <c r="G81" s="49">
        <v>0</v>
      </c>
      <c r="H81" s="49">
        <v>0</v>
      </c>
      <c r="I81" s="49">
        <v>0</v>
      </c>
      <c r="J81" s="49">
        <v>0</v>
      </c>
      <c r="K81" s="49">
        <v>0</v>
      </c>
      <c r="L81" s="49">
        <v>0</v>
      </c>
      <c r="M81" s="49">
        <v>0</v>
      </c>
      <c r="N81" s="48">
        <f t="shared" si="23"/>
        <v>18506994.159926035</v>
      </c>
    </row>
    <row r="82" spans="1:18">
      <c r="A82" s="47" t="str">
        <f t="shared" si="22"/>
        <v>مراسى تانك الخزان الجديد PKG22 New</v>
      </c>
      <c r="B82" s="48">
        <v>-228485.82514085248</v>
      </c>
      <c r="C82" s="48">
        <v>376372.24745515548</v>
      </c>
      <c r="D82" s="48">
        <v>505870.70814947225</v>
      </c>
      <c r="E82" s="48">
        <v>550488.32804608718</v>
      </c>
      <c r="F82" s="48">
        <f>$H$24-($N37+B82+C82+E82+D82)</f>
        <v>461036.48837176152</v>
      </c>
      <c r="G82" s="49">
        <v>0</v>
      </c>
      <c r="H82" s="49">
        <v>0</v>
      </c>
      <c r="I82" s="49">
        <v>0</v>
      </c>
      <c r="J82" s="49">
        <v>0</v>
      </c>
      <c r="K82" s="49">
        <v>0</v>
      </c>
      <c r="L82" s="49">
        <v>0</v>
      </c>
      <c r="M82" s="49">
        <v>0</v>
      </c>
      <c r="N82" s="48">
        <f t="shared" si="23"/>
        <v>1665281.9468816239</v>
      </c>
    </row>
    <row r="83" spans="1:18">
      <c r="A83" s="47" t="str">
        <f t="shared" si="22"/>
        <v>نادي سوديك</v>
      </c>
      <c r="B83" s="48">
        <v>-2052499.2515468895</v>
      </c>
      <c r="C83" s="48">
        <v>3392521.7998837084</v>
      </c>
      <c r="D83" s="48">
        <v>805356.47057130747</v>
      </c>
      <c r="E83" s="48">
        <v>500010.86050216295</v>
      </c>
      <c r="F83" s="48">
        <f>$I$24-($N38+B83+C83+E83+D83)</f>
        <v>-96329.503536447883</v>
      </c>
      <c r="G83" s="49">
        <v>0</v>
      </c>
      <c r="H83" s="49">
        <v>0</v>
      </c>
      <c r="I83" s="49">
        <v>0</v>
      </c>
      <c r="J83" s="49">
        <v>0</v>
      </c>
      <c r="K83" s="49">
        <v>0</v>
      </c>
      <c r="L83" s="49">
        <v>0</v>
      </c>
      <c r="M83" s="49">
        <v>0</v>
      </c>
      <c r="N83" s="48">
        <f t="shared" si="23"/>
        <v>2549060.3758738413</v>
      </c>
    </row>
    <row r="84" spans="1:18">
      <c r="A84" s="47" t="str">
        <f t="shared" si="22"/>
        <v>شرم الشيخ</v>
      </c>
      <c r="B84" s="48">
        <v>-772233.44484997168</v>
      </c>
      <c r="C84" s="48">
        <v>-1172470.993832197</v>
      </c>
      <c r="D84" s="48">
        <v>3404911.4801081717</v>
      </c>
      <c r="E84" s="48">
        <v>370753.04199061543</v>
      </c>
      <c r="F84" s="48">
        <f>$J$24-($N39+B84+C84+E84+D84)</f>
        <v>-2713037.0384671539</v>
      </c>
      <c r="G84" s="49">
        <v>0</v>
      </c>
      <c r="H84" s="49">
        <v>0</v>
      </c>
      <c r="I84" s="49">
        <v>0</v>
      </c>
      <c r="J84" s="49">
        <v>0</v>
      </c>
      <c r="K84" s="49">
        <v>0</v>
      </c>
      <c r="L84" s="49">
        <v>0</v>
      </c>
      <c r="M84" s="49">
        <v>0</v>
      </c>
      <c r="N84" s="48">
        <f t="shared" si="23"/>
        <v>-882076.9550505355</v>
      </c>
    </row>
    <row r="85" spans="1:18">
      <c r="A85" s="47" t="str">
        <f t="shared" si="22"/>
        <v>عمائر اب تاون 53</v>
      </c>
      <c r="B85" s="48">
        <v>-4480852.4608007316</v>
      </c>
      <c r="C85" s="48">
        <v>1118377.6443293877</v>
      </c>
      <c r="D85" s="48">
        <v>12305849.931450957</v>
      </c>
      <c r="E85" s="48">
        <v>-1968068.76567211</v>
      </c>
      <c r="F85" s="48">
        <f>$K$24-($N40+B85+C85+E85+D85)</f>
        <v>-629931.44471449405</v>
      </c>
      <c r="G85" s="49">
        <v>0</v>
      </c>
      <c r="H85" s="49">
        <v>0</v>
      </c>
      <c r="I85" s="49">
        <v>0</v>
      </c>
      <c r="J85" s="49">
        <v>0</v>
      </c>
      <c r="K85" s="49">
        <v>0</v>
      </c>
      <c r="L85" s="49">
        <v>0</v>
      </c>
      <c r="M85" s="49">
        <v>0</v>
      </c>
      <c r="N85" s="48">
        <f t="shared" si="23"/>
        <v>6345374.9045930095</v>
      </c>
    </row>
    <row r="86" spans="1:18">
      <c r="A86" s="47" t="str">
        <f t="shared" si="22"/>
        <v>New Giza phase 2</v>
      </c>
      <c r="B86" s="48">
        <v>-3650726.7284570578</v>
      </c>
      <c r="C86" s="48">
        <v>-3255455.832645813</v>
      </c>
      <c r="D86" s="48">
        <v>6259703.4131305814</v>
      </c>
      <c r="E86" s="48">
        <v>-707085.35306363925</v>
      </c>
      <c r="F86" s="48">
        <f>$L$24-($N41+B86+C86+E86+D86)</f>
        <v>-3373187.215623267</v>
      </c>
      <c r="G86" s="49">
        <v>0</v>
      </c>
      <c r="H86" s="49">
        <v>0</v>
      </c>
      <c r="I86" s="49">
        <v>0</v>
      </c>
      <c r="J86" s="49">
        <v>0</v>
      </c>
      <c r="K86" s="49">
        <v>0</v>
      </c>
      <c r="L86" s="49">
        <v>0</v>
      </c>
      <c r="M86" s="49">
        <v>0</v>
      </c>
      <c r="N86" s="48">
        <f t="shared" si="23"/>
        <v>-4726751.7166591957</v>
      </c>
    </row>
    <row r="87" spans="1:18">
      <c r="A87" s="47" t="str">
        <f t="shared" si="22"/>
        <v>Beni suef</v>
      </c>
      <c r="B87" s="48">
        <v>10363159.31812083</v>
      </c>
      <c r="C87" s="48">
        <v>-4264973.782350041</v>
      </c>
      <c r="D87" s="48">
        <v>15437487.278347962</v>
      </c>
      <c r="E87" s="48">
        <v>-18849409.700129777</v>
      </c>
      <c r="F87" s="48">
        <f>$M$24-($N42+B87+C87+E87+D87)</f>
        <v>-12318037.225665033</v>
      </c>
      <c r="G87" s="49">
        <v>0</v>
      </c>
      <c r="H87" s="49">
        <v>0</v>
      </c>
      <c r="I87" s="49">
        <v>0</v>
      </c>
      <c r="J87" s="49">
        <v>0</v>
      </c>
      <c r="K87" s="49">
        <v>0</v>
      </c>
      <c r="L87" s="49">
        <v>0</v>
      </c>
      <c r="M87" s="49">
        <v>0</v>
      </c>
      <c r="N87" s="48">
        <f t="shared" si="23"/>
        <v>-9631774.1116760597</v>
      </c>
    </row>
    <row r="88" spans="1:18">
      <c r="A88" s="47" t="str">
        <f t="shared" si="22"/>
        <v>كوبرى الشيخ بن زايد - كوبرى العاصمة</v>
      </c>
      <c r="B88" s="48">
        <v>2707098.90645588</v>
      </c>
      <c r="C88" s="48">
        <v>3901532.6255094949</v>
      </c>
      <c r="D88" s="48">
        <v>4119253.5031541847</v>
      </c>
      <c r="E88" s="48">
        <v>6232530.3795978874</v>
      </c>
      <c r="F88" s="48">
        <f>$N$24-($N43+B88+C88+E88+D88)</f>
        <v>5800869.2609234303</v>
      </c>
      <c r="G88" s="49">
        <v>0</v>
      </c>
      <c r="H88" s="49">
        <v>0</v>
      </c>
      <c r="I88" s="49">
        <v>0</v>
      </c>
      <c r="J88" s="49">
        <v>0</v>
      </c>
      <c r="K88" s="49">
        <v>0</v>
      </c>
      <c r="L88" s="49">
        <v>0</v>
      </c>
      <c r="M88" s="49">
        <v>0</v>
      </c>
      <c r="N88" s="48">
        <f t="shared" si="23"/>
        <v>22761284.675640877</v>
      </c>
    </row>
    <row r="89" spans="1:18">
      <c r="A89" s="47" t="str">
        <f t="shared" si="22"/>
        <v>جبل الزيت - GAMISA</v>
      </c>
      <c r="B89" s="48">
        <v>471872.9688807663</v>
      </c>
      <c r="C89" s="48">
        <v>-3780753.186853203</v>
      </c>
      <c r="D89" s="48">
        <v>-6213442.3213669658</v>
      </c>
      <c r="E89" s="48">
        <v>-3696848.0946723018</v>
      </c>
      <c r="F89" s="48">
        <f>$O$24-($N44+B89+C89+E89+D89)</f>
        <v>3191263.7199474927</v>
      </c>
      <c r="G89" s="49">
        <v>0</v>
      </c>
      <c r="H89" s="49">
        <v>0</v>
      </c>
      <c r="I89" s="49">
        <v>0</v>
      </c>
      <c r="J89" s="49">
        <v>0</v>
      </c>
      <c r="K89" s="49">
        <v>0</v>
      </c>
      <c r="L89" s="49">
        <v>0</v>
      </c>
      <c r="M89" s="49">
        <v>0</v>
      </c>
      <c r="N89" s="48">
        <f t="shared" si="23"/>
        <v>-10027906.914064212</v>
      </c>
    </row>
    <row r="90" spans="1:18">
      <c r="A90" s="47" t="s">
        <v>36</v>
      </c>
      <c r="B90" s="48">
        <v>0</v>
      </c>
      <c r="C90" s="48">
        <v>0</v>
      </c>
      <c r="D90" s="48">
        <v>0</v>
      </c>
      <c r="E90" s="48">
        <v>0</v>
      </c>
      <c r="F90" s="49">
        <v>0</v>
      </c>
      <c r="G90" s="49">
        <v>0</v>
      </c>
      <c r="H90" s="49">
        <v>0</v>
      </c>
      <c r="I90" s="49">
        <v>0</v>
      </c>
      <c r="J90" s="49">
        <v>0</v>
      </c>
      <c r="K90" s="49">
        <v>0</v>
      </c>
      <c r="L90" s="49">
        <v>0</v>
      </c>
      <c r="M90" s="49">
        <v>0</v>
      </c>
      <c r="N90" s="48">
        <f t="shared" si="23"/>
        <v>0</v>
      </c>
    </row>
    <row r="91" spans="1:18">
      <c r="A91" s="47" t="s">
        <v>64</v>
      </c>
      <c r="B91" s="48"/>
      <c r="C91" s="48"/>
      <c r="D91" s="49"/>
      <c r="E91" s="48">
        <v>97413.487224601195</v>
      </c>
      <c r="F91" s="48">
        <f>$P$24-($N46+B91+C91+E91+D91)</f>
        <v>187192.89847964002</v>
      </c>
      <c r="G91" s="49">
        <v>0</v>
      </c>
      <c r="H91" s="49">
        <v>0</v>
      </c>
      <c r="I91" s="49">
        <v>0</v>
      </c>
      <c r="J91" s="49">
        <v>0</v>
      </c>
      <c r="K91" s="49">
        <v>0</v>
      </c>
      <c r="L91" s="49">
        <v>0</v>
      </c>
      <c r="M91" s="49">
        <v>0</v>
      </c>
      <c r="N91" s="48">
        <f t="shared" si="23"/>
        <v>284606.38570424123</v>
      </c>
      <c r="O91" s="11"/>
      <c r="P91" s="11"/>
      <c r="Q91" s="11"/>
      <c r="R91" s="11"/>
    </row>
    <row r="92" spans="1:18">
      <c r="A92" s="47" t="s">
        <v>62</v>
      </c>
      <c r="B92" s="48"/>
      <c r="C92" s="48"/>
      <c r="D92" s="49"/>
      <c r="E92" s="48">
        <v>124426.72357984877</v>
      </c>
      <c r="F92" s="48">
        <f>$Q$24-($N47+B92+C92+E92+D92)</f>
        <v>1865181.6543635861</v>
      </c>
      <c r="G92" s="49">
        <v>0</v>
      </c>
      <c r="H92" s="49">
        <v>0</v>
      </c>
      <c r="I92" s="49">
        <v>0</v>
      </c>
      <c r="J92" s="49">
        <v>0</v>
      </c>
      <c r="K92" s="49">
        <v>0</v>
      </c>
      <c r="L92" s="49">
        <v>0</v>
      </c>
      <c r="M92" s="49">
        <v>0</v>
      </c>
      <c r="N92" s="48">
        <f t="shared" si="23"/>
        <v>1989608.3779434348</v>
      </c>
      <c r="O92" s="11"/>
      <c r="P92" s="11"/>
      <c r="Q92" s="11"/>
      <c r="R92" s="11"/>
    </row>
    <row r="93" spans="1:18">
      <c r="A93" s="47" t="s">
        <v>61</v>
      </c>
      <c r="B93" s="48"/>
      <c r="C93" s="48"/>
      <c r="D93" s="49"/>
      <c r="E93" s="48">
        <v>14305.1320754717</v>
      </c>
      <c r="F93" s="48">
        <f>$R$24-($N48+B93+C93+E93+D93)</f>
        <v>258286.52830188681</v>
      </c>
      <c r="G93" s="49">
        <v>0</v>
      </c>
      <c r="H93" s="49">
        <v>0</v>
      </c>
      <c r="I93" s="49">
        <v>0</v>
      </c>
      <c r="J93" s="49">
        <v>0</v>
      </c>
      <c r="K93" s="49">
        <v>0</v>
      </c>
      <c r="L93" s="49">
        <v>0</v>
      </c>
      <c r="M93" s="49">
        <v>0</v>
      </c>
      <c r="N93" s="48">
        <f t="shared" si="23"/>
        <v>272591.66037735849</v>
      </c>
      <c r="O93" s="11"/>
      <c r="P93" s="11"/>
      <c r="Q93" s="11"/>
      <c r="R93" s="11"/>
    </row>
    <row r="94" spans="1:18" ht="15.75" thickBot="1">
      <c r="A94" s="50" t="s">
        <v>37</v>
      </c>
      <c r="B94" s="59">
        <f>SUM(B76:B93)</f>
        <v>22248706.645248562</v>
      </c>
      <c r="C94" s="59">
        <f t="shared" ref="C94:N94" si="24">SUM(C76:C93)</f>
        <v>-9167761.5160364658</v>
      </c>
      <c r="D94" s="59">
        <f t="shared" si="24"/>
        <v>49101584.564620227</v>
      </c>
      <c r="E94" s="59">
        <f t="shared" si="24"/>
        <v>-12544439.302740531</v>
      </c>
      <c r="F94" s="59">
        <f t="shared" si="24"/>
        <v>-16633063.309314646</v>
      </c>
      <c r="G94" s="59">
        <f t="shared" si="24"/>
        <v>0</v>
      </c>
      <c r="H94" s="59">
        <f t="shared" si="24"/>
        <v>0</v>
      </c>
      <c r="I94" s="59">
        <f t="shared" si="24"/>
        <v>0</v>
      </c>
      <c r="J94" s="59">
        <f t="shared" si="24"/>
        <v>0</v>
      </c>
      <c r="K94" s="59">
        <f t="shared" si="24"/>
        <v>0</v>
      </c>
      <c r="L94" s="59">
        <f t="shared" si="24"/>
        <v>0</v>
      </c>
      <c r="M94" s="59">
        <f t="shared" si="24"/>
        <v>0</v>
      </c>
      <c r="N94" s="59">
        <f t="shared" si="24"/>
        <v>33005027.081777144</v>
      </c>
    </row>
    <row r="95" spans="1:18" ht="15.75" thickTop="1">
      <c r="A95" s="45" t="s">
        <v>54</v>
      </c>
      <c r="B95" s="48"/>
      <c r="C95" s="48"/>
      <c r="D95" s="48"/>
      <c r="E95" s="48"/>
      <c r="F95" s="48"/>
      <c r="G95" s="48"/>
      <c r="H95" s="48"/>
      <c r="I95" s="48"/>
      <c r="J95" s="48"/>
      <c r="K95" s="48"/>
      <c r="L95" s="48"/>
      <c r="M95" s="48"/>
      <c r="N95" s="48"/>
    </row>
    <row r="96" spans="1:18">
      <c r="A96" s="47" t="str">
        <f t="shared" ref="A96:A104" si="25">A51</f>
        <v>كباري مراسي pkg#37</v>
      </c>
      <c r="B96" s="48">
        <f t="shared" ref="B96:B103" si="26">B51*-1</f>
        <v>-101636</v>
      </c>
      <c r="C96" s="49">
        <v>0</v>
      </c>
      <c r="D96" s="48">
        <f t="shared" ref="D96:F104" si="27">D51*-1</f>
        <v>0</v>
      </c>
      <c r="E96" s="48">
        <f t="shared" si="27"/>
        <v>0</v>
      </c>
      <c r="F96" s="48">
        <f t="shared" si="27"/>
        <v>0</v>
      </c>
      <c r="G96" s="49">
        <v>0</v>
      </c>
      <c r="H96" s="49">
        <v>0</v>
      </c>
      <c r="I96" s="49">
        <v>0</v>
      </c>
      <c r="J96" s="49">
        <v>0</v>
      </c>
      <c r="K96" s="49">
        <v>0</v>
      </c>
      <c r="L96" s="49">
        <v>0</v>
      </c>
      <c r="M96" s="49">
        <v>0</v>
      </c>
      <c r="N96" s="48">
        <f t="shared" ref="N96:N104" si="28">SUM(B96:M96)</f>
        <v>-101636</v>
      </c>
    </row>
    <row r="97" spans="1:18">
      <c r="A97" s="47" t="str">
        <f t="shared" si="25"/>
        <v>اب تاون pkg#17</v>
      </c>
      <c r="B97" s="48">
        <f t="shared" si="26"/>
        <v>107619.49</v>
      </c>
      <c r="C97" s="49">
        <v>0</v>
      </c>
      <c r="D97" s="48">
        <f t="shared" si="27"/>
        <v>-159382</v>
      </c>
      <c r="E97" s="48">
        <f t="shared" si="27"/>
        <v>0</v>
      </c>
      <c r="F97" s="48">
        <f t="shared" ref="F97:F104" si="29">F52*-1</f>
        <v>0</v>
      </c>
      <c r="G97" s="49">
        <v>0</v>
      </c>
      <c r="H97" s="49">
        <v>0</v>
      </c>
      <c r="I97" s="49">
        <v>0</v>
      </c>
      <c r="J97" s="49">
        <v>0</v>
      </c>
      <c r="K97" s="49">
        <v>0</v>
      </c>
      <c r="L97" s="49">
        <v>0</v>
      </c>
      <c r="M97" s="49">
        <v>0</v>
      </c>
      <c r="N97" s="48">
        <f t="shared" si="28"/>
        <v>-51762.509999999995</v>
      </c>
    </row>
    <row r="98" spans="1:18">
      <c r="A98" s="47" t="str">
        <f t="shared" si="25"/>
        <v>اب تاون pkg#32</v>
      </c>
      <c r="B98" s="48">
        <f t="shared" si="26"/>
        <v>-254298</v>
      </c>
      <c r="C98" s="49">
        <v>0</v>
      </c>
      <c r="D98" s="48">
        <f t="shared" si="27"/>
        <v>0</v>
      </c>
      <c r="E98" s="48">
        <f t="shared" si="27"/>
        <v>0</v>
      </c>
      <c r="F98" s="48">
        <f t="shared" si="29"/>
        <v>0</v>
      </c>
      <c r="G98" s="49">
        <v>0</v>
      </c>
      <c r="H98" s="49">
        <v>0</v>
      </c>
      <c r="I98" s="49">
        <v>0</v>
      </c>
      <c r="J98" s="49">
        <v>0</v>
      </c>
      <c r="K98" s="49">
        <v>0</v>
      </c>
      <c r="L98" s="49">
        <v>0</v>
      </c>
      <c r="M98" s="49">
        <v>0</v>
      </c>
      <c r="N98" s="48">
        <f t="shared" si="28"/>
        <v>-254298</v>
      </c>
    </row>
    <row r="99" spans="1:18">
      <c r="A99" s="47" t="str">
        <f t="shared" si="25"/>
        <v>PKG#45 Civic Center</v>
      </c>
      <c r="B99" s="48">
        <f t="shared" si="26"/>
        <v>-1258165</v>
      </c>
      <c r="C99" s="48">
        <f>C54*-1</f>
        <v>-308208</v>
      </c>
      <c r="D99" s="48">
        <f t="shared" si="27"/>
        <v>-769574</v>
      </c>
      <c r="E99" s="48">
        <f t="shared" si="27"/>
        <v>0</v>
      </c>
      <c r="F99" s="48">
        <f t="shared" si="29"/>
        <v>0</v>
      </c>
      <c r="G99" s="49">
        <v>0</v>
      </c>
      <c r="H99" s="49">
        <v>0</v>
      </c>
      <c r="I99" s="49">
        <v>0</v>
      </c>
      <c r="J99" s="49">
        <v>0</v>
      </c>
      <c r="K99" s="49">
        <v>0</v>
      </c>
      <c r="L99" s="49">
        <v>0</v>
      </c>
      <c r="M99" s="49">
        <v>0</v>
      </c>
      <c r="N99" s="48">
        <f t="shared" si="28"/>
        <v>-2335947</v>
      </c>
    </row>
    <row r="100" spans="1:18">
      <c r="A100" s="47" t="str">
        <f t="shared" si="25"/>
        <v xml:space="preserve">Limak </v>
      </c>
      <c r="B100" s="48">
        <f t="shared" si="26"/>
        <v>-1110732</v>
      </c>
      <c r="C100" s="49">
        <v>0</v>
      </c>
      <c r="D100" s="48">
        <f t="shared" si="27"/>
        <v>0</v>
      </c>
      <c r="E100" s="48">
        <f t="shared" si="27"/>
        <v>0</v>
      </c>
      <c r="F100" s="48">
        <f t="shared" si="29"/>
        <v>0</v>
      </c>
      <c r="G100" s="49">
        <v>0</v>
      </c>
      <c r="H100" s="49">
        <v>0</v>
      </c>
      <c r="I100" s="49">
        <v>0</v>
      </c>
      <c r="J100" s="49">
        <v>0</v>
      </c>
      <c r="K100" s="49">
        <v>0</v>
      </c>
      <c r="L100" s="49">
        <v>0</v>
      </c>
      <c r="M100" s="49">
        <v>0</v>
      </c>
      <c r="N100" s="48">
        <f t="shared" si="28"/>
        <v>-1110732</v>
      </c>
    </row>
    <row r="101" spans="1:18">
      <c r="A101" s="47" t="str">
        <f t="shared" si="25"/>
        <v>Sodic West Town</v>
      </c>
      <c r="B101" s="48">
        <f t="shared" si="26"/>
        <v>-627547</v>
      </c>
      <c r="C101" s="49">
        <v>0</v>
      </c>
      <c r="D101" s="48">
        <f t="shared" si="27"/>
        <v>-397133</v>
      </c>
      <c r="E101" s="48">
        <f t="shared" si="27"/>
        <v>-754074</v>
      </c>
      <c r="F101" s="48">
        <f t="shared" si="29"/>
        <v>0</v>
      </c>
      <c r="G101" s="49">
        <v>0</v>
      </c>
      <c r="H101" s="49">
        <v>0</v>
      </c>
      <c r="I101" s="49">
        <v>0</v>
      </c>
      <c r="J101" s="49">
        <v>0</v>
      </c>
      <c r="K101" s="49">
        <v>0</v>
      </c>
      <c r="L101" s="49">
        <v>0</v>
      </c>
      <c r="M101" s="49">
        <v>0</v>
      </c>
      <c r="N101" s="48">
        <f t="shared" si="28"/>
        <v>-1778754</v>
      </c>
    </row>
    <row r="102" spans="1:18">
      <c r="A102" s="47" t="str">
        <f t="shared" si="25"/>
        <v>New Cairo Mall</v>
      </c>
      <c r="B102" s="48">
        <f t="shared" si="26"/>
        <v>-3608866</v>
      </c>
      <c r="C102" s="49">
        <v>0</v>
      </c>
      <c r="D102" s="48">
        <f t="shared" si="27"/>
        <v>0</v>
      </c>
      <c r="E102" s="48">
        <f t="shared" si="27"/>
        <v>0</v>
      </c>
      <c r="F102" s="48">
        <f t="shared" si="29"/>
        <v>0</v>
      </c>
      <c r="G102" s="49">
        <v>0</v>
      </c>
      <c r="H102" s="49">
        <v>0</v>
      </c>
      <c r="I102" s="49">
        <v>0</v>
      </c>
      <c r="J102" s="49">
        <v>0</v>
      </c>
      <c r="K102" s="49">
        <v>0</v>
      </c>
      <c r="L102" s="49">
        <v>0</v>
      </c>
      <c r="M102" s="49">
        <v>0</v>
      </c>
      <c r="N102" s="48">
        <f t="shared" si="28"/>
        <v>-3608866</v>
      </c>
    </row>
    <row r="103" spans="1:18">
      <c r="A103" s="47" t="str">
        <f t="shared" si="25"/>
        <v xml:space="preserve">El Wahatt </v>
      </c>
      <c r="B103" s="48">
        <f t="shared" si="26"/>
        <v>1787461.1</v>
      </c>
      <c r="C103" s="49">
        <v>0</v>
      </c>
      <c r="D103" s="48">
        <f t="shared" si="27"/>
        <v>-1787461.1</v>
      </c>
      <c r="E103" s="48">
        <f t="shared" si="27"/>
        <v>0</v>
      </c>
      <c r="F103" s="48">
        <f t="shared" si="29"/>
        <v>0</v>
      </c>
      <c r="G103" s="49">
        <v>0</v>
      </c>
      <c r="H103" s="49">
        <v>0</v>
      </c>
      <c r="I103" s="49">
        <v>0</v>
      </c>
      <c r="J103" s="49">
        <v>0</v>
      </c>
      <c r="K103" s="49">
        <v>0</v>
      </c>
      <c r="L103" s="49">
        <v>0</v>
      </c>
      <c r="M103" s="49">
        <v>0</v>
      </c>
      <c r="N103" s="48">
        <f t="shared" si="28"/>
        <v>0</v>
      </c>
    </row>
    <row r="104" spans="1:18">
      <c r="A104" s="47" t="str">
        <f t="shared" si="25"/>
        <v>Kasrawy II</v>
      </c>
      <c r="B104" s="48">
        <v>0</v>
      </c>
      <c r="C104" s="49">
        <v>0</v>
      </c>
      <c r="D104" s="48">
        <f t="shared" si="27"/>
        <v>-318578</v>
      </c>
      <c r="E104" s="48">
        <f t="shared" si="27"/>
        <v>0</v>
      </c>
      <c r="F104" s="48">
        <f t="shared" si="29"/>
        <v>0</v>
      </c>
      <c r="G104" s="49">
        <v>0</v>
      </c>
      <c r="H104" s="49">
        <v>0</v>
      </c>
      <c r="I104" s="49">
        <v>0</v>
      </c>
      <c r="J104" s="49">
        <v>0</v>
      </c>
      <c r="K104" s="49">
        <v>0</v>
      </c>
      <c r="L104" s="49">
        <v>0</v>
      </c>
      <c r="M104" s="49">
        <v>0</v>
      </c>
      <c r="N104" s="48">
        <f t="shared" si="28"/>
        <v>-318578</v>
      </c>
    </row>
    <row r="105" spans="1:18" ht="15.75" thickBot="1">
      <c r="A105" s="50" t="s">
        <v>37</v>
      </c>
      <c r="B105" s="56">
        <f>SUM(B96:B104)</f>
        <v>-5066163.41</v>
      </c>
      <c r="C105" s="56">
        <f>SUM(C96:C104)</f>
        <v>-308208</v>
      </c>
      <c r="D105" s="56">
        <f>SUM(D96:D104)</f>
        <v>-3432128.1</v>
      </c>
      <c r="E105" s="56">
        <f>SUM(E96:E104)</f>
        <v>-754074</v>
      </c>
      <c r="F105" s="56">
        <f t="shared" ref="F105:N105" si="30">SUM(F96:F104)</f>
        <v>0</v>
      </c>
      <c r="G105" s="56">
        <f t="shared" si="30"/>
        <v>0</v>
      </c>
      <c r="H105" s="56">
        <f t="shared" si="30"/>
        <v>0</v>
      </c>
      <c r="I105" s="56">
        <f t="shared" si="30"/>
        <v>0</v>
      </c>
      <c r="J105" s="56">
        <f t="shared" si="30"/>
        <v>0</v>
      </c>
      <c r="K105" s="56">
        <f t="shared" si="30"/>
        <v>0</v>
      </c>
      <c r="L105" s="56">
        <f t="shared" si="30"/>
        <v>0</v>
      </c>
      <c r="M105" s="56">
        <f t="shared" si="30"/>
        <v>0</v>
      </c>
      <c r="N105" s="56">
        <f t="shared" si="30"/>
        <v>-9560573.5099999998</v>
      </c>
    </row>
    <row r="106" spans="1:18" ht="16.5" thickTop="1" thickBot="1">
      <c r="A106" s="44" t="s">
        <v>15</v>
      </c>
      <c r="B106" s="9">
        <f t="shared" ref="B106:N106" si="31">B94+B105</f>
        <v>17182543.235248562</v>
      </c>
      <c r="C106" s="9">
        <f t="shared" si="31"/>
        <v>-9475969.5160364658</v>
      </c>
      <c r="D106" s="9">
        <f t="shared" si="31"/>
        <v>45669456.464620225</v>
      </c>
      <c r="E106" s="9">
        <f t="shared" si="31"/>
        <v>-13298513.302740531</v>
      </c>
      <c r="F106" s="9">
        <f t="shared" si="31"/>
        <v>-16633063.309314646</v>
      </c>
      <c r="G106" s="9">
        <f t="shared" si="31"/>
        <v>0</v>
      </c>
      <c r="H106" s="9">
        <f t="shared" si="31"/>
        <v>0</v>
      </c>
      <c r="I106" s="9">
        <f t="shared" si="31"/>
        <v>0</v>
      </c>
      <c r="J106" s="9">
        <f t="shared" si="31"/>
        <v>0</v>
      </c>
      <c r="K106" s="9">
        <f t="shared" si="31"/>
        <v>0</v>
      </c>
      <c r="L106" s="9">
        <f t="shared" si="31"/>
        <v>0</v>
      </c>
      <c r="M106" s="9">
        <f t="shared" si="31"/>
        <v>0</v>
      </c>
      <c r="N106" s="9">
        <f t="shared" si="31"/>
        <v>23444453.571777143</v>
      </c>
    </row>
    <row r="107" spans="1:18" ht="15.75" thickTop="1">
      <c r="A107" s="6"/>
      <c r="B107" s="12"/>
    </row>
    <row r="108" spans="1:18">
      <c r="A108" s="435" t="s">
        <v>55</v>
      </c>
      <c r="B108" s="432">
        <f t="shared" ref="B108:N108" si="32">B28</f>
        <v>42370</v>
      </c>
      <c r="C108" s="432">
        <f t="shared" si="32"/>
        <v>42401</v>
      </c>
      <c r="D108" s="432">
        <f t="shared" si="32"/>
        <v>42430</v>
      </c>
      <c r="E108" s="432">
        <f t="shared" si="32"/>
        <v>42461</v>
      </c>
      <c r="F108" s="432">
        <f t="shared" si="32"/>
        <v>42491</v>
      </c>
      <c r="G108" s="432">
        <f t="shared" si="32"/>
        <v>42522</v>
      </c>
      <c r="H108" s="432">
        <f t="shared" si="32"/>
        <v>42552</v>
      </c>
      <c r="I108" s="432">
        <f t="shared" si="32"/>
        <v>42583</v>
      </c>
      <c r="J108" s="432">
        <f t="shared" si="32"/>
        <v>42614</v>
      </c>
      <c r="K108" s="432">
        <f t="shared" si="32"/>
        <v>42644</v>
      </c>
      <c r="L108" s="432">
        <f t="shared" si="32"/>
        <v>42675</v>
      </c>
      <c r="M108" s="432">
        <f t="shared" si="32"/>
        <v>42705</v>
      </c>
      <c r="N108" s="432" t="str">
        <f t="shared" si="32"/>
        <v>Total</v>
      </c>
    </row>
    <row r="109" spans="1:18" ht="15.75" thickBot="1">
      <c r="A109" s="436"/>
      <c r="B109" s="433"/>
      <c r="C109" s="433"/>
      <c r="D109" s="433"/>
      <c r="E109" s="433"/>
      <c r="F109" s="433"/>
      <c r="G109" s="433"/>
      <c r="H109" s="433"/>
      <c r="I109" s="433"/>
      <c r="J109" s="433"/>
      <c r="K109" s="433"/>
      <c r="L109" s="433"/>
      <c r="M109" s="433"/>
      <c r="N109" s="433"/>
    </row>
    <row r="110" spans="1:18" ht="15.75" thickTop="1">
      <c r="A110" s="45" t="s">
        <v>35</v>
      </c>
      <c r="B110" s="46"/>
      <c r="C110" s="46"/>
      <c r="D110" s="46"/>
      <c r="E110" s="46"/>
      <c r="F110" s="46"/>
      <c r="G110" s="46"/>
      <c r="H110" s="46"/>
      <c r="I110" s="46"/>
      <c r="J110" s="46"/>
      <c r="K110" s="46"/>
      <c r="L110" s="46"/>
      <c r="M110" s="46"/>
      <c r="N110" s="46"/>
    </row>
    <row r="111" spans="1:18">
      <c r="A111" s="47" t="str">
        <f t="shared" ref="A111:A124" si="33">A31</f>
        <v>Al Oula</v>
      </c>
      <c r="B111" s="48">
        <v>731358.21</v>
      </c>
      <c r="C111" s="48">
        <v>817606.17</v>
      </c>
      <c r="D111" s="49">
        <f>4544607.71+798421</f>
        <v>5343028.71</v>
      </c>
      <c r="E111" s="49">
        <v>256267.43</v>
      </c>
      <c r="F111" s="49">
        <v>1510830</v>
      </c>
      <c r="G111" s="49">
        <v>0</v>
      </c>
      <c r="H111" s="49">
        <v>0</v>
      </c>
      <c r="I111" s="49">
        <v>0</v>
      </c>
      <c r="J111" s="49">
        <v>0</v>
      </c>
      <c r="K111" s="49">
        <v>0</v>
      </c>
      <c r="L111" s="49">
        <v>0</v>
      </c>
      <c r="M111" s="49">
        <v>0</v>
      </c>
      <c r="N111" s="48">
        <f>SUM(B111:M111)</f>
        <v>8659090.5199999996</v>
      </c>
      <c r="O111" s="11"/>
      <c r="P111" s="11"/>
      <c r="Q111" s="11"/>
      <c r="R111" s="11"/>
    </row>
    <row r="112" spans="1:18">
      <c r="A112" s="47" t="str">
        <f t="shared" si="33"/>
        <v>Hyper Al Sulaimaniya</v>
      </c>
      <c r="B112" s="48">
        <v>2354090.92</v>
      </c>
      <c r="C112" s="48">
        <v>829489.37999999989</v>
      </c>
      <c r="D112" s="49">
        <v>616327.42000000004</v>
      </c>
      <c r="E112" s="49">
        <v>108256.64</v>
      </c>
      <c r="F112" s="49">
        <v>113845</v>
      </c>
      <c r="G112" s="49">
        <v>0</v>
      </c>
      <c r="H112" s="49">
        <v>0</v>
      </c>
      <c r="I112" s="49">
        <v>0</v>
      </c>
      <c r="J112" s="49">
        <v>0</v>
      </c>
      <c r="K112" s="49">
        <v>0</v>
      </c>
      <c r="L112" s="49">
        <v>0</v>
      </c>
      <c r="M112" s="49">
        <v>0</v>
      </c>
      <c r="N112" s="48">
        <f t="shared" ref="N112:N127" si="34">SUM(B112:M112)</f>
        <v>4022009.36</v>
      </c>
      <c r="O112" s="11"/>
      <c r="P112" s="11"/>
      <c r="Q112" s="11"/>
      <c r="R112" s="11"/>
    </row>
    <row r="113" spans="1:19">
      <c r="A113" s="47" t="str">
        <f t="shared" si="33"/>
        <v>New Giza</v>
      </c>
      <c r="B113" s="48">
        <v>3533501.11</v>
      </c>
      <c r="C113" s="48">
        <v>2217600.64</v>
      </c>
      <c r="D113" s="49">
        <v>2657211.75</v>
      </c>
      <c r="E113" s="49">
        <v>2957333.9699999997</v>
      </c>
      <c r="F113" s="49">
        <v>1172106</v>
      </c>
      <c r="G113" s="49">
        <v>0</v>
      </c>
      <c r="H113" s="49">
        <v>0</v>
      </c>
      <c r="I113" s="49">
        <v>0</v>
      </c>
      <c r="J113" s="49">
        <v>0</v>
      </c>
      <c r="K113" s="49">
        <v>0</v>
      </c>
      <c r="L113" s="49">
        <v>0</v>
      </c>
      <c r="M113" s="49">
        <v>0</v>
      </c>
      <c r="N113" s="48">
        <f t="shared" si="34"/>
        <v>12537753.469999999</v>
      </c>
      <c r="O113" s="11"/>
      <c r="P113" s="11"/>
      <c r="Q113" s="11"/>
      <c r="R113" s="11"/>
    </row>
    <row r="114" spans="1:19">
      <c r="A114" s="47" t="str">
        <f t="shared" si="33"/>
        <v>Maxim mall</v>
      </c>
      <c r="B114" s="48">
        <v>2551727.6</v>
      </c>
      <c r="C114" s="48">
        <v>3818299.91</v>
      </c>
      <c r="D114" s="49">
        <v>7128164.0899999999</v>
      </c>
      <c r="E114" s="49">
        <v>1824723.04</v>
      </c>
      <c r="F114" s="49">
        <v>4727603</v>
      </c>
      <c r="G114" s="49">
        <v>0</v>
      </c>
      <c r="H114" s="49">
        <v>0</v>
      </c>
      <c r="I114" s="49">
        <v>0</v>
      </c>
      <c r="J114" s="49">
        <v>0</v>
      </c>
      <c r="K114" s="49">
        <v>0</v>
      </c>
      <c r="L114" s="49">
        <v>0</v>
      </c>
      <c r="M114" s="49">
        <v>0</v>
      </c>
      <c r="N114" s="48">
        <f t="shared" si="34"/>
        <v>20050517.640000001</v>
      </c>
      <c r="O114" s="11"/>
      <c r="P114" s="11"/>
      <c r="Q114" s="11"/>
      <c r="R114" s="11"/>
    </row>
    <row r="115" spans="1:19">
      <c r="A115" s="47" t="str">
        <f t="shared" si="33"/>
        <v>Attaka</v>
      </c>
      <c r="B115" s="48">
        <v>3619725.03</v>
      </c>
      <c r="C115" s="48">
        <v>3278087.63</v>
      </c>
      <c r="D115" s="49">
        <v>781810.14999999991</v>
      </c>
      <c r="E115" s="49">
        <v>604382.12</v>
      </c>
      <c r="F115" s="49">
        <v>1793508</v>
      </c>
      <c r="G115" s="49">
        <v>0</v>
      </c>
      <c r="H115" s="49">
        <v>0</v>
      </c>
      <c r="I115" s="49">
        <v>0</v>
      </c>
      <c r="J115" s="49">
        <v>0</v>
      </c>
      <c r="K115" s="49">
        <v>0</v>
      </c>
      <c r="L115" s="49">
        <v>0</v>
      </c>
      <c r="M115" s="49">
        <v>0</v>
      </c>
      <c r="N115" s="48">
        <f t="shared" si="34"/>
        <v>10077512.93</v>
      </c>
      <c r="O115" s="11"/>
      <c r="P115" s="11"/>
      <c r="Q115" s="11"/>
      <c r="R115" s="11"/>
    </row>
    <row r="116" spans="1:19">
      <c r="A116" s="47" t="str">
        <f t="shared" si="33"/>
        <v>مول مصر</v>
      </c>
      <c r="B116" s="48">
        <v>10254611.17</v>
      </c>
      <c r="C116" s="48">
        <v>4458658.1399999997</v>
      </c>
      <c r="D116" s="49">
        <v>7767090.5700000003</v>
      </c>
      <c r="E116" s="49">
        <v>4575909.32</v>
      </c>
      <c r="F116" s="49">
        <v>11218373</v>
      </c>
      <c r="G116" s="49">
        <v>0</v>
      </c>
      <c r="H116" s="49">
        <v>0</v>
      </c>
      <c r="I116" s="49">
        <v>0</v>
      </c>
      <c r="J116" s="49">
        <v>0</v>
      </c>
      <c r="K116" s="49">
        <v>0</v>
      </c>
      <c r="L116" s="49">
        <v>0</v>
      </c>
      <c r="M116" s="49">
        <v>0</v>
      </c>
      <c r="N116" s="48">
        <f t="shared" si="34"/>
        <v>38274642.200000003</v>
      </c>
      <c r="O116" s="11"/>
      <c r="P116" s="11"/>
      <c r="Q116" s="11"/>
      <c r="R116" s="11"/>
    </row>
    <row r="117" spans="1:19">
      <c r="A117" s="47" t="str">
        <f t="shared" si="33"/>
        <v>مراسى تانك الخزان الجديد PKG22 New</v>
      </c>
      <c r="B117" s="48">
        <v>595102.86</v>
      </c>
      <c r="C117" s="48">
        <v>355913.84</v>
      </c>
      <c r="D117" s="49">
        <f>1157366.6+168735</f>
        <v>1326101.6000000001</v>
      </c>
      <c r="E117" s="49">
        <v>520565.51999999996</v>
      </c>
      <c r="F117" s="49">
        <v>435976</v>
      </c>
      <c r="G117" s="49">
        <v>0</v>
      </c>
      <c r="H117" s="49">
        <v>0</v>
      </c>
      <c r="I117" s="49">
        <v>0</v>
      </c>
      <c r="J117" s="49">
        <v>0</v>
      </c>
      <c r="K117" s="49">
        <v>0</v>
      </c>
      <c r="L117" s="49">
        <v>0</v>
      </c>
      <c r="M117" s="49">
        <v>0</v>
      </c>
      <c r="N117" s="48">
        <f t="shared" si="34"/>
        <v>3233659.82</v>
      </c>
      <c r="O117" s="11"/>
      <c r="P117" s="11"/>
      <c r="Q117" s="11"/>
      <c r="R117" s="11"/>
    </row>
    <row r="118" spans="1:19">
      <c r="A118" s="47" t="str">
        <f t="shared" si="33"/>
        <v>نادي سوديك</v>
      </c>
      <c r="B118" s="48">
        <v>3593738.78</v>
      </c>
      <c r="C118" s="48">
        <v>2608383.2800000003</v>
      </c>
      <c r="D118" s="49">
        <f>3184592.7+105070.04</f>
        <v>3289662.74</v>
      </c>
      <c r="E118" s="49">
        <v>3064968.2399999998</v>
      </c>
      <c r="F118" s="49">
        <v>2713500</v>
      </c>
      <c r="G118" s="49">
        <v>0</v>
      </c>
      <c r="H118" s="49">
        <v>0</v>
      </c>
      <c r="I118" s="49">
        <v>0</v>
      </c>
      <c r="J118" s="49">
        <v>0</v>
      </c>
      <c r="K118" s="49">
        <v>0</v>
      </c>
      <c r="L118" s="49">
        <v>0</v>
      </c>
      <c r="M118" s="49">
        <v>0</v>
      </c>
      <c r="N118" s="48">
        <f t="shared" si="34"/>
        <v>15270253.040000001</v>
      </c>
      <c r="O118" s="11"/>
      <c r="P118" s="11"/>
      <c r="Q118" s="11"/>
      <c r="R118" s="11"/>
    </row>
    <row r="119" spans="1:19">
      <c r="A119" s="47" t="str">
        <f t="shared" si="33"/>
        <v>شرم الشيخ</v>
      </c>
      <c r="B119" s="48">
        <v>1567685.33</v>
      </c>
      <c r="C119" s="48">
        <v>1600000.78</v>
      </c>
      <c r="D119" s="49">
        <v>3073116.43</v>
      </c>
      <c r="E119" s="49">
        <v>2272491.08</v>
      </c>
      <c r="F119" s="49">
        <v>2400345</v>
      </c>
      <c r="G119" s="49">
        <v>0</v>
      </c>
      <c r="H119" s="49">
        <v>0</v>
      </c>
      <c r="I119" s="49">
        <v>0</v>
      </c>
      <c r="J119" s="49">
        <v>0</v>
      </c>
      <c r="K119" s="49">
        <v>0</v>
      </c>
      <c r="L119" s="49">
        <v>0</v>
      </c>
      <c r="M119" s="49">
        <v>0</v>
      </c>
      <c r="N119" s="48">
        <f t="shared" si="34"/>
        <v>10913638.620000001</v>
      </c>
      <c r="O119" s="11"/>
      <c r="P119" s="11"/>
      <c r="Q119" s="11"/>
      <c r="R119" s="11"/>
    </row>
    <row r="120" spans="1:19">
      <c r="A120" s="47" t="str">
        <f t="shared" si="33"/>
        <v>عمائر اب تاون 53</v>
      </c>
      <c r="B120" s="48">
        <v>5138272.57</v>
      </c>
      <c r="C120" s="48">
        <v>6602814.0199999996</v>
      </c>
      <c r="D120" s="49">
        <v>11340463.66</v>
      </c>
      <c r="E120" s="49">
        <v>7189360.6799999997</v>
      </c>
      <c r="F120" s="49">
        <v>8219340</v>
      </c>
      <c r="G120" s="49">
        <v>0</v>
      </c>
      <c r="H120" s="49">
        <v>0</v>
      </c>
      <c r="I120" s="49">
        <v>0</v>
      </c>
      <c r="J120" s="49">
        <v>0</v>
      </c>
      <c r="K120" s="49">
        <v>0</v>
      </c>
      <c r="L120" s="49">
        <v>0</v>
      </c>
      <c r="M120" s="49">
        <v>0</v>
      </c>
      <c r="N120" s="48">
        <f t="shared" si="34"/>
        <v>38490250.93</v>
      </c>
      <c r="O120" s="11"/>
      <c r="P120" s="11"/>
      <c r="Q120" s="11"/>
      <c r="R120" s="11"/>
    </row>
    <row r="121" spans="1:19">
      <c r="A121" s="47" t="str">
        <f t="shared" si="33"/>
        <v>New Giza phase 2</v>
      </c>
      <c r="B121" s="48">
        <v>1922300.82</v>
      </c>
      <c r="C121" s="48">
        <v>2356865.9299999997</v>
      </c>
      <c r="D121" s="49">
        <v>11102818</v>
      </c>
      <c r="E121" s="49">
        <v>3086479.78</v>
      </c>
      <c r="F121" s="49">
        <v>4268870</v>
      </c>
      <c r="G121" s="49">
        <v>0</v>
      </c>
      <c r="H121" s="49">
        <v>0</v>
      </c>
      <c r="I121" s="49">
        <v>0</v>
      </c>
      <c r="J121" s="49">
        <v>0</v>
      </c>
      <c r="K121" s="49">
        <v>0</v>
      </c>
      <c r="L121" s="49">
        <v>0</v>
      </c>
      <c r="M121" s="49">
        <v>0</v>
      </c>
      <c r="N121" s="48">
        <f t="shared" si="34"/>
        <v>22737334.530000001</v>
      </c>
      <c r="O121" s="11"/>
      <c r="P121" s="11"/>
      <c r="Q121" s="11"/>
      <c r="R121" s="11"/>
    </row>
    <row r="122" spans="1:19">
      <c r="A122" s="47" t="str">
        <f t="shared" si="33"/>
        <v>Beni suef</v>
      </c>
      <c r="B122" s="48">
        <v>8943070.8100000005</v>
      </c>
      <c r="C122" s="48">
        <v>11027017.59</v>
      </c>
      <c r="D122" s="49">
        <v>38405998.100000001</v>
      </c>
      <c r="E122" s="49">
        <v>19189273.209999997</v>
      </c>
      <c r="F122" s="49">
        <v>13933154</v>
      </c>
      <c r="G122" s="49">
        <v>0</v>
      </c>
      <c r="H122" s="49">
        <v>0</v>
      </c>
      <c r="I122" s="49">
        <v>0</v>
      </c>
      <c r="J122" s="49">
        <v>0</v>
      </c>
      <c r="K122" s="49">
        <v>0</v>
      </c>
      <c r="L122" s="49">
        <v>0</v>
      </c>
      <c r="M122" s="49">
        <v>0</v>
      </c>
      <c r="N122" s="48">
        <f t="shared" si="34"/>
        <v>91498513.709999993</v>
      </c>
      <c r="O122" s="11"/>
      <c r="P122" s="11"/>
      <c r="Q122" s="11"/>
      <c r="R122" s="11"/>
    </row>
    <row r="123" spans="1:19">
      <c r="A123" s="47" t="str">
        <f t="shared" si="33"/>
        <v>كوبرى الشيخ بن زايد - كوبرى العاصمة</v>
      </c>
      <c r="B123" s="48">
        <v>2509072.44</v>
      </c>
      <c r="C123" s="48">
        <v>3616132.37</v>
      </c>
      <c r="D123" s="49">
        <v>3817926.79</v>
      </c>
      <c r="E123" s="49">
        <v>5776615.7599999998</v>
      </c>
      <c r="F123" s="49">
        <v>5376531</v>
      </c>
      <c r="G123" s="49">
        <v>0</v>
      </c>
      <c r="H123" s="49">
        <v>0</v>
      </c>
      <c r="I123" s="49">
        <v>0</v>
      </c>
      <c r="J123" s="49">
        <v>0</v>
      </c>
      <c r="K123" s="49">
        <v>0</v>
      </c>
      <c r="L123" s="49">
        <v>0</v>
      </c>
      <c r="M123" s="49">
        <v>0</v>
      </c>
      <c r="N123" s="48">
        <f t="shared" si="34"/>
        <v>21096278.359999999</v>
      </c>
      <c r="O123" s="11"/>
      <c r="P123" s="11"/>
      <c r="Q123" s="11"/>
      <c r="R123" s="11"/>
    </row>
    <row r="124" spans="1:19">
      <c r="A124" s="47" t="str">
        <f t="shared" si="33"/>
        <v>جبل الزيت - GAMISA</v>
      </c>
      <c r="B124" s="48">
        <v>428162.79</v>
      </c>
      <c r="C124" s="48">
        <v>2555165.6800000002</v>
      </c>
      <c r="D124" s="49">
        <v>4094236.2800000003</v>
      </c>
      <c r="E124" s="49">
        <v>2020516.8699999999</v>
      </c>
      <c r="F124" s="49">
        <v>2895653</v>
      </c>
      <c r="G124" s="49">
        <v>0</v>
      </c>
      <c r="H124" s="49">
        <v>0</v>
      </c>
      <c r="I124" s="49">
        <v>0</v>
      </c>
      <c r="J124" s="49">
        <v>0</v>
      </c>
      <c r="K124" s="49">
        <v>0</v>
      </c>
      <c r="L124" s="49">
        <v>0</v>
      </c>
      <c r="M124" s="49">
        <v>0</v>
      </c>
      <c r="N124" s="48">
        <f t="shared" si="34"/>
        <v>11993734.619999999</v>
      </c>
      <c r="O124" s="11"/>
      <c r="P124" s="11"/>
      <c r="Q124" s="11"/>
      <c r="R124" s="11"/>
    </row>
    <row r="125" spans="1:19">
      <c r="A125" s="47" t="s">
        <v>61</v>
      </c>
      <c r="B125" s="48"/>
      <c r="C125" s="48"/>
      <c r="D125" s="49"/>
      <c r="E125" s="49">
        <v>10988</v>
      </c>
      <c r="F125" s="49">
        <v>198394</v>
      </c>
      <c r="G125" s="49">
        <v>0</v>
      </c>
      <c r="H125" s="49">
        <v>0</v>
      </c>
      <c r="I125" s="49">
        <v>0</v>
      </c>
      <c r="J125" s="49">
        <v>0</v>
      </c>
      <c r="K125" s="49">
        <v>0</v>
      </c>
      <c r="L125" s="49">
        <v>0</v>
      </c>
      <c r="M125" s="49">
        <v>0</v>
      </c>
      <c r="N125" s="48">
        <f t="shared" si="34"/>
        <v>209382</v>
      </c>
      <c r="O125" s="11"/>
      <c r="P125" s="11"/>
      <c r="Q125" s="11"/>
      <c r="R125" s="11"/>
    </row>
    <row r="126" spans="1:19">
      <c r="A126" s="47" t="s">
        <v>62</v>
      </c>
      <c r="B126" s="48"/>
      <c r="C126" s="48"/>
      <c r="D126" s="49"/>
      <c r="E126" s="49">
        <v>110378.77</v>
      </c>
      <c r="F126" s="49">
        <v>1654600</v>
      </c>
      <c r="G126" s="49">
        <v>0</v>
      </c>
      <c r="H126" s="49">
        <v>0</v>
      </c>
      <c r="I126" s="49">
        <v>0</v>
      </c>
      <c r="J126" s="49">
        <v>0</v>
      </c>
      <c r="K126" s="49">
        <v>0</v>
      </c>
      <c r="L126" s="49">
        <v>0</v>
      </c>
      <c r="M126" s="49">
        <v>0</v>
      </c>
      <c r="N126" s="48">
        <f t="shared" si="34"/>
        <v>1764978.77</v>
      </c>
      <c r="O126" s="11"/>
      <c r="P126" s="11"/>
      <c r="Q126" s="11"/>
      <c r="R126" s="11"/>
    </row>
    <row r="127" spans="1:19">
      <c r="A127" s="47" t="s">
        <v>64</v>
      </c>
      <c r="B127" s="48"/>
      <c r="C127" s="48"/>
      <c r="D127" s="49"/>
      <c r="E127" s="49">
        <v>88761</v>
      </c>
      <c r="F127" s="49">
        <v>170566</v>
      </c>
      <c r="G127" s="49">
        <v>0</v>
      </c>
      <c r="H127" s="49">
        <v>0</v>
      </c>
      <c r="I127" s="49">
        <v>0</v>
      </c>
      <c r="J127" s="49">
        <v>0</v>
      </c>
      <c r="K127" s="49">
        <v>0</v>
      </c>
      <c r="L127" s="49">
        <v>0</v>
      </c>
      <c r="M127" s="49">
        <v>0</v>
      </c>
      <c r="N127" s="48">
        <f t="shared" si="34"/>
        <v>259327</v>
      </c>
      <c r="O127" s="11"/>
      <c r="P127" s="11"/>
      <c r="Q127" s="11"/>
      <c r="R127" s="11"/>
    </row>
    <row r="128" spans="1:19" ht="15.75" thickBot="1">
      <c r="A128" s="50" t="s">
        <v>37</v>
      </c>
      <c r="B128" s="59">
        <f t="shared" ref="B128:N128" si="35">SUM(B111:B127)</f>
        <v>47742420.439999998</v>
      </c>
      <c r="C128" s="59">
        <f t="shared" si="35"/>
        <v>46142035.359999999</v>
      </c>
      <c r="D128" s="59">
        <f t="shared" si="35"/>
        <v>100743956.29000001</v>
      </c>
      <c r="E128" s="59">
        <f t="shared" si="35"/>
        <v>53657271.43</v>
      </c>
      <c r="F128" s="59">
        <f t="shared" si="35"/>
        <v>62803194</v>
      </c>
      <c r="G128" s="59">
        <f t="shared" si="35"/>
        <v>0</v>
      </c>
      <c r="H128" s="59">
        <f t="shared" si="35"/>
        <v>0</v>
      </c>
      <c r="I128" s="59">
        <f t="shared" si="35"/>
        <v>0</v>
      </c>
      <c r="J128" s="59">
        <f t="shared" si="35"/>
        <v>0</v>
      </c>
      <c r="K128" s="59">
        <f t="shared" si="35"/>
        <v>0</v>
      </c>
      <c r="L128" s="59">
        <f t="shared" si="35"/>
        <v>0</v>
      </c>
      <c r="M128" s="59">
        <f t="shared" si="35"/>
        <v>0</v>
      </c>
      <c r="N128" s="59">
        <f t="shared" si="35"/>
        <v>311088877.51999998</v>
      </c>
      <c r="O128" s="12"/>
      <c r="P128" s="12"/>
      <c r="Q128" s="12"/>
      <c r="R128" s="12"/>
      <c r="S128" s="12"/>
    </row>
    <row r="129" spans="1:19" ht="15.75" thickTop="1">
      <c r="A129" s="45" t="str">
        <f t="shared" ref="A129:A138" si="36">A50</f>
        <v>Closed Projects</v>
      </c>
      <c r="B129" s="48"/>
      <c r="C129" s="48"/>
      <c r="D129" s="48"/>
      <c r="E129" s="48"/>
      <c r="F129" s="48"/>
      <c r="G129" s="48"/>
      <c r="H129" s="48"/>
      <c r="I129" s="48"/>
      <c r="J129" s="48"/>
      <c r="K129" s="48"/>
      <c r="L129" s="48"/>
      <c r="M129" s="48"/>
      <c r="N129" s="48"/>
      <c r="O129" s="11"/>
      <c r="P129" s="11"/>
      <c r="Q129" s="11"/>
      <c r="R129" s="11"/>
      <c r="S129" s="11"/>
    </row>
    <row r="130" spans="1:19">
      <c r="A130" s="54" t="str">
        <f t="shared" si="36"/>
        <v>كباري مراسي pkg#37</v>
      </c>
      <c r="B130" s="48">
        <v>0</v>
      </c>
      <c r="C130" s="48">
        <v>11317.87</v>
      </c>
      <c r="D130" s="49">
        <f>9539+52478</f>
        <v>62017</v>
      </c>
      <c r="E130" s="49">
        <v>0</v>
      </c>
      <c r="F130" s="49">
        <v>0</v>
      </c>
      <c r="G130" s="49">
        <v>0</v>
      </c>
      <c r="H130" s="49">
        <v>0</v>
      </c>
      <c r="I130" s="49">
        <v>0</v>
      </c>
      <c r="J130" s="49">
        <v>0</v>
      </c>
      <c r="K130" s="49">
        <v>0</v>
      </c>
      <c r="L130" s="49">
        <v>0</v>
      </c>
      <c r="M130" s="49">
        <v>0</v>
      </c>
      <c r="N130" s="48">
        <f>SUM(B130:M130)</f>
        <v>73334.87</v>
      </c>
      <c r="O130" s="11"/>
      <c r="P130" s="11"/>
      <c r="Q130" s="11"/>
      <c r="R130" s="11"/>
    </row>
    <row r="131" spans="1:19">
      <c r="A131" s="54" t="str">
        <f t="shared" si="36"/>
        <v>اب تاون pkg#17</v>
      </c>
      <c r="B131" s="48">
        <v>248856.65</v>
      </c>
      <c r="C131" s="48">
        <v>3203.47</v>
      </c>
      <c r="D131" s="49">
        <v>-228908.31999999998</v>
      </c>
      <c r="E131" s="49">
        <v>4565.63</v>
      </c>
      <c r="F131" s="49">
        <v>0</v>
      </c>
      <c r="G131" s="49">
        <v>0</v>
      </c>
      <c r="H131" s="49">
        <v>0</v>
      </c>
      <c r="I131" s="49">
        <v>0</v>
      </c>
      <c r="J131" s="49">
        <v>0</v>
      </c>
      <c r="K131" s="49">
        <v>0</v>
      </c>
      <c r="L131" s="49">
        <v>0</v>
      </c>
      <c r="M131" s="49">
        <v>0</v>
      </c>
      <c r="N131" s="48">
        <f>SUM(B131:M131)</f>
        <v>27717.430000000018</v>
      </c>
      <c r="O131" s="11"/>
      <c r="P131" s="11"/>
      <c r="Q131" s="11"/>
      <c r="R131" s="11"/>
    </row>
    <row r="132" spans="1:19">
      <c r="A132" s="54" t="str">
        <f t="shared" si="36"/>
        <v>اب تاون pkg#32</v>
      </c>
      <c r="B132" s="48">
        <v>362029.54</v>
      </c>
      <c r="C132" s="48">
        <v>199721.77</v>
      </c>
      <c r="D132" s="49">
        <v>223402.45</v>
      </c>
      <c r="E132" s="49">
        <v>104932.31</v>
      </c>
      <c r="F132" s="49">
        <v>372391</v>
      </c>
      <c r="G132" s="49">
        <v>0</v>
      </c>
      <c r="H132" s="49">
        <v>0</v>
      </c>
      <c r="I132" s="49">
        <v>0</v>
      </c>
      <c r="J132" s="49">
        <v>0</v>
      </c>
      <c r="K132" s="49">
        <v>0</v>
      </c>
      <c r="L132" s="49">
        <v>0</v>
      </c>
      <c r="M132" s="49">
        <v>0</v>
      </c>
      <c r="N132" s="48">
        <f t="shared" ref="N132:N138" si="37">SUM(B132:M132)</f>
        <v>1262477.07</v>
      </c>
      <c r="O132" s="11"/>
      <c r="P132" s="11"/>
      <c r="Q132" s="11"/>
      <c r="R132" s="11"/>
    </row>
    <row r="133" spans="1:19">
      <c r="A133" s="54" t="str">
        <f t="shared" si="36"/>
        <v>PKG#45 Civic Center</v>
      </c>
      <c r="B133" s="48">
        <v>768053.81</v>
      </c>
      <c r="C133" s="48">
        <v>439971.19</v>
      </c>
      <c r="D133" s="49">
        <f>683724.78+169189</f>
        <v>852913.78</v>
      </c>
      <c r="E133" s="49">
        <v>282463.31</v>
      </c>
      <c r="F133" s="49">
        <v>481552</v>
      </c>
      <c r="G133" s="49">
        <v>0</v>
      </c>
      <c r="H133" s="49">
        <v>0</v>
      </c>
      <c r="I133" s="49">
        <v>0</v>
      </c>
      <c r="J133" s="49">
        <v>0</v>
      </c>
      <c r="K133" s="49">
        <v>0</v>
      </c>
      <c r="L133" s="49">
        <v>0</v>
      </c>
      <c r="M133" s="49">
        <v>0</v>
      </c>
      <c r="N133" s="48">
        <f t="shared" si="37"/>
        <v>2824954.09</v>
      </c>
      <c r="O133" s="11"/>
      <c r="P133" s="11"/>
      <c r="Q133" s="11"/>
      <c r="R133" s="11"/>
    </row>
    <row r="134" spans="1:19">
      <c r="A134" s="54" t="str">
        <f t="shared" si="36"/>
        <v xml:space="preserve">Limak </v>
      </c>
      <c r="B134" s="48">
        <v>439705</v>
      </c>
      <c r="C134" s="48">
        <v>187720.9</v>
      </c>
      <c r="D134" s="49">
        <v>202557.39</v>
      </c>
      <c r="E134" s="49">
        <v>128107.53</v>
      </c>
      <c r="F134" s="49">
        <v>59919</v>
      </c>
      <c r="G134" s="49">
        <v>0</v>
      </c>
      <c r="H134" s="49">
        <v>0</v>
      </c>
      <c r="I134" s="49">
        <v>0</v>
      </c>
      <c r="J134" s="49">
        <v>0</v>
      </c>
      <c r="K134" s="49">
        <v>0</v>
      </c>
      <c r="L134" s="49">
        <v>0</v>
      </c>
      <c r="M134" s="49">
        <v>0</v>
      </c>
      <c r="N134" s="48">
        <f t="shared" si="37"/>
        <v>1018009.8200000001</v>
      </c>
      <c r="O134" s="11"/>
      <c r="P134" s="11"/>
      <c r="Q134" s="11"/>
      <c r="R134" s="11"/>
    </row>
    <row r="135" spans="1:19">
      <c r="A135" s="54" t="str">
        <f t="shared" si="36"/>
        <v>Sodic West Town</v>
      </c>
      <c r="B135" s="48">
        <v>132805.94</v>
      </c>
      <c r="C135" s="48">
        <v>178294.44</v>
      </c>
      <c r="D135" s="49">
        <f>134813.26+154762</f>
        <v>289575.26</v>
      </c>
      <c r="E135" s="49">
        <v>254336.73</v>
      </c>
      <c r="F135" s="49">
        <v>524007</v>
      </c>
      <c r="G135" s="49">
        <v>0</v>
      </c>
      <c r="H135" s="49">
        <v>0</v>
      </c>
      <c r="I135" s="49">
        <v>0</v>
      </c>
      <c r="J135" s="49">
        <v>0</v>
      </c>
      <c r="K135" s="49">
        <v>0</v>
      </c>
      <c r="L135" s="49">
        <v>0</v>
      </c>
      <c r="M135" s="49">
        <v>0</v>
      </c>
      <c r="N135" s="48">
        <f t="shared" si="37"/>
        <v>1379019.37</v>
      </c>
      <c r="O135" s="11"/>
      <c r="P135" s="11"/>
      <c r="Q135" s="11"/>
      <c r="R135" s="11"/>
    </row>
    <row r="136" spans="1:19">
      <c r="A136" s="54" t="str">
        <f t="shared" si="36"/>
        <v>New Cairo Mall</v>
      </c>
      <c r="B136" s="48">
        <v>274993.26</v>
      </c>
      <c r="C136" s="48">
        <v>116410.23</v>
      </c>
      <c r="D136" s="49">
        <f>108026.75+380740</f>
        <v>488766.75</v>
      </c>
      <c r="E136" s="49">
        <v>27239.66</v>
      </c>
      <c r="F136" s="49">
        <v>50944</v>
      </c>
      <c r="G136" s="49">
        <v>0</v>
      </c>
      <c r="H136" s="49">
        <v>0</v>
      </c>
      <c r="I136" s="49">
        <v>0</v>
      </c>
      <c r="J136" s="49">
        <v>0</v>
      </c>
      <c r="K136" s="49">
        <v>0</v>
      </c>
      <c r="L136" s="49">
        <v>0</v>
      </c>
      <c r="M136" s="49">
        <v>0</v>
      </c>
      <c r="N136" s="48">
        <f t="shared" si="37"/>
        <v>958353.9</v>
      </c>
      <c r="O136" s="11"/>
      <c r="P136" s="11"/>
      <c r="Q136" s="11"/>
      <c r="R136" s="11"/>
    </row>
    <row r="137" spans="1:19">
      <c r="A137" s="54" t="str">
        <f t="shared" si="36"/>
        <v xml:space="preserve">El Wahatt </v>
      </c>
      <c r="B137" s="48">
        <v>0</v>
      </c>
      <c r="C137" s="48">
        <v>165336.07</v>
      </c>
      <c r="D137" s="49">
        <v>125002.85</v>
      </c>
      <c r="E137" s="49">
        <v>0</v>
      </c>
      <c r="F137" s="49">
        <v>0</v>
      </c>
      <c r="G137" s="49">
        <v>0</v>
      </c>
      <c r="H137" s="49">
        <v>0</v>
      </c>
      <c r="I137" s="49">
        <v>0</v>
      </c>
      <c r="J137" s="49">
        <v>0</v>
      </c>
      <c r="K137" s="49">
        <v>0</v>
      </c>
      <c r="L137" s="49">
        <v>0</v>
      </c>
      <c r="M137" s="49">
        <v>0</v>
      </c>
      <c r="N137" s="48">
        <f t="shared" si="37"/>
        <v>290338.92000000004</v>
      </c>
      <c r="O137" s="11"/>
      <c r="P137" s="11"/>
      <c r="Q137" s="11"/>
      <c r="R137" s="11"/>
    </row>
    <row r="138" spans="1:19">
      <c r="A138" s="54" t="str">
        <f t="shared" si="36"/>
        <v>Kasrawy II</v>
      </c>
      <c r="B138" s="48">
        <v>0</v>
      </c>
      <c r="C138" s="48">
        <v>0</v>
      </c>
      <c r="D138" s="49">
        <v>-254478.69000000006</v>
      </c>
      <c r="E138" s="49">
        <v>1554.06</v>
      </c>
      <c r="F138" s="49">
        <v>-31010</v>
      </c>
      <c r="G138" s="49">
        <v>0</v>
      </c>
      <c r="H138" s="49">
        <v>0</v>
      </c>
      <c r="I138" s="49">
        <v>0</v>
      </c>
      <c r="J138" s="49">
        <v>0</v>
      </c>
      <c r="K138" s="49">
        <v>0</v>
      </c>
      <c r="L138" s="49">
        <v>0</v>
      </c>
      <c r="M138" s="49">
        <v>0</v>
      </c>
      <c r="N138" s="48">
        <f t="shared" si="37"/>
        <v>-283934.63000000006</v>
      </c>
      <c r="O138" s="11"/>
      <c r="P138" s="11"/>
      <c r="Q138" s="11"/>
      <c r="R138" s="11"/>
    </row>
    <row r="139" spans="1:19">
      <c r="A139" s="47" t="s">
        <v>36</v>
      </c>
      <c r="B139" s="48">
        <v>833933.77</v>
      </c>
      <c r="C139" s="48">
        <v>479294.04</v>
      </c>
      <c r="D139" s="49">
        <v>971403.07000000007</v>
      </c>
      <c r="E139" s="49">
        <v>32161.25</v>
      </c>
      <c r="F139" s="49">
        <v>-1066</v>
      </c>
      <c r="G139" s="49">
        <v>0</v>
      </c>
      <c r="H139" s="49">
        <v>0</v>
      </c>
      <c r="I139" s="49">
        <v>0</v>
      </c>
      <c r="J139" s="49">
        <v>0</v>
      </c>
      <c r="K139" s="49">
        <v>0</v>
      </c>
      <c r="L139" s="49">
        <v>0</v>
      </c>
      <c r="M139" s="49">
        <v>0</v>
      </c>
      <c r="N139" s="48">
        <f>SUM(B139:M139)</f>
        <v>2315726.13</v>
      </c>
      <c r="O139" s="11"/>
      <c r="P139" s="11"/>
      <c r="Q139" s="11"/>
      <c r="R139" s="11"/>
    </row>
    <row r="140" spans="1:19">
      <c r="A140" s="54" t="s">
        <v>56</v>
      </c>
      <c r="B140" s="48">
        <v>8823</v>
      </c>
      <c r="C140" s="48">
        <v>32612</v>
      </c>
      <c r="D140" s="49">
        <f>1432494+(20439+168735)</f>
        <v>1621668</v>
      </c>
      <c r="E140" s="49">
        <f>-180163.75+3032.56</f>
        <v>-177131.19</v>
      </c>
      <c r="F140" s="49">
        <v>46473</v>
      </c>
      <c r="G140" s="49"/>
      <c r="H140" s="49"/>
      <c r="I140" s="49"/>
      <c r="J140" s="49"/>
      <c r="K140" s="49"/>
      <c r="L140" s="49"/>
      <c r="M140" s="49"/>
      <c r="N140" s="48">
        <f>SUM(B140:M140)</f>
        <v>1532444.81</v>
      </c>
      <c r="O140" s="11"/>
      <c r="P140" s="11"/>
      <c r="Q140" s="11"/>
      <c r="R140" s="11"/>
    </row>
    <row r="141" spans="1:19" ht="15.75" thickBot="1">
      <c r="A141" s="50" t="s">
        <v>37</v>
      </c>
      <c r="B141" s="59">
        <f>SUM(B130:B140)</f>
        <v>3069200.97</v>
      </c>
      <c r="C141" s="59">
        <f>SUM(C130:C140)</f>
        <v>1813881.9800000002</v>
      </c>
      <c r="D141" s="59">
        <f>SUM(D130:D140)</f>
        <v>4353919.54</v>
      </c>
      <c r="E141" s="59">
        <f>SUM(E130:E140)</f>
        <v>658229.29</v>
      </c>
      <c r="F141" s="59">
        <f>SUM(F130:F140)</f>
        <v>1503210</v>
      </c>
      <c r="G141" s="59">
        <f t="shared" ref="G141:M141" si="38">SUM(G130:G138)</f>
        <v>0</v>
      </c>
      <c r="H141" s="59">
        <f t="shared" si="38"/>
        <v>0</v>
      </c>
      <c r="I141" s="59">
        <f t="shared" si="38"/>
        <v>0</v>
      </c>
      <c r="J141" s="59">
        <f t="shared" si="38"/>
        <v>0</v>
      </c>
      <c r="K141" s="59">
        <f t="shared" si="38"/>
        <v>0</v>
      </c>
      <c r="L141" s="59">
        <f t="shared" si="38"/>
        <v>0</v>
      </c>
      <c r="M141" s="59">
        <f t="shared" si="38"/>
        <v>0</v>
      </c>
      <c r="N141" s="59">
        <f>SUM(N130:N140)</f>
        <v>11398441.780000001</v>
      </c>
      <c r="O141" s="11"/>
      <c r="P141" s="11"/>
      <c r="Q141" s="11"/>
      <c r="R141" s="11"/>
      <c r="S141" s="11"/>
    </row>
    <row r="142" spans="1:19" ht="16.5" thickTop="1" thickBot="1">
      <c r="A142" s="50"/>
      <c r="B142" s="59"/>
      <c r="C142" s="59"/>
      <c r="D142" s="59"/>
      <c r="E142" s="59"/>
      <c r="F142" s="59"/>
      <c r="G142" s="59"/>
      <c r="H142" s="59"/>
      <c r="I142" s="59"/>
      <c r="J142" s="59"/>
      <c r="K142" s="59"/>
      <c r="L142" s="59"/>
      <c r="M142" s="59"/>
      <c r="N142" s="59"/>
      <c r="O142" s="11"/>
      <c r="P142" s="11"/>
      <c r="Q142" s="11"/>
      <c r="R142" s="11"/>
      <c r="S142" s="11"/>
    </row>
    <row r="143" spans="1:19" ht="15.75" thickTop="1">
      <c r="A143" s="60" t="str">
        <f t="shared" ref="A143:A148" si="39">A62</f>
        <v>Trade Activities</v>
      </c>
      <c r="B143" s="48"/>
      <c r="C143" s="48"/>
      <c r="D143" s="49"/>
      <c r="E143" s="49"/>
      <c r="F143" s="49"/>
      <c r="G143" s="49"/>
      <c r="H143" s="49"/>
      <c r="I143" s="49"/>
      <c r="J143" s="49"/>
      <c r="K143" s="49"/>
      <c r="L143" s="49"/>
      <c r="M143" s="49"/>
      <c r="N143" s="48" t="s">
        <v>20</v>
      </c>
      <c r="O143" s="11"/>
      <c r="P143" s="11"/>
      <c r="Q143" s="11"/>
      <c r="R143" s="11"/>
      <c r="S143" s="11"/>
    </row>
    <row r="144" spans="1:19">
      <c r="A144" s="54" t="str">
        <f t="shared" si="39"/>
        <v>ابناء مصر للتعمير</v>
      </c>
      <c r="B144" s="48">
        <v>197211.06</v>
      </c>
      <c r="C144" s="48">
        <v>0</v>
      </c>
      <c r="D144" s="49">
        <v>0</v>
      </c>
      <c r="E144" s="49">
        <v>0</v>
      </c>
      <c r="F144" s="49">
        <v>1008372</v>
      </c>
      <c r="G144" s="49">
        <v>0</v>
      </c>
      <c r="H144" s="49">
        <v>0</v>
      </c>
      <c r="I144" s="49">
        <v>0</v>
      </c>
      <c r="J144" s="49">
        <v>0</v>
      </c>
      <c r="K144" s="49">
        <v>0</v>
      </c>
      <c r="L144" s="49">
        <v>0</v>
      </c>
      <c r="M144" s="49">
        <v>0</v>
      </c>
      <c r="N144" s="48">
        <f>SUM(B144:M144)</f>
        <v>1205583.06</v>
      </c>
      <c r="O144" s="11"/>
      <c r="P144" s="11"/>
      <c r="Q144" s="11"/>
      <c r="R144" s="11"/>
      <c r="S144" s="11"/>
    </row>
    <row r="145" spans="1:19">
      <c r="A145" s="54" t="str">
        <f t="shared" si="39"/>
        <v>New Client</v>
      </c>
      <c r="B145" s="48">
        <v>0</v>
      </c>
      <c r="C145" s="48">
        <v>0</v>
      </c>
      <c r="D145" s="49">
        <v>0</v>
      </c>
      <c r="E145" s="49">
        <v>0</v>
      </c>
      <c r="F145" s="49">
        <v>0</v>
      </c>
      <c r="G145" s="49">
        <v>0</v>
      </c>
      <c r="H145" s="49">
        <v>0</v>
      </c>
      <c r="I145" s="49">
        <v>0</v>
      </c>
      <c r="J145" s="49">
        <v>0</v>
      </c>
      <c r="K145" s="49">
        <v>0</v>
      </c>
      <c r="L145" s="49">
        <v>0</v>
      </c>
      <c r="M145" s="49">
        <v>0</v>
      </c>
      <c r="N145" s="48">
        <f>SUM(B145:M145)</f>
        <v>0</v>
      </c>
      <c r="O145" s="11"/>
      <c r="P145" s="11"/>
      <c r="Q145" s="11"/>
      <c r="R145" s="11"/>
      <c r="S145" s="11"/>
    </row>
    <row r="146" spans="1:19">
      <c r="A146" s="54" t="str">
        <f t="shared" si="39"/>
        <v>New Client</v>
      </c>
      <c r="B146" s="48">
        <v>0</v>
      </c>
      <c r="C146" s="48">
        <v>0</v>
      </c>
      <c r="D146" s="49">
        <v>0</v>
      </c>
      <c r="E146" s="49">
        <v>0</v>
      </c>
      <c r="F146" s="49">
        <v>0</v>
      </c>
      <c r="G146" s="49">
        <v>0</v>
      </c>
      <c r="H146" s="49">
        <v>0</v>
      </c>
      <c r="I146" s="49">
        <v>0</v>
      </c>
      <c r="J146" s="49">
        <v>0</v>
      </c>
      <c r="K146" s="49">
        <v>0</v>
      </c>
      <c r="L146" s="49">
        <v>0</v>
      </c>
      <c r="M146" s="49">
        <v>0</v>
      </c>
      <c r="N146" s="48">
        <f>SUM(B146:M146)</f>
        <v>0</v>
      </c>
      <c r="O146" s="11"/>
      <c r="P146" s="11"/>
      <c r="Q146" s="11"/>
      <c r="R146" s="11"/>
      <c r="S146" s="11"/>
    </row>
    <row r="147" spans="1:19">
      <c r="A147" s="54" t="str">
        <f t="shared" si="39"/>
        <v>New Client</v>
      </c>
      <c r="B147" s="48">
        <v>0</v>
      </c>
      <c r="C147" s="48">
        <v>0</v>
      </c>
      <c r="D147" s="49">
        <v>0</v>
      </c>
      <c r="E147" s="49">
        <v>0</v>
      </c>
      <c r="F147" s="49">
        <v>0</v>
      </c>
      <c r="G147" s="49">
        <v>0</v>
      </c>
      <c r="H147" s="49">
        <v>0</v>
      </c>
      <c r="I147" s="49">
        <v>0</v>
      </c>
      <c r="J147" s="49">
        <v>0</v>
      </c>
      <c r="K147" s="49">
        <v>0</v>
      </c>
      <c r="L147" s="49">
        <v>0</v>
      </c>
      <c r="M147" s="49">
        <v>0</v>
      </c>
      <c r="N147" s="48">
        <f>SUM(B147:M147)</f>
        <v>0</v>
      </c>
      <c r="O147" s="11"/>
      <c r="P147" s="11"/>
      <c r="Q147" s="11"/>
      <c r="R147" s="11"/>
      <c r="S147" s="11"/>
    </row>
    <row r="148" spans="1:19">
      <c r="A148" s="54" t="str">
        <f t="shared" si="39"/>
        <v>New Client</v>
      </c>
      <c r="B148" s="48">
        <v>0</v>
      </c>
      <c r="C148" s="48">
        <v>0</v>
      </c>
      <c r="D148" s="49">
        <v>0</v>
      </c>
      <c r="E148" s="49">
        <v>0</v>
      </c>
      <c r="F148" s="49">
        <v>0</v>
      </c>
      <c r="G148" s="49">
        <v>0</v>
      </c>
      <c r="H148" s="49">
        <v>0</v>
      </c>
      <c r="I148" s="49">
        <v>0</v>
      </c>
      <c r="J148" s="49">
        <v>0</v>
      </c>
      <c r="K148" s="49">
        <v>0</v>
      </c>
      <c r="L148" s="49">
        <v>0</v>
      </c>
      <c r="M148" s="49">
        <v>0</v>
      </c>
      <c r="N148" s="48">
        <f>SUM(B148:M148)</f>
        <v>0</v>
      </c>
      <c r="O148" s="11"/>
      <c r="P148" s="11"/>
      <c r="Q148" s="11"/>
      <c r="R148" s="11"/>
      <c r="S148" s="11"/>
    </row>
    <row r="149" spans="1:19" ht="15.75" thickBot="1">
      <c r="A149" s="50" t="s">
        <v>37</v>
      </c>
      <c r="B149" s="59">
        <f>SUM(B144:B148)</f>
        <v>197211.06</v>
      </c>
      <c r="C149" s="59">
        <f>SUM(C144:C148)</f>
        <v>0</v>
      </c>
      <c r="D149" s="59">
        <f>SUM(D144:D148)</f>
        <v>0</v>
      </c>
      <c r="E149" s="59">
        <f>SUM(E144:E148)</f>
        <v>0</v>
      </c>
      <c r="F149" s="59">
        <f t="shared" ref="F149:M149" si="40">SUM(F144:F148)</f>
        <v>1008372</v>
      </c>
      <c r="G149" s="59">
        <f t="shared" si="40"/>
        <v>0</v>
      </c>
      <c r="H149" s="59">
        <f t="shared" si="40"/>
        <v>0</v>
      </c>
      <c r="I149" s="59">
        <f t="shared" si="40"/>
        <v>0</v>
      </c>
      <c r="J149" s="59">
        <f t="shared" si="40"/>
        <v>0</v>
      </c>
      <c r="K149" s="59">
        <f t="shared" si="40"/>
        <v>0</v>
      </c>
      <c r="L149" s="59">
        <f t="shared" si="40"/>
        <v>0</v>
      </c>
      <c r="M149" s="59">
        <f t="shared" si="40"/>
        <v>0</v>
      </c>
      <c r="N149" s="59">
        <f>SUM(N144:N148)</f>
        <v>1205583.06</v>
      </c>
      <c r="O149" s="11"/>
      <c r="P149" s="11"/>
      <c r="Q149" s="11"/>
      <c r="R149" s="11"/>
      <c r="S149" s="11"/>
    </row>
    <row r="150" spans="1:19" ht="16.5" thickTop="1" thickBot="1">
      <c r="A150" s="44" t="s">
        <v>15</v>
      </c>
      <c r="B150" s="9">
        <f t="shared" ref="B150:N150" si="41">B128+B141+B149</f>
        <v>51008832.469999999</v>
      </c>
      <c r="C150" s="9">
        <f t="shared" si="41"/>
        <v>47955917.339999996</v>
      </c>
      <c r="D150" s="9">
        <f t="shared" si="41"/>
        <v>105097875.83000001</v>
      </c>
      <c r="E150" s="9">
        <f t="shared" si="41"/>
        <v>54315500.719999999</v>
      </c>
      <c r="F150" s="9">
        <f t="shared" si="41"/>
        <v>65314776</v>
      </c>
      <c r="G150" s="9">
        <f t="shared" si="41"/>
        <v>0</v>
      </c>
      <c r="H150" s="9">
        <f t="shared" si="41"/>
        <v>0</v>
      </c>
      <c r="I150" s="9">
        <f t="shared" si="41"/>
        <v>0</v>
      </c>
      <c r="J150" s="9">
        <f t="shared" si="41"/>
        <v>0</v>
      </c>
      <c r="K150" s="9">
        <f t="shared" si="41"/>
        <v>0</v>
      </c>
      <c r="L150" s="9">
        <f t="shared" si="41"/>
        <v>0</v>
      </c>
      <c r="M150" s="9">
        <f t="shared" si="41"/>
        <v>0</v>
      </c>
      <c r="N150" s="9">
        <f t="shared" si="41"/>
        <v>323692902.35999995</v>
      </c>
      <c r="O150" s="17"/>
      <c r="P150" s="17"/>
      <c r="Q150" s="17"/>
      <c r="R150" s="17"/>
      <c r="S150" s="17"/>
    </row>
    <row r="151" spans="1:19" ht="15.75" thickTop="1">
      <c r="B151" s="11"/>
      <c r="C151" s="48"/>
      <c r="D151" s="11"/>
      <c r="O151" s="11"/>
      <c r="P151" s="11"/>
      <c r="Q151" s="11"/>
      <c r="R151" s="11"/>
    </row>
    <row r="153" spans="1:19">
      <c r="A153" s="435" t="s">
        <v>57</v>
      </c>
      <c r="B153" s="432">
        <f t="shared" ref="B153:N153" si="42">B28</f>
        <v>42370</v>
      </c>
      <c r="C153" s="432">
        <f t="shared" si="42"/>
        <v>42401</v>
      </c>
      <c r="D153" s="432">
        <f t="shared" si="42"/>
        <v>42430</v>
      </c>
      <c r="E153" s="432">
        <f t="shared" si="42"/>
        <v>42461</v>
      </c>
      <c r="F153" s="432">
        <f t="shared" si="42"/>
        <v>42491</v>
      </c>
      <c r="G153" s="432">
        <f t="shared" si="42"/>
        <v>42522</v>
      </c>
      <c r="H153" s="432">
        <f t="shared" si="42"/>
        <v>42552</v>
      </c>
      <c r="I153" s="432">
        <f t="shared" si="42"/>
        <v>42583</v>
      </c>
      <c r="J153" s="432">
        <f t="shared" si="42"/>
        <v>42614</v>
      </c>
      <c r="K153" s="432">
        <f t="shared" si="42"/>
        <v>42644</v>
      </c>
      <c r="L153" s="432">
        <f t="shared" si="42"/>
        <v>42675</v>
      </c>
      <c r="M153" s="432">
        <f t="shared" si="42"/>
        <v>42705</v>
      </c>
      <c r="N153" s="432" t="str">
        <f t="shared" si="42"/>
        <v>Total</v>
      </c>
    </row>
    <row r="154" spans="1:19" ht="15.75" thickBot="1">
      <c r="A154" s="436"/>
      <c r="B154" s="433"/>
      <c r="C154" s="433"/>
      <c r="D154" s="433"/>
      <c r="E154" s="433"/>
      <c r="F154" s="433"/>
      <c r="G154" s="433"/>
      <c r="H154" s="433"/>
      <c r="I154" s="433"/>
      <c r="J154" s="433"/>
      <c r="K154" s="433"/>
      <c r="L154" s="433"/>
      <c r="M154" s="433"/>
      <c r="N154" s="433"/>
    </row>
    <row r="155" spans="1:19" ht="15.75" thickTop="1">
      <c r="A155" s="61" t="s">
        <v>58</v>
      </c>
      <c r="B155" s="62">
        <v>0</v>
      </c>
      <c r="C155" s="62">
        <v>0</v>
      </c>
      <c r="D155" s="62">
        <v>0</v>
      </c>
      <c r="E155" s="62">
        <v>0</v>
      </c>
      <c r="F155" s="62">
        <v>0</v>
      </c>
      <c r="G155" s="62">
        <v>0</v>
      </c>
      <c r="H155" s="62">
        <v>0</v>
      </c>
      <c r="I155" s="62">
        <v>0</v>
      </c>
      <c r="J155" s="62">
        <v>0</v>
      </c>
      <c r="K155" s="62">
        <v>0</v>
      </c>
      <c r="L155" s="62">
        <v>0</v>
      </c>
      <c r="M155" s="62">
        <v>0</v>
      </c>
      <c r="N155" s="62">
        <v>0</v>
      </c>
    </row>
    <row r="156" spans="1:19">
      <c r="A156" s="61" t="s">
        <v>59</v>
      </c>
      <c r="B156" s="62">
        <v>0</v>
      </c>
      <c r="C156" s="62">
        <v>0</v>
      </c>
      <c r="D156" s="62">
        <v>0</v>
      </c>
      <c r="E156" s="62">
        <v>0</v>
      </c>
      <c r="F156" s="62">
        <v>0</v>
      </c>
      <c r="G156" s="62">
        <v>0</v>
      </c>
      <c r="H156" s="62">
        <v>0</v>
      </c>
      <c r="I156" s="62">
        <v>0</v>
      </c>
      <c r="J156" s="62">
        <v>0</v>
      </c>
      <c r="K156" s="62">
        <v>0</v>
      </c>
      <c r="L156" s="62">
        <v>0</v>
      </c>
      <c r="M156" s="62">
        <v>0</v>
      </c>
      <c r="N156" s="62">
        <v>0</v>
      </c>
    </row>
    <row r="157" spans="1:19" ht="15.75" thickBot="1">
      <c r="A157" s="63" t="s">
        <v>60</v>
      </c>
      <c r="B157" s="64">
        <f t="shared" ref="B157:N157" si="43">SUM(B155:B156)</f>
        <v>0</v>
      </c>
      <c r="C157" s="64">
        <f t="shared" si="43"/>
        <v>0</v>
      </c>
      <c r="D157" s="64">
        <f t="shared" si="43"/>
        <v>0</v>
      </c>
      <c r="E157" s="64">
        <f t="shared" si="43"/>
        <v>0</v>
      </c>
      <c r="F157" s="64">
        <f t="shared" si="43"/>
        <v>0</v>
      </c>
      <c r="G157" s="64">
        <f t="shared" si="43"/>
        <v>0</v>
      </c>
      <c r="H157" s="64">
        <f t="shared" si="43"/>
        <v>0</v>
      </c>
      <c r="I157" s="64">
        <f t="shared" si="43"/>
        <v>0</v>
      </c>
      <c r="J157" s="64">
        <f t="shared" si="43"/>
        <v>0</v>
      </c>
      <c r="K157" s="64">
        <f t="shared" si="43"/>
        <v>0</v>
      </c>
      <c r="L157" s="64">
        <f t="shared" si="43"/>
        <v>0</v>
      </c>
      <c r="M157" s="64">
        <f t="shared" si="43"/>
        <v>0</v>
      </c>
      <c r="N157" s="64">
        <f t="shared" si="43"/>
        <v>0</v>
      </c>
    </row>
    <row r="158" spans="1:19" ht="15.75" thickTop="1">
      <c r="A158" s="45" t="s">
        <v>35</v>
      </c>
      <c r="B158" s="46"/>
      <c r="C158" s="46"/>
      <c r="D158" s="46"/>
      <c r="E158" s="46"/>
      <c r="F158" s="46"/>
      <c r="G158" s="46"/>
      <c r="H158" s="46"/>
      <c r="I158" s="46"/>
      <c r="J158" s="46"/>
      <c r="K158" s="46"/>
      <c r="L158" s="46"/>
      <c r="M158" s="46"/>
      <c r="N158" s="46"/>
    </row>
    <row r="159" spans="1:19">
      <c r="A159" s="65" t="str">
        <f t="shared" ref="A159:A172" si="44">A111</f>
        <v>Al Oula</v>
      </c>
      <c r="B159" s="48">
        <v>0</v>
      </c>
      <c r="C159" s="48">
        <v>0</v>
      </c>
      <c r="D159" s="48">
        <v>0</v>
      </c>
      <c r="E159" s="48">
        <v>0</v>
      </c>
      <c r="F159" s="48">
        <v>0</v>
      </c>
      <c r="G159" s="48">
        <v>0</v>
      </c>
      <c r="H159" s="48">
        <v>0</v>
      </c>
      <c r="I159" s="48">
        <v>0</v>
      </c>
      <c r="J159" s="48">
        <v>0</v>
      </c>
      <c r="K159" s="48">
        <v>0</v>
      </c>
      <c r="L159" s="48">
        <v>0</v>
      </c>
      <c r="M159" s="48">
        <v>0</v>
      </c>
      <c r="N159" s="48">
        <v>0</v>
      </c>
    </row>
    <row r="160" spans="1:19">
      <c r="A160" s="65" t="str">
        <f t="shared" si="44"/>
        <v>Hyper Al Sulaimaniya</v>
      </c>
      <c r="B160" s="48">
        <v>0</v>
      </c>
      <c r="C160" s="48">
        <v>0</v>
      </c>
      <c r="D160" s="48">
        <v>0</v>
      </c>
      <c r="E160" s="48">
        <v>0</v>
      </c>
      <c r="F160" s="48">
        <v>0</v>
      </c>
      <c r="G160" s="48">
        <v>0</v>
      </c>
      <c r="H160" s="48">
        <v>0</v>
      </c>
      <c r="I160" s="48">
        <v>0</v>
      </c>
      <c r="J160" s="48">
        <v>0</v>
      </c>
      <c r="K160" s="48">
        <v>0</v>
      </c>
      <c r="L160" s="48">
        <v>0</v>
      </c>
      <c r="M160" s="48">
        <v>0</v>
      </c>
      <c r="N160" s="48">
        <v>0</v>
      </c>
    </row>
    <row r="161" spans="1:14">
      <c r="A161" s="65" t="str">
        <f t="shared" si="44"/>
        <v>New Giza</v>
      </c>
      <c r="B161" s="48">
        <v>0</v>
      </c>
      <c r="C161" s="48">
        <v>0</v>
      </c>
      <c r="D161" s="48">
        <v>0</v>
      </c>
      <c r="E161" s="48">
        <v>0</v>
      </c>
      <c r="F161" s="48">
        <v>0</v>
      </c>
      <c r="G161" s="48">
        <v>0</v>
      </c>
      <c r="H161" s="48">
        <v>0</v>
      </c>
      <c r="I161" s="48">
        <v>0</v>
      </c>
      <c r="J161" s="48">
        <v>0</v>
      </c>
      <c r="K161" s="48">
        <v>0</v>
      </c>
      <c r="L161" s="48">
        <v>0</v>
      </c>
      <c r="M161" s="48">
        <v>0</v>
      </c>
      <c r="N161" s="48">
        <v>0</v>
      </c>
    </row>
    <row r="162" spans="1:14">
      <c r="A162" s="65" t="str">
        <f t="shared" si="44"/>
        <v>Maxim mall</v>
      </c>
      <c r="B162" s="48">
        <v>0</v>
      </c>
      <c r="C162" s="48">
        <v>0</v>
      </c>
      <c r="D162" s="48">
        <v>0</v>
      </c>
      <c r="E162" s="48">
        <v>0</v>
      </c>
      <c r="F162" s="48">
        <v>0</v>
      </c>
      <c r="G162" s="48">
        <v>0</v>
      </c>
      <c r="H162" s="48">
        <v>0</v>
      </c>
      <c r="I162" s="48">
        <v>0</v>
      </c>
      <c r="J162" s="48">
        <v>0</v>
      </c>
      <c r="K162" s="48">
        <v>0</v>
      </c>
      <c r="L162" s="48">
        <v>0</v>
      </c>
      <c r="M162" s="48">
        <v>0</v>
      </c>
      <c r="N162" s="48">
        <v>0</v>
      </c>
    </row>
    <row r="163" spans="1:14">
      <c r="A163" s="65" t="str">
        <f t="shared" si="44"/>
        <v>Attaka</v>
      </c>
      <c r="B163" s="48">
        <v>0</v>
      </c>
      <c r="C163" s="48">
        <v>0</v>
      </c>
      <c r="D163" s="48">
        <v>0</v>
      </c>
      <c r="E163" s="48">
        <v>0</v>
      </c>
      <c r="F163" s="48">
        <v>0</v>
      </c>
      <c r="G163" s="48">
        <v>0</v>
      </c>
      <c r="H163" s="48">
        <v>0</v>
      </c>
      <c r="I163" s="48">
        <v>0</v>
      </c>
      <c r="J163" s="48">
        <v>0</v>
      </c>
      <c r="K163" s="48">
        <v>0</v>
      </c>
      <c r="L163" s="48">
        <v>0</v>
      </c>
      <c r="M163" s="48">
        <v>0</v>
      </c>
      <c r="N163" s="48">
        <v>0</v>
      </c>
    </row>
    <row r="164" spans="1:14">
      <c r="A164" s="65" t="str">
        <f t="shared" si="44"/>
        <v>مول مصر</v>
      </c>
      <c r="B164" s="48">
        <v>0</v>
      </c>
      <c r="C164" s="48">
        <v>0</v>
      </c>
      <c r="D164" s="48">
        <v>0</v>
      </c>
      <c r="E164" s="48">
        <v>0</v>
      </c>
      <c r="F164" s="48">
        <v>0</v>
      </c>
      <c r="G164" s="48">
        <v>0</v>
      </c>
      <c r="H164" s="48">
        <v>0</v>
      </c>
      <c r="I164" s="48">
        <v>0</v>
      </c>
      <c r="J164" s="48">
        <v>0</v>
      </c>
      <c r="K164" s="48">
        <v>0</v>
      </c>
      <c r="L164" s="48">
        <v>0</v>
      </c>
      <c r="M164" s="48">
        <v>0</v>
      </c>
      <c r="N164" s="48">
        <v>0</v>
      </c>
    </row>
    <row r="165" spans="1:14">
      <c r="A165" s="65" t="str">
        <f t="shared" si="44"/>
        <v>مراسى تانك الخزان الجديد PKG22 New</v>
      </c>
      <c r="B165" s="48">
        <v>0</v>
      </c>
      <c r="C165" s="48">
        <v>0</v>
      </c>
      <c r="D165" s="48">
        <v>0</v>
      </c>
      <c r="E165" s="48">
        <v>0</v>
      </c>
      <c r="F165" s="48">
        <v>0</v>
      </c>
      <c r="G165" s="48">
        <v>0</v>
      </c>
      <c r="H165" s="48">
        <v>0</v>
      </c>
      <c r="I165" s="48">
        <v>0</v>
      </c>
      <c r="J165" s="48">
        <v>0</v>
      </c>
      <c r="K165" s="48">
        <v>0</v>
      </c>
      <c r="L165" s="48">
        <v>0</v>
      </c>
      <c r="M165" s="48">
        <v>0</v>
      </c>
      <c r="N165" s="48">
        <v>0</v>
      </c>
    </row>
    <row r="166" spans="1:14">
      <c r="A166" s="65" t="str">
        <f t="shared" si="44"/>
        <v>نادي سوديك</v>
      </c>
      <c r="B166" s="48">
        <v>0</v>
      </c>
      <c r="C166" s="48">
        <v>0</v>
      </c>
      <c r="D166" s="48">
        <v>0</v>
      </c>
      <c r="E166" s="48">
        <v>0</v>
      </c>
      <c r="F166" s="48">
        <v>0</v>
      </c>
      <c r="G166" s="48">
        <v>0</v>
      </c>
      <c r="H166" s="48">
        <v>0</v>
      </c>
      <c r="I166" s="48">
        <v>0</v>
      </c>
      <c r="J166" s="48">
        <v>0</v>
      </c>
      <c r="K166" s="48">
        <v>0</v>
      </c>
      <c r="L166" s="48">
        <v>0</v>
      </c>
      <c r="M166" s="48">
        <v>0</v>
      </c>
      <c r="N166" s="48">
        <v>0</v>
      </c>
    </row>
    <row r="167" spans="1:14">
      <c r="A167" s="65" t="str">
        <f t="shared" si="44"/>
        <v>شرم الشيخ</v>
      </c>
      <c r="B167" s="48">
        <v>0</v>
      </c>
      <c r="C167" s="48">
        <v>0</v>
      </c>
      <c r="D167" s="48">
        <v>0</v>
      </c>
      <c r="E167" s="48">
        <v>0</v>
      </c>
      <c r="F167" s="48">
        <v>0</v>
      </c>
      <c r="G167" s="48">
        <v>0</v>
      </c>
      <c r="H167" s="48">
        <v>0</v>
      </c>
      <c r="I167" s="48">
        <v>0</v>
      </c>
      <c r="J167" s="48">
        <v>0</v>
      </c>
      <c r="K167" s="48">
        <v>0</v>
      </c>
      <c r="L167" s="48">
        <v>0</v>
      </c>
      <c r="M167" s="48">
        <v>0</v>
      </c>
      <c r="N167" s="48">
        <v>0</v>
      </c>
    </row>
    <row r="168" spans="1:14">
      <c r="A168" s="65" t="str">
        <f t="shared" si="44"/>
        <v>عمائر اب تاون 53</v>
      </c>
      <c r="B168" s="48">
        <v>0</v>
      </c>
      <c r="C168" s="48">
        <v>0</v>
      </c>
      <c r="D168" s="48">
        <v>0</v>
      </c>
      <c r="E168" s="48">
        <v>0</v>
      </c>
      <c r="F168" s="48">
        <v>0</v>
      </c>
      <c r="G168" s="48">
        <v>0</v>
      </c>
      <c r="H168" s="48">
        <v>0</v>
      </c>
      <c r="I168" s="48">
        <v>0</v>
      </c>
      <c r="J168" s="48">
        <v>0</v>
      </c>
      <c r="K168" s="48">
        <v>0</v>
      </c>
      <c r="L168" s="48">
        <v>0</v>
      </c>
      <c r="M168" s="48">
        <v>0</v>
      </c>
      <c r="N168" s="48">
        <v>0</v>
      </c>
    </row>
    <row r="169" spans="1:14">
      <c r="A169" s="65" t="str">
        <f t="shared" si="44"/>
        <v>New Giza phase 2</v>
      </c>
      <c r="B169" s="48">
        <v>0</v>
      </c>
      <c r="C169" s="48">
        <v>0</v>
      </c>
      <c r="D169" s="48">
        <v>0</v>
      </c>
      <c r="E169" s="48">
        <v>0</v>
      </c>
      <c r="F169" s="48">
        <v>0</v>
      </c>
      <c r="G169" s="48">
        <v>0</v>
      </c>
      <c r="H169" s="48">
        <v>0</v>
      </c>
      <c r="I169" s="48">
        <v>0</v>
      </c>
      <c r="J169" s="48">
        <v>0</v>
      </c>
      <c r="K169" s="48">
        <v>0</v>
      </c>
      <c r="L169" s="48">
        <v>0</v>
      </c>
      <c r="M169" s="48">
        <v>0</v>
      </c>
      <c r="N169" s="48">
        <v>0</v>
      </c>
    </row>
    <row r="170" spans="1:14">
      <c r="A170" s="65" t="str">
        <f t="shared" si="44"/>
        <v>Beni suef</v>
      </c>
      <c r="B170" s="48">
        <v>0</v>
      </c>
      <c r="C170" s="48">
        <v>0</v>
      </c>
      <c r="D170" s="48">
        <v>0</v>
      </c>
      <c r="E170" s="48">
        <v>0</v>
      </c>
      <c r="F170" s="48">
        <v>0</v>
      </c>
      <c r="G170" s="48">
        <v>0</v>
      </c>
      <c r="H170" s="48">
        <v>0</v>
      </c>
      <c r="I170" s="48">
        <v>0</v>
      </c>
      <c r="J170" s="48">
        <v>0</v>
      </c>
      <c r="K170" s="48">
        <v>0</v>
      </c>
      <c r="L170" s="48">
        <v>0</v>
      </c>
      <c r="M170" s="48">
        <v>0</v>
      </c>
      <c r="N170" s="48">
        <v>0</v>
      </c>
    </row>
    <row r="171" spans="1:14">
      <c r="A171" s="65" t="str">
        <f t="shared" si="44"/>
        <v>كوبرى الشيخ بن زايد - كوبرى العاصمة</v>
      </c>
      <c r="B171" s="48">
        <v>0</v>
      </c>
      <c r="C171" s="48">
        <v>0</v>
      </c>
      <c r="D171" s="48">
        <v>0</v>
      </c>
      <c r="E171" s="48">
        <v>0</v>
      </c>
      <c r="F171" s="48">
        <v>0</v>
      </c>
      <c r="G171" s="48">
        <v>0</v>
      </c>
      <c r="H171" s="48">
        <v>0</v>
      </c>
      <c r="I171" s="48">
        <v>0</v>
      </c>
      <c r="J171" s="48">
        <v>0</v>
      </c>
      <c r="K171" s="48">
        <v>0</v>
      </c>
      <c r="L171" s="48">
        <v>0</v>
      </c>
      <c r="M171" s="48">
        <v>0</v>
      </c>
      <c r="N171" s="48">
        <v>0</v>
      </c>
    </row>
    <row r="172" spans="1:14">
      <c r="A172" s="65" t="str">
        <f t="shared" si="44"/>
        <v>جبل الزيت - GAMISA</v>
      </c>
      <c r="B172" s="48">
        <v>0</v>
      </c>
      <c r="C172" s="48">
        <v>0</v>
      </c>
      <c r="D172" s="48">
        <v>0</v>
      </c>
      <c r="E172" s="48">
        <v>0</v>
      </c>
      <c r="F172" s="48">
        <v>0</v>
      </c>
      <c r="G172" s="48">
        <v>0</v>
      </c>
      <c r="H172" s="48">
        <v>0</v>
      </c>
      <c r="I172" s="48">
        <v>0</v>
      </c>
      <c r="J172" s="48">
        <v>0</v>
      </c>
      <c r="K172" s="48">
        <v>0</v>
      </c>
      <c r="L172" s="48">
        <v>0</v>
      </c>
      <c r="M172" s="48">
        <v>0</v>
      </c>
      <c r="N172" s="48">
        <v>0</v>
      </c>
    </row>
    <row r="173" spans="1:14" ht="15.75" thickBot="1">
      <c r="A173" s="50" t="s">
        <v>37</v>
      </c>
      <c r="B173" s="59">
        <f>SUM(B159:B172)</f>
        <v>0</v>
      </c>
      <c r="C173" s="59">
        <f t="shared" ref="C173:N173" si="45">SUM(C159:C172)</f>
        <v>0</v>
      </c>
      <c r="D173" s="59">
        <f t="shared" si="45"/>
        <v>0</v>
      </c>
      <c r="E173" s="59">
        <f t="shared" si="45"/>
        <v>0</v>
      </c>
      <c r="F173" s="59">
        <f t="shared" si="45"/>
        <v>0</v>
      </c>
      <c r="G173" s="59">
        <f t="shared" si="45"/>
        <v>0</v>
      </c>
      <c r="H173" s="59">
        <f t="shared" si="45"/>
        <v>0</v>
      </c>
      <c r="I173" s="59">
        <f t="shared" si="45"/>
        <v>0</v>
      </c>
      <c r="J173" s="59">
        <f t="shared" si="45"/>
        <v>0</v>
      </c>
      <c r="K173" s="59">
        <f t="shared" si="45"/>
        <v>0</v>
      </c>
      <c r="L173" s="59">
        <f t="shared" si="45"/>
        <v>0</v>
      </c>
      <c r="M173" s="59">
        <f t="shared" si="45"/>
        <v>0</v>
      </c>
      <c r="N173" s="59">
        <f t="shared" si="45"/>
        <v>0</v>
      </c>
    </row>
    <row r="174" spans="1:14" ht="15.75" thickTop="1">
      <c r="A174" s="45" t="s">
        <v>48</v>
      </c>
      <c r="B174" s="48"/>
      <c r="C174" s="48"/>
      <c r="D174" s="48"/>
      <c r="E174" s="48"/>
      <c r="F174" s="48"/>
      <c r="G174" s="48"/>
      <c r="H174" s="48"/>
      <c r="I174" s="48"/>
      <c r="J174" s="48"/>
      <c r="K174" s="48"/>
      <c r="L174" s="48"/>
      <c r="M174" s="48"/>
      <c r="N174" s="48"/>
    </row>
    <row r="175" spans="1:14">
      <c r="A175" s="65" t="str">
        <f t="shared" ref="A175:A181" si="46">A130</f>
        <v>كباري مراسي pkg#37</v>
      </c>
      <c r="B175" s="48">
        <v>0</v>
      </c>
      <c r="C175" s="48">
        <v>0</v>
      </c>
      <c r="D175" s="48">
        <v>0</v>
      </c>
      <c r="E175" s="48">
        <v>0</v>
      </c>
      <c r="F175" s="48">
        <v>0</v>
      </c>
      <c r="G175" s="48">
        <v>0</v>
      </c>
      <c r="H175" s="48">
        <v>0</v>
      </c>
      <c r="I175" s="48">
        <v>0</v>
      </c>
      <c r="J175" s="48">
        <v>0</v>
      </c>
      <c r="K175" s="48">
        <v>0</v>
      </c>
      <c r="L175" s="48">
        <v>0</v>
      </c>
      <c r="M175" s="48">
        <v>0</v>
      </c>
      <c r="N175" s="48">
        <v>0</v>
      </c>
    </row>
    <row r="176" spans="1:14">
      <c r="A176" s="65" t="str">
        <f t="shared" si="46"/>
        <v>اب تاون pkg#17</v>
      </c>
      <c r="B176" s="48">
        <v>0</v>
      </c>
      <c r="C176" s="48">
        <v>0</v>
      </c>
      <c r="D176" s="48">
        <v>0</v>
      </c>
      <c r="E176" s="48">
        <v>0</v>
      </c>
      <c r="F176" s="48">
        <v>0</v>
      </c>
      <c r="G176" s="48">
        <v>0</v>
      </c>
      <c r="H176" s="48">
        <v>0</v>
      </c>
      <c r="I176" s="48">
        <v>0</v>
      </c>
      <c r="J176" s="48">
        <v>0</v>
      </c>
      <c r="K176" s="48">
        <v>0</v>
      </c>
      <c r="L176" s="48">
        <v>0</v>
      </c>
      <c r="M176" s="48">
        <v>0</v>
      </c>
      <c r="N176" s="48">
        <v>0</v>
      </c>
    </row>
    <row r="177" spans="1:14">
      <c r="A177" s="65" t="str">
        <f t="shared" si="46"/>
        <v>اب تاون pkg#32</v>
      </c>
      <c r="B177" s="48">
        <v>0</v>
      </c>
      <c r="C177" s="48">
        <v>0</v>
      </c>
      <c r="D177" s="48">
        <v>0</v>
      </c>
      <c r="E177" s="48">
        <v>0</v>
      </c>
      <c r="F177" s="48">
        <v>0</v>
      </c>
      <c r="G177" s="48">
        <v>0</v>
      </c>
      <c r="H177" s="48">
        <v>0</v>
      </c>
      <c r="I177" s="48">
        <v>0</v>
      </c>
      <c r="J177" s="48">
        <v>0</v>
      </c>
      <c r="K177" s="48">
        <v>0</v>
      </c>
      <c r="L177" s="48">
        <v>0</v>
      </c>
      <c r="M177" s="48">
        <v>0</v>
      </c>
      <c r="N177" s="48">
        <v>0</v>
      </c>
    </row>
    <row r="178" spans="1:14">
      <c r="A178" s="65" t="str">
        <f t="shared" si="46"/>
        <v>PKG#45 Civic Center</v>
      </c>
      <c r="B178" s="48">
        <v>0</v>
      </c>
      <c r="C178" s="48">
        <v>0</v>
      </c>
      <c r="D178" s="48">
        <v>0</v>
      </c>
      <c r="E178" s="48">
        <v>0</v>
      </c>
      <c r="F178" s="48">
        <v>0</v>
      </c>
      <c r="G178" s="48">
        <v>0</v>
      </c>
      <c r="H178" s="48">
        <v>0</v>
      </c>
      <c r="I178" s="48">
        <v>0</v>
      </c>
      <c r="J178" s="48">
        <v>0</v>
      </c>
      <c r="K178" s="48">
        <v>0</v>
      </c>
      <c r="L178" s="48">
        <v>0</v>
      </c>
      <c r="M178" s="48">
        <v>0</v>
      </c>
      <c r="N178" s="48">
        <v>0</v>
      </c>
    </row>
    <row r="179" spans="1:14">
      <c r="A179" s="65" t="str">
        <f t="shared" si="46"/>
        <v xml:space="preserve">Limak </v>
      </c>
      <c r="B179" s="48">
        <v>0</v>
      </c>
      <c r="C179" s="48">
        <v>0</v>
      </c>
      <c r="D179" s="48">
        <v>0</v>
      </c>
      <c r="E179" s="48">
        <v>0</v>
      </c>
      <c r="F179" s="48">
        <v>0</v>
      </c>
      <c r="G179" s="48">
        <v>0</v>
      </c>
      <c r="H179" s="48">
        <v>0</v>
      </c>
      <c r="I179" s="48">
        <v>0</v>
      </c>
      <c r="J179" s="48">
        <v>0</v>
      </c>
      <c r="K179" s="48">
        <v>0</v>
      </c>
      <c r="L179" s="48">
        <v>0</v>
      </c>
      <c r="M179" s="48">
        <v>0</v>
      </c>
      <c r="N179" s="48">
        <v>0</v>
      </c>
    </row>
    <row r="180" spans="1:14">
      <c r="A180" s="65" t="str">
        <f t="shared" si="46"/>
        <v>Sodic West Town</v>
      </c>
      <c r="B180" s="48">
        <v>0</v>
      </c>
      <c r="C180" s="48">
        <v>0</v>
      </c>
      <c r="D180" s="48">
        <v>0</v>
      </c>
      <c r="E180" s="48">
        <v>0</v>
      </c>
      <c r="F180" s="48">
        <v>0</v>
      </c>
      <c r="G180" s="48">
        <v>0</v>
      </c>
      <c r="H180" s="48">
        <v>0</v>
      </c>
      <c r="I180" s="48">
        <v>0</v>
      </c>
      <c r="J180" s="48">
        <v>0</v>
      </c>
      <c r="K180" s="48">
        <v>0</v>
      </c>
      <c r="L180" s="48">
        <v>0</v>
      </c>
      <c r="M180" s="48">
        <v>0</v>
      </c>
      <c r="N180" s="48">
        <v>0</v>
      </c>
    </row>
    <row r="181" spans="1:14">
      <c r="A181" s="65" t="str">
        <f t="shared" si="46"/>
        <v>New Cairo Mall</v>
      </c>
      <c r="B181" s="48">
        <v>0</v>
      </c>
      <c r="C181" s="48">
        <v>0</v>
      </c>
      <c r="D181" s="48">
        <v>0</v>
      </c>
      <c r="E181" s="48">
        <v>0</v>
      </c>
      <c r="F181" s="48">
        <v>0</v>
      </c>
      <c r="G181" s="48">
        <v>0</v>
      </c>
      <c r="H181" s="48">
        <v>0</v>
      </c>
      <c r="I181" s="48">
        <v>0</v>
      </c>
      <c r="J181" s="48">
        <v>0</v>
      </c>
      <c r="K181" s="48">
        <v>0</v>
      </c>
      <c r="L181" s="48">
        <v>0</v>
      </c>
      <c r="M181" s="48">
        <v>0</v>
      </c>
      <c r="N181" s="48">
        <v>0</v>
      </c>
    </row>
    <row r="182" spans="1:14">
      <c r="A182" s="65" t="e">
        <f>#REF!</f>
        <v>#REF!</v>
      </c>
      <c r="B182" s="48">
        <v>0</v>
      </c>
      <c r="C182" s="48">
        <v>0</v>
      </c>
      <c r="D182" s="48">
        <v>0</v>
      </c>
      <c r="E182" s="48">
        <v>0</v>
      </c>
      <c r="F182" s="48">
        <v>0</v>
      </c>
      <c r="G182" s="48">
        <v>0</v>
      </c>
      <c r="H182" s="48">
        <v>0</v>
      </c>
      <c r="I182" s="48">
        <v>0</v>
      </c>
      <c r="J182" s="48">
        <v>0</v>
      </c>
      <c r="K182" s="48">
        <v>0</v>
      </c>
      <c r="L182" s="48">
        <v>0</v>
      </c>
      <c r="M182" s="48">
        <v>0</v>
      </c>
      <c r="N182" s="48">
        <v>0</v>
      </c>
    </row>
    <row r="183" spans="1:14">
      <c r="A183" s="65" t="str">
        <f>A138</f>
        <v>Kasrawy II</v>
      </c>
      <c r="B183" s="48">
        <v>0</v>
      </c>
      <c r="C183" s="48">
        <v>0</v>
      </c>
      <c r="D183" s="48">
        <v>0</v>
      </c>
      <c r="E183" s="48">
        <v>0</v>
      </c>
      <c r="F183" s="48">
        <v>0</v>
      </c>
      <c r="G183" s="48">
        <v>0</v>
      </c>
      <c r="H183" s="48">
        <v>0</v>
      </c>
      <c r="I183" s="48">
        <v>0</v>
      </c>
      <c r="J183" s="48">
        <v>0</v>
      </c>
      <c r="K183" s="48">
        <v>0</v>
      </c>
      <c r="L183" s="48">
        <v>0</v>
      </c>
      <c r="M183" s="48">
        <v>0</v>
      </c>
      <c r="N183" s="48">
        <v>0</v>
      </c>
    </row>
    <row r="184" spans="1:14" ht="15.75" thickBot="1">
      <c r="A184" s="50" t="s">
        <v>37</v>
      </c>
      <c r="B184" s="59">
        <f>SUM(B175:B183)</f>
        <v>0</v>
      </c>
      <c r="C184" s="59">
        <f t="shared" ref="C184:N184" si="47">SUM(C175:C183)</f>
        <v>0</v>
      </c>
      <c r="D184" s="59">
        <f t="shared" si="47"/>
        <v>0</v>
      </c>
      <c r="E184" s="59">
        <f t="shared" si="47"/>
        <v>0</v>
      </c>
      <c r="F184" s="59">
        <f t="shared" si="47"/>
        <v>0</v>
      </c>
      <c r="G184" s="59">
        <f t="shared" si="47"/>
        <v>0</v>
      </c>
      <c r="H184" s="59">
        <f t="shared" si="47"/>
        <v>0</v>
      </c>
      <c r="I184" s="59">
        <f t="shared" si="47"/>
        <v>0</v>
      </c>
      <c r="J184" s="59">
        <f t="shared" si="47"/>
        <v>0</v>
      </c>
      <c r="K184" s="59">
        <f t="shared" si="47"/>
        <v>0</v>
      </c>
      <c r="L184" s="59">
        <f t="shared" si="47"/>
        <v>0</v>
      </c>
      <c r="M184" s="59">
        <f t="shared" si="47"/>
        <v>0</v>
      </c>
      <c r="N184" s="59">
        <f t="shared" si="47"/>
        <v>0</v>
      </c>
    </row>
    <row r="185" spans="1:14" ht="16.5" thickTop="1" thickBot="1">
      <c r="A185" s="44" t="s">
        <v>15</v>
      </c>
      <c r="B185" s="9">
        <f t="shared" ref="B185:N185" si="48">B184+B173</f>
        <v>0</v>
      </c>
      <c r="C185" s="9">
        <f t="shared" si="48"/>
        <v>0</v>
      </c>
      <c r="D185" s="9">
        <f t="shared" si="48"/>
        <v>0</v>
      </c>
      <c r="E185" s="9">
        <f t="shared" si="48"/>
        <v>0</v>
      </c>
      <c r="F185" s="9">
        <f t="shared" si="48"/>
        <v>0</v>
      </c>
      <c r="G185" s="9">
        <f t="shared" si="48"/>
        <v>0</v>
      </c>
      <c r="H185" s="9">
        <f t="shared" si="48"/>
        <v>0</v>
      </c>
      <c r="I185" s="9">
        <f t="shared" si="48"/>
        <v>0</v>
      </c>
      <c r="J185" s="9">
        <f t="shared" si="48"/>
        <v>0</v>
      </c>
      <c r="K185" s="9">
        <f t="shared" si="48"/>
        <v>0</v>
      </c>
      <c r="L185" s="9">
        <f t="shared" si="48"/>
        <v>0</v>
      </c>
      <c r="M185" s="9">
        <f t="shared" si="48"/>
        <v>0</v>
      </c>
      <c r="N185" s="9">
        <f t="shared" si="48"/>
        <v>0</v>
      </c>
    </row>
    <row r="186" spans="1:14" ht="15.75" thickTop="1">
      <c r="B186" s="11">
        <f>B185-B157</f>
        <v>0</v>
      </c>
    </row>
    <row r="191" spans="1:14">
      <c r="D191" s="11"/>
    </row>
    <row r="192" spans="1:14">
      <c r="D192" s="11"/>
    </row>
    <row r="193" spans="4:4">
      <c r="D193" s="11"/>
    </row>
    <row r="194" spans="4:4">
      <c r="D194" s="11"/>
    </row>
  </sheetData>
  <mergeCells count="76">
    <mergeCell ref="I108:I109"/>
    <mergeCell ref="J108:J109"/>
    <mergeCell ref="K108:K109"/>
    <mergeCell ref="N153:N154"/>
    <mergeCell ref="H153:H154"/>
    <mergeCell ref="I153:I154"/>
    <mergeCell ref="J153:J154"/>
    <mergeCell ref="K153:K154"/>
    <mergeCell ref="L153:L154"/>
    <mergeCell ref="M153:M154"/>
    <mergeCell ref="F153:F154"/>
    <mergeCell ref="G153:G154"/>
    <mergeCell ref="F108:F109"/>
    <mergeCell ref="G108:G109"/>
    <mergeCell ref="H108:H109"/>
    <mergeCell ref="A153:A154"/>
    <mergeCell ref="B153:B154"/>
    <mergeCell ref="C153:C154"/>
    <mergeCell ref="D153:D154"/>
    <mergeCell ref="E153:E154"/>
    <mergeCell ref="K73:K74"/>
    <mergeCell ref="L73:L74"/>
    <mergeCell ref="M73:M74"/>
    <mergeCell ref="N73:N74"/>
    <mergeCell ref="L108:L109"/>
    <mergeCell ref="M108:M109"/>
    <mergeCell ref="N108:N109"/>
    <mergeCell ref="A108:A109"/>
    <mergeCell ref="B108:B109"/>
    <mergeCell ref="C108:C109"/>
    <mergeCell ref="D108:D109"/>
    <mergeCell ref="E108:E109"/>
    <mergeCell ref="T28:T29"/>
    <mergeCell ref="B73:B74"/>
    <mergeCell ref="C73:C74"/>
    <mergeCell ref="D73:D74"/>
    <mergeCell ref="E73:E74"/>
    <mergeCell ref="F73:F74"/>
    <mergeCell ref="G73:G74"/>
    <mergeCell ref="H73:H74"/>
    <mergeCell ref="I73:I74"/>
    <mergeCell ref="H28:H29"/>
    <mergeCell ref="I28:I29"/>
    <mergeCell ref="J28:J29"/>
    <mergeCell ref="K28:K29"/>
    <mergeCell ref="L28:L29"/>
    <mergeCell ref="M28:M29"/>
    <mergeCell ref="J73:J74"/>
    <mergeCell ref="B28:B29"/>
    <mergeCell ref="C28:C29"/>
    <mergeCell ref="D28:D29"/>
    <mergeCell ref="E28:E29"/>
    <mergeCell ref="F28:F29"/>
    <mergeCell ref="G28:G29"/>
    <mergeCell ref="M1:M2"/>
    <mergeCell ref="N1:N2"/>
    <mergeCell ref="O1:O2"/>
    <mergeCell ref="S1:S2"/>
    <mergeCell ref="N28:N29"/>
    <mergeCell ref="Q1:Q2"/>
    <mergeCell ref="R1:R2"/>
    <mergeCell ref="V1:W1"/>
    <mergeCell ref="A27:N27"/>
    <mergeCell ref="G1:G2"/>
    <mergeCell ref="H1:H2"/>
    <mergeCell ref="I1:I2"/>
    <mergeCell ref="J1:J2"/>
    <mergeCell ref="K1:K2"/>
    <mergeCell ref="L1:L2"/>
    <mergeCell ref="A1:A2"/>
    <mergeCell ref="B1:B2"/>
    <mergeCell ref="C1:C2"/>
    <mergeCell ref="D1:D2"/>
    <mergeCell ref="E1:E2"/>
    <mergeCell ref="F1:F2"/>
    <mergeCell ref="P1:P2"/>
  </mergeCells>
  <hyperlinks>
    <hyperlink ref="V1:W1" location="'Trial Balance'!A1" display="Trial Balance" xr:uid="{00000000-0004-0000-0000-000000000000}"/>
  </hyperlinks>
  <pageMargins left="0.70866141732283472" right="0.70866141732283472" top="0.74803149606299213" bottom="0.74803149606299213" header="0.31496062992125984" footer="0.31496062992125984"/>
  <pageSetup paperSize="9" orientation="landscape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pageSetUpPr fitToPage="1"/>
  </sheetPr>
  <dimension ref="A1:DJ361"/>
  <sheetViews>
    <sheetView tabSelected="1" topLeftCell="A2" zoomScaleNormal="100" zoomScaleSheetLayoutView="100" workbookViewId="0">
      <pane xSplit="1" topLeftCell="BL1" activePane="topRight" state="frozenSplit"/>
      <selection activeCell="A3" sqref="A3"/>
      <selection pane="topRight" activeCell="B14" sqref="B14:BM14"/>
    </sheetView>
  </sheetViews>
  <sheetFormatPr defaultColWidth="9" defaultRowHeight="15"/>
  <cols>
    <col min="1" max="1" width="40.140625" customWidth="1"/>
    <col min="2" max="2" width="15.140625" bestFit="1" customWidth="1"/>
    <col min="3" max="3" width="15.28515625" bestFit="1" customWidth="1"/>
    <col min="4" max="4" width="16.28515625" customWidth="1"/>
    <col min="5" max="5" width="13.85546875" customWidth="1"/>
    <col min="6" max="6" width="15.28515625" style="334" bestFit="1" customWidth="1"/>
    <col min="7" max="7" width="16" customWidth="1"/>
    <col min="8" max="8" width="17.42578125" customWidth="1"/>
    <col min="9" max="9" width="13.7109375" customWidth="1"/>
    <col min="10" max="10" width="14.28515625" customWidth="1"/>
    <col min="11" max="11" width="18.140625" customWidth="1"/>
    <col min="12" max="12" width="15.5703125" customWidth="1"/>
    <col min="13" max="13" width="13.7109375" customWidth="1"/>
    <col min="14" max="14" width="14.140625" style="175" customWidth="1"/>
    <col min="15" max="15" width="16.42578125" style="292" customWidth="1"/>
    <col min="16" max="16" width="17.7109375" style="360" customWidth="1"/>
    <col min="17" max="17" width="16.28515625" style="257" customWidth="1"/>
    <col min="18" max="18" width="16.28515625" style="361" customWidth="1"/>
    <col min="19" max="19" width="14.85546875" style="221" customWidth="1"/>
    <col min="20" max="20" width="16.5703125" style="221" customWidth="1"/>
    <col min="21" max="21" width="16.42578125" style="52" customWidth="1"/>
    <col min="22" max="26" width="14" style="52" customWidth="1"/>
    <col min="27" max="27" width="15.28515625" style="52" customWidth="1"/>
    <col min="28" max="28" width="14" style="52" customWidth="1"/>
    <col min="29" max="36" width="17.85546875" style="52" customWidth="1"/>
    <col min="37" max="37" width="16" style="52" customWidth="1"/>
    <col min="38" max="65" width="17.85546875" style="52" customWidth="1"/>
    <col min="66" max="67" width="17.85546875" style="52" hidden="1" customWidth="1"/>
    <col min="68" max="84" width="17.85546875" style="52" customWidth="1"/>
    <col min="85" max="85" width="16.85546875" style="52" bestFit="1" customWidth="1"/>
    <col min="86" max="88" width="14" style="52" customWidth="1"/>
    <col min="89" max="89" width="13.42578125" customWidth="1"/>
    <col min="90" max="90" width="12.140625" bestFit="1" customWidth="1"/>
    <col min="91" max="91" width="13.85546875" bestFit="1" customWidth="1"/>
    <col min="92" max="111" width="13.85546875" customWidth="1"/>
    <col min="112" max="112" width="15.42578125" customWidth="1"/>
    <col min="113" max="113" width="13.85546875" style="109" customWidth="1"/>
    <col min="114" max="114" width="13.7109375" bestFit="1" customWidth="1"/>
    <col min="115" max="115" width="12.42578125" bestFit="1" customWidth="1"/>
  </cols>
  <sheetData>
    <row r="1" spans="1:114" ht="23.25" hidden="1" customHeight="1">
      <c r="A1" s="273" t="s">
        <v>156</v>
      </c>
      <c r="B1" s="272">
        <v>0</v>
      </c>
      <c r="C1" s="272">
        <v>0</v>
      </c>
      <c r="D1" s="272">
        <v>0</v>
      </c>
      <c r="E1" s="272" t="s">
        <v>206</v>
      </c>
      <c r="F1" s="326">
        <v>0</v>
      </c>
      <c r="G1" s="272" t="s">
        <v>177</v>
      </c>
      <c r="H1" s="272" t="s">
        <v>207</v>
      </c>
      <c r="I1" s="272" t="s">
        <v>179</v>
      </c>
      <c r="J1" s="272">
        <v>0</v>
      </c>
      <c r="K1" s="272" t="s">
        <v>208</v>
      </c>
      <c r="L1" s="272" t="s">
        <v>209</v>
      </c>
      <c r="M1" s="272" t="s">
        <v>210</v>
      </c>
      <c r="N1" s="272">
        <v>0</v>
      </c>
      <c r="O1" s="272" t="s">
        <v>211</v>
      </c>
      <c r="P1" s="358" t="s">
        <v>212</v>
      </c>
      <c r="Q1" s="272" t="s">
        <v>187</v>
      </c>
      <c r="R1" s="358">
        <v>0</v>
      </c>
      <c r="S1" s="272">
        <v>0</v>
      </c>
      <c r="T1" s="272" t="s">
        <v>213</v>
      </c>
      <c r="U1" s="275" t="s">
        <v>157</v>
      </c>
      <c r="V1" s="308"/>
      <c r="W1" s="308"/>
      <c r="X1" s="308"/>
      <c r="Y1" s="308"/>
      <c r="Z1" s="308"/>
      <c r="AA1" s="308"/>
      <c r="AB1" s="308"/>
      <c r="AC1" s="308"/>
      <c r="AD1" s="308"/>
      <c r="AE1" s="308"/>
      <c r="AF1" s="308"/>
      <c r="AG1" s="308"/>
      <c r="AH1" s="308"/>
      <c r="AI1" s="308"/>
      <c r="AJ1" s="308"/>
      <c r="AK1" s="308"/>
      <c r="AL1" s="308"/>
      <c r="AM1" s="308"/>
      <c r="AN1" s="308"/>
      <c r="AO1" s="308"/>
      <c r="AP1" s="308"/>
      <c r="AQ1" s="308"/>
      <c r="AR1" s="308"/>
      <c r="AS1" s="308"/>
      <c r="AT1" s="308"/>
      <c r="AU1" s="308"/>
      <c r="AV1" s="308"/>
      <c r="AW1" s="308"/>
      <c r="AX1" s="308"/>
      <c r="AY1" s="308"/>
      <c r="AZ1" s="308"/>
      <c r="BA1" s="308"/>
      <c r="BB1" s="308"/>
      <c r="BC1" s="308"/>
      <c r="BD1" s="308"/>
      <c r="BE1" s="308"/>
      <c r="BF1" s="308"/>
      <c r="BG1" s="308"/>
      <c r="BH1" s="308"/>
      <c r="BI1" s="308"/>
      <c r="BJ1" s="308"/>
      <c r="BK1" s="308"/>
      <c r="BL1" s="308"/>
      <c r="BM1" s="308"/>
      <c r="BN1" s="308"/>
      <c r="BO1" s="308"/>
      <c r="BP1" s="308"/>
      <c r="BQ1" s="308"/>
      <c r="BR1" s="308"/>
      <c r="BS1" s="308"/>
      <c r="BT1" s="308"/>
      <c r="BU1" s="308"/>
      <c r="BV1" s="308"/>
      <c r="BW1" s="308"/>
      <c r="BX1" s="308"/>
      <c r="BY1" s="308"/>
      <c r="BZ1" s="308"/>
      <c r="CA1" s="308"/>
      <c r="CB1" s="308"/>
      <c r="CC1" s="308"/>
      <c r="CD1" s="308"/>
      <c r="CE1" s="308"/>
      <c r="CF1" s="272" t="s">
        <v>205</v>
      </c>
      <c r="CG1" s="275" t="s">
        <v>158</v>
      </c>
      <c r="CH1" s="275" t="s">
        <v>159</v>
      </c>
      <c r="CI1" s="275" t="s">
        <v>160</v>
      </c>
      <c r="CJ1" s="275" t="s">
        <v>161</v>
      </c>
      <c r="CK1" s="275" t="s">
        <v>162</v>
      </c>
      <c r="CL1" s="275" t="s">
        <v>163</v>
      </c>
      <c r="CM1" s="275" t="s">
        <v>164</v>
      </c>
      <c r="CN1" s="275" t="s">
        <v>165</v>
      </c>
      <c r="CO1" s="275" t="s">
        <v>166</v>
      </c>
      <c r="CP1" s="275" t="s">
        <v>167</v>
      </c>
      <c r="CQ1" s="275" t="s">
        <v>168</v>
      </c>
      <c r="CR1" s="275" t="s">
        <v>169</v>
      </c>
      <c r="CS1" s="275" t="s">
        <v>170</v>
      </c>
      <c r="CT1" s="275"/>
      <c r="CU1" s="275"/>
      <c r="CV1" s="275"/>
      <c r="CW1" s="275"/>
      <c r="CX1" s="275"/>
      <c r="CY1" s="275"/>
      <c r="CZ1" s="275"/>
      <c r="DA1" s="289"/>
      <c r="DB1" s="289"/>
      <c r="DC1" s="289"/>
      <c r="DD1" s="289"/>
      <c r="DE1" s="289"/>
      <c r="DF1" s="289"/>
      <c r="DG1" s="289"/>
      <c r="DH1" s="272"/>
      <c r="DI1" s="300"/>
      <c r="DJ1" s="272"/>
    </row>
    <row r="2" spans="1:114" s="91" customFormat="1" ht="62.25" customHeight="1">
      <c r="A2" s="412" t="s">
        <v>0</v>
      </c>
      <c r="B2" s="412" t="s">
        <v>266</v>
      </c>
      <c r="C2" s="412" t="s">
        <v>267</v>
      </c>
      <c r="D2" s="412" t="s">
        <v>268</v>
      </c>
      <c r="E2" s="412" t="s">
        <v>152</v>
      </c>
      <c r="F2" s="412" t="s">
        <v>220</v>
      </c>
      <c r="G2" s="412" t="s">
        <v>228</v>
      </c>
      <c r="H2" s="412" t="s">
        <v>232</v>
      </c>
      <c r="I2" s="412" t="s">
        <v>260</v>
      </c>
      <c r="J2" s="412" t="s">
        <v>261</v>
      </c>
      <c r="K2" s="412" t="s">
        <v>264</v>
      </c>
      <c r="L2" s="412" t="s">
        <v>360</v>
      </c>
      <c r="M2" s="412" t="s">
        <v>265</v>
      </c>
      <c r="N2" s="412" t="s">
        <v>342</v>
      </c>
      <c r="O2" s="412" t="s">
        <v>284</v>
      </c>
      <c r="P2" s="412" t="s">
        <v>279</v>
      </c>
      <c r="Q2" s="412" t="s">
        <v>283</v>
      </c>
      <c r="R2" s="412" t="s">
        <v>287</v>
      </c>
      <c r="S2" s="412" t="s">
        <v>295</v>
      </c>
      <c r="T2" s="412" t="s">
        <v>288</v>
      </c>
      <c r="U2" s="419" t="s">
        <v>292</v>
      </c>
      <c r="V2" s="412" t="s">
        <v>297</v>
      </c>
      <c r="W2" s="412" t="s">
        <v>298</v>
      </c>
      <c r="X2" s="412" t="s">
        <v>301</v>
      </c>
      <c r="Y2" s="412" t="s">
        <v>303</v>
      </c>
      <c r="Z2" s="419" t="s">
        <v>305</v>
      </c>
      <c r="AA2" s="412" t="s">
        <v>320</v>
      </c>
      <c r="AB2" s="412" t="s">
        <v>324</v>
      </c>
      <c r="AC2" s="412" t="s">
        <v>322</v>
      </c>
      <c r="AD2" s="412" t="s">
        <v>328</v>
      </c>
      <c r="AE2" s="412" t="s">
        <v>329</v>
      </c>
      <c r="AF2" s="412" t="s">
        <v>330</v>
      </c>
      <c r="AG2" s="412" t="s">
        <v>332</v>
      </c>
      <c r="AH2" s="412" t="s">
        <v>337</v>
      </c>
      <c r="AI2" s="412" t="s">
        <v>338</v>
      </c>
      <c r="AJ2" s="412" t="s">
        <v>339</v>
      </c>
      <c r="AK2" s="412" t="s">
        <v>340</v>
      </c>
      <c r="AL2" s="419" t="s">
        <v>346</v>
      </c>
      <c r="AM2" s="412" t="s">
        <v>345</v>
      </c>
      <c r="AN2" s="412" t="s">
        <v>352</v>
      </c>
      <c r="AO2" s="412" t="s">
        <v>343</v>
      </c>
      <c r="AP2" s="412" t="s">
        <v>344</v>
      </c>
      <c r="AQ2" s="412" t="s">
        <v>353</v>
      </c>
      <c r="AR2" s="412" t="s">
        <v>354</v>
      </c>
      <c r="AS2" s="412" t="s">
        <v>355</v>
      </c>
      <c r="AT2" s="412" t="s">
        <v>356</v>
      </c>
      <c r="AU2" s="412" t="s">
        <v>364</v>
      </c>
      <c r="AV2" s="412" t="s">
        <v>365</v>
      </c>
      <c r="AW2" s="412" t="s">
        <v>367</v>
      </c>
      <c r="AX2" s="412" t="s">
        <v>368</v>
      </c>
      <c r="AY2" s="412" t="s">
        <v>372</v>
      </c>
      <c r="AZ2" s="412" t="s">
        <v>381</v>
      </c>
      <c r="BA2" s="412" t="s">
        <v>373</v>
      </c>
      <c r="BB2" s="412" t="s">
        <v>379</v>
      </c>
      <c r="BC2" s="412" t="s">
        <v>380</v>
      </c>
      <c r="BD2" s="412" t="s">
        <v>390</v>
      </c>
      <c r="BE2" s="412" t="s">
        <v>391</v>
      </c>
      <c r="BF2" s="412" t="s">
        <v>406</v>
      </c>
      <c r="BG2" s="412" t="s">
        <v>392</v>
      </c>
      <c r="BH2" s="412" t="s">
        <v>393</v>
      </c>
      <c r="BI2" s="412" t="s">
        <v>394</v>
      </c>
      <c r="BJ2" s="412" t="s">
        <v>395</v>
      </c>
      <c r="BK2" s="412" t="s">
        <v>400</v>
      </c>
      <c r="BL2" s="412" t="s">
        <v>407</v>
      </c>
      <c r="BM2" s="412" t="s">
        <v>404</v>
      </c>
      <c r="BN2" s="412"/>
      <c r="BO2" s="412"/>
      <c r="BP2" s="412" t="s">
        <v>15</v>
      </c>
      <c r="BQ2" s="302"/>
      <c r="BR2" s="91" t="s">
        <v>397</v>
      </c>
      <c r="BS2" s="398" t="s">
        <v>398</v>
      </c>
      <c r="BT2" s="398"/>
    </row>
    <row r="3" spans="1:114" s="405" customFormat="1" ht="17.45" customHeight="1">
      <c r="A3" s="402"/>
      <c r="B3" s="406" t="s">
        <v>213</v>
      </c>
      <c r="C3" s="406" t="s">
        <v>200</v>
      </c>
      <c r="D3" s="406" t="s">
        <v>201</v>
      </c>
      <c r="E3" s="406" t="s">
        <v>167</v>
      </c>
      <c r="F3" s="406" t="s">
        <v>240</v>
      </c>
      <c r="G3" s="406" t="s">
        <v>247</v>
      </c>
      <c r="H3" s="406" t="s">
        <v>248</v>
      </c>
      <c r="I3" s="406" t="s">
        <v>262</v>
      </c>
      <c r="J3" s="406" t="s">
        <v>263</v>
      </c>
      <c r="K3" s="406" t="s">
        <v>276</v>
      </c>
      <c r="L3" s="406" t="s">
        <v>277</v>
      </c>
      <c r="M3" s="406" t="s">
        <v>278</v>
      </c>
      <c r="N3" s="406" t="s">
        <v>341</v>
      </c>
      <c r="O3" s="406" t="s">
        <v>285</v>
      </c>
      <c r="P3" s="406" t="s">
        <v>280</v>
      </c>
      <c r="Q3" s="406" t="s">
        <v>282</v>
      </c>
      <c r="R3" s="406" t="s">
        <v>291</v>
      </c>
      <c r="S3" s="406" t="s">
        <v>296</v>
      </c>
      <c r="T3" s="406" t="s">
        <v>290</v>
      </c>
      <c r="U3" s="406" t="s">
        <v>289</v>
      </c>
      <c r="V3" s="406" t="s">
        <v>299</v>
      </c>
      <c r="W3" s="406" t="s">
        <v>300</v>
      </c>
      <c r="X3" s="406" t="s">
        <v>302</v>
      </c>
      <c r="Y3" s="406" t="s">
        <v>304</v>
      </c>
      <c r="Z3" s="406" t="s">
        <v>306</v>
      </c>
      <c r="AA3" s="406" t="s">
        <v>319</v>
      </c>
      <c r="AB3" s="406" t="s">
        <v>323</v>
      </c>
      <c r="AC3" s="406" t="s">
        <v>321</v>
      </c>
      <c r="AD3" s="406" t="s">
        <v>325</v>
      </c>
      <c r="AE3" s="406" t="s">
        <v>326</v>
      </c>
      <c r="AF3" s="406" t="s">
        <v>327</v>
      </c>
      <c r="AG3" s="406" t="s">
        <v>331</v>
      </c>
      <c r="AH3" s="406" t="s">
        <v>333</v>
      </c>
      <c r="AI3" s="406" t="s">
        <v>334</v>
      </c>
      <c r="AJ3" s="406" t="s">
        <v>335</v>
      </c>
      <c r="AK3" s="406" t="s">
        <v>336</v>
      </c>
      <c r="AL3" s="406" t="s">
        <v>347</v>
      </c>
      <c r="AM3" s="406" t="s">
        <v>348</v>
      </c>
      <c r="AN3" s="406" t="s">
        <v>349</v>
      </c>
      <c r="AO3" s="406" t="s">
        <v>350</v>
      </c>
      <c r="AP3" s="406" t="s">
        <v>351</v>
      </c>
      <c r="AQ3" s="406" t="s">
        <v>357</v>
      </c>
      <c r="AR3" s="406" t="s">
        <v>358</v>
      </c>
      <c r="AS3" s="406" t="s">
        <v>359</v>
      </c>
      <c r="AT3" s="406" t="s">
        <v>361</v>
      </c>
      <c r="AU3" s="406" t="s">
        <v>362</v>
      </c>
      <c r="AV3" s="406" t="s">
        <v>363</v>
      </c>
      <c r="AW3" s="406" t="s">
        <v>366</v>
      </c>
      <c r="AX3" s="406" t="s">
        <v>369</v>
      </c>
      <c r="AY3" s="406" t="s">
        <v>370</v>
      </c>
      <c r="AZ3" s="406" t="s">
        <v>371</v>
      </c>
      <c r="BA3" s="406" t="s">
        <v>374</v>
      </c>
      <c r="BB3" s="406" t="s">
        <v>377</v>
      </c>
      <c r="BC3" s="406" t="s">
        <v>378</v>
      </c>
      <c r="BD3" s="406" t="s">
        <v>384</v>
      </c>
      <c r="BE3" s="406" t="s">
        <v>385</v>
      </c>
      <c r="BF3" s="406" t="s">
        <v>198</v>
      </c>
      <c r="BG3" s="406" t="s">
        <v>386</v>
      </c>
      <c r="BH3" s="406" t="s">
        <v>387</v>
      </c>
      <c r="BI3" s="406" t="s">
        <v>388</v>
      </c>
      <c r="BJ3" s="406" t="s">
        <v>389</v>
      </c>
      <c r="BK3" s="406" t="s">
        <v>401</v>
      </c>
      <c r="BL3" s="406" t="s">
        <v>402</v>
      </c>
      <c r="BM3" s="406" t="s">
        <v>403</v>
      </c>
      <c r="BN3" s="406"/>
      <c r="BO3" s="406"/>
      <c r="BP3" s="403"/>
      <c r="BQ3" s="404"/>
      <c r="BT3" s="398"/>
    </row>
    <row r="4" spans="1:114" s="91" customFormat="1">
      <c r="A4" s="385"/>
      <c r="B4" s="90"/>
      <c r="C4" s="90"/>
      <c r="D4" s="90"/>
      <c r="E4" s="90"/>
      <c r="F4" s="90"/>
      <c r="G4" s="90"/>
      <c r="H4" s="90"/>
      <c r="I4" s="90"/>
      <c r="J4" s="90"/>
      <c r="K4" s="90"/>
      <c r="L4" s="90"/>
      <c r="M4" s="90"/>
      <c r="N4" s="90"/>
      <c r="O4" s="90"/>
      <c r="P4" s="90"/>
      <c r="Q4" s="90"/>
      <c r="R4" s="90"/>
      <c r="S4" s="90"/>
      <c r="T4" s="90"/>
      <c r="U4" s="90"/>
      <c r="V4" s="90"/>
      <c r="W4" s="90"/>
      <c r="X4" s="90"/>
      <c r="Y4" s="90"/>
      <c r="Z4" s="90"/>
      <c r="AA4" s="90"/>
      <c r="AB4" s="90"/>
      <c r="AC4" s="90"/>
      <c r="AD4" s="90"/>
      <c r="AE4" s="90"/>
      <c r="AF4" s="90"/>
      <c r="AG4" s="90"/>
      <c r="AH4" s="90"/>
      <c r="AI4" s="90"/>
      <c r="AJ4" s="90"/>
      <c r="AK4" s="90"/>
      <c r="AL4" s="90"/>
      <c r="AM4" s="90"/>
      <c r="AN4" s="90"/>
      <c r="AO4" s="90"/>
      <c r="AP4" s="90"/>
      <c r="AQ4" s="90"/>
      <c r="AR4" s="90"/>
      <c r="AS4" s="90"/>
      <c r="AT4" s="90"/>
      <c r="AU4" s="90"/>
      <c r="AV4" s="90"/>
      <c r="AW4" s="90"/>
      <c r="AX4" s="90"/>
      <c r="AY4" s="90"/>
      <c r="AZ4" s="90"/>
      <c r="BA4" s="90"/>
      <c r="BB4" s="90"/>
      <c r="BC4" s="90"/>
      <c r="BD4" s="90"/>
      <c r="BE4" s="90"/>
      <c r="BF4" s="90"/>
      <c r="BG4" s="90"/>
      <c r="BH4" s="90"/>
      <c r="BI4" s="90"/>
      <c r="BJ4" s="90"/>
      <c r="BK4" s="90"/>
      <c r="BL4" s="90"/>
      <c r="BM4" s="90"/>
      <c r="BN4" s="90"/>
      <c r="BO4" s="90"/>
      <c r="BP4" s="376"/>
      <c r="BQ4" s="302"/>
      <c r="BR4" s="74"/>
      <c r="BU4" s="92"/>
    </row>
    <row r="5" spans="1:114" s="91" customFormat="1">
      <c r="A5" s="385" t="s">
        <v>293</v>
      </c>
      <c r="B5" s="90">
        <v>1316334942</v>
      </c>
      <c r="C5" s="90">
        <v>2740570200</v>
      </c>
      <c r="D5" s="90">
        <v>558284383</v>
      </c>
      <c r="E5" s="90">
        <v>141426555.57142857</v>
      </c>
      <c r="F5" s="90">
        <v>2873373384.4670801</v>
      </c>
      <c r="G5" s="90">
        <v>1145187121</v>
      </c>
      <c r="H5" s="90">
        <v>1165356801.5</v>
      </c>
      <c r="I5" s="90">
        <v>637419839.06349492</v>
      </c>
      <c r="J5" s="90">
        <v>608748209</v>
      </c>
      <c r="K5" s="90">
        <v>796372414.62</v>
      </c>
      <c r="L5" s="90">
        <v>850000000</v>
      </c>
      <c r="M5" s="90">
        <v>160759162.85714287</v>
      </c>
      <c r="N5" s="90">
        <v>573740474.58186901</v>
      </c>
      <c r="O5" s="90">
        <v>1178424708</v>
      </c>
      <c r="P5" s="90">
        <v>1019596481</v>
      </c>
      <c r="Q5" s="90">
        <v>952143211</v>
      </c>
      <c r="R5" s="90">
        <v>1462000000</v>
      </c>
      <c r="S5" s="90">
        <v>590625262.5</v>
      </c>
      <c r="T5" s="90">
        <v>651431108</v>
      </c>
      <c r="U5" s="90">
        <v>362983478.39999998</v>
      </c>
      <c r="V5" s="90">
        <v>182323080.95238096</v>
      </c>
      <c r="W5" s="90">
        <v>420000000</v>
      </c>
      <c r="X5" s="90">
        <v>1154780430</v>
      </c>
      <c r="Y5" s="90">
        <v>440260342</v>
      </c>
      <c r="Z5" s="90">
        <v>76400000</v>
      </c>
      <c r="AA5" s="90">
        <v>1196035850.1799998</v>
      </c>
      <c r="AB5" s="90">
        <v>946341608</v>
      </c>
      <c r="AC5" s="90">
        <v>366245749.52380949</v>
      </c>
      <c r="AD5" s="90">
        <v>336195666.66666663</v>
      </c>
      <c r="AE5" s="90">
        <v>312773042.4285714</v>
      </c>
      <c r="AF5" s="90">
        <v>420476403</v>
      </c>
      <c r="AG5" s="90">
        <v>803202543.80952406</v>
      </c>
      <c r="AH5" s="90">
        <v>210726576</v>
      </c>
      <c r="AI5" s="90">
        <v>284814771.4285714</v>
      </c>
      <c r="AJ5" s="90">
        <v>583362277.33333337</v>
      </c>
      <c r="AK5" s="90">
        <v>136262391.42857143</v>
      </c>
      <c r="AL5" s="90">
        <v>41932924.761904761</v>
      </c>
      <c r="AM5" s="90">
        <v>948571429</v>
      </c>
      <c r="AN5" s="90">
        <v>71569048</v>
      </c>
      <c r="AO5" s="90">
        <v>388375223</v>
      </c>
      <c r="AP5" s="90">
        <v>50000000</v>
      </c>
      <c r="AQ5" s="90">
        <v>11588673.428571399</v>
      </c>
      <c r="AR5" s="90">
        <v>56233741</v>
      </c>
      <c r="AS5" s="90">
        <v>147053342</v>
      </c>
      <c r="AT5" s="90">
        <v>7061113.0999999996</v>
      </c>
      <c r="AU5" s="90">
        <v>5648468.5714285709</v>
      </c>
      <c r="AV5" s="90">
        <v>11196893.066666666</v>
      </c>
      <c r="AW5" s="90">
        <v>4338449</v>
      </c>
      <c r="AX5" s="90">
        <v>5331005.13</v>
      </c>
      <c r="AY5" s="90">
        <v>142857142</v>
      </c>
      <c r="AZ5" s="90">
        <v>205575060</v>
      </c>
      <c r="BA5" s="90">
        <v>90188424</v>
      </c>
      <c r="BB5" s="90">
        <v>1250000</v>
      </c>
      <c r="BC5" s="90">
        <v>399562505</v>
      </c>
      <c r="BD5" s="90">
        <v>189000000</v>
      </c>
      <c r="BE5" s="90">
        <v>80500000</v>
      </c>
      <c r="BF5" s="90">
        <v>123882330</v>
      </c>
      <c r="BG5" s="90">
        <v>12967470.476190476</v>
      </c>
      <c r="BH5" s="90">
        <v>666564349.51999998</v>
      </c>
      <c r="BI5" s="90">
        <v>412678626</v>
      </c>
      <c r="BJ5" s="90">
        <v>1960330</v>
      </c>
      <c r="BK5" s="90">
        <v>126172624</v>
      </c>
      <c r="BL5" s="90">
        <v>320543982.60000002</v>
      </c>
      <c r="BM5" s="90">
        <v>21974136</v>
      </c>
      <c r="BN5" s="90"/>
      <c r="BO5" s="90"/>
      <c r="BP5" s="376">
        <f>SUM(B5:BO5)</f>
        <v>32199555758.967205</v>
      </c>
      <c r="BQ5" s="302"/>
      <c r="BR5" s="389"/>
      <c r="BS5" s="389"/>
      <c r="BT5" s="398"/>
      <c r="BU5" s="93"/>
    </row>
    <row r="6" spans="1:114" s="91" customFormat="1" ht="15.75" thickBot="1">
      <c r="A6" s="374" t="s">
        <v>293</v>
      </c>
      <c r="B6" s="375">
        <f>SUM(B5)</f>
        <v>1316334942</v>
      </c>
      <c r="C6" s="375">
        <f t="shared" ref="C6:U6" si="0">SUM(C5)</f>
        <v>2740570200</v>
      </c>
      <c r="D6" s="375">
        <f t="shared" si="0"/>
        <v>558284383</v>
      </c>
      <c r="E6" s="375">
        <f t="shared" si="0"/>
        <v>141426555.57142857</v>
      </c>
      <c r="F6" s="375">
        <f t="shared" si="0"/>
        <v>2873373384.4670801</v>
      </c>
      <c r="G6" s="375">
        <f t="shared" si="0"/>
        <v>1145187121</v>
      </c>
      <c r="H6" s="375">
        <f t="shared" si="0"/>
        <v>1165356801.5</v>
      </c>
      <c r="I6" s="375">
        <f t="shared" si="0"/>
        <v>637419839.06349492</v>
      </c>
      <c r="J6" s="375">
        <f t="shared" si="0"/>
        <v>608748209</v>
      </c>
      <c r="K6" s="375">
        <f t="shared" si="0"/>
        <v>796372414.62</v>
      </c>
      <c r="L6" s="375">
        <f t="shared" si="0"/>
        <v>850000000</v>
      </c>
      <c r="M6" s="375">
        <f t="shared" si="0"/>
        <v>160759162.85714287</v>
      </c>
      <c r="N6" s="375">
        <f t="shared" si="0"/>
        <v>573740474.58186901</v>
      </c>
      <c r="O6" s="375">
        <f t="shared" si="0"/>
        <v>1178424708</v>
      </c>
      <c r="P6" s="375">
        <f t="shared" si="0"/>
        <v>1019596481</v>
      </c>
      <c r="Q6" s="375">
        <f t="shared" si="0"/>
        <v>952143211</v>
      </c>
      <c r="R6" s="375">
        <f t="shared" si="0"/>
        <v>1462000000</v>
      </c>
      <c r="S6" s="375">
        <f t="shared" si="0"/>
        <v>590625262.5</v>
      </c>
      <c r="T6" s="375">
        <f t="shared" si="0"/>
        <v>651431108</v>
      </c>
      <c r="U6" s="375">
        <f t="shared" si="0"/>
        <v>362983478.39999998</v>
      </c>
      <c r="V6" s="375">
        <f t="shared" ref="V6:AS6" si="1">SUM(V5)</f>
        <v>182323080.95238096</v>
      </c>
      <c r="W6" s="375">
        <f t="shared" si="1"/>
        <v>420000000</v>
      </c>
      <c r="X6" s="375">
        <f t="shared" si="1"/>
        <v>1154780430</v>
      </c>
      <c r="Y6" s="375">
        <f t="shared" si="1"/>
        <v>440260342</v>
      </c>
      <c r="Z6" s="375">
        <f t="shared" si="1"/>
        <v>76400000</v>
      </c>
      <c r="AA6" s="375">
        <f t="shared" si="1"/>
        <v>1196035850.1799998</v>
      </c>
      <c r="AB6" s="375">
        <f t="shared" si="1"/>
        <v>946341608</v>
      </c>
      <c r="AC6" s="375">
        <f t="shared" si="1"/>
        <v>366245749.52380949</v>
      </c>
      <c r="AD6" s="375">
        <f t="shared" si="1"/>
        <v>336195666.66666663</v>
      </c>
      <c r="AE6" s="375">
        <f t="shared" si="1"/>
        <v>312773042.4285714</v>
      </c>
      <c r="AF6" s="375">
        <f t="shared" si="1"/>
        <v>420476403</v>
      </c>
      <c r="AG6" s="375">
        <f t="shared" si="1"/>
        <v>803202543.80952406</v>
      </c>
      <c r="AH6" s="375">
        <f t="shared" si="1"/>
        <v>210726576</v>
      </c>
      <c r="AI6" s="375">
        <f t="shared" si="1"/>
        <v>284814771.4285714</v>
      </c>
      <c r="AJ6" s="375">
        <f t="shared" si="1"/>
        <v>583362277.33333337</v>
      </c>
      <c r="AK6" s="375">
        <f t="shared" si="1"/>
        <v>136262391.42857143</v>
      </c>
      <c r="AL6" s="375">
        <f t="shared" si="1"/>
        <v>41932924.761904761</v>
      </c>
      <c r="AM6" s="375">
        <f t="shared" si="1"/>
        <v>948571429</v>
      </c>
      <c r="AN6" s="375">
        <f t="shared" si="1"/>
        <v>71569048</v>
      </c>
      <c r="AO6" s="375">
        <f t="shared" si="1"/>
        <v>388375223</v>
      </c>
      <c r="AP6" s="375">
        <f t="shared" si="1"/>
        <v>50000000</v>
      </c>
      <c r="AQ6" s="375">
        <f t="shared" si="1"/>
        <v>11588673.428571399</v>
      </c>
      <c r="AR6" s="375">
        <f t="shared" si="1"/>
        <v>56233741</v>
      </c>
      <c r="AS6" s="375">
        <f t="shared" si="1"/>
        <v>147053342</v>
      </c>
      <c r="AT6" s="375">
        <f t="shared" ref="AT6:BO6" si="2">SUM(AT5)</f>
        <v>7061113.0999999996</v>
      </c>
      <c r="AU6" s="375">
        <f t="shared" si="2"/>
        <v>5648468.5714285709</v>
      </c>
      <c r="AV6" s="375">
        <f t="shared" si="2"/>
        <v>11196893.066666666</v>
      </c>
      <c r="AW6" s="375">
        <f t="shared" si="2"/>
        <v>4338449</v>
      </c>
      <c r="AX6" s="375">
        <f t="shared" si="2"/>
        <v>5331005.13</v>
      </c>
      <c r="AY6" s="375">
        <f t="shared" si="2"/>
        <v>142857142</v>
      </c>
      <c r="AZ6" s="375">
        <f t="shared" si="2"/>
        <v>205575060</v>
      </c>
      <c r="BA6" s="375">
        <f t="shared" si="2"/>
        <v>90188424</v>
      </c>
      <c r="BB6" s="375">
        <f t="shared" si="2"/>
        <v>1250000</v>
      </c>
      <c r="BC6" s="375">
        <f t="shared" si="2"/>
        <v>399562505</v>
      </c>
      <c r="BD6" s="375">
        <f t="shared" si="2"/>
        <v>189000000</v>
      </c>
      <c r="BE6" s="375">
        <f t="shared" si="2"/>
        <v>80500000</v>
      </c>
      <c r="BF6" s="375">
        <f t="shared" si="2"/>
        <v>123882330</v>
      </c>
      <c r="BG6" s="375">
        <f t="shared" si="2"/>
        <v>12967470.476190476</v>
      </c>
      <c r="BH6" s="375">
        <f t="shared" si="2"/>
        <v>666564349.51999998</v>
      </c>
      <c r="BI6" s="375">
        <f t="shared" si="2"/>
        <v>412678626</v>
      </c>
      <c r="BJ6" s="375">
        <f t="shared" si="2"/>
        <v>1960330</v>
      </c>
      <c r="BK6" s="375">
        <f t="shared" si="2"/>
        <v>126172624</v>
      </c>
      <c r="BL6" s="375">
        <f t="shared" ref="BL6" si="3">SUM(BL5)</f>
        <v>320543982.60000002</v>
      </c>
      <c r="BM6" s="375">
        <f t="shared" ref="BM6:BN6" si="4">SUM(BM5)</f>
        <v>21974136</v>
      </c>
      <c r="BN6" s="375">
        <f t="shared" si="4"/>
        <v>0</v>
      </c>
      <c r="BO6" s="375">
        <f t="shared" si="2"/>
        <v>0</v>
      </c>
      <c r="BP6" s="375">
        <f>SUM(B6:BO6)</f>
        <v>32199555758.967205</v>
      </c>
      <c r="BQ6" s="302"/>
      <c r="BR6" s="74"/>
      <c r="BT6" s="398"/>
      <c r="BU6" s="94"/>
    </row>
    <row r="7" spans="1:114" s="91" customFormat="1" ht="15.6" customHeight="1" thickTop="1">
      <c r="A7" s="417"/>
      <c r="B7" s="90"/>
      <c r="C7" s="205"/>
      <c r="D7" s="205"/>
      <c r="E7" s="205"/>
      <c r="F7" s="205"/>
      <c r="G7" s="205"/>
      <c r="H7" s="205"/>
      <c r="I7" s="205"/>
      <c r="J7" s="205"/>
      <c r="K7" s="205"/>
      <c r="L7" s="205"/>
      <c r="M7" s="205"/>
      <c r="N7" s="205"/>
      <c r="O7" s="205"/>
      <c r="P7" s="205"/>
      <c r="Q7" s="205"/>
      <c r="R7" s="205"/>
      <c r="S7" s="205"/>
      <c r="T7" s="205"/>
      <c r="U7" s="205"/>
      <c r="V7" s="205"/>
      <c r="W7" s="205"/>
      <c r="X7" s="205"/>
      <c r="Y7" s="205"/>
      <c r="Z7" s="205"/>
      <c r="AA7" s="205"/>
      <c r="AB7" s="205"/>
      <c r="AC7" s="205"/>
      <c r="AD7" s="205"/>
      <c r="AE7" s="205"/>
      <c r="AF7" s="205"/>
      <c r="AG7" s="205"/>
      <c r="AH7" s="205"/>
      <c r="AI7" s="205"/>
      <c r="AJ7" s="205"/>
      <c r="AK7" s="205"/>
      <c r="AL7" s="205"/>
      <c r="AM7" s="205"/>
      <c r="AN7" s="205"/>
      <c r="AO7" s="205"/>
      <c r="AP7" s="205"/>
      <c r="AQ7" s="205"/>
      <c r="AR7" s="205"/>
      <c r="AS7" s="205"/>
      <c r="AT7" s="205"/>
      <c r="AU7" s="205"/>
      <c r="AV7" s="205"/>
      <c r="AW7" s="205"/>
      <c r="AX7" s="205"/>
      <c r="AY7" s="205"/>
      <c r="AZ7" s="205"/>
      <c r="BA7" s="205"/>
      <c r="BB7" s="205"/>
      <c r="BC7" s="205"/>
      <c r="BD7" s="205"/>
      <c r="BE7" s="205"/>
      <c r="BF7" s="205"/>
      <c r="BG7" s="205"/>
      <c r="BH7" s="205"/>
      <c r="BI7" s="205"/>
      <c r="BJ7" s="205"/>
      <c r="BK7" s="205"/>
      <c r="BL7" s="205"/>
      <c r="BM7" s="205"/>
      <c r="BN7" s="205"/>
      <c r="BO7" s="205"/>
      <c r="BP7" s="377"/>
      <c r="BQ7" s="302"/>
      <c r="BR7" s="74"/>
      <c r="BT7" s="398"/>
      <c r="BU7" s="17"/>
    </row>
    <row r="8" spans="1:114" s="91" customFormat="1" ht="15" customHeight="1">
      <c r="A8" s="416"/>
      <c r="B8" s="90"/>
      <c r="C8" s="90"/>
      <c r="D8" s="90"/>
      <c r="E8" s="90"/>
      <c r="F8" s="90"/>
      <c r="G8" s="90"/>
      <c r="H8" s="90"/>
      <c r="I8" s="90"/>
      <c r="J8" s="89"/>
      <c r="K8" s="90"/>
      <c r="L8" s="90"/>
      <c r="M8" s="90"/>
      <c r="N8" s="90"/>
      <c r="O8" s="90"/>
      <c r="P8" s="90"/>
      <c r="Q8" s="90"/>
      <c r="R8" s="90"/>
      <c r="S8" s="90"/>
      <c r="T8" s="90"/>
      <c r="U8" s="90"/>
      <c r="V8" s="90"/>
      <c r="W8" s="90"/>
      <c r="X8" s="90"/>
      <c r="Y8" s="90"/>
      <c r="Z8" s="90"/>
      <c r="AA8" s="90"/>
      <c r="AB8" s="90"/>
      <c r="AC8" s="90"/>
      <c r="AD8" s="90"/>
      <c r="AE8" s="90"/>
      <c r="AF8" s="90"/>
      <c r="AG8" s="90"/>
      <c r="AH8" s="90"/>
      <c r="AI8" s="90"/>
      <c r="AJ8" s="90"/>
      <c r="AK8" s="90"/>
      <c r="AL8" s="90"/>
      <c r="AM8" s="90"/>
      <c r="AN8" s="90"/>
      <c r="AO8" s="90"/>
      <c r="AP8" s="89"/>
      <c r="AQ8" s="90"/>
      <c r="AR8" s="89"/>
      <c r="AS8" s="90"/>
      <c r="AT8" s="89"/>
      <c r="AU8" s="90"/>
      <c r="AV8" s="90"/>
      <c r="AW8" s="89"/>
      <c r="AX8" s="90"/>
      <c r="AY8" s="90"/>
      <c r="AZ8" s="90"/>
      <c r="BA8" s="90"/>
      <c r="BB8" s="89"/>
      <c r="BC8" s="90"/>
      <c r="BD8" s="90"/>
      <c r="BE8" s="90"/>
      <c r="BF8" s="90"/>
      <c r="BG8" s="90"/>
      <c r="BH8" s="90"/>
      <c r="BI8" s="90"/>
      <c r="BJ8" s="90"/>
      <c r="BK8" s="89"/>
      <c r="BL8" s="89"/>
      <c r="BM8" s="89"/>
      <c r="BN8" s="89"/>
      <c r="BO8" s="89"/>
      <c r="BP8" s="376">
        <f>SUM(B8:BN8)</f>
        <v>0</v>
      </c>
      <c r="BQ8" s="302"/>
      <c r="BR8" s="74"/>
      <c r="BU8" s="17"/>
    </row>
    <row r="9" spans="1:114" s="91" customFormat="1" ht="15" customHeight="1">
      <c r="A9" s="385" t="s">
        <v>294</v>
      </c>
      <c r="B9" s="90">
        <v>1278573760.5139999</v>
      </c>
      <c r="C9" s="90">
        <v>2692610221.5</v>
      </c>
      <c r="D9" s="90">
        <v>532547472.94369996</v>
      </c>
      <c r="E9" s="90">
        <v>134355227.79285714</v>
      </c>
      <c r="F9" s="90">
        <v>2830272783.7000737</v>
      </c>
      <c r="G9" s="90">
        <f>1093069736-14000000</f>
        <v>1079069736</v>
      </c>
      <c r="H9" s="90">
        <v>1124569313.4475</v>
      </c>
      <c r="I9" s="90">
        <v>473408781.04725695</v>
      </c>
      <c r="J9" s="89">
        <v>509609475.82899994</v>
      </c>
      <c r="K9" s="90">
        <v>740626345.59659994</v>
      </c>
      <c r="L9" s="90">
        <v>663000000</v>
      </c>
      <c r="M9" s="90">
        <v>141468063.31428576</v>
      </c>
      <c r="N9" s="90">
        <v>550790855.59859419</v>
      </c>
      <c r="O9" s="90">
        <v>1143071966.76</v>
      </c>
      <c r="P9" s="90">
        <f>846265079-15000000</f>
        <v>831265079</v>
      </c>
      <c r="Q9" s="90">
        <v>904536050.44999993</v>
      </c>
      <c r="R9" s="90">
        <v>1352350000</v>
      </c>
      <c r="S9" s="90">
        <v>554538058.96124995</v>
      </c>
      <c r="T9" s="90">
        <v>609120657.48894966</v>
      </c>
      <c r="U9" s="90">
        <v>339906920.27999997</v>
      </c>
      <c r="V9" s="90">
        <v>181708989.80599999</v>
      </c>
      <c r="W9" s="90">
        <v>390600000</v>
      </c>
      <c r="X9" s="90">
        <v>1073945799.8999999</v>
      </c>
      <c r="Y9" s="90">
        <v>422649928.31999999</v>
      </c>
      <c r="Z9" s="90">
        <v>75254000</v>
      </c>
      <c r="AA9" s="90">
        <v>1154174595.4236999</v>
      </c>
      <c r="AB9" s="90">
        <v>922683067.79999995</v>
      </c>
      <c r="AC9" s="90">
        <v>351595919.54285711</v>
      </c>
      <c r="AD9" s="90">
        <v>312661969.99999994</v>
      </c>
      <c r="AE9" s="90">
        <v>294006659.88285708</v>
      </c>
      <c r="AF9" s="90">
        <v>403657346.88</v>
      </c>
      <c r="AG9" s="90">
        <v>761516331.78580976</v>
      </c>
      <c r="AH9" s="90">
        <v>208619310</v>
      </c>
      <c r="AI9" s="90">
        <v>265495408.69</v>
      </c>
      <c r="AJ9" s="90">
        <v>542526917.91999996</v>
      </c>
      <c r="AK9" s="90">
        <v>125361400.11428571</v>
      </c>
      <c r="AL9" s="90">
        <v>41932924.761904761</v>
      </c>
      <c r="AM9" s="90">
        <v>901142857.54999995</v>
      </c>
      <c r="AN9" s="90">
        <v>68706287</v>
      </c>
      <c r="AO9" s="90">
        <v>364101771.5625</v>
      </c>
      <c r="AP9" s="89">
        <v>46500000</v>
      </c>
      <c r="AQ9" s="90">
        <v>10661579.554285688</v>
      </c>
      <c r="AR9" s="89">
        <v>49485692</v>
      </c>
      <c r="AS9" s="90">
        <v>135289074.63999999</v>
      </c>
      <c r="AT9" s="89">
        <v>6002000</v>
      </c>
      <c r="AU9" s="90">
        <v>5083621.7142857136</v>
      </c>
      <c r="AV9" s="90">
        <v>10077203.76</v>
      </c>
      <c r="AW9" s="89">
        <v>3904604.1</v>
      </c>
      <c r="AX9" s="90">
        <v>4797904.6169999996</v>
      </c>
      <c r="AY9" s="90">
        <v>128714278</v>
      </c>
      <c r="AZ9" s="90">
        <v>185017554</v>
      </c>
      <c r="BA9" s="90">
        <v>84991316</v>
      </c>
      <c r="BB9" s="89">
        <v>1112500</v>
      </c>
      <c r="BC9" s="90">
        <v>377586567</v>
      </c>
      <c r="BD9" s="90">
        <v>175770000</v>
      </c>
      <c r="BE9" s="90">
        <v>74865000</v>
      </c>
      <c r="BF9" s="90">
        <v>100752128.439</v>
      </c>
      <c r="BG9" s="90">
        <v>11670723.428571429</v>
      </c>
      <c r="BH9" s="90">
        <v>611372821.37974393</v>
      </c>
      <c r="BI9" s="90">
        <v>337003683</v>
      </c>
      <c r="BJ9" s="90">
        <v>2442662.13</v>
      </c>
      <c r="BK9" s="89">
        <v>118744467</v>
      </c>
      <c r="BL9" s="89">
        <v>300029167.70999998</v>
      </c>
      <c r="BM9" s="89">
        <v>20796322.714084107</v>
      </c>
      <c r="BN9" s="89"/>
      <c r="BO9" s="89"/>
      <c r="BP9" s="376">
        <f>SUM(B9:BO9)</f>
        <v>30150703128.350945</v>
      </c>
      <c r="BQ9" s="302"/>
      <c r="BR9" s="74"/>
      <c r="BT9" s="398"/>
      <c r="BU9" s="17"/>
    </row>
    <row r="10" spans="1:114" s="91" customFormat="1" ht="15.75" customHeight="1" thickBot="1">
      <c r="A10" s="374" t="s">
        <v>23</v>
      </c>
      <c r="B10" s="391">
        <f>SUM(B9)</f>
        <v>1278573760.5139999</v>
      </c>
      <c r="C10" s="391">
        <f t="shared" ref="C10:P10" si="5">SUM(C9)</f>
        <v>2692610221.5</v>
      </c>
      <c r="D10" s="391">
        <f t="shared" si="5"/>
        <v>532547472.94369996</v>
      </c>
      <c r="E10" s="391">
        <f t="shared" si="5"/>
        <v>134355227.79285714</v>
      </c>
      <c r="F10" s="391">
        <f t="shared" si="5"/>
        <v>2830272783.7000737</v>
      </c>
      <c r="G10" s="391">
        <f t="shared" si="5"/>
        <v>1079069736</v>
      </c>
      <c r="H10" s="391">
        <f t="shared" si="5"/>
        <v>1124569313.4475</v>
      </c>
      <c r="I10" s="391">
        <f t="shared" si="5"/>
        <v>473408781.04725695</v>
      </c>
      <c r="J10" s="391">
        <f t="shared" si="5"/>
        <v>509609475.82899994</v>
      </c>
      <c r="K10" s="391">
        <f t="shared" si="5"/>
        <v>740626345.59659994</v>
      </c>
      <c r="L10" s="391">
        <f t="shared" si="5"/>
        <v>663000000</v>
      </c>
      <c r="M10" s="391">
        <f t="shared" si="5"/>
        <v>141468063.31428576</v>
      </c>
      <c r="N10" s="391">
        <f t="shared" si="5"/>
        <v>550790855.59859419</v>
      </c>
      <c r="O10" s="391">
        <f t="shared" si="5"/>
        <v>1143071966.76</v>
      </c>
      <c r="P10" s="391">
        <f t="shared" si="5"/>
        <v>831265079</v>
      </c>
      <c r="Q10" s="391">
        <f t="shared" ref="Q10:U10" si="6">SUM(Q9)</f>
        <v>904536050.44999993</v>
      </c>
      <c r="R10" s="391">
        <f t="shared" si="6"/>
        <v>1352350000</v>
      </c>
      <c r="S10" s="391">
        <f t="shared" si="6"/>
        <v>554538058.96124995</v>
      </c>
      <c r="T10" s="391">
        <f t="shared" si="6"/>
        <v>609120657.48894966</v>
      </c>
      <c r="U10" s="391">
        <f t="shared" si="6"/>
        <v>339906920.27999997</v>
      </c>
      <c r="V10" s="391">
        <f t="shared" ref="V10:AC10" si="7">SUM(V9)</f>
        <v>181708989.80599999</v>
      </c>
      <c r="W10" s="391">
        <f t="shared" si="7"/>
        <v>390600000</v>
      </c>
      <c r="X10" s="391">
        <f t="shared" si="7"/>
        <v>1073945799.8999999</v>
      </c>
      <c r="Y10" s="391">
        <f t="shared" si="7"/>
        <v>422649928.31999999</v>
      </c>
      <c r="Z10" s="391">
        <f t="shared" si="7"/>
        <v>75254000</v>
      </c>
      <c r="AA10" s="391">
        <f t="shared" si="7"/>
        <v>1154174595.4236999</v>
      </c>
      <c r="AB10" s="391">
        <f t="shared" si="7"/>
        <v>922683067.79999995</v>
      </c>
      <c r="AC10" s="391">
        <f t="shared" si="7"/>
        <v>351595919.54285711</v>
      </c>
      <c r="AD10" s="391">
        <f t="shared" ref="AD10:AK10" si="8">SUM(AD9)</f>
        <v>312661969.99999994</v>
      </c>
      <c r="AE10" s="391">
        <f t="shared" si="8"/>
        <v>294006659.88285708</v>
      </c>
      <c r="AF10" s="391">
        <f t="shared" si="8"/>
        <v>403657346.88</v>
      </c>
      <c r="AG10" s="391">
        <f t="shared" si="8"/>
        <v>761516331.78580976</v>
      </c>
      <c r="AH10" s="391">
        <f t="shared" si="8"/>
        <v>208619310</v>
      </c>
      <c r="AI10" s="391">
        <f t="shared" si="8"/>
        <v>265495408.69</v>
      </c>
      <c r="AJ10" s="391">
        <f t="shared" si="8"/>
        <v>542526917.91999996</v>
      </c>
      <c r="AK10" s="391">
        <f t="shared" si="8"/>
        <v>125361400.11428571</v>
      </c>
      <c r="AL10" s="391">
        <f>SUM(AL9)</f>
        <v>41932924.761904761</v>
      </c>
      <c r="AM10" s="391">
        <f t="shared" ref="AM10:AW10" si="9">SUM(AM9)</f>
        <v>901142857.54999995</v>
      </c>
      <c r="AN10" s="391">
        <f t="shared" si="9"/>
        <v>68706287</v>
      </c>
      <c r="AO10" s="391">
        <f t="shared" si="9"/>
        <v>364101771.5625</v>
      </c>
      <c r="AP10" s="391">
        <f t="shared" si="9"/>
        <v>46500000</v>
      </c>
      <c r="AQ10" s="391">
        <f t="shared" si="9"/>
        <v>10661579.554285688</v>
      </c>
      <c r="AR10" s="391">
        <f t="shared" si="9"/>
        <v>49485692</v>
      </c>
      <c r="AS10" s="391">
        <f t="shared" si="9"/>
        <v>135289074.63999999</v>
      </c>
      <c r="AT10" s="391">
        <f t="shared" si="9"/>
        <v>6002000</v>
      </c>
      <c r="AU10" s="391">
        <f t="shared" si="9"/>
        <v>5083621.7142857136</v>
      </c>
      <c r="AV10" s="391">
        <f t="shared" si="9"/>
        <v>10077203.76</v>
      </c>
      <c r="AW10" s="391">
        <f t="shared" si="9"/>
        <v>3904604.1</v>
      </c>
      <c r="AX10" s="391">
        <f t="shared" ref="AX10:BO10" si="10">SUM(AX9)</f>
        <v>4797904.6169999996</v>
      </c>
      <c r="AY10" s="391">
        <f t="shared" si="10"/>
        <v>128714278</v>
      </c>
      <c r="AZ10" s="391">
        <f t="shared" si="10"/>
        <v>185017554</v>
      </c>
      <c r="BA10" s="391">
        <f t="shared" si="10"/>
        <v>84991316</v>
      </c>
      <c r="BB10" s="391">
        <f t="shared" si="10"/>
        <v>1112500</v>
      </c>
      <c r="BC10" s="391">
        <f t="shared" si="10"/>
        <v>377586567</v>
      </c>
      <c r="BD10" s="391">
        <f t="shared" si="10"/>
        <v>175770000</v>
      </c>
      <c r="BE10" s="391">
        <f t="shared" si="10"/>
        <v>74865000</v>
      </c>
      <c r="BF10" s="391">
        <f t="shared" si="10"/>
        <v>100752128.439</v>
      </c>
      <c r="BG10" s="391">
        <f t="shared" si="10"/>
        <v>11670723.428571429</v>
      </c>
      <c r="BH10" s="391">
        <f t="shared" si="10"/>
        <v>611372821.37974393</v>
      </c>
      <c r="BI10" s="391">
        <f t="shared" si="10"/>
        <v>337003683</v>
      </c>
      <c r="BJ10" s="391">
        <f t="shared" si="10"/>
        <v>2442662.13</v>
      </c>
      <c r="BK10" s="391">
        <f t="shared" si="10"/>
        <v>118744467</v>
      </c>
      <c r="BL10" s="391">
        <f t="shared" ref="BL10" si="11">SUM(BL9)</f>
        <v>300029167.70999998</v>
      </c>
      <c r="BM10" s="391">
        <f t="shared" ref="BM10:BN10" si="12">SUM(BM9)</f>
        <v>20796322.714084107</v>
      </c>
      <c r="BN10" s="391">
        <f t="shared" si="12"/>
        <v>0</v>
      </c>
      <c r="BO10" s="391">
        <f t="shared" si="10"/>
        <v>0</v>
      </c>
      <c r="BP10" s="375">
        <f>SUM(B10:BO10)</f>
        <v>30150703128.350945</v>
      </c>
      <c r="BQ10" s="302"/>
      <c r="BR10" s="74"/>
      <c r="BU10" s="94"/>
    </row>
    <row r="11" spans="1:114" s="91" customFormat="1" ht="15.75" thickTop="1">
      <c r="A11" s="385" t="s">
        <v>124</v>
      </c>
      <c r="B11" s="21">
        <f t="shared" ref="B11:AS11" si="13">B6-B10</f>
        <v>37761181.486000061</v>
      </c>
      <c r="C11" s="21">
        <f t="shared" ref="C11:U11" si="14">C6-C10</f>
        <v>47959978.5</v>
      </c>
      <c r="D11" s="21">
        <f t="shared" si="14"/>
        <v>25736910.056300044</v>
      </c>
      <c r="E11" s="21">
        <f t="shared" si="14"/>
        <v>7071327.7785714269</v>
      </c>
      <c r="F11" s="21">
        <f t="shared" si="14"/>
        <v>43100600.767006397</v>
      </c>
      <c r="G11" s="21">
        <f t="shared" si="14"/>
        <v>66117385</v>
      </c>
      <c r="H11" s="21">
        <f t="shared" si="14"/>
        <v>40787488.05250001</v>
      </c>
      <c r="I11" s="21">
        <f t="shared" si="14"/>
        <v>164011058.01623797</v>
      </c>
      <c r="J11" s="21">
        <f t="shared" si="14"/>
        <v>99138733.171000063</v>
      </c>
      <c r="K11" s="21">
        <f t="shared" si="14"/>
        <v>55746069.023400068</v>
      </c>
      <c r="L11" s="21">
        <f t="shared" si="14"/>
        <v>187000000</v>
      </c>
      <c r="M11" s="21">
        <f t="shared" si="14"/>
        <v>19291099.542857111</v>
      </c>
      <c r="N11" s="21">
        <f t="shared" si="14"/>
        <v>22949618.983274817</v>
      </c>
      <c r="O11" s="21">
        <f t="shared" si="14"/>
        <v>35352741.24000001</v>
      </c>
      <c r="P11" s="21">
        <f t="shared" si="14"/>
        <v>188331402</v>
      </c>
      <c r="Q11" s="21">
        <f t="shared" si="14"/>
        <v>47607160.550000072</v>
      </c>
      <c r="R11" s="21">
        <f t="shared" si="14"/>
        <v>109650000</v>
      </c>
      <c r="S11" s="21">
        <f t="shared" si="14"/>
        <v>36087203.538750052</v>
      </c>
      <c r="T11" s="21">
        <f t="shared" si="14"/>
        <v>42310450.511050344</v>
      </c>
      <c r="U11" s="21">
        <f t="shared" si="14"/>
        <v>23076558.120000005</v>
      </c>
      <c r="V11" s="21">
        <f t="shared" si="13"/>
        <v>614091.14638096094</v>
      </c>
      <c r="W11" s="21">
        <f t="shared" si="13"/>
        <v>29400000</v>
      </c>
      <c r="X11" s="21">
        <f t="shared" si="13"/>
        <v>80834630.100000143</v>
      </c>
      <c r="Y11" s="21">
        <f t="shared" si="13"/>
        <v>17610413.680000007</v>
      </c>
      <c r="Z11" s="21">
        <f t="shared" si="13"/>
        <v>1146000</v>
      </c>
      <c r="AA11" s="21">
        <f t="shared" si="13"/>
        <v>41861254.756299973</v>
      </c>
      <c r="AB11" s="21">
        <f t="shared" si="13"/>
        <v>23658540.200000048</v>
      </c>
      <c r="AC11" s="21">
        <f t="shared" si="13"/>
        <v>14649829.980952382</v>
      </c>
      <c r="AD11" s="21">
        <f t="shared" si="13"/>
        <v>23533696.666666687</v>
      </c>
      <c r="AE11" s="21">
        <f t="shared" si="13"/>
        <v>18766382.545714319</v>
      </c>
      <c r="AF11" s="21">
        <f t="shared" si="13"/>
        <v>16819056.120000005</v>
      </c>
      <c r="AG11" s="21">
        <f t="shared" si="13"/>
        <v>41686212.023714304</v>
      </c>
      <c r="AH11" s="21">
        <f t="shared" si="13"/>
        <v>2107266</v>
      </c>
      <c r="AI11" s="21">
        <f t="shared" si="13"/>
        <v>19319362.738571405</v>
      </c>
      <c r="AJ11" s="21">
        <f t="shared" si="13"/>
        <v>40835359.413333416</v>
      </c>
      <c r="AK11" s="21">
        <f t="shared" si="13"/>
        <v>10900991.314285725</v>
      </c>
      <c r="AL11" s="21">
        <f t="shared" si="13"/>
        <v>0</v>
      </c>
      <c r="AM11" s="21">
        <f t="shared" si="13"/>
        <v>47428571.450000048</v>
      </c>
      <c r="AN11" s="21">
        <f t="shared" si="13"/>
        <v>2862761</v>
      </c>
      <c r="AO11" s="21">
        <f t="shared" si="13"/>
        <v>24273451.4375</v>
      </c>
      <c r="AP11" s="21">
        <f t="shared" si="13"/>
        <v>3500000</v>
      </c>
      <c r="AQ11" s="21">
        <f t="shared" si="13"/>
        <v>927093.87428571098</v>
      </c>
      <c r="AR11" s="21">
        <f t="shared" si="13"/>
        <v>6748049</v>
      </c>
      <c r="AS11" s="21">
        <f t="shared" si="13"/>
        <v>11764267.360000014</v>
      </c>
      <c r="AT11" s="21">
        <f t="shared" ref="AT11:BO11" si="15">AT6-AT10</f>
        <v>1059113.0999999996</v>
      </c>
      <c r="AU11" s="21">
        <f t="shared" si="15"/>
        <v>564846.85714285728</v>
      </c>
      <c r="AV11" s="21">
        <f t="shared" si="15"/>
        <v>1119689.3066666666</v>
      </c>
      <c r="AW11" s="21">
        <f t="shared" si="15"/>
        <v>433844.89999999991</v>
      </c>
      <c r="AX11" s="21">
        <f t="shared" si="15"/>
        <v>533100.51300000027</v>
      </c>
      <c r="AY11" s="21">
        <f t="shared" si="15"/>
        <v>14142864</v>
      </c>
      <c r="AZ11" s="21">
        <f t="shared" si="15"/>
        <v>20557506</v>
      </c>
      <c r="BA11" s="21">
        <f t="shared" si="15"/>
        <v>5197108</v>
      </c>
      <c r="BB11" s="21">
        <f t="shared" si="15"/>
        <v>137500</v>
      </c>
      <c r="BC11" s="21">
        <f t="shared" si="15"/>
        <v>21975938</v>
      </c>
      <c r="BD11" s="21">
        <f t="shared" ref="BD11:BK11" si="16">BD6-BD10</f>
        <v>13230000</v>
      </c>
      <c r="BE11" s="21">
        <f t="shared" si="16"/>
        <v>5635000</v>
      </c>
      <c r="BF11" s="21">
        <f t="shared" si="16"/>
        <v>23130201.561000004</v>
      </c>
      <c r="BG11" s="21">
        <f t="shared" si="16"/>
        <v>1296747.0476190466</v>
      </c>
      <c r="BH11" s="21">
        <f t="shared" si="16"/>
        <v>55191528.140256047</v>
      </c>
      <c r="BI11" s="21">
        <f t="shared" si="16"/>
        <v>75674943</v>
      </c>
      <c r="BJ11" s="21">
        <f t="shared" si="16"/>
        <v>-482332.12999999989</v>
      </c>
      <c r="BK11" s="21">
        <f t="shared" si="16"/>
        <v>7428157</v>
      </c>
      <c r="BL11" s="21">
        <f t="shared" ref="BL11" si="17">BL6-BL10</f>
        <v>20514814.890000045</v>
      </c>
      <c r="BM11" s="21">
        <f t="shared" ref="BM11:BN11" si="18">BM6-BM10</f>
        <v>1177813.2859158926</v>
      </c>
      <c r="BN11" s="21">
        <f t="shared" si="18"/>
        <v>0</v>
      </c>
      <c r="BO11" s="21">
        <f t="shared" si="15"/>
        <v>0</v>
      </c>
      <c r="BP11" s="376">
        <f>SUM(B11:BO11)</f>
        <v>2048852630.6162546</v>
      </c>
      <c r="BQ11" s="234"/>
      <c r="BR11" s="74"/>
      <c r="BT11" s="398"/>
      <c r="BU11" s="17"/>
    </row>
    <row r="12" spans="1:114" s="91" customFormat="1">
      <c r="A12" s="385" t="s">
        <v>125</v>
      </c>
      <c r="B12" s="387">
        <f t="shared" ref="B12:AS12" si="19">B11/B6</f>
        <v>2.8686605727131158E-2</v>
      </c>
      <c r="C12" s="387">
        <f t="shared" ref="C12:U12" si="20">C11/C6</f>
        <v>1.7500000000000002E-2</v>
      </c>
      <c r="D12" s="387">
        <f t="shared" si="20"/>
        <v>4.6100000000000078E-2</v>
      </c>
      <c r="E12" s="387">
        <f t="shared" si="20"/>
        <v>4.9999999999999989E-2</v>
      </c>
      <c r="F12" s="387">
        <f t="shared" si="20"/>
        <v>1.5000000000000069E-2</v>
      </c>
      <c r="G12" s="387">
        <f t="shared" si="20"/>
        <v>5.773500573623723E-2</v>
      </c>
      <c r="H12" s="387">
        <f t="shared" si="20"/>
        <v>3.500000000000001E-2</v>
      </c>
      <c r="I12" s="387">
        <f t="shared" si="20"/>
        <v>0.25730460202996669</v>
      </c>
      <c r="J12" s="387">
        <f t="shared" si="20"/>
        <v>0.16285671432833745</v>
      </c>
      <c r="K12" s="387">
        <f t="shared" si="20"/>
        <v>7.000000000000009E-2</v>
      </c>
      <c r="L12" s="387">
        <f t="shared" si="20"/>
        <v>0.22</v>
      </c>
      <c r="M12" s="387">
        <f t="shared" si="20"/>
        <v>0.11999999999999979</v>
      </c>
      <c r="N12" s="387">
        <f t="shared" si="20"/>
        <v>4.0000000000000098E-2</v>
      </c>
      <c r="O12" s="387">
        <f t="shared" si="20"/>
        <v>3.0000000000000009E-2</v>
      </c>
      <c r="P12" s="387">
        <f t="shared" si="20"/>
        <v>0.18471170262895406</v>
      </c>
      <c r="Q12" s="387">
        <f t="shared" si="20"/>
        <v>5.0000000000000072E-2</v>
      </c>
      <c r="R12" s="387">
        <f t="shared" si="20"/>
        <v>7.4999999999999997E-2</v>
      </c>
      <c r="S12" s="387">
        <f t="shared" si="20"/>
        <v>6.1100000000000092E-2</v>
      </c>
      <c r="T12" s="387">
        <f t="shared" si="20"/>
        <v>6.4950000071305081E-2</v>
      </c>
      <c r="U12" s="387">
        <f t="shared" si="20"/>
        <v>6.3574678995637748E-2</v>
      </c>
      <c r="V12" s="387">
        <f t="shared" si="19"/>
        <v>3.3681481421507405E-3</v>
      </c>
      <c r="W12" s="387">
        <f t="shared" si="19"/>
        <v>7.0000000000000007E-2</v>
      </c>
      <c r="X12" s="387">
        <f t="shared" si="19"/>
        <v>7.0000000000000118E-2</v>
      </c>
      <c r="Y12" s="387">
        <f t="shared" si="19"/>
        <v>4.0000000000000015E-2</v>
      </c>
      <c r="Z12" s="387">
        <f t="shared" si="19"/>
        <v>1.4999999999999999E-2</v>
      </c>
      <c r="AA12" s="387">
        <f t="shared" si="19"/>
        <v>3.4999999999999983E-2</v>
      </c>
      <c r="AB12" s="387">
        <f t="shared" si="19"/>
        <v>2.500000000000005E-2</v>
      </c>
      <c r="AC12" s="387">
        <f t="shared" si="19"/>
        <v>4.0000000000000008E-2</v>
      </c>
      <c r="AD12" s="387">
        <f t="shared" si="19"/>
        <v>7.0000000000000062E-2</v>
      </c>
      <c r="AE12" s="387">
        <f t="shared" si="19"/>
        <v>6.0000000000000109E-2</v>
      </c>
      <c r="AF12" s="387">
        <f t="shared" si="19"/>
        <v>4.0000000000000015E-2</v>
      </c>
      <c r="AG12" s="387">
        <f t="shared" si="19"/>
        <v>5.1900000000000009E-2</v>
      </c>
      <c r="AH12" s="387">
        <f t="shared" si="19"/>
        <v>1.0000001138916621E-2</v>
      </c>
      <c r="AI12" s="387">
        <f t="shared" si="19"/>
        <v>6.7831322939008801E-2</v>
      </c>
      <c r="AJ12" s="387">
        <f t="shared" si="19"/>
        <v>7.0000000000000132E-2</v>
      </c>
      <c r="AK12" s="387">
        <f t="shared" si="19"/>
        <v>8.0000000000000085E-2</v>
      </c>
      <c r="AL12" s="387">
        <f t="shared" si="19"/>
        <v>0</v>
      </c>
      <c r="AM12" s="387">
        <f t="shared" si="19"/>
        <v>5.0000000000000051E-2</v>
      </c>
      <c r="AN12" s="387">
        <f t="shared" si="19"/>
        <v>3.9999987145281017E-2</v>
      </c>
      <c r="AO12" s="387">
        <f t="shared" si="19"/>
        <v>6.25E-2</v>
      </c>
      <c r="AP12" s="387">
        <f t="shared" si="19"/>
        <v>7.0000000000000007E-2</v>
      </c>
      <c r="AQ12" s="387">
        <f t="shared" si="19"/>
        <v>7.9999999999999918E-2</v>
      </c>
      <c r="AR12" s="387">
        <f t="shared" si="19"/>
        <v>0.12000000142263344</v>
      </c>
      <c r="AS12" s="387">
        <f t="shared" si="19"/>
        <v>8.0000000000000099E-2</v>
      </c>
      <c r="AT12" s="387">
        <f t="shared" ref="AT12:BP12" si="21">AT11/AT6</f>
        <v>0.14999237159931622</v>
      </c>
      <c r="AU12" s="387">
        <f t="shared" si="21"/>
        <v>0.10000000000000003</v>
      </c>
      <c r="AV12" s="387">
        <f t="shared" si="21"/>
        <v>0.1</v>
      </c>
      <c r="AW12" s="387">
        <f t="shared" si="21"/>
        <v>9.9999999999999978E-2</v>
      </c>
      <c r="AX12" s="387">
        <f t="shared" si="21"/>
        <v>0.10000000000000005</v>
      </c>
      <c r="AY12" s="387">
        <f t="shared" si="21"/>
        <v>9.9000048594000287E-2</v>
      </c>
      <c r="AZ12" s="387">
        <f t="shared" si="21"/>
        <v>0.1</v>
      </c>
      <c r="BA12" s="387">
        <f t="shared" si="21"/>
        <v>5.7625000742889135E-2</v>
      </c>
      <c r="BB12" s="387">
        <f t="shared" si="21"/>
        <v>0.11</v>
      </c>
      <c r="BC12" s="387">
        <f t="shared" si="21"/>
        <v>5.5000000563115901E-2</v>
      </c>
      <c r="BD12" s="387">
        <f t="shared" ref="BD12:BJ12" si="22">BD11/BD6</f>
        <v>7.0000000000000007E-2</v>
      </c>
      <c r="BE12" s="387">
        <f t="shared" si="22"/>
        <v>7.0000000000000007E-2</v>
      </c>
      <c r="BF12" s="387">
        <v>0</v>
      </c>
      <c r="BG12" s="387">
        <f t="shared" si="22"/>
        <v>9.9999999999999922E-2</v>
      </c>
      <c r="BH12" s="387">
        <f t="shared" si="22"/>
        <v>8.2800000000000068E-2</v>
      </c>
      <c r="BI12" s="387">
        <f t="shared" si="22"/>
        <v>0.18337499989640849</v>
      </c>
      <c r="BJ12" s="387">
        <f t="shared" si="22"/>
        <v>-0.24604639524977931</v>
      </c>
      <c r="BK12" s="387">
        <v>2.1467942258049388E-2</v>
      </c>
      <c r="BL12" s="387">
        <f t="shared" ref="BL12" si="23">BL11/BL6</f>
        <v>6.4000000011231045E-2</v>
      </c>
      <c r="BM12" s="387">
        <f t="shared" ref="BM12" si="24">BM11/BM6</f>
        <v>5.3599981629124924E-2</v>
      </c>
      <c r="BN12" s="387"/>
      <c r="BO12" s="387"/>
      <c r="BP12" s="378">
        <f t="shared" si="21"/>
        <v>6.362984154045892E-2</v>
      </c>
      <c r="BQ12" s="234"/>
      <c r="BR12" s="74"/>
      <c r="BU12" s="17"/>
    </row>
    <row r="13" spans="1:114" s="91" customFormat="1">
      <c r="A13" s="373" t="s">
        <v>25</v>
      </c>
      <c r="B13" s="89">
        <v>1263499617.734</v>
      </c>
      <c r="C13" s="89">
        <v>2549259624.3335004</v>
      </c>
      <c r="D13" s="89">
        <v>501618019.19679999</v>
      </c>
      <c r="E13" s="89">
        <v>129266614.51600002</v>
      </c>
      <c r="F13" s="89">
        <v>1696219788.9098003</v>
      </c>
      <c r="G13" s="89">
        <v>1063500266.6138</v>
      </c>
      <c r="H13" s="89">
        <v>994380345.11399996</v>
      </c>
      <c r="I13" s="89">
        <v>467108794.12400001</v>
      </c>
      <c r="J13" s="89">
        <v>513109475.82899994</v>
      </c>
      <c r="K13" s="89">
        <v>653313576.67000008</v>
      </c>
      <c r="L13" s="89">
        <v>506868500.88</v>
      </c>
      <c r="M13" s="89">
        <v>120855140.69999999</v>
      </c>
      <c r="N13" s="89">
        <v>295753594.27000004</v>
      </c>
      <c r="O13" s="89">
        <v>466188793.56099999</v>
      </c>
      <c r="P13" s="89">
        <v>685814718.5</v>
      </c>
      <c r="Q13" s="89">
        <v>659536506.1500001</v>
      </c>
      <c r="R13" s="89">
        <v>794715230.83999991</v>
      </c>
      <c r="S13" s="89">
        <v>272679600.56199998</v>
      </c>
      <c r="T13" s="89">
        <v>358366498.76999998</v>
      </c>
      <c r="U13" s="89">
        <v>281765408.09000003</v>
      </c>
      <c r="V13" s="89">
        <v>164962522.38600001</v>
      </c>
      <c r="W13" s="89">
        <v>278659036.64909995</v>
      </c>
      <c r="X13" s="89">
        <v>583736515.82379997</v>
      </c>
      <c r="Y13" s="89">
        <v>283623464.77999997</v>
      </c>
      <c r="Z13" s="89">
        <v>66948216.469999999</v>
      </c>
      <c r="AA13" s="89">
        <v>670242092.99000001</v>
      </c>
      <c r="AB13" s="89">
        <v>328995233.264</v>
      </c>
      <c r="AC13" s="89">
        <v>215806196.57999998</v>
      </c>
      <c r="AD13" s="89">
        <v>78208312.464999989</v>
      </c>
      <c r="AE13" s="89">
        <v>155810091.95999998</v>
      </c>
      <c r="AF13" s="89">
        <v>62017325.219999999</v>
      </c>
      <c r="AG13" s="89">
        <v>199182202.37</v>
      </c>
      <c r="AH13" s="89">
        <v>130600414.75999999</v>
      </c>
      <c r="AI13" s="89">
        <v>264109896.99000001</v>
      </c>
      <c r="AJ13" s="89">
        <v>59080455.726999998</v>
      </c>
      <c r="AK13" s="89">
        <v>47634625.980000004</v>
      </c>
      <c r="AL13" s="89">
        <v>32005591.280000001</v>
      </c>
      <c r="AM13" s="91">
        <v>223255351.65600002</v>
      </c>
      <c r="AN13" s="89">
        <v>48970021.149999999</v>
      </c>
      <c r="AO13" s="89">
        <v>123727878.54000001</v>
      </c>
      <c r="AP13" s="89">
        <v>20599599.75</v>
      </c>
      <c r="AQ13" s="89">
        <v>5744071.1100000003</v>
      </c>
      <c r="AR13" s="89">
        <v>15371373.6</v>
      </c>
      <c r="AS13" s="89">
        <v>47309038.370000005</v>
      </c>
      <c r="AT13" s="89">
        <v>4356820.8899999997</v>
      </c>
      <c r="AU13" s="89">
        <v>2633556.4099999997</v>
      </c>
      <c r="AV13" s="89">
        <v>2691724.67</v>
      </c>
      <c r="AW13" s="89">
        <v>3360157.63</v>
      </c>
      <c r="AX13" s="89">
        <v>2751558.25</v>
      </c>
      <c r="AY13" s="89">
        <v>11673560.899999999</v>
      </c>
      <c r="AZ13" s="89">
        <v>30457847.579999994</v>
      </c>
      <c r="BA13" s="89">
        <v>3651270.8200000003</v>
      </c>
      <c r="BB13" s="89">
        <v>318051.141</v>
      </c>
      <c r="BC13" s="89">
        <v>14889360.024</v>
      </c>
      <c r="BD13" s="89">
        <v>24570.54</v>
      </c>
      <c r="BE13" s="89">
        <v>2315228.79</v>
      </c>
      <c r="BF13" s="89">
        <v>100752128.439</v>
      </c>
      <c r="BG13" s="89">
        <v>101454.69</v>
      </c>
      <c r="BH13" s="89">
        <v>0</v>
      </c>
      <c r="BI13" s="89">
        <v>398754.59</v>
      </c>
      <c r="BJ13" s="89">
        <v>238411.24</v>
      </c>
      <c r="BK13" s="89">
        <v>116604507.68299998</v>
      </c>
      <c r="BL13" s="89"/>
      <c r="BM13" s="89"/>
      <c r="BN13" s="89"/>
      <c r="BO13" s="89"/>
      <c r="BP13" s="376">
        <f>SUM(B13:BO13)</f>
        <v>18677638609.521797</v>
      </c>
      <c r="BQ13" s="302"/>
      <c r="BR13" s="74"/>
      <c r="BT13" s="398"/>
      <c r="BU13" s="25"/>
    </row>
    <row r="14" spans="1:114" s="91" customFormat="1">
      <c r="A14" s="373" t="s">
        <v>375</v>
      </c>
      <c r="B14" s="486">
        <v>15074142.780000001</v>
      </c>
      <c r="C14" s="486">
        <v>131610311.29077099</v>
      </c>
      <c r="D14" s="486">
        <v>21782348.140210636</v>
      </c>
      <c r="E14" s="486">
        <v>4478482.663424233</v>
      </c>
      <c r="F14" s="486">
        <v>294326254.92045397</v>
      </c>
      <c r="G14" s="486">
        <v>8423843.9373901114</v>
      </c>
      <c r="H14" s="486">
        <v>123753405.67582193</v>
      </c>
      <c r="I14" s="486">
        <v>6325409.5933125075</v>
      </c>
      <c r="J14" s="486">
        <v>-1828139.3671636258</v>
      </c>
      <c r="K14" s="486">
        <v>32076627.678750008</v>
      </c>
      <c r="L14" s="486">
        <v>86003220.289674491</v>
      </c>
      <c r="M14" s="486">
        <v>12134919.051352277</v>
      </c>
      <c r="N14" s="486">
        <v>241752525.01424143</v>
      </c>
      <c r="O14" s="486">
        <v>104864705.69999999</v>
      </c>
      <c r="P14" s="486">
        <v>18942711.469999999</v>
      </c>
      <c r="Q14" s="486">
        <v>285261574.57656896</v>
      </c>
      <c r="R14" s="486">
        <v>476114683.74000001</v>
      </c>
      <c r="S14" s="486">
        <v>204953292.68732449</v>
      </c>
      <c r="T14" s="486">
        <v>175956780.3012051</v>
      </c>
      <c r="U14" s="486">
        <v>66635980.972776875</v>
      </c>
      <c r="V14" s="486">
        <v>16746467.419999998</v>
      </c>
      <c r="W14" s="486">
        <v>117199504.84519999</v>
      </c>
      <c r="X14" s="486">
        <v>500296622.12754273</v>
      </c>
      <c r="Y14" s="486">
        <v>131920814.59</v>
      </c>
      <c r="Z14" s="486">
        <v>6910073.720544369</v>
      </c>
      <c r="AA14" s="486">
        <v>358451740.28640616</v>
      </c>
      <c r="AB14" s="486">
        <v>296313662.13999999</v>
      </c>
      <c r="AC14" s="486">
        <v>121450497.06123079</v>
      </c>
      <c r="AD14" s="486">
        <v>228581892.72652441</v>
      </c>
      <c r="AE14" s="486">
        <v>156325946.88852373</v>
      </c>
      <c r="AF14" s="486">
        <v>250017766.27742338</v>
      </c>
      <c r="AG14" s="486">
        <v>289512623.61320001</v>
      </c>
      <c r="AH14" s="486">
        <v>75939932.456504181</v>
      </c>
      <c r="AI14" s="486">
        <v>1385511.7</v>
      </c>
      <c r="AJ14" s="486">
        <v>203819923.88</v>
      </c>
      <c r="AK14" s="486">
        <v>66944801.835377865</v>
      </c>
      <c r="AL14" s="486">
        <v>1408825.2500000002</v>
      </c>
      <c r="AM14" s="486">
        <v>460352029.41999996</v>
      </c>
      <c r="AN14" s="486">
        <v>18386699.357066572</v>
      </c>
      <c r="AO14" s="486">
        <v>228010714.00516981</v>
      </c>
      <c r="AP14" s="486">
        <v>21892154.70639994</v>
      </c>
      <c r="AQ14" s="486">
        <v>2673953.4192000004</v>
      </c>
      <c r="AR14" s="486">
        <v>30089552.887370132</v>
      </c>
      <c r="AS14" s="486">
        <v>84582510.572400004</v>
      </c>
      <c r="AT14" s="486">
        <v>1893268.171687711</v>
      </c>
      <c r="AU14" s="486">
        <v>17359.219999999998</v>
      </c>
      <c r="AV14" s="486">
        <v>2521237.56</v>
      </c>
      <c r="AW14" s="486">
        <v>347810.2799999998</v>
      </c>
      <c r="AX14" s="486">
        <v>3062416.409</v>
      </c>
      <c r="AY14" s="486">
        <v>90784157.632678658</v>
      </c>
      <c r="AZ14" s="486">
        <v>195922212.11744648</v>
      </c>
      <c r="BA14" s="486">
        <v>73748280.72679764</v>
      </c>
      <c r="BB14" s="486">
        <v>43317.120000000003</v>
      </c>
      <c r="BC14" s="486">
        <v>194117180.47269356</v>
      </c>
      <c r="BD14" s="486">
        <v>125642572.61</v>
      </c>
      <c r="BE14" s="486">
        <v>60603255.162733003</v>
      </c>
      <c r="BF14" s="486">
        <v>0</v>
      </c>
      <c r="BG14" s="486">
        <v>-26167.200000000004</v>
      </c>
      <c r="BH14" s="486">
        <v>176153726.20999998</v>
      </c>
      <c r="BI14" s="486">
        <v>285273210.71338749</v>
      </c>
      <c r="BJ14" s="486">
        <v>2204250.89</v>
      </c>
      <c r="BK14" s="486">
        <v>50000</v>
      </c>
      <c r="BL14" s="486">
        <v>150918306.91</v>
      </c>
      <c r="BM14" s="486">
        <v>22737908.682060707</v>
      </c>
      <c r="BN14" s="89">
        <v>0</v>
      </c>
      <c r="BO14" s="89">
        <f>$N$284</f>
        <v>0</v>
      </c>
      <c r="BP14" s="376">
        <f>SUM(B14:BO14)</f>
        <v>7363871605.9906836</v>
      </c>
      <c r="BQ14" s="302"/>
      <c r="BR14" s="74"/>
      <c r="BU14" s="17"/>
    </row>
    <row r="15" spans="1:114" s="91" customFormat="1">
      <c r="A15" s="415"/>
      <c r="B15" s="89"/>
      <c r="C15" s="89"/>
      <c r="D15" s="89"/>
      <c r="E15" s="89"/>
      <c r="F15" s="89"/>
      <c r="G15" s="89"/>
      <c r="H15" s="89"/>
      <c r="I15" s="89"/>
      <c r="J15" s="89"/>
      <c r="K15" s="89"/>
      <c r="L15" s="89"/>
      <c r="M15" s="89"/>
      <c r="N15" s="89"/>
      <c r="O15" s="89"/>
      <c r="P15" s="89"/>
      <c r="Q15" s="89"/>
      <c r="R15" s="89"/>
      <c r="S15" s="89"/>
      <c r="T15" s="89"/>
      <c r="U15" s="89"/>
      <c r="V15" s="89"/>
      <c r="W15" s="89"/>
      <c r="X15" s="89"/>
      <c r="Y15" s="89"/>
      <c r="Z15" s="89"/>
      <c r="AA15" s="89"/>
      <c r="AB15" s="89"/>
      <c r="AC15" s="89"/>
      <c r="AD15" s="89"/>
      <c r="AE15" s="89"/>
      <c r="AF15" s="89"/>
      <c r="AG15" s="89"/>
      <c r="AH15" s="89"/>
      <c r="AI15" s="89"/>
      <c r="AJ15" s="89"/>
      <c r="AK15" s="89"/>
      <c r="AL15" s="89"/>
      <c r="AM15" s="89"/>
      <c r="AN15" s="89"/>
      <c r="AO15" s="89"/>
      <c r="AP15" s="89"/>
      <c r="AQ15" s="89"/>
      <c r="AR15" s="89"/>
      <c r="AS15" s="89"/>
      <c r="AT15" s="89"/>
      <c r="AU15" s="89"/>
      <c r="AV15" s="89"/>
      <c r="AW15" s="89"/>
      <c r="AX15" s="89"/>
      <c r="AY15" s="89"/>
      <c r="AZ15" s="89"/>
      <c r="BA15" s="89"/>
      <c r="BB15" s="89"/>
      <c r="BC15" s="89"/>
      <c r="BD15" s="89"/>
      <c r="BE15" s="89"/>
      <c r="BF15" s="89"/>
      <c r="BG15" s="89"/>
      <c r="BH15" s="89"/>
      <c r="BI15" s="89"/>
      <c r="BJ15" s="89"/>
      <c r="BK15" s="89"/>
      <c r="BL15" s="89"/>
      <c r="BM15" s="89"/>
      <c r="BN15" s="89"/>
      <c r="BO15" s="89"/>
      <c r="BP15" s="376"/>
      <c r="BQ15" s="302"/>
      <c r="BR15" s="74"/>
      <c r="BU15" s="17"/>
    </row>
    <row r="16" spans="1:114" s="91" customFormat="1">
      <c r="A16" s="385" t="s">
        <v>27</v>
      </c>
      <c r="B16" s="95">
        <f t="shared" ref="B16" si="25">B13/B10</f>
        <v>0.98821018916113212</v>
      </c>
      <c r="C16" s="95">
        <f>C13/C10</f>
        <v>0.94676147478685502</v>
      </c>
      <c r="D16" s="95">
        <f t="shared" ref="D16:U16" si="26">D13/D10</f>
        <v>0.94192169652794544</v>
      </c>
      <c r="E16" s="95">
        <f t="shared" si="26"/>
        <v>0.96212567712882358</v>
      </c>
      <c r="F16" s="95">
        <f t="shared" si="26"/>
        <v>0.5993131823471437</v>
      </c>
      <c r="G16" s="95">
        <f t="shared" si="26"/>
        <v>0.98557139648461056</v>
      </c>
      <c r="H16" s="95">
        <f t="shared" si="26"/>
        <v>0.88423215289914825</v>
      </c>
      <c r="I16" s="95">
        <f t="shared" si="26"/>
        <v>0.98669228967548861</v>
      </c>
      <c r="J16" s="95">
        <f t="shared" si="26"/>
        <v>1.0068680041600608</v>
      </c>
      <c r="K16" s="95">
        <f t="shared" si="26"/>
        <v>0.88210955572169603</v>
      </c>
      <c r="L16" s="95">
        <f t="shared" si="26"/>
        <v>0.76450754280542987</v>
      </c>
      <c r="M16" s="95">
        <f t="shared" si="26"/>
        <v>0.85429274896842222</v>
      </c>
      <c r="N16" s="95">
        <f t="shared" si="26"/>
        <v>0.53696170018759282</v>
      </c>
      <c r="O16" s="95">
        <f t="shared" si="26"/>
        <v>0.40783853258373298</v>
      </c>
      <c r="P16" s="95">
        <f t="shared" si="26"/>
        <v>0.82502529677419545</v>
      </c>
      <c r="Q16" s="95">
        <f t="shared" si="26"/>
        <v>0.72914341647509306</v>
      </c>
      <c r="R16" s="95">
        <f t="shared" si="26"/>
        <v>0.58765499378119568</v>
      </c>
      <c r="S16" s="95">
        <f t="shared" si="26"/>
        <v>0.49172387026560122</v>
      </c>
      <c r="T16" s="95">
        <f t="shared" si="26"/>
        <v>0.58833417380283359</v>
      </c>
      <c r="U16" s="95">
        <f t="shared" si="26"/>
        <v>0.82894872472115133</v>
      </c>
      <c r="V16" s="95">
        <f t="shared" ref="V16:AB16" si="27">V13/V10</f>
        <v>0.9078390813911893</v>
      </c>
      <c r="W16" s="95">
        <f t="shared" si="27"/>
        <v>0.71341279224039922</v>
      </c>
      <c r="X16" s="95">
        <f t="shared" si="27"/>
        <v>0.54354373924471278</v>
      </c>
      <c r="Y16" s="95">
        <f t="shared" si="27"/>
        <v>0.6710600091839144</v>
      </c>
      <c r="Z16" s="95">
        <f t="shared" si="27"/>
        <v>0.88963000597974862</v>
      </c>
      <c r="AA16" s="95">
        <f t="shared" si="27"/>
        <v>0.58071118152098367</v>
      </c>
      <c r="AB16" s="95">
        <f t="shared" si="27"/>
        <v>0.35656364004645713</v>
      </c>
      <c r="AC16" s="95">
        <f t="shared" ref="AC16:BA16" si="28">AC13/AC10</f>
        <v>0.6137903900039281</v>
      </c>
      <c r="AD16" s="95">
        <f t="shared" si="28"/>
        <v>0.25013695290476168</v>
      </c>
      <c r="AE16" s="95">
        <f t="shared" si="28"/>
        <v>0.52995429430775609</v>
      </c>
      <c r="AF16" s="95">
        <f t="shared" si="28"/>
        <v>0.15363853946757625</v>
      </c>
      <c r="AG16" s="95">
        <f t="shared" si="28"/>
        <v>0.26155998769311173</v>
      </c>
      <c r="AH16" s="95">
        <f t="shared" si="28"/>
        <v>0.62602265705892701</v>
      </c>
      <c r="AI16" s="95">
        <f t="shared" si="28"/>
        <v>0.99478140994288244</v>
      </c>
      <c r="AJ16" s="95">
        <f t="shared" si="28"/>
        <v>0.10889866249127181</v>
      </c>
      <c r="AK16" s="95">
        <f t="shared" si="28"/>
        <v>0.37997841390231685</v>
      </c>
      <c r="AL16" s="95">
        <f t="shared" si="28"/>
        <v>0.76325683127823352</v>
      </c>
      <c r="AM16" s="95">
        <f t="shared" si="28"/>
        <v>0.24774690248667114</v>
      </c>
      <c r="AN16" s="95">
        <f t="shared" si="28"/>
        <v>0.71274439775795184</v>
      </c>
      <c r="AO16" s="95">
        <f t="shared" si="28"/>
        <v>0.33981674411809737</v>
      </c>
      <c r="AP16" s="95">
        <f t="shared" si="28"/>
        <v>0.44300214516129033</v>
      </c>
      <c r="AQ16" s="95">
        <f t="shared" si="28"/>
        <v>0.53876361197258316</v>
      </c>
      <c r="AR16" s="95">
        <f t="shared" si="28"/>
        <v>0.31062258561525219</v>
      </c>
      <c r="AS16" s="95">
        <f t="shared" si="28"/>
        <v>0.34968853542599715</v>
      </c>
      <c r="AT16" s="95">
        <f t="shared" si="28"/>
        <v>0.72589485004998333</v>
      </c>
      <c r="AU16" s="95">
        <f t="shared" si="28"/>
        <v>0.51804728164554903</v>
      </c>
      <c r="AV16" s="95">
        <f t="shared" si="28"/>
        <v>0.2671102752416708</v>
      </c>
      <c r="AW16" s="95">
        <f t="shared" si="28"/>
        <v>0.86056295182397613</v>
      </c>
      <c r="AX16" s="95">
        <f t="shared" si="28"/>
        <v>0.57349165305426086</v>
      </c>
      <c r="AY16" s="95">
        <f t="shared" si="28"/>
        <v>9.0693597333467532E-2</v>
      </c>
      <c r="AZ16" s="95">
        <f t="shared" si="28"/>
        <v>0.16462139360030667</v>
      </c>
      <c r="BA16" s="95">
        <f t="shared" si="28"/>
        <v>4.2960516342634349E-2</v>
      </c>
      <c r="BB16" s="95">
        <f t="shared" ref="BB16:BC16" si="29">BB13/BB10</f>
        <v>0.28588866606741575</v>
      </c>
      <c r="BC16" s="95">
        <f t="shared" si="29"/>
        <v>3.9432970675569612E-2</v>
      </c>
      <c r="BD16" s="95">
        <f t="shared" ref="BD16:BJ16" si="30">BD13/BD10</f>
        <v>1.3978801843317972E-4</v>
      </c>
      <c r="BE16" s="95">
        <f t="shared" si="30"/>
        <v>3.0925382889200562E-2</v>
      </c>
      <c r="BF16" s="95">
        <f t="shared" ref="BF16" si="31">BF13/BF10</f>
        <v>1</v>
      </c>
      <c r="BG16" s="95">
        <f t="shared" si="30"/>
        <v>8.6930935019525774E-3</v>
      </c>
      <c r="BH16" s="95">
        <f t="shared" si="30"/>
        <v>0</v>
      </c>
      <c r="BI16" s="95">
        <f t="shared" si="30"/>
        <v>1.1832351102228163E-3</v>
      </c>
      <c r="BJ16" s="95">
        <f t="shared" si="30"/>
        <v>9.7603036077691191E-2</v>
      </c>
      <c r="BK16" s="95">
        <f t="shared" ref="BK16:BM16" si="32">BK13/BK10</f>
        <v>0.98197845027170805</v>
      </c>
      <c r="BL16" s="95">
        <f t="shared" si="32"/>
        <v>0</v>
      </c>
      <c r="BM16" s="95">
        <f t="shared" si="32"/>
        <v>0</v>
      </c>
      <c r="BN16" s="95"/>
      <c r="BO16" s="95"/>
      <c r="BP16" s="379">
        <f>BP13/BP10</f>
        <v>0.61947605433980957</v>
      </c>
      <c r="BQ16" s="302"/>
      <c r="BR16" s="74"/>
      <c r="BU16" s="17"/>
    </row>
    <row r="17" spans="1:113" s="91" customFormat="1">
      <c r="A17" s="385" t="s">
        <v>28</v>
      </c>
      <c r="B17" s="95">
        <f>B14/B10</f>
        <v>1.1789810838867864E-2</v>
      </c>
      <c r="C17" s="95">
        <f t="shared" ref="C17:U17" si="33">C14/C10</f>
        <v>4.8878337547665358E-2</v>
      </c>
      <c r="D17" s="95">
        <f t="shared" si="33"/>
        <v>4.0902171631398261E-2</v>
      </c>
      <c r="E17" s="95">
        <f t="shared" si="33"/>
        <v>3.3333147782898011E-2</v>
      </c>
      <c r="F17" s="95">
        <f t="shared" si="33"/>
        <v>0.10399218641239069</v>
      </c>
      <c r="G17" s="95">
        <f t="shared" si="33"/>
        <v>7.8065797384110043E-3</v>
      </c>
      <c r="H17" s="95">
        <f t="shared" si="33"/>
        <v>0.11004515612865272</v>
      </c>
      <c r="I17" s="95">
        <f t="shared" si="33"/>
        <v>1.3361411631021454E-2</v>
      </c>
      <c r="J17" s="95">
        <f t="shared" si="33"/>
        <v>-3.5873339368145112E-3</v>
      </c>
      <c r="K17" s="95">
        <f t="shared" si="33"/>
        <v>4.3310135899785177E-2</v>
      </c>
      <c r="L17" s="95">
        <f t="shared" si="33"/>
        <v>0.12971828097990118</v>
      </c>
      <c r="M17" s="95">
        <f t="shared" si="33"/>
        <v>8.5778505530208007E-2</v>
      </c>
      <c r="N17" s="95">
        <f t="shared" si="33"/>
        <v>0.43891891551377904</v>
      </c>
      <c r="O17" s="95">
        <f t="shared" si="33"/>
        <v>9.1739373153586781E-2</v>
      </c>
      <c r="P17" s="95">
        <f t="shared" si="33"/>
        <v>2.2787810950494647E-2</v>
      </c>
      <c r="Q17" s="95">
        <f t="shared" si="33"/>
        <v>0.31536783352598657</v>
      </c>
      <c r="R17" s="95">
        <f t="shared" si="33"/>
        <v>0.3520646901615706</v>
      </c>
      <c r="S17" s="95">
        <f t="shared" si="33"/>
        <v>0.36959283384667785</v>
      </c>
      <c r="T17" s="95">
        <f t="shared" si="33"/>
        <v>0.28887015755888595</v>
      </c>
      <c r="U17" s="95">
        <f t="shared" si="33"/>
        <v>0.19604184850924825</v>
      </c>
      <c r="V17" s="95">
        <f t="shared" ref="V17" si="34">V14/V10</f>
        <v>9.2160918608810802E-2</v>
      </c>
      <c r="W17" s="95">
        <f t="shared" ref="W17:BA17" si="35">W14/W10</f>
        <v>0.30004993559959037</v>
      </c>
      <c r="X17" s="95">
        <f t="shared" si="35"/>
        <v>0.46584904207840627</v>
      </c>
      <c r="Y17" s="95">
        <f t="shared" si="35"/>
        <v>0.31212785274653848</v>
      </c>
      <c r="Z17" s="95">
        <f t="shared" si="35"/>
        <v>9.1823341224976332E-2</v>
      </c>
      <c r="AA17" s="95">
        <f t="shared" si="35"/>
        <v>0.31056977142597547</v>
      </c>
      <c r="AB17" s="95">
        <f t="shared" si="35"/>
        <v>0.32114349171543344</v>
      </c>
      <c r="AC17" s="95">
        <f t="shared" si="35"/>
        <v>0.34542635540008543</v>
      </c>
      <c r="AD17" s="95">
        <f t="shared" si="35"/>
        <v>0.73108313341249798</v>
      </c>
      <c r="AE17" s="95">
        <f t="shared" si="35"/>
        <v>0.53170886316252042</v>
      </c>
      <c r="AF17" s="95">
        <f t="shared" si="35"/>
        <v>0.61938118607252579</v>
      </c>
      <c r="AG17" s="95">
        <f t="shared" si="35"/>
        <v>0.38017913934199205</v>
      </c>
      <c r="AH17" s="95">
        <f t="shared" si="35"/>
        <v>0.3640120008857482</v>
      </c>
      <c r="AI17" s="95">
        <f t="shared" si="35"/>
        <v>5.2185900571175715E-3</v>
      </c>
      <c r="AJ17" s="95">
        <f t="shared" si="35"/>
        <v>0.37568628790148789</v>
      </c>
      <c r="AK17" s="95">
        <f t="shared" si="35"/>
        <v>0.53401447155462245</v>
      </c>
      <c r="AL17" s="95">
        <f t="shared" si="35"/>
        <v>3.3597113914646141E-2</v>
      </c>
      <c r="AM17" s="95">
        <f t="shared" si="35"/>
        <v>0.51085355175714442</v>
      </c>
      <c r="AN17" s="95">
        <f t="shared" si="35"/>
        <v>0.26761305493144422</v>
      </c>
      <c r="AO17" s="95">
        <f t="shared" si="35"/>
        <v>0.62622797199444702</v>
      </c>
      <c r="AP17" s="95">
        <f t="shared" si="35"/>
        <v>0.47079902594408474</v>
      </c>
      <c r="AQ17" s="95">
        <f t="shared" si="35"/>
        <v>0.25080274508903683</v>
      </c>
      <c r="AR17" s="95">
        <f t="shared" si="35"/>
        <v>0.60804551116250194</v>
      </c>
      <c r="AS17" s="95">
        <f t="shared" si="35"/>
        <v>0.62519838203839762</v>
      </c>
      <c r="AT17" s="95">
        <f t="shared" si="35"/>
        <v>0.31543954876503016</v>
      </c>
      <c r="AU17" s="95">
        <f t="shared" si="35"/>
        <v>3.4147348043655715E-3</v>
      </c>
      <c r="AV17" s="95">
        <f t="shared" si="35"/>
        <v>0.25019217831117868</v>
      </c>
      <c r="AW17" s="95">
        <f t="shared" si="35"/>
        <v>8.9076964294536237E-2</v>
      </c>
      <c r="AX17" s="95">
        <f t="shared" si="35"/>
        <v>0.63828205299230112</v>
      </c>
      <c r="AY17" s="95">
        <f t="shared" si="35"/>
        <v>0.7053153623926528</v>
      </c>
      <c r="AZ17" s="95">
        <f t="shared" si="35"/>
        <v>1.0589385054644409</v>
      </c>
      <c r="BA17" s="95">
        <f t="shared" si="35"/>
        <v>0.86771548197697801</v>
      </c>
      <c r="BB17" s="95">
        <f t="shared" ref="BB17:BC17" si="36">BB14/BB10</f>
        <v>3.8936737078651688E-2</v>
      </c>
      <c r="BC17" s="95">
        <f t="shared" si="36"/>
        <v>0.51409980501952968</v>
      </c>
      <c r="BD17" s="95">
        <f t="shared" ref="BD17:BJ17" si="37">BD14/BD10</f>
        <v>0.71481238328497465</v>
      </c>
      <c r="BE17" s="95">
        <f t="shared" si="37"/>
        <v>0.80950050307530896</v>
      </c>
      <c r="BF17" s="95">
        <f t="shared" ref="BF17" si="38">BF14/BF10</f>
        <v>0</v>
      </c>
      <c r="BG17" s="95">
        <f t="shared" si="37"/>
        <v>-2.2421232205656885E-3</v>
      </c>
      <c r="BH17" s="95">
        <f t="shared" si="37"/>
        <v>0.28812816018294191</v>
      </c>
      <c r="BI17" s="95">
        <f t="shared" si="37"/>
        <v>0.846498792457967</v>
      </c>
      <c r="BJ17" s="95">
        <f t="shared" si="37"/>
        <v>0.90239696392230895</v>
      </c>
      <c r="BK17" s="95">
        <f t="shared" ref="BK17:BM17" si="39">BK14/BK10</f>
        <v>4.2107225088643498E-4</v>
      </c>
      <c r="BL17" s="95">
        <f t="shared" si="39"/>
        <v>0.50301211732811768</v>
      </c>
      <c r="BM17" s="95">
        <f t="shared" si="39"/>
        <v>1.0933619849369658</v>
      </c>
      <c r="BN17" s="95"/>
      <c r="BO17" s="95"/>
      <c r="BP17" s="379">
        <f>BP14/BP10</f>
        <v>0.24423548514417154</v>
      </c>
      <c r="BQ17" s="302"/>
      <c r="BR17" s="74"/>
      <c r="BT17" s="398"/>
      <c r="BU17" s="17"/>
    </row>
    <row r="18" spans="1:113" s="390" customFormat="1" ht="18" customHeight="1">
      <c r="A18" s="394" t="s">
        <v>29</v>
      </c>
      <c r="B18" s="395">
        <f>SUM(B16:B17)</f>
        <v>1</v>
      </c>
      <c r="C18" s="395">
        <f t="shared" ref="C18:U18" si="40">SUM(C16:C17)</f>
        <v>0.99563981233452037</v>
      </c>
      <c r="D18" s="395">
        <f t="shared" si="40"/>
        <v>0.98282386815934375</v>
      </c>
      <c r="E18" s="395">
        <f t="shared" si="40"/>
        <v>0.99545882491172155</v>
      </c>
      <c r="F18" s="395">
        <f t="shared" si="40"/>
        <v>0.70330536875953442</v>
      </c>
      <c r="G18" s="395">
        <f t="shared" si="40"/>
        <v>0.9933779762230216</v>
      </c>
      <c r="H18" s="395">
        <f t="shared" si="40"/>
        <v>0.99427730902780098</v>
      </c>
      <c r="I18" s="395">
        <f t="shared" si="40"/>
        <v>1.0000537013065101</v>
      </c>
      <c r="J18" s="395">
        <f t="shared" si="40"/>
        <v>1.0032806702232464</v>
      </c>
      <c r="K18" s="395">
        <f t="shared" si="40"/>
        <v>0.92541969162148119</v>
      </c>
      <c r="L18" s="395">
        <f t="shared" si="40"/>
        <v>0.89422582378533111</v>
      </c>
      <c r="M18" s="395">
        <f t="shared" si="40"/>
        <v>0.94007125449863027</v>
      </c>
      <c r="N18" s="395">
        <f t="shared" si="40"/>
        <v>0.97588061570137186</v>
      </c>
      <c r="O18" s="395">
        <f t="shared" si="40"/>
        <v>0.49957790573731975</v>
      </c>
      <c r="P18" s="395">
        <f t="shared" si="40"/>
        <v>0.8478131077246901</v>
      </c>
      <c r="Q18" s="395">
        <f t="shared" si="40"/>
        <v>1.0445112500010796</v>
      </c>
      <c r="R18" s="395">
        <f t="shared" si="40"/>
        <v>0.93971968394276628</v>
      </c>
      <c r="S18" s="395">
        <f t="shared" si="40"/>
        <v>0.86131670411227912</v>
      </c>
      <c r="T18" s="395">
        <f t="shared" si="40"/>
        <v>0.87720433136171949</v>
      </c>
      <c r="U18" s="395">
        <f t="shared" si="40"/>
        <v>1.0249905732303997</v>
      </c>
      <c r="V18" s="395">
        <f t="shared" ref="V18:AC18" si="41">SUM(V16:V17)</f>
        <v>1</v>
      </c>
      <c r="W18" s="395">
        <f t="shared" si="41"/>
        <v>1.0134627278399897</v>
      </c>
      <c r="X18" s="395">
        <f t="shared" si="41"/>
        <v>1.0093927813231192</v>
      </c>
      <c r="Y18" s="395">
        <f t="shared" si="41"/>
        <v>0.98318786193045282</v>
      </c>
      <c r="Z18" s="395">
        <f t="shared" si="41"/>
        <v>0.98145334720472499</v>
      </c>
      <c r="AA18" s="395">
        <f t="shared" si="41"/>
        <v>0.89128095294695919</v>
      </c>
      <c r="AB18" s="395">
        <f t="shared" si="41"/>
        <v>0.67770713176189057</v>
      </c>
      <c r="AC18" s="395">
        <f t="shared" si="41"/>
        <v>0.95921674540401347</v>
      </c>
      <c r="AD18" s="395">
        <f t="shared" ref="AD18:BP18" si="42">SUM(AD16:AD17)</f>
        <v>0.98122008631725965</v>
      </c>
      <c r="AE18" s="395">
        <f t="shared" si="42"/>
        <v>1.0616631574702766</v>
      </c>
      <c r="AF18" s="395">
        <f t="shared" si="42"/>
        <v>0.77301972554010201</v>
      </c>
      <c r="AG18" s="395">
        <f t="shared" si="42"/>
        <v>0.64173912703510383</v>
      </c>
      <c r="AH18" s="395">
        <f t="shared" si="42"/>
        <v>0.99003465794467527</v>
      </c>
      <c r="AI18" s="395">
        <f t="shared" si="42"/>
        <v>1</v>
      </c>
      <c r="AJ18" s="395">
        <f t="shared" si="42"/>
        <v>0.48458495039275973</v>
      </c>
      <c r="AK18" s="395">
        <f t="shared" si="42"/>
        <v>0.91399288545693924</v>
      </c>
      <c r="AL18" s="395">
        <f>SUM(AL16:AL17)</f>
        <v>0.79685394519287966</v>
      </c>
      <c r="AM18" s="395">
        <f t="shared" si="42"/>
        <v>0.75860045424381561</v>
      </c>
      <c r="AN18" s="395">
        <f t="shared" si="42"/>
        <v>0.98035745268939611</v>
      </c>
      <c r="AO18" s="395">
        <f t="shared" si="42"/>
        <v>0.96604471611254439</v>
      </c>
      <c r="AP18" s="395">
        <f t="shared" si="42"/>
        <v>0.91380117110537507</v>
      </c>
      <c r="AQ18" s="395">
        <f t="shared" si="42"/>
        <v>0.78956635706162004</v>
      </c>
      <c r="AR18" s="395">
        <f t="shared" si="42"/>
        <v>0.91866809677775407</v>
      </c>
      <c r="AS18" s="395">
        <f t="shared" si="42"/>
        <v>0.97488691746439482</v>
      </c>
      <c r="AT18" s="395">
        <f t="shared" si="42"/>
        <v>1.0413343988150134</v>
      </c>
      <c r="AU18" s="395">
        <f t="shared" si="42"/>
        <v>0.52146201644991463</v>
      </c>
      <c r="AV18" s="395">
        <f t="shared" si="42"/>
        <v>0.51730245355284943</v>
      </c>
      <c r="AW18" s="395">
        <f t="shared" si="42"/>
        <v>0.94963991611851239</v>
      </c>
      <c r="AX18" s="395">
        <f t="shared" si="42"/>
        <v>1.2117737060465621</v>
      </c>
      <c r="AY18" s="395">
        <f t="shared" si="42"/>
        <v>0.79600895972612029</v>
      </c>
      <c r="AZ18" s="395">
        <f t="shared" si="42"/>
        <v>1.2235598990647476</v>
      </c>
      <c r="BA18" s="395">
        <f t="shared" si="42"/>
        <v>0.91067599831961232</v>
      </c>
      <c r="BB18" s="395">
        <f t="shared" ref="BB18:BC18" si="43">SUM(BB16:BB17)</f>
        <v>0.32482540314606745</v>
      </c>
      <c r="BC18" s="395">
        <f t="shared" si="43"/>
        <v>0.55353277569509929</v>
      </c>
      <c r="BD18" s="395">
        <f t="shared" ref="BD18:BJ18" si="44">SUM(BD16:BD17)</f>
        <v>0.71495217130340782</v>
      </c>
      <c r="BE18" s="395">
        <f t="shared" si="44"/>
        <v>0.84042588596450951</v>
      </c>
      <c r="BF18" s="395">
        <f t="shared" ref="BF18" si="45">SUM(BF16:BF17)</f>
        <v>1</v>
      </c>
      <c r="BG18" s="395">
        <f t="shared" si="44"/>
        <v>6.4509702813868889E-3</v>
      </c>
      <c r="BH18" s="395">
        <f t="shared" si="44"/>
        <v>0.28812816018294191</v>
      </c>
      <c r="BI18" s="395">
        <f t="shared" si="44"/>
        <v>0.84768202756818978</v>
      </c>
      <c r="BJ18" s="395">
        <f t="shared" si="44"/>
        <v>1.0000000000000002</v>
      </c>
      <c r="BK18" s="395">
        <f t="shared" ref="BK18:BM18" si="46">SUM(BK16:BK17)</f>
        <v>0.98239952252259444</v>
      </c>
      <c r="BL18" s="395">
        <f t="shared" si="46"/>
        <v>0.50301211732811768</v>
      </c>
      <c r="BM18" s="395">
        <f t="shared" si="46"/>
        <v>1.0933619849369658</v>
      </c>
      <c r="BN18" s="395"/>
      <c r="BO18" s="395"/>
      <c r="BP18" s="395">
        <f t="shared" si="42"/>
        <v>0.86371153948398116</v>
      </c>
      <c r="BQ18" s="302"/>
      <c r="BT18" s="91"/>
      <c r="BU18" s="396"/>
    </row>
    <row r="19" spans="1:113" s="91" customFormat="1">
      <c r="A19" s="388"/>
      <c r="B19" s="89"/>
      <c r="C19" s="89"/>
      <c r="D19" s="89"/>
      <c r="E19" s="89"/>
      <c r="F19" s="89"/>
      <c r="G19" s="89"/>
      <c r="H19" s="89"/>
      <c r="I19" s="89"/>
      <c r="J19" s="89"/>
      <c r="K19" s="89"/>
      <c r="L19" s="89"/>
      <c r="M19" s="89"/>
      <c r="N19" s="89"/>
      <c r="O19" s="89"/>
      <c r="P19" s="89"/>
      <c r="Q19" s="89"/>
      <c r="R19" s="89"/>
      <c r="S19" s="89"/>
      <c r="T19" s="89"/>
      <c r="U19" s="89"/>
      <c r="V19" s="89"/>
      <c r="W19" s="89"/>
      <c r="X19" s="89"/>
      <c r="Y19" s="89"/>
      <c r="Z19" s="89"/>
      <c r="AA19" s="89"/>
      <c r="AB19" s="89"/>
      <c r="AC19" s="89"/>
      <c r="AD19" s="89"/>
      <c r="AE19" s="89"/>
      <c r="AF19" s="89"/>
      <c r="AG19" s="89"/>
      <c r="AH19" s="89"/>
      <c r="AI19" s="89"/>
      <c r="AJ19" s="89"/>
      <c r="AK19" s="89"/>
      <c r="AL19" s="89"/>
      <c r="AM19" s="89"/>
      <c r="AN19" s="89"/>
      <c r="AO19" s="89"/>
      <c r="AP19" s="89"/>
      <c r="AQ19" s="89"/>
      <c r="AR19" s="89"/>
      <c r="AS19" s="89"/>
      <c r="AT19" s="89"/>
      <c r="AU19" s="89"/>
      <c r="AV19" s="89"/>
      <c r="AW19" s="89"/>
      <c r="AX19" s="89"/>
      <c r="AY19" s="89"/>
      <c r="AZ19" s="89"/>
      <c r="BA19" s="89"/>
      <c r="BB19" s="89"/>
      <c r="BC19" s="89"/>
      <c r="BD19" s="89"/>
      <c r="BE19" s="89"/>
      <c r="BF19" s="89"/>
      <c r="BG19" s="89"/>
      <c r="BH19" s="89"/>
      <c r="BI19" s="89"/>
      <c r="BJ19" s="89"/>
      <c r="BK19" s="89"/>
      <c r="BL19" s="89"/>
      <c r="BM19" s="89"/>
      <c r="BN19" s="89"/>
      <c r="BO19" s="89"/>
      <c r="BP19" s="380"/>
      <c r="BQ19" s="302"/>
      <c r="BR19" s="74"/>
      <c r="BT19" s="398"/>
      <c r="BU19" s="96"/>
    </row>
    <row r="20" spans="1:113" s="91" customFormat="1" ht="15.75" thickBot="1">
      <c r="A20" s="382" t="s">
        <v>30</v>
      </c>
      <c r="B20" s="383">
        <f t="shared" ref="B20" si="47">B18*B6</f>
        <v>1316334942</v>
      </c>
      <c r="C20" s="383">
        <f t="shared" ref="C20:T20" si="48">C18*C6</f>
        <v>2728620799.617579</v>
      </c>
      <c r="D20" s="383">
        <f t="shared" si="48"/>
        <v>548695216.83301258</v>
      </c>
      <c r="E20" s="383">
        <f t="shared" si="48"/>
        <v>140784312.82044658</v>
      </c>
      <c r="F20" s="383">
        <f t="shared" si="48"/>
        <v>2020858927.7464511</v>
      </c>
      <c r="G20" s="383">
        <f t="shared" si="48"/>
        <v>1137603664.6556485</v>
      </c>
      <c r="H20" s="383">
        <f t="shared" si="48"/>
        <v>1158687824.6526651</v>
      </c>
      <c r="I20" s="383">
        <f t="shared" si="48"/>
        <v>637454069.3416481</v>
      </c>
      <c r="J20" s="383">
        <f t="shared" si="48"/>
        <v>610745311.12272084</v>
      </c>
      <c r="K20" s="383">
        <f t="shared" si="48"/>
        <v>736978714.35349476</v>
      </c>
      <c r="L20" s="383">
        <f t="shared" si="48"/>
        <v>760091950.21753144</v>
      </c>
      <c r="M20" s="383">
        <f t="shared" si="48"/>
        <v>151125067.89926389</v>
      </c>
      <c r="N20" s="383">
        <f t="shared" si="48"/>
        <v>559902207.58775163</v>
      </c>
      <c r="O20" s="383">
        <f t="shared" si="48"/>
        <v>588714947.69175255</v>
      </c>
      <c r="P20" s="383">
        <f t="shared" si="48"/>
        <v>864427261.18176794</v>
      </c>
      <c r="Q20" s="383">
        <f t="shared" si="48"/>
        <v>994524295.50165164</v>
      </c>
      <c r="R20" s="383">
        <f t="shared" si="48"/>
        <v>1373870177.9243243</v>
      </c>
      <c r="S20" s="383">
        <f t="shared" si="48"/>
        <v>508715404.46194971</v>
      </c>
      <c r="T20" s="383">
        <f t="shared" si="48"/>
        <v>571438189.52136409</v>
      </c>
      <c r="U20" s="383">
        <f>U18*U6</f>
        <v>372054643.59838039</v>
      </c>
      <c r="V20" s="383">
        <f t="shared" ref="V20:BC20" si="49">V18*V6</f>
        <v>182323080.95238096</v>
      </c>
      <c r="W20" s="383">
        <f t="shared" si="49"/>
        <v>425654345.69279569</v>
      </c>
      <c r="X20" s="383">
        <f t="shared" si="49"/>
        <v>1165627030.0552075</v>
      </c>
      <c r="Y20" s="383">
        <f t="shared" si="49"/>
        <v>432858624.34374994</v>
      </c>
      <c r="Z20" s="383">
        <f t="shared" si="49"/>
        <v>74983035.726440996</v>
      </c>
      <c r="AA20" s="383">
        <f t="shared" si="49"/>
        <v>1066003972.3071568</v>
      </c>
      <c r="AB20" s="383">
        <f t="shared" si="49"/>
        <v>641342456.82461536</v>
      </c>
      <c r="AC20" s="383">
        <f t="shared" si="49"/>
        <v>351309055.87628204</v>
      </c>
      <c r="AD20" s="383">
        <f t="shared" si="49"/>
        <v>329881941.06615525</v>
      </c>
      <c r="AE20" s="383">
        <f t="shared" si="49"/>
        <v>332059615.7963019</v>
      </c>
      <c r="AF20" s="383">
        <f t="shared" si="49"/>
        <v>325036553.64314932</v>
      </c>
      <c r="AG20" s="383">
        <f t="shared" si="49"/>
        <v>515446499.29669869</v>
      </c>
      <c r="AH20" s="383">
        <f t="shared" si="49"/>
        <v>208626613.59001261</v>
      </c>
      <c r="AI20" s="383">
        <f t="shared" si="49"/>
        <v>284814771.4285714</v>
      </c>
      <c r="AJ20" s="383">
        <f t="shared" si="49"/>
        <v>282688580.22258067</v>
      </c>
      <c r="AK20" s="383">
        <f t="shared" si="49"/>
        <v>124542856.32106291</v>
      </c>
      <c r="AL20" s="383">
        <f>AL18*AL6</f>
        <v>33414416.530000005</v>
      </c>
      <c r="AM20" s="383">
        <f t="shared" si="49"/>
        <v>719586716.92210531</v>
      </c>
      <c r="AN20" s="383">
        <f t="shared" si="49"/>
        <v>70163249.588685125</v>
      </c>
      <c r="AO20" s="383">
        <f t="shared" si="49"/>
        <v>375187832.04818112</v>
      </c>
      <c r="AP20" s="383">
        <f t="shared" si="49"/>
        <v>45690058.55526875</v>
      </c>
      <c r="AQ20" s="383">
        <f t="shared" si="49"/>
        <v>9150026.6621739138</v>
      </c>
      <c r="AR20" s="383">
        <f t="shared" si="49"/>
        <v>51660143.819163159</v>
      </c>
      <c r="AS20" s="383">
        <f t="shared" si="49"/>
        <v>143360379.28521743</v>
      </c>
      <c r="AT20" s="383">
        <f t="shared" si="49"/>
        <v>7352979.9649533154</v>
      </c>
      <c r="AU20" s="383">
        <f t="shared" si="49"/>
        <v>2945461.8111111112</v>
      </c>
      <c r="AV20" s="383">
        <f t="shared" si="49"/>
        <v>5792180.2555555552</v>
      </c>
      <c r="AW20" s="383">
        <f t="shared" si="49"/>
        <v>4119964.3444444439</v>
      </c>
      <c r="AX20" s="383">
        <f t="shared" si="49"/>
        <v>6459971.8433333347</v>
      </c>
      <c r="AY20" s="383">
        <f t="shared" si="49"/>
        <v>113715564.99286665</v>
      </c>
      <c r="AZ20" s="383">
        <f t="shared" si="49"/>
        <v>251533399.66382945</v>
      </c>
      <c r="BA20" s="383">
        <f t="shared" si="49"/>
        <v>82132433.063072488</v>
      </c>
      <c r="BB20" s="383">
        <f t="shared" si="49"/>
        <v>406031.75393258431</v>
      </c>
      <c r="BC20" s="383">
        <f t="shared" si="49"/>
        <v>221170942.45633698</v>
      </c>
      <c r="BD20" s="383">
        <f t="shared" ref="BD20:BM20" si="50">BD18*BD6</f>
        <v>135125960.37634408</v>
      </c>
      <c r="BE20" s="383">
        <f t="shared" si="50"/>
        <v>67654283.820143014</v>
      </c>
      <c r="BF20" s="383">
        <f t="shared" si="50"/>
        <v>123882330</v>
      </c>
      <c r="BG20" s="383">
        <f t="shared" si="50"/>
        <v>83652.766666666648</v>
      </c>
      <c r="BH20" s="383">
        <f t="shared" si="50"/>
        <v>192055959.67073703</v>
      </c>
      <c r="BI20" s="383">
        <f t="shared" si="50"/>
        <v>349820254.42173469</v>
      </c>
      <c r="BJ20" s="383">
        <f t="shared" si="50"/>
        <v>1960330.0000000005</v>
      </c>
      <c r="BK20" s="383">
        <f t="shared" si="50"/>
        <v>123951925.57302284</v>
      </c>
      <c r="BL20" s="383">
        <f t="shared" si="50"/>
        <v>161237507.38441333</v>
      </c>
      <c r="BM20" s="383">
        <f t="shared" si="50"/>
        <v>24025684.954234838</v>
      </c>
      <c r="BN20" s="383"/>
      <c r="BO20" s="383"/>
      <c r="BP20" s="375">
        <f t="shared" ref="BP20:BP29" si="51">SUM(B20:BO20)</f>
        <v>27848466604.400089</v>
      </c>
      <c r="BQ20" s="302"/>
      <c r="BR20" s="74"/>
      <c r="BS20" s="74"/>
      <c r="BU20" s="36"/>
    </row>
    <row r="21" spans="1:113" s="91" customFormat="1" ht="15.75" thickTop="1">
      <c r="A21" s="386" t="s">
        <v>399</v>
      </c>
      <c r="B21" s="90">
        <v>1308091105.8551157</v>
      </c>
      <c r="C21" s="90">
        <v>2594666284.3089061</v>
      </c>
      <c r="D21" s="90">
        <v>525860173.18041724</v>
      </c>
      <c r="E21" s="90">
        <v>136070120.54315791</v>
      </c>
      <c r="F21" s="90">
        <v>1722050547.1165485</v>
      </c>
      <c r="G21" s="90">
        <v>1114207784.1831219</v>
      </c>
      <c r="H21" s="90">
        <v>1030445953.4860102</v>
      </c>
      <c r="I21" s="90">
        <v>628937240.49014127</v>
      </c>
      <c r="J21" s="90">
        <v>605391865.48460352</v>
      </c>
      <c r="K21" s="90">
        <v>702487716.84946251</v>
      </c>
      <c r="L21" s="90">
        <v>649831411.38461542</v>
      </c>
      <c r="M21" s="90">
        <v>137335387.15909088</v>
      </c>
      <c r="N21" s="90">
        <v>308076660.69791669</v>
      </c>
      <c r="O21" s="90">
        <v>480607003.67113405</v>
      </c>
      <c r="P21" s="90">
        <v>821334992.2155689</v>
      </c>
      <c r="Q21" s="90">
        <v>694248953.84210527</v>
      </c>
      <c r="R21" s="90">
        <v>859151600.90810812</v>
      </c>
      <c r="S21" s="90">
        <v>290424539.95313668</v>
      </c>
      <c r="T21" s="90">
        <v>383259182.71464443</v>
      </c>
      <c r="U21" s="90">
        <v>304611251.98918921</v>
      </c>
      <c r="V21" s="90">
        <v>171835960.81875002</v>
      </c>
      <c r="W21" s="90">
        <v>299633372.74096769</v>
      </c>
      <c r="X21" s="90">
        <v>627673672.92881715</v>
      </c>
      <c r="Y21" s="90">
        <v>295441109.14583331</v>
      </c>
      <c r="Z21" s="90">
        <v>67967732.456852794</v>
      </c>
      <c r="AA21" s="90">
        <v>694551391.69948196</v>
      </c>
      <c r="AB21" s="90">
        <v>337431008.47589743</v>
      </c>
      <c r="AC21" s="90">
        <v>224798121.4375</v>
      </c>
      <c r="AD21" s="90">
        <v>84094959.639784947</v>
      </c>
      <c r="AE21" s="90">
        <v>165755416.97872341</v>
      </c>
      <c r="AF21" s="90">
        <v>64601380.437499993</v>
      </c>
      <c r="AG21" s="90">
        <v>210085647.47389513</v>
      </c>
      <c r="AH21" s="90">
        <v>136754361.00523561</v>
      </c>
      <c r="AI21" s="90">
        <v>283989136.54838711</v>
      </c>
      <c r="AJ21" s="90">
        <v>63527371.749462374</v>
      </c>
      <c r="AK21" s="90">
        <v>51776767.369565226</v>
      </c>
      <c r="AL21" s="90">
        <v>34788686.173913039</v>
      </c>
      <c r="AM21" s="90">
        <v>235005633.32210529</v>
      </c>
      <c r="AN21" s="90">
        <v>51010438.014869951</v>
      </c>
      <c r="AO21" s="90">
        <v>131976403.77600001</v>
      </c>
      <c r="AP21" s="90">
        <v>22150107.258064516</v>
      </c>
      <c r="AQ21" s="90">
        <v>6243555.5543478262</v>
      </c>
      <c r="AR21" s="90">
        <v>17467470.028238416</v>
      </c>
      <c r="AS21" s="90">
        <v>51422867.793478273</v>
      </c>
      <c r="AT21" s="90">
        <v>5125625.6349104727</v>
      </c>
      <c r="AU21" s="90">
        <v>2926173.7888888889</v>
      </c>
      <c r="AV21" s="90">
        <v>2990805.1888888888</v>
      </c>
      <c r="AW21" s="90">
        <v>3733508.4777777777</v>
      </c>
      <c r="AX21" s="90">
        <v>3057286.944444445</v>
      </c>
      <c r="AY21" s="90">
        <v>12956228.112757992</v>
      </c>
      <c r="AZ21" s="90">
        <v>33842052.86666666</v>
      </c>
      <c r="BA21" s="90">
        <v>3874541.263168436</v>
      </c>
      <c r="BB21" s="90">
        <v>357360.83258426969</v>
      </c>
      <c r="BC21" s="90">
        <v>15755936.542722136</v>
      </c>
      <c r="BD21" s="90">
        <v>26419.935483870966</v>
      </c>
      <c r="BE21" s="90">
        <v>2489493.3225806453</v>
      </c>
      <c r="BF21" s="90">
        <v>120156139.33</v>
      </c>
      <c r="BG21" s="90">
        <v>112727.43333333332</v>
      </c>
      <c r="BH21" s="90">
        <v>0</v>
      </c>
      <c r="BI21" s="90">
        <v>488295.83952171035</v>
      </c>
      <c r="BJ21" s="90">
        <v>256356.29859657091</v>
      </c>
      <c r="BK21" s="90">
        <v>119162685.331</v>
      </c>
      <c r="BL21" s="90"/>
      <c r="BM21" s="90"/>
      <c r="BN21" s="90"/>
      <c r="BO21" s="90"/>
      <c r="BP21" s="376">
        <f t="shared" si="51"/>
        <v>19954383986.00399</v>
      </c>
      <c r="BQ21" s="389"/>
      <c r="BR21" s="390"/>
      <c r="BS21" s="74"/>
      <c r="BT21" s="398"/>
      <c r="BU21" s="36"/>
    </row>
    <row r="22" spans="1:113" s="91" customFormat="1">
      <c r="A22" s="386"/>
      <c r="B22" s="90"/>
      <c r="C22" s="90"/>
      <c r="D22" s="90"/>
      <c r="E22" s="90"/>
      <c r="F22" s="90"/>
      <c r="G22" s="90"/>
      <c r="H22" s="90"/>
      <c r="I22" s="90"/>
      <c r="J22" s="90"/>
      <c r="K22" s="90"/>
      <c r="L22" s="90"/>
      <c r="M22" s="90"/>
      <c r="N22" s="90"/>
      <c r="O22" s="90"/>
      <c r="P22" s="90"/>
      <c r="Q22" s="90"/>
      <c r="R22" s="90"/>
      <c r="S22" s="90"/>
      <c r="T22" s="90"/>
      <c r="U22" s="90"/>
      <c r="V22" s="90"/>
      <c r="W22" s="90"/>
      <c r="X22" s="90"/>
      <c r="Y22" s="90"/>
      <c r="Z22" s="90"/>
      <c r="AA22" s="90"/>
      <c r="AB22" s="90"/>
      <c r="AC22" s="90"/>
      <c r="AD22" s="90"/>
      <c r="AE22" s="90"/>
      <c r="AF22" s="90"/>
      <c r="AG22" s="90"/>
      <c r="AH22" s="90"/>
      <c r="AI22" s="90"/>
      <c r="AJ22" s="90"/>
      <c r="AK22" s="90"/>
      <c r="AL22" s="90"/>
      <c r="AM22" s="90"/>
      <c r="AN22" s="90"/>
      <c r="AO22" s="90"/>
      <c r="AP22" s="90"/>
      <c r="AQ22" s="90"/>
      <c r="AR22" s="90"/>
      <c r="AS22" s="90"/>
      <c r="AT22" s="90"/>
      <c r="AU22" s="90"/>
      <c r="AV22" s="90"/>
      <c r="AW22" s="90"/>
      <c r="AX22" s="90"/>
      <c r="AY22" s="90"/>
      <c r="AZ22" s="90"/>
      <c r="BA22" s="90"/>
      <c r="BB22" s="90"/>
      <c r="BC22" s="90"/>
      <c r="BD22" s="90"/>
      <c r="BE22" s="90"/>
      <c r="BF22" s="90"/>
      <c r="BG22" s="90"/>
      <c r="BH22" s="90"/>
      <c r="BI22" s="90"/>
      <c r="BJ22" s="90"/>
      <c r="BK22" s="90"/>
      <c r="BL22" s="90"/>
      <c r="BM22" s="90"/>
      <c r="BN22" s="90"/>
      <c r="BO22" s="90"/>
      <c r="BP22" s="376">
        <f t="shared" si="51"/>
        <v>0</v>
      </c>
      <c r="BR22" s="74"/>
      <c r="BS22" s="74"/>
      <c r="BU22" s="36"/>
    </row>
    <row r="23" spans="1:113" s="91" customFormat="1">
      <c r="A23" s="386"/>
      <c r="B23" s="90"/>
      <c r="C23" s="90"/>
      <c r="D23" s="90"/>
      <c r="E23" s="90"/>
      <c r="F23" s="90"/>
      <c r="G23" s="90"/>
      <c r="H23" s="90"/>
      <c r="I23" s="90"/>
      <c r="J23" s="90"/>
      <c r="K23" s="90"/>
      <c r="L23" s="90"/>
      <c r="M23" s="90"/>
      <c r="N23" s="90"/>
      <c r="O23" s="90"/>
      <c r="P23" s="90"/>
      <c r="Q23" s="90"/>
      <c r="R23" s="90"/>
      <c r="S23" s="90"/>
      <c r="T23" s="90"/>
      <c r="U23" s="90"/>
      <c r="V23" s="90"/>
      <c r="W23" s="90"/>
      <c r="X23" s="90"/>
      <c r="Y23" s="90"/>
      <c r="Z23" s="90"/>
      <c r="AA23" s="90"/>
      <c r="AB23" s="90"/>
      <c r="AC23" s="90"/>
      <c r="AD23" s="90"/>
      <c r="AE23" s="90"/>
      <c r="AF23" s="90"/>
      <c r="AG23" s="90"/>
      <c r="AH23" s="90"/>
      <c r="AI23" s="90"/>
      <c r="AJ23" s="90"/>
      <c r="AK23" s="90"/>
      <c r="AL23" s="90"/>
      <c r="AM23" s="90"/>
      <c r="AN23" s="90"/>
      <c r="AO23" s="90"/>
      <c r="AP23" s="90"/>
      <c r="AQ23" s="90"/>
      <c r="AR23" s="90"/>
      <c r="AS23" s="90"/>
      <c r="AT23" s="90"/>
      <c r="AU23" s="90"/>
      <c r="AV23" s="90"/>
      <c r="AW23" s="90"/>
      <c r="AX23" s="90"/>
      <c r="AY23" s="90"/>
      <c r="AZ23" s="90"/>
      <c r="BA23" s="90"/>
      <c r="BB23" s="90"/>
      <c r="BC23" s="90"/>
      <c r="BD23" s="90"/>
      <c r="BE23" s="90"/>
      <c r="BF23" s="90"/>
      <c r="BG23" s="90"/>
      <c r="BH23" s="90"/>
      <c r="BI23" s="90"/>
      <c r="BJ23" s="90"/>
      <c r="BK23" s="90"/>
      <c r="BL23" s="90"/>
      <c r="BM23" s="90"/>
      <c r="BN23" s="90"/>
      <c r="BO23" s="90"/>
      <c r="BP23" s="376">
        <f t="shared" si="51"/>
        <v>0</v>
      </c>
      <c r="BQ23" s="302"/>
      <c r="BR23" s="74"/>
      <c r="BT23" s="398"/>
      <c r="BU23" s="36"/>
    </row>
    <row r="24" spans="1:113" s="91" customFormat="1">
      <c r="A24" s="386"/>
      <c r="B24" s="90"/>
      <c r="C24" s="90"/>
      <c r="D24" s="90"/>
      <c r="E24" s="90"/>
      <c r="F24" s="90"/>
      <c r="G24" s="90"/>
      <c r="H24" s="90"/>
      <c r="I24" s="90"/>
      <c r="J24" s="90"/>
      <c r="K24" s="90"/>
      <c r="L24" s="90"/>
      <c r="M24" s="90"/>
      <c r="N24" s="90"/>
      <c r="O24" s="90"/>
      <c r="P24" s="90"/>
      <c r="Q24" s="90"/>
      <c r="R24" s="90"/>
      <c r="S24" s="90"/>
      <c r="T24" s="90"/>
      <c r="U24" s="90"/>
      <c r="V24" s="90"/>
      <c r="W24" s="90"/>
      <c r="X24" s="90"/>
      <c r="Y24" s="90"/>
      <c r="Z24" s="90"/>
      <c r="AA24" s="90"/>
      <c r="AB24" s="90"/>
      <c r="AC24" s="90"/>
      <c r="AD24" s="90"/>
      <c r="AE24" s="90"/>
      <c r="AF24" s="90"/>
      <c r="AG24" s="90"/>
      <c r="AH24" s="90"/>
      <c r="AI24" s="90"/>
      <c r="AJ24" s="90"/>
      <c r="AK24" s="90"/>
      <c r="AL24" s="90"/>
      <c r="AM24" s="90"/>
      <c r="AN24" s="90"/>
      <c r="AO24" s="90"/>
      <c r="AP24" s="90"/>
      <c r="AQ24" s="90"/>
      <c r="AR24" s="90"/>
      <c r="AS24" s="90"/>
      <c r="AT24" s="90"/>
      <c r="AU24" s="90"/>
      <c r="AV24" s="90"/>
      <c r="AW24" s="90"/>
      <c r="AX24" s="90"/>
      <c r="AY24" s="90"/>
      <c r="AZ24" s="90"/>
      <c r="BA24" s="90"/>
      <c r="BB24" s="90"/>
      <c r="BC24" s="90"/>
      <c r="BD24" s="90"/>
      <c r="BE24" s="90"/>
      <c r="BF24" s="90"/>
      <c r="BG24" s="90"/>
      <c r="BH24" s="90"/>
      <c r="BI24" s="90"/>
      <c r="BJ24" s="90"/>
      <c r="BK24" s="90"/>
      <c r="BL24" s="90"/>
      <c r="BM24" s="90"/>
      <c r="BN24" s="90"/>
      <c r="BO24" s="90"/>
      <c r="BP24" s="376">
        <f t="shared" si="51"/>
        <v>0</v>
      </c>
      <c r="BQ24" s="302"/>
      <c r="BR24" s="74"/>
      <c r="BU24" s="36"/>
    </row>
    <row r="25" spans="1:113" s="91" customFormat="1">
      <c r="A25" s="386"/>
      <c r="B25" s="204"/>
      <c r="C25" s="204"/>
      <c r="D25" s="204"/>
      <c r="E25" s="204"/>
      <c r="F25" s="204"/>
      <c r="G25" s="204"/>
      <c r="H25" s="204"/>
      <c r="I25" s="204"/>
      <c r="J25" s="204"/>
      <c r="K25" s="204"/>
      <c r="L25" s="204"/>
      <c r="M25" s="204"/>
      <c r="N25" s="204"/>
      <c r="O25" s="204"/>
      <c r="P25" s="204"/>
      <c r="Q25" s="204"/>
      <c r="R25" s="204"/>
      <c r="S25" s="204"/>
      <c r="T25" s="204"/>
      <c r="U25" s="204"/>
      <c r="V25" s="204"/>
      <c r="W25" s="204"/>
      <c r="X25" s="204"/>
      <c r="Y25" s="204"/>
      <c r="Z25" s="204"/>
      <c r="AA25" s="204"/>
      <c r="AB25" s="204"/>
      <c r="AC25" s="204"/>
      <c r="AD25" s="204"/>
      <c r="AE25" s="204"/>
      <c r="AF25" s="204"/>
      <c r="AG25" s="204"/>
      <c r="AH25" s="204"/>
      <c r="AI25" s="204"/>
      <c r="AJ25" s="203"/>
      <c r="AK25" s="203"/>
      <c r="AL25" s="203"/>
      <c r="AM25" s="203"/>
      <c r="AN25" s="203"/>
      <c r="AO25" s="203"/>
      <c r="AP25" s="203"/>
      <c r="AQ25" s="203"/>
      <c r="AR25" s="203"/>
      <c r="AS25" s="203"/>
      <c r="AT25" s="90"/>
      <c r="AU25" s="90"/>
      <c r="AV25" s="90"/>
      <c r="AW25" s="90"/>
      <c r="AX25" s="90"/>
      <c r="AY25" s="90"/>
      <c r="AZ25" s="90"/>
      <c r="BA25" s="90"/>
      <c r="BB25" s="90"/>
      <c r="BC25" s="90"/>
      <c r="BD25" s="90"/>
      <c r="BE25" s="90"/>
      <c r="BF25" s="90"/>
      <c r="BG25" s="90"/>
      <c r="BH25" s="90"/>
      <c r="BI25" s="90"/>
      <c r="BJ25" s="90"/>
      <c r="BK25" s="90"/>
      <c r="BL25" s="90"/>
      <c r="BM25" s="90"/>
      <c r="BN25" s="90"/>
      <c r="BO25" s="90"/>
      <c r="BP25" s="376">
        <f t="shared" si="51"/>
        <v>0</v>
      </c>
      <c r="BQ25" s="302"/>
      <c r="BR25" s="74"/>
      <c r="BT25" s="398"/>
      <c r="BU25" s="17"/>
    </row>
    <row r="26" spans="1:113" s="91" customFormat="1">
      <c r="A26" s="386"/>
      <c r="B26" s="89"/>
      <c r="C26" s="89"/>
      <c r="D26" s="89"/>
      <c r="E26" s="89"/>
      <c r="F26" s="89"/>
      <c r="G26" s="89"/>
      <c r="H26" s="89"/>
      <c r="I26" s="89"/>
      <c r="J26" s="89"/>
      <c r="K26" s="89"/>
      <c r="L26" s="89"/>
      <c r="M26" s="89"/>
      <c r="N26" s="89"/>
      <c r="O26" s="89"/>
      <c r="P26" s="89"/>
      <c r="Q26" s="89"/>
      <c r="R26" s="89"/>
      <c r="S26" s="89"/>
      <c r="T26" s="89"/>
      <c r="U26" s="89"/>
      <c r="V26" s="89"/>
      <c r="W26" s="89"/>
      <c r="X26" s="89"/>
      <c r="Y26" s="89"/>
      <c r="Z26" s="89"/>
      <c r="AA26" s="89"/>
      <c r="AB26" s="89"/>
      <c r="AC26" s="89"/>
      <c r="AD26" s="89"/>
      <c r="AE26" s="89"/>
      <c r="AF26" s="89"/>
      <c r="AG26" s="89"/>
      <c r="AH26" s="89"/>
      <c r="AI26" s="89"/>
      <c r="AJ26" s="89"/>
      <c r="AK26" s="89"/>
      <c r="AL26" s="89"/>
      <c r="AM26" s="89"/>
      <c r="AN26" s="89"/>
      <c r="AO26" s="89"/>
      <c r="AP26" s="89"/>
      <c r="AQ26" s="89"/>
      <c r="AR26" s="89"/>
      <c r="AS26" s="89"/>
      <c r="AT26" s="90"/>
      <c r="AU26" s="90"/>
      <c r="AV26" s="90"/>
      <c r="AW26" s="90"/>
      <c r="AX26" s="90"/>
      <c r="AY26" s="90"/>
      <c r="AZ26" s="90"/>
      <c r="BA26" s="90"/>
      <c r="BB26" s="90"/>
      <c r="BC26" s="90"/>
      <c r="BD26" s="90"/>
      <c r="BE26" s="90"/>
      <c r="BF26" s="90"/>
      <c r="BG26" s="90"/>
      <c r="BH26" s="90"/>
      <c r="BI26" s="90"/>
      <c r="BJ26" s="90"/>
      <c r="BK26" s="90"/>
      <c r="BL26" s="90"/>
      <c r="BM26" s="90"/>
      <c r="BN26" s="90"/>
      <c r="BO26" s="90"/>
      <c r="BP26" s="376">
        <f t="shared" si="51"/>
        <v>0</v>
      </c>
      <c r="BQ26" s="302"/>
      <c r="BR26" s="74"/>
      <c r="BU26" s="17"/>
    </row>
    <row r="27" spans="1:113" s="91" customFormat="1">
      <c r="A27" s="386"/>
      <c r="B27" s="89"/>
      <c r="C27" s="89"/>
      <c r="D27" s="89"/>
      <c r="E27" s="89"/>
      <c r="F27" s="89"/>
      <c r="G27" s="89"/>
      <c r="H27" s="90"/>
      <c r="I27" s="90"/>
      <c r="J27" s="90"/>
      <c r="K27" s="90"/>
      <c r="L27" s="90"/>
      <c r="M27" s="90"/>
      <c r="N27" s="90"/>
      <c r="O27" s="90"/>
      <c r="P27" s="90"/>
      <c r="Q27" s="90"/>
      <c r="R27" s="90"/>
      <c r="S27" s="90"/>
      <c r="T27" s="90"/>
      <c r="U27" s="90"/>
      <c r="V27" s="90"/>
      <c r="W27" s="90"/>
      <c r="X27" s="90"/>
      <c r="Y27" s="90"/>
      <c r="Z27" s="90"/>
      <c r="AA27" s="90"/>
      <c r="AB27" s="90"/>
      <c r="AC27" s="90"/>
      <c r="AD27" s="90"/>
      <c r="AE27" s="90"/>
      <c r="AF27" s="90"/>
      <c r="AG27" s="90"/>
      <c r="AH27" s="90"/>
      <c r="AI27" s="90"/>
      <c r="AJ27" s="90"/>
      <c r="AK27" s="90"/>
      <c r="AL27" s="90"/>
      <c r="AM27" s="90"/>
      <c r="AN27" s="90"/>
      <c r="AO27" s="90"/>
      <c r="AP27" s="90"/>
      <c r="AQ27" s="90"/>
      <c r="AR27" s="90"/>
      <c r="AS27" s="90"/>
      <c r="AT27" s="90"/>
      <c r="AU27" s="90"/>
      <c r="AV27" s="90"/>
      <c r="AW27" s="90"/>
      <c r="AX27" s="90"/>
      <c r="AY27" s="90"/>
      <c r="AZ27" s="90"/>
      <c r="BA27" s="90"/>
      <c r="BB27" s="90"/>
      <c r="BC27" s="90"/>
      <c r="BD27" s="90"/>
      <c r="BE27" s="90"/>
      <c r="BF27" s="90"/>
      <c r="BG27" s="90"/>
      <c r="BH27" s="90"/>
      <c r="BI27" s="90"/>
      <c r="BJ27" s="90"/>
      <c r="BK27" s="90"/>
      <c r="BL27" s="90"/>
      <c r="BM27" s="90"/>
      <c r="BN27" s="90"/>
      <c r="BO27" s="90"/>
      <c r="BP27" s="376">
        <f t="shared" si="51"/>
        <v>0</v>
      </c>
      <c r="BQ27" s="302"/>
      <c r="BR27" s="74"/>
      <c r="BT27" s="398"/>
      <c r="BU27" s="17"/>
    </row>
    <row r="28" spans="1:113" s="91" customFormat="1">
      <c r="A28" s="103"/>
      <c r="B28" s="89"/>
      <c r="C28" s="89"/>
      <c r="D28" s="89"/>
      <c r="E28" s="89"/>
      <c r="F28" s="89"/>
      <c r="G28" s="89"/>
      <c r="H28" s="90"/>
      <c r="I28" s="90"/>
      <c r="J28" s="90"/>
      <c r="K28" s="90"/>
      <c r="L28" s="90"/>
      <c r="M28" s="90"/>
      <c r="N28" s="90"/>
      <c r="O28" s="90"/>
      <c r="P28" s="90"/>
      <c r="Q28" s="90"/>
      <c r="R28" s="90"/>
      <c r="S28" s="90"/>
      <c r="T28" s="90"/>
      <c r="U28" s="90"/>
      <c r="V28" s="90"/>
      <c r="W28" s="90"/>
      <c r="X28" s="90"/>
      <c r="Y28" s="90"/>
      <c r="Z28" s="90"/>
      <c r="AA28" s="90"/>
      <c r="AB28" s="90"/>
      <c r="AC28" s="90"/>
      <c r="AD28" s="90"/>
      <c r="AE28" s="90"/>
      <c r="AF28" s="90"/>
      <c r="AG28" s="90"/>
      <c r="AH28" s="90"/>
      <c r="AI28" s="90"/>
      <c r="AJ28" s="90"/>
      <c r="AK28" s="90"/>
      <c r="AL28" s="90"/>
      <c r="AM28" s="90"/>
      <c r="AN28" s="90"/>
      <c r="AO28" s="90"/>
      <c r="AP28" s="90"/>
      <c r="AQ28" s="90"/>
      <c r="AR28" s="90"/>
      <c r="AS28" s="90"/>
      <c r="AT28" s="90"/>
      <c r="AU28" s="90"/>
      <c r="AV28" s="90"/>
      <c r="AW28" s="90"/>
      <c r="AX28" s="90"/>
      <c r="AY28" s="90"/>
      <c r="AZ28" s="90"/>
      <c r="BA28" s="90"/>
      <c r="BB28" s="90"/>
      <c r="BC28" s="90"/>
      <c r="BD28" s="90"/>
      <c r="BE28" s="90"/>
      <c r="BF28" s="90"/>
      <c r="BG28" s="90"/>
      <c r="BH28" s="90"/>
      <c r="BI28" s="90"/>
      <c r="BJ28" s="90"/>
      <c r="BK28" s="90"/>
      <c r="BL28" s="90"/>
      <c r="BM28" s="90"/>
      <c r="BN28" s="90"/>
      <c r="BO28" s="90"/>
      <c r="BP28" s="376">
        <f t="shared" si="51"/>
        <v>0</v>
      </c>
      <c r="BQ28" s="413"/>
      <c r="BR28" s="392"/>
      <c r="BS28" s="389"/>
      <c r="BU28" s="17"/>
    </row>
    <row r="29" spans="1:113" ht="15.75" thickBot="1">
      <c r="A29" s="384" t="s">
        <v>376</v>
      </c>
      <c r="B29" s="381">
        <f>B20-B21</f>
        <v>8243836.1448843479</v>
      </c>
      <c r="C29" s="381">
        <f t="shared" ref="C29:T29" si="52">C20-C21</f>
        <v>133954515.3086729</v>
      </c>
      <c r="D29" s="381">
        <f t="shared" si="52"/>
        <v>22835043.652595341</v>
      </c>
      <c r="E29" s="381">
        <f t="shared" si="52"/>
        <v>4714192.2772886753</v>
      </c>
      <c r="F29" s="381">
        <f t="shared" si="52"/>
        <v>298808380.6299026</v>
      </c>
      <c r="G29" s="381">
        <f t="shared" si="52"/>
        <v>23395880.47252655</v>
      </c>
      <c r="H29" s="381">
        <f t="shared" si="52"/>
        <v>128241871.16665494</v>
      </c>
      <c r="I29" s="381">
        <f t="shared" si="52"/>
        <v>8516828.8515068293</v>
      </c>
      <c r="J29" s="381">
        <f t="shared" si="52"/>
        <v>5353445.6381173134</v>
      </c>
      <c r="K29" s="381">
        <f t="shared" si="52"/>
        <v>34490997.504032254</v>
      </c>
      <c r="L29" s="381">
        <f t="shared" si="52"/>
        <v>110260538.83291602</v>
      </c>
      <c r="M29" s="381">
        <f t="shared" si="52"/>
        <v>13789680.740173012</v>
      </c>
      <c r="N29" s="381">
        <f t="shared" si="52"/>
        <v>251825546.88983494</v>
      </c>
      <c r="O29" s="381">
        <f t="shared" si="52"/>
        <v>108107944.0206185</v>
      </c>
      <c r="P29" s="381">
        <f t="shared" si="52"/>
        <v>43092268.96619904</v>
      </c>
      <c r="Q29" s="381">
        <f t="shared" si="52"/>
        <v>300275341.65954638</v>
      </c>
      <c r="R29" s="381">
        <f t="shared" si="52"/>
        <v>514718577.01621616</v>
      </c>
      <c r="S29" s="381">
        <f t="shared" si="52"/>
        <v>218290864.50881302</v>
      </c>
      <c r="T29" s="381">
        <f t="shared" si="52"/>
        <v>188179006.80671966</v>
      </c>
      <c r="U29" s="381">
        <f>U20-U21</f>
        <v>67443391.609191179</v>
      </c>
      <c r="V29" s="381">
        <f t="shared" ref="V29:BO29" si="53">V20-V21</f>
        <v>10487120.133630931</v>
      </c>
      <c r="W29" s="381">
        <f t="shared" si="53"/>
        <v>126020972.951828</v>
      </c>
      <c r="X29" s="381">
        <f t="shared" si="53"/>
        <v>537953357.12639034</v>
      </c>
      <c r="Y29" s="381">
        <f t="shared" si="53"/>
        <v>137417515.19791663</v>
      </c>
      <c r="Z29" s="381">
        <f t="shared" si="53"/>
        <v>7015303.2695882022</v>
      </c>
      <c r="AA29" s="381">
        <f t="shared" si="53"/>
        <v>371452580.60767484</v>
      </c>
      <c r="AB29" s="381">
        <f t="shared" si="53"/>
        <v>303911448.34871793</v>
      </c>
      <c r="AC29" s="381">
        <f t="shared" si="53"/>
        <v>126510934.43878204</v>
      </c>
      <c r="AD29" s="381">
        <f t="shared" si="53"/>
        <v>245786981.42637032</v>
      </c>
      <c r="AE29" s="381">
        <f t="shared" si="53"/>
        <v>166304198.81757849</v>
      </c>
      <c r="AF29" s="381">
        <f t="shared" si="53"/>
        <v>260435173.20564932</v>
      </c>
      <c r="AG29" s="381">
        <f t="shared" si="53"/>
        <v>305360851.82280356</v>
      </c>
      <c r="AH29" s="381">
        <f t="shared" si="53"/>
        <v>71872252.584776998</v>
      </c>
      <c r="AI29" s="381">
        <f t="shared" si="53"/>
        <v>825634.88018429279</v>
      </c>
      <c r="AJ29" s="381">
        <f t="shared" si="53"/>
        <v>219161208.47311831</v>
      </c>
      <c r="AK29" s="381">
        <f t="shared" si="53"/>
        <v>72766088.951497674</v>
      </c>
      <c r="AL29" s="381">
        <f t="shared" si="53"/>
        <v>-1374269.6439130343</v>
      </c>
      <c r="AM29" s="381">
        <f t="shared" si="53"/>
        <v>484581083.60000002</v>
      </c>
      <c r="AN29" s="381">
        <f t="shared" si="53"/>
        <v>19152811.573815174</v>
      </c>
      <c r="AO29" s="381">
        <f t="shared" si="53"/>
        <v>243211428.27218109</v>
      </c>
      <c r="AP29" s="381">
        <f t="shared" si="53"/>
        <v>23539951.297204234</v>
      </c>
      <c r="AQ29" s="381">
        <f t="shared" si="53"/>
        <v>2906471.1078260876</v>
      </c>
      <c r="AR29" s="381">
        <f t="shared" si="53"/>
        <v>34192673.790924743</v>
      </c>
      <c r="AS29" s="381">
        <f t="shared" si="53"/>
        <v>91937511.491739154</v>
      </c>
      <c r="AT29" s="381">
        <f t="shared" si="53"/>
        <v>2227354.3300428428</v>
      </c>
      <c r="AU29" s="381">
        <f t="shared" si="53"/>
        <v>19288.022222222295</v>
      </c>
      <c r="AV29" s="381">
        <f t="shared" si="53"/>
        <v>2801375.0666666664</v>
      </c>
      <c r="AW29" s="381">
        <f t="shared" si="53"/>
        <v>386455.86666666623</v>
      </c>
      <c r="AX29" s="381">
        <f t="shared" si="53"/>
        <v>3402684.8988888897</v>
      </c>
      <c r="AY29" s="381">
        <f t="shared" si="53"/>
        <v>100759336.88010865</v>
      </c>
      <c r="AZ29" s="381">
        <f t="shared" si="53"/>
        <v>217691346.79716277</v>
      </c>
      <c r="BA29" s="381">
        <f t="shared" si="53"/>
        <v>78257891.799904048</v>
      </c>
      <c r="BB29" s="381">
        <f t="shared" si="53"/>
        <v>48670.921348314616</v>
      </c>
      <c r="BC29" s="381">
        <f t="shared" si="53"/>
        <v>205415005.91361484</v>
      </c>
      <c r="BD29" s="381">
        <f t="shared" ref="BD29:BJ29" si="54">BD20-BD21</f>
        <v>135099540.44086021</v>
      </c>
      <c r="BE29" s="381">
        <f t="shared" si="54"/>
        <v>65164790.497562371</v>
      </c>
      <c r="BF29" s="381">
        <f t="shared" si="54"/>
        <v>3726190.6700000018</v>
      </c>
      <c r="BG29" s="381">
        <f t="shared" si="54"/>
        <v>-29074.666666666672</v>
      </c>
      <c r="BH29" s="381">
        <f t="shared" si="54"/>
        <v>192055959.67073703</v>
      </c>
      <c r="BI29" s="381">
        <f t="shared" si="54"/>
        <v>349331958.58221298</v>
      </c>
      <c r="BJ29" s="381">
        <f t="shared" si="54"/>
        <v>1703973.7014034295</v>
      </c>
      <c r="BK29" s="381">
        <f t="shared" ref="BK29" si="55">BK20-BK21</f>
        <v>4789240.2420228422</v>
      </c>
      <c r="BL29" s="381">
        <f t="shared" ref="BL29:BM29" si="56">BL20-BL21</f>
        <v>161237507.38441333</v>
      </c>
      <c r="BM29" s="381">
        <f t="shared" si="56"/>
        <v>24025684.954234838</v>
      </c>
      <c r="BN29" s="381">
        <f t="shared" si="53"/>
        <v>0</v>
      </c>
      <c r="BO29" s="381">
        <f t="shared" si="53"/>
        <v>0</v>
      </c>
      <c r="BP29" s="375">
        <f t="shared" si="51"/>
        <v>7894082618.3961029</v>
      </c>
      <c r="BQ29" s="109"/>
      <c r="BR29" s="302"/>
      <c r="BS29" s="91"/>
      <c r="BT29" s="398"/>
      <c r="BU29" s="16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DI29"/>
    </row>
    <row r="30" spans="1:113" s="175" customFormat="1" ht="15.75" thickTop="1">
      <c r="A30" s="400"/>
      <c r="BY30" s="234"/>
      <c r="BZ30" s="234"/>
      <c r="CA30" s="401"/>
    </row>
    <row r="31" spans="1:113" s="175" customFormat="1">
      <c r="A31" s="400"/>
      <c r="B31" s="400"/>
      <c r="C31" s="400"/>
      <c r="D31" s="400"/>
      <c r="E31" s="400"/>
      <c r="F31" s="400"/>
      <c r="G31" s="400"/>
      <c r="H31" s="400"/>
      <c r="I31" s="400"/>
      <c r="J31" s="400"/>
      <c r="K31" s="400"/>
      <c r="L31" s="400"/>
      <c r="M31" s="400"/>
      <c r="N31" s="400"/>
      <c r="O31" s="400"/>
      <c r="P31" s="400"/>
      <c r="Q31" s="400"/>
      <c r="R31" s="400"/>
      <c r="S31" s="400"/>
      <c r="T31" s="400"/>
      <c r="U31" s="400"/>
      <c r="V31" s="400"/>
      <c r="W31" s="400"/>
      <c r="X31" s="400"/>
      <c r="Y31" s="400"/>
      <c r="Z31" s="400"/>
      <c r="AA31" s="400"/>
      <c r="AB31" s="400"/>
      <c r="AC31" s="400"/>
      <c r="AD31" s="400"/>
      <c r="AE31" s="400"/>
      <c r="AF31" s="400"/>
      <c r="AG31" s="400"/>
      <c r="AH31" s="400"/>
      <c r="AI31" s="400"/>
      <c r="AJ31" s="400"/>
      <c r="AK31" s="400"/>
      <c r="AL31" s="400"/>
      <c r="AM31" s="400"/>
      <c r="AN31" s="400"/>
      <c r="AO31" s="400"/>
      <c r="AP31" s="400"/>
      <c r="AQ31" s="400"/>
      <c r="AR31" s="400"/>
      <c r="AS31" s="400"/>
      <c r="AT31" s="400"/>
      <c r="AU31" s="400"/>
      <c r="AV31" s="400"/>
      <c r="AW31" s="400"/>
      <c r="AX31" s="400"/>
      <c r="AY31" s="400"/>
      <c r="AZ31" s="400"/>
      <c r="BA31" s="400"/>
      <c r="BB31" s="400"/>
      <c r="BC31" s="400"/>
      <c r="BD31" s="400"/>
      <c r="BE31" s="400"/>
      <c r="BF31" s="400"/>
      <c r="BG31" s="400"/>
      <c r="BH31" s="400"/>
      <c r="BI31" s="400"/>
      <c r="BJ31" s="400"/>
      <c r="BK31" s="400"/>
      <c r="BL31" s="400"/>
      <c r="BM31" s="400"/>
      <c r="BN31" s="400"/>
      <c r="BO31" s="400"/>
      <c r="BP31" s="400"/>
      <c r="BQ31" s="400"/>
      <c r="BR31" s="400"/>
      <c r="BS31" s="400"/>
      <c r="BT31" s="400"/>
      <c r="BU31" s="400"/>
      <c r="BV31" s="400"/>
      <c r="BW31" s="400"/>
      <c r="BX31" s="400"/>
      <c r="BY31" s="234"/>
      <c r="BZ31" s="234"/>
      <c r="CA31" s="401"/>
    </row>
    <row r="32" spans="1:113">
      <c r="A32" s="79" t="s">
        <v>33</v>
      </c>
      <c r="B32" s="473">
        <v>44927</v>
      </c>
      <c r="C32" s="473">
        <v>44958</v>
      </c>
      <c r="D32" s="437">
        <v>44986</v>
      </c>
      <c r="E32" s="473">
        <v>45017</v>
      </c>
      <c r="F32" s="437">
        <v>45047</v>
      </c>
      <c r="G32" s="473">
        <v>45078</v>
      </c>
      <c r="H32" s="437">
        <v>45108</v>
      </c>
      <c r="I32" s="473">
        <v>45139</v>
      </c>
      <c r="J32" s="437">
        <v>45170</v>
      </c>
      <c r="K32" s="473">
        <v>45200</v>
      </c>
      <c r="L32" s="437">
        <v>45231</v>
      </c>
      <c r="M32" s="473">
        <v>45261</v>
      </c>
      <c r="N32" s="469" t="s">
        <v>15</v>
      </c>
      <c r="O32" s="297"/>
      <c r="P32" s="359"/>
      <c r="Q32" s="288"/>
      <c r="R32" s="362"/>
      <c r="S32" s="208"/>
      <c r="T32" s="43"/>
      <c r="U32" s="43"/>
      <c r="V32" s="397"/>
      <c r="W32" s="43"/>
      <c r="X32" s="43"/>
      <c r="Y32" s="43"/>
      <c r="Z32" s="43"/>
      <c r="AA32" s="43"/>
      <c r="AB32" s="43"/>
      <c r="AC32" s="43"/>
      <c r="AD32" s="43"/>
      <c r="AE32" s="43"/>
      <c r="AF32" s="43"/>
      <c r="AG32" s="43"/>
      <c r="AH32" s="43"/>
      <c r="AI32" s="43"/>
      <c r="AJ32" s="288"/>
      <c r="AK32" s="43"/>
      <c r="AL32" s="43"/>
      <c r="AM32" s="43"/>
      <c r="AN32" s="43"/>
      <c r="AO32" s="43"/>
      <c r="AP32" s="43"/>
      <c r="AQ32" s="43"/>
      <c r="AR32" s="43"/>
      <c r="AS32" s="43"/>
      <c r="AT32" s="43"/>
      <c r="AU32" s="43"/>
      <c r="AV32" s="43"/>
      <c r="AW32" s="43"/>
      <c r="AX32" s="43"/>
      <c r="AY32" s="43"/>
      <c r="AZ32" s="43"/>
      <c r="BA32" s="43"/>
      <c r="BB32" s="43"/>
      <c r="BC32" s="43"/>
      <c r="BD32" s="399"/>
      <c r="BE32" s="43"/>
      <c r="BF32" s="43"/>
      <c r="BG32" s="43"/>
      <c r="BH32" s="43"/>
      <c r="BI32" s="43"/>
      <c r="BJ32" s="43"/>
      <c r="BK32" s="43"/>
      <c r="BL32" s="43"/>
      <c r="BM32" s="43"/>
      <c r="BN32" s="43"/>
      <c r="BO32" s="43"/>
      <c r="BP32" s="288"/>
      <c r="BQ32" s="43"/>
      <c r="BR32" s="43"/>
      <c r="BS32" s="43"/>
      <c r="BT32" s="43"/>
      <c r="BU32" s="43"/>
      <c r="BV32" s="43"/>
      <c r="BW32" s="43"/>
      <c r="BX32" s="43"/>
      <c r="BY32" s="399"/>
      <c r="BZ32" s="43"/>
      <c r="CA32" s="43"/>
      <c r="CB32" s="43"/>
      <c r="CC32" s="43"/>
      <c r="CD32" s="43"/>
      <c r="CE32" s="43"/>
      <c r="CF32" s="43"/>
      <c r="CG32" s="302"/>
      <c r="CH32" s="74"/>
      <c r="CI32" s="91"/>
      <c r="CJ32" s="91"/>
      <c r="CK32" s="434"/>
    </row>
    <row r="33" spans="1:113" ht="15.75" thickBot="1">
      <c r="A33" s="80" t="s">
        <v>34</v>
      </c>
      <c r="B33" s="438"/>
      <c r="C33" s="438"/>
      <c r="D33" s="438"/>
      <c r="E33" s="438"/>
      <c r="F33" s="438"/>
      <c r="G33" s="438"/>
      <c r="H33" s="438"/>
      <c r="I33" s="438"/>
      <c r="J33" s="438"/>
      <c r="K33" s="438"/>
      <c r="L33" s="438"/>
      <c r="M33" s="438"/>
      <c r="N33" s="470"/>
      <c r="O33" s="297"/>
      <c r="P33" s="359"/>
      <c r="Q33" s="288"/>
      <c r="R33" s="362"/>
      <c r="S33" s="208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3"/>
      <c r="AI33" s="43"/>
      <c r="AJ33" s="43"/>
      <c r="AK33" s="43"/>
      <c r="AL33" s="43"/>
      <c r="AM33" s="43"/>
      <c r="AN33" s="288"/>
      <c r="AO33" s="43"/>
      <c r="AP33" s="43"/>
      <c r="AQ33" s="43"/>
      <c r="AR33" s="43"/>
      <c r="AS33" s="43"/>
      <c r="AT33" s="43"/>
      <c r="AU33" s="43"/>
      <c r="AV33" s="43"/>
      <c r="AW33" s="43"/>
      <c r="AX33" s="43"/>
      <c r="AY33" s="43"/>
      <c r="AZ33" s="43"/>
      <c r="BA33" s="43"/>
      <c r="BB33" s="43"/>
      <c r="BC33" s="43"/>
      <c r="BD33" s="43"/>
      <c r="BE33" s="43"/>
      <c r="BF33" s="43"/>
      <c r="BG33" s="43"/>
      <c r="BH33" s="43"/>
      <c r="BI33" s="43"/>
      <c r="BJ33" s="43"/>
      <c r="BK33" s="43"/>
      <c r="BL33" s="43"/>
      <c r="BM33" s="43"/>
      <c r="BN33" s="43"/>
      <c r="BO33" s="43"/>
      <c r="BP33" s="288"/>
      <c r="BQ33" s="43"/>
      <c r="BR33" s="43"/>
      <c r="BS33" s="43"/>
      <c r="BT33" s="43"/>
      <c r="BU33" s="43"/>
      <c r="BV33" s="43"/>
      <c r="BW33" s="43"/>
      <c r="BX33" s="43"/>
      <c r="BY33" s="43"/>
      <c r="BZ33" s="43"/>
      <c r="CA33" s="43"/>
      <c r="CB33" s="43"/>
      <c r="CC33" s="43"/>
      <c r="CD33" s="43"/>
      <c r="CE33" s="43"/>
      <c r="CF33" s="43"/>
      <c r="CG33" s="302"/>
      <c r="CH33" s="74"/>
      <c r="CI33" s="91"/>
      <c r="CJ33" s="91"/>
      <c r="CK33" s="434"/>
    </row>
    <row r="34" spans="1:113" ht="18.75" thickTop="1">
      <c r="A34" s="81" t="s">
        <v>35</v>
      </c>
      <c r="B34" s="82"/>
      <c r="C34" s="82"/>
      <c r="D34" s="82"/>
      <c r="E34" s="82"/>
      <c r="F34" s="336"/>
      <c r="G34" s="82"/>
      <c r="H34" s="82"/>
      <c r="I34" s="82"/>
      <c r="J34" s="82"/>
      <c r="K34" s="82"/>
      <c r="L34" s="82"/>
      <c r="M34" s="82"/>
      <c r="N34" s="283"/>
      <c r="O34" s="297"/>
      <c r="P34" s="359"/>
      <c r="Q34" s="288"/>
      <c r="R34" s="362"/>
      <c r="S34" s="208"/>
      <c r="T34" s="43"/>
      <c r="U34" s="281"/>
      <c r="V34" s="43"/>
      <c r="W34" s="43"/>
      <c r="X34" s="43"/>
      <c r="Y34" s="43"/>
      <c r="Z34" s="43"/>
      <c r="AA34" s="43"/>
      <c r="AB34" s="43"/>
      <c r="AC34" s="43"/>
      <c r="AD34" s="43"/>
      <c r="AE34" s="43"/>
      <c r="AF34" s="43"/>
      <c r="AG34" s="43"/>
      <c r="AH34" s="43"/>
      <c r="AI34" s="43"/>
      <c r="AJ34" s="399"/>
      <c r="AK34" s="43"/>
      <c r="AL34" s="43"/>
      <c r="AM34" s="43"/>
      <c r="AN34" s="288"/>
      <c r="AO34" s="43"/>
      <c r="AP34" s="43"/>
      <c r="AQ34" s="43"/>
      <c r="AR34" s="43"/>
      <c r="AS34" s="43"/>
      <c r="AT34" s="43"/>
      <c r="AU34" s="43"/>
      <c r="AV34" s="43"/>
      <c r="AW34" s="43"/>
      <c r="AX34" s="411"/>
      <c r="AY34" s="288"/>
      <c r="AZ34" s="43"/>
      <c r="BA34" s="43"/>
      <c r="BB34" s="43"/>
      <c r="BC34" s="43"/>
      <c r="BD34" s="43"/>
      <c r="BE34" s="43"/>
      <c r="BF34" s="43"/>
      <c r="BG34" s="43"/>
      <c r="BH34" s="43"/>
      <c r="BI34" s="43"/>
      <c r="BJ34" s="43"/>
      <c r="BK34" s="43"/>
      <c r="BL34" s="43"/>
      <c r="BM34" s="43"/>
      <c r="BN34" s="43"/>
      <c r="BO34" s="43"/>
      <c r="BP34" s="288"/>
      <c r="BQ34" s="43"/>
      <c r="BR34" s="43"/>
      <c r="BS34" s="43"/>
      <c r="BT34" s="43"/>
      <c r="BU34" s="43"/>
      <c r="BV34" s="43"/>
      <c r="BW34" s="43"/>
      <c r="BX34" s="43"/>
      <c r="BY34" s="367"/>
      <c r="BZ34" s="43"/>
      <c r="CA34" s="43"/>
      <c r="CB34" s="43"/>
      <c r="CC34" s="43"/>
      <c r="CD34" s="43"/>
      <c r="CE34" s="43"/>
      <c r="CF34" s="43"/>
      <c r="CG34" s="43"/>
      <c r="CH34" s="43"/>
      <c r="CI34" s="43"/>
      <c r="CJ34" s="43"/>
      <c r="CK34" s="43"/>
    </row>
    <row r="35" spans="1:113" ht="15" customHeight="1">
      <c r="A35" s="304" t="s">
        <v>266</v>
      </c>
      <c r="B35" s="305"/>
      <c r="C35" s="305"/>
      <c r="D35" s="305"/>
      <c r="E35" s="305"/>
      <c r="F35" s="337"/>
      <c r="G35" s="305"/>
      <c r="H35" s="305"/>
      <c r="I35" s="305"/>
      <c r="J35" s="305"/>
      <c r="K35" s="305"/>
      <c r="L35" s="305"/>
      <c r="M35" s="306"/>
      <c r="N35" s="371">
        <f>SUM(B35:M35)</f>
        <v>0</v>
      </c>
      <c r="O35" s="393"/>
      <c r="P35" s="359"/>
      <c r="Q35" s="288"/>
      <c r="R35" s="362"/>
      <c r="S35" s="208"/>
      <c r="T35" s="12"/>
      <c r="U35" s="28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96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288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12"/>
      <c r="CF35" s="12"/>
      <c r="CG35" s="12"/>
      <c r="CH35" s="12"/>
      <c r="CI35" s="12"/>
      <c r="CJ35" s="12"/>
    </row>
    <row r="36" spans="1:113">
      <c r="A36" s="47" t="s">
        <v>267</v>
      </c>
      <c r="B36" s="305"/>
      <c r="C36" s="48"/>
      <c r="D36" s="48"/>
      <c r="E36" s="48"/>
      <c r="F36" s="263"/>
      <c r="G36" s="48"/>
      <c r="H36" s="48"/>
      <c r="I36" s="48"/>
      <c r="J36" s="48"/>
      <c r="K36" s="48"/>
      <c r="L36" s="48"/>
      <c r="M36" s="49"/>
      <c r="N36" s="372">
        <f t="shared" ref="N36:N99" si="57">SUM(B36:M36)</f>
        <v>0</v>
      </c>
      <c r="O36" s="393"/>
      <c r="P36" s="359"/>
      <c r="Q36" s="288"/>
      <c r="R36" s="362"/>
      <c r="S36" s="208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12"/>
      <c r="CF36" s="12"/>
      <c r="CG36" s="12"/>
      <c r="CH36" s="12"/>
      <c r="CI36" s="12"/>
      <c r="CJ36" s="12"/>
    </row>
    <row r="37" spans="1:113">
      <c r="A37" s="47" t="s">
        <v>268</v>
      </c>
      <c r="B37" s="305"/>
      <c r="C37" s="48"/>
      <c r="D37" s="48"/>
      <c r="E37" s="48"/>
      <c r="F37" s="263"/>
      <c r="G37" s="48"/>
      <c r="H37" s="48"/>
      <c r="I37" s="48"/>
      <c r="J37" s="109"/>
      <c r="K37" s="48"/>
      <c r="L37" s="48"/>
      <c r="M37" s="49"/>
      <c r="N37" s="372">
        <f t="shared" si="57"/>
        <v>0</v>
      </c>
      <c r="O37" s="393"/>
      <c r="P37" s="359"/>
      <c r="Q37" s="288"/>
      <c r="R37" s="362"/>
      <c r="S37" s="208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12"/>
      <c r="CF37" s="12"/>
      <c r="CG37" s="12"/>
      <c r="CH37" s="12"/>
      <c r="CI37" s="12"/>
      <c r="CJ37" s="12"/>
    </row>
    <row r="38" spans="1:113">
      <c r="A38" s="47" t="s">
        <v>269</v>
      </c>
      <c r="B38" s="305"/>
      <c r="C38" s="48"/>
      <c r="D38" s="48"/>
      <c r="E38" s="48"/>
      <c r="F38" s="263"/>
      <c r="G38" s="48"/>
      <c r="H38" s="48"/>
      <c r="I38" s="48"/>
      <c r="J38" s="48"/>
      <c r="K38" s="48"/>
      <c r="L38" s="48"/>
      <c r="M38" s="49"/>
      <c r="N38" s="372">
        <f t="shared" si="57"/>
        <v>0</v>
      </c>
      <c r="O38" s="393"/>
      <c r="P38" s="359"/>
      <c r="Q38" s="288"/>
      <c r="R38" s="362"/>
      <c r="S38" s="208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12"/>
      <c r="BF38" s="12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12"/>
      <c r="CF38" s="12"/>
      <c r="CG38" s="12"/>
      <c r="CH38" s="12"/>
      <c r="CI38" s="12"/>
      <c r="CJ38" s="12"/>
    </row>
    <row r="39" spans="1:113">
      <c r="A39" s="47" t="s">
        <v>270</v>
      </c>
      <c r="B39" s="305"/>
      <c r="C39" s="48"/>
      <c r="D39" s="48"/>
      <c r="E39" s="48"/>
      <c r="F39" s="263"/>
      <c r="G39" s="48"/>
      <c r="H39" s="48"/>
      <c r="I39" s="48"/>
      <c r="J39" s="48"/>
      <c r="K39" s="48"/>
      <c r="L39" s="48"/>
      <c r="M39" s="49"/>
      <c r="N39" s="372">
        <f t="shared" si="57"/>
        <v>0</v>
      </c>
      <c r="O39" s="393"/>
      <c r="P39" s="359"/>
      <c r="Q39" s="288"/>
      <c r="R39" s="362"/>
      <c r="S39" s="208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2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12"/>
      <c r="CF39" s="12"/>
      <c r="CG39" s="12"/>
      <c r="CH39" s="12"/>
      <c r="CI39" s="12"/>
      <c r="CJ39" s="12"/>
    </row>
    <row r="40" spans="1:113" ht="15" customHeight="1">
      <c r="A40" s="47" t="s">
        <v>271</v>
      </c>
      <c r="B40" s="305"/>
      <c r="C40" s="48"/>
      <c r="D40" s="48"/>
      <c r="E40" s="48"/>
      <c r="F40" s="263"/>
      <c r="G40" s="48"/>
      <c r="H40" s="48"/>
      <c r="I40" s="48"/>
      <c r="J40" s="48"/>
      <c r="K40" s="48"/>
      <c r="L40" s="48"/>
      <c r="M40" s="49"/>
      <c r="N40" s="372">
        <f>SUM(B40:M40)</f>
        <v>0</v>
      </c>
      <c r="O40" s="393"/>
      <c r="P40" s="359"/>
      <c r="Q40" s="288"/>
      <c r="R40" s="362"/>
      <c r="S40" s="208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12"/>
      <c r="CF40" s="12"/>
      <c r="CG40" s="12"/>
      <c r="CH40" s="12"/>
      <c r="CI40" s="12"/>
      <c r="CJ40" s="12"/>
    </row>
    <row r="41" spans="1:113" s="113" customFormat="1">
      <c r="A41" s="47" t="s">
        <v>272</v>
      </c>
      <c r="B41" s="305"/>
      <c r="C41" s="48"/>
      <c r="D41" s="48"/>
      <c r="E41" s="48"/>
      <c r="F41" s="263"/>
      <c r="G41" s="48"/>
      <c r="H41" s="48"/>
      <c r="I41" s="48"/>
      <c r="J41" s="48"/>
      <c r="K41" s="48"/>
      <c r="L41" s="48"/>
      <c r="M41" s="49"/>
      <c r="N41" s="372">
        <f t="shared" si="57"/>
        <v>0</v>
      </c>
      <c r="O41" s="393"/>
      <c r="P41" s="359"/>
      <c r="Q41" s="288"/>
      <c r="R41" s="362"/>
      <c r="S41" s="208"/>
      <c r="T41" s="12"/>
      <c r="U41" s="12"/>
      <c r="DI41" s="303"/>
    </row>
    <row r="42" spans="1:113" ht="15" customHeight="1">
      <c r="A42" s="47" t="s">
        <v>260</v>
      </c>
      <c r="B42" s="305"/>
      <c r="C42" s="48"/>
      <c r="D42" s="48"/>
      <c r="E42" s="48"/>
      <c r="F42" s="263"/>
      <c r="G42" s="48"/>
      <c r="H42" s="48"/>
      <c r="I42" s="48"/>
      <c r="J42" s="48"/>
      <c r="K42" s="48"/>
      <c r="L42" s="48"/>
      <c r="M42" s="49"/>
      <c r="N42" s="372">
        <f t="shared" si="57"/>
        <v>0</v>
      </c>
      <c r="O42" s="393"/>
      <c r="P42" s="359"/>
      <c r="Q42" s="288"/>
      <c r="R42" s="362"/>
      <c r="S42" s="208"/>
      <c r="T42" s="12"/>
      <c r="U42" s="1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</row>
    <row r="43" spans="1:113">
      <c r="A43" s="47" t="s">
        <v>292</v>
      </c>
      <c r="B43" s="305"/>
      <c r="C43" s="48"/>
      <c r="D43" s="48"/>
      <c r="E43" s="48"/>
      <c r="F43" s="263"/>
      <c r="G43" s="48"/>
      <c r="H43" s="48"/>
      <c r="I43" s="48"/>
      <c r="J43" s="48"/>
      <c r="K43" s="48"/>
      <c r="L43" s="48"/>
      <c r="M43" s="49"/>
      <c r="N43" s="372">
        <f t="shared" si="57"/>
        <v>0</v>
      </c>
      <c r="O43" s="393"/>
      <c r="P43" s="359"/>
      <c r="Q43" s="288"/>
      <c r="R43" s="362"/>
      <c r="S43" s="208"/>
      <c r="T43" s="12"/>
      <c r="U43" s="12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</row>
    <row r="44" spans="1:113">
      <c r="A44" s="47" t="s">
        <v>274</v>
      </c>
      <c r="B44" s="305"/>
      <c r="C44" s="48"/>
      <c r="D44" s="48"/>
      <c r="E44" s="48"/>
      <c r="F44" s="263"/>
      <c r="G44" s="48"/>
      <c r="H44" s="48"/>
      <c r="I44" s="48"/>
      <c r="J44" s="48"/>
      <c r="K44" s="48"/>
      <c r="L44" s="48"/>
      <c r="M44" s="49"/>
      <c r="N44" s="372">
        <f t="shared" si="57"/>
        <v>0</v>
      </c>
      <c r="O44" s="393"/>
      <c r="P44" s="359"/>
      <c r="Q44" s="288"/>
      <c r="R44" s="362"/>
      <c r="S44" s="208"/>
      <c r="T44" s="12"/>
      <c r="U44" s="12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</row>
    <row r="45" spans="1:113">
      <c r="A45" s="47" t="s">
        <v>286</v>
      </c>
      <c r="B45" s="305"/>
      <c r="C45" s="48"/>
      <c r="D45" s="48"/>
      <c r="E45" s="48"/>
      <c r="F45" s="263"/>
      <c r="G45" s="48"/>
      <c r="H45" s="48"/>
      <c r="I45" s="48"/>
      <c r="J45" s="48"/>
      <c r="K45" s="48"/>
      <c r="L45" s="48"/>
      <c r="M45" s="49"/>
      <c r="N45" s="372">
        <f t="shared" si="57"/>
        <v>0</v>
      </c>
      <c r="O45" s="393"/>
      <c r="P45" s="359"/>
      <c r="Q45" s="288"/>
      <c r="R45" s="362"/>
      <c r="S45" s="208"/>
      <c r="T45" s="12"/>
      <c r="U45" s="12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</row>
    <row r="46" spans="1:113">
      <c r="A46" s="47" t="s">
        <v>275</v>
      </c>
      <c r="B46" s="305"/>
      <c r="C46" s="48"/>
      <c r="D46" s="48"/>
      <c r="E46" s="48"/>
      <c r="F46" s="263"/>
      <c r="G46" s="48"/>
      <c r="H46" s="48"/>
      <c r="I46" s="48"/>
      <c r="J46" s="48"/>
      <c r="K46" s="48"/>
      <c r="L46" s="48"/>
      <c r="M46" s="49"/>
      <c r="N46" s="372">
        <f t="shared" si="57"/>
        <v>0</v>
      </c>
      <c r="O46" s="393"/>
      <c r="P46" s="359"/>
      <c r="Q46" s="288"/>
      <c r="R46" s="362"/>
      <c r="S46" s="208"/>
      <c r="T46" s="12"/>
      <c r="U46" s="12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</row>
    <row r="47" spans="1:113">
      <c r="A47" s="47" t="s">
        <v>342</v>
      </c>
      <c r="B47" s="305"/>
      <c r="C47" s="48"/>
      <c r="D47" s="48"/>
      <c r="E47" s="48"/>
      <c r="F47" s="263"/>
      <c r="G47" s="48"/>
      <c r="H47" s="48"/>
      <c r="I47" s="48"/>
      <c r="J47" s="48"/>
      <c r="K47" s="48"/>
      <c r="L47" s="48"/>
      <c r="M47" s="49"/>
      <c r="N47" s="372">
        <f t="shared" si="57"/>
        <v>0</v>
      </c>
      <c r="O47" s="393"/>
      <c r="P47" s="359"/>
      <c r="Q47" s="288"/>
      <c r="R47" s="362"/>
      <c r="S47" s="208"/>
      <c r="T47" s="12"/>
      <c r="U47" s="12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</row>
    <row r="48" spans="1:113">
      <c r="A48" s="47" t="s">
        <v>284</v>
      </c>
      <c r="B48" s="305"/>
      <c r="C48" s="48"/>
      <c r="D48" s="48"/>
      <c r="E48" s="48"/>
      <c r="F48" s="263"/>
      <c r="G48" s="48"/>
      <c r="H48" s="48"/>
      <c r="I48" s="48"/>
      <c r="J48" s="48"/>
      <c r="K48" s="48"/>
      <c r="L48" s="48"/>
      <c r="M48" s="49"/>
      <c r="N48" s="372">
        <f t="shared" si="57"/>
        <v>0</v>
      </c>
      <c r="O48" s="393"/>
      <c r="P48" s="359"/>
      <c r="Q48" s="288"/>
      <c r="R48" s="362"/>
      <c r="S48" s="208"/>
      <c r="T48" s="12"/>
      <c r="U48" s="12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</row>
    <row r="49" spans="1:88">
      <c r="A49" s="47" t="s">
        <v>279</v>
      </c>
      <c r="B49" s="305"/>
      <c r="C49" s="48"/>
      <c r="D49" s="48"/>
      <c r="E49" s="48"/>
      <c r="F49" s="263"/>
      <c r="G49" s="48"/>
      <c r="H49" s="48"/>
      <c r="I49" s="48"/>
      <c r="J49" s="48"/>
      <c r="K49" s="48"/>
      <c r="L49" s="48"/>
      <c r="M49" s="49"/>
      <c r="N49" s="372">
        <f t="shared" si="57"/>
        <v>0</v>
      </c>
      <c r="O49" s="393"/>
      <c r="P49" s="359"/>
      <c r="Q49" s="288"/>
      <c r="R49" s="362"/>
      <c r="S49" s="208"/>
      <c r="T49" s="12"/>
      <c r="U49" s="12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</row>
    <row r="50" spans="1:88">
      <c r="A50" s="47" t="s">
        <v>283</v>
      </c>
      <c r="B50" s="305"/>
      <c r="C50" s="48"/>
      <c r="D50" s="48"/>
      <c r="E50" s="48"/>
      <c r="F50" s="263"/>
      <c r="G50" s="48"/>
      <c r="H50" s="48"/>
      <c r="I50" s="48"/>
      <c r="J50" s="48"/>
      <c r="K50" s="48"/>
      <c r="L50" s="48"/>
      <c r="M50" s="49"/>
      <c r="N50" s="372">
        <f t="shared" si="57"/>
        <v>0</v>
      </c>
      <c r="O50" s="393"/>
      <c r="P50" s="359"/>
      <c r="Q50" s="288"/>
      <c r="R50" s="362"/>
      <c r="S50" s="208"/>
      <c r="T50" s="12"/>
      <c r="U50" s="12"/>
    </row>
    <row r="51" spans="1:88">
      <c r="A51" s="47" t="s">
        <v>287</v>
      </c>
      <c r="B51" s="305"/>
      <c r="C51" s="48"/>
      <c r="D51" s="48"/>
      <c r="E51" s="48"/>
      <c r="F51" s="263"/>
      <c r="G51" s="48"/>
      <c r="H51" s="48"/>
      <c r="I51" s="48"/>
      <c r="J51" s="48"/>
      <c r="K51" s="48"/>
      <c r="L51" s="48"/>
      <c r="M51" s="49"/>
      <c r="N51" s="372">
        <f t="shared" si="57"/>
        <v>0</v>
      </c>
      <c r="O51" s="393"/>
      <c r="P51" s="359"/>
      <c r="Q51" s="288"/>
      <c r="R51" s="362"/>
      <c r="S51" s="208"/>
      <c r="T51" s="12"/>
      <c r="U51" s="12"/>
    </row>
    <row r="52" spans="1:88">
      <c r="A52" s="47" t="s">
        <v>295</v>
      </c>
      <c r="B52" s="305"/>
      <c r="C52" s="48"/>
      <c r="D52" s="48"/>
      <c r="E52" s="48"/>
      <c r="F52" s="263"/>
      <c r="G52" s="48"/>
      <c r="H52" s="48"/>
      <c r="I52" s="48"/>
      <c r="J52" s="48"/>
      <c r="K52" s="48"/>
      <c r="L52" s="48"/>
      <c r="M52" s="49"/>
      <c r="N52" s="372">
        <f t="shared" si="57"/>
        <v>0</v>
      </c>
      <c r="O52" s="393"/>
      <c r="P52" s="359"/>
      <c r="Q52" s="288"/>
      <c r="R52" s="362"/>
      <c r="S52" s="208"/>
      <c r="T52" s="12"/>
      <c r="U52" s="12"/>
    </row>
    <row r="53" spans="1:88">
      <c r="A53" s="47" t="s">
        <v>288</v>
      </c>
      <c r="B53" s="305"/>
      <c r="C53" s="48"/>
      <c r="D53" s="48"/>
      <c r="E53" s="48"/>
      <c r="F53" s="263"/>
      <c r="G53" s="48"/>
      <c r="H53" s="48"/>
      <c r="I53" s="48"/>
      <c r="J53" s="48"/>
      <c r="K53" s="48"/>
      <c r="L53" s="48"/>
      <c r="M53" s="48"/>
      <c r="N53" s="372">
        <f t="shared" si="57"/>
        <v>0</v>
      </c>
      <c r="O53" s="393"/>
      <c r="P53" s="359"/>
      <c r="Q53" s="288"/>
      <c r="R53" s="362"/>
      <c r="S53" s="208"/>
      <c r="T53" s="12"/>
      <c r="U53" s="12"/>
    </row>
    <row r="54" spans="1:88">
      <c r="A54" s="47" t="s">
        <v>292</v>
      </c>
      <c r="B54" s="305"/>
      <c r="C54" s="48"/>
      <c r="D54" s="48"/>
      <c r="E54" s="48"/>
      <c r="F54" s="263"/>
      <c r="G54" s="48"/>
      <c r="H54" s="48"/>
      <c r="I54" s="48"/>
      <c r="J54" s="48"/>
      <c r="K54" s="48"/>
      <c r="L54" s="48"/>
      <c r="M54" s="48"/>
      <c r="N54" s="372">
        <f t="shared" si="57"/>
        <v>0</v>
      </c>
      <c r="O54" s="393"/>
      <c r="P54" s="359"/>
      <c r="Q54" s="288"/>
      <c r="R54" s="362"/>
      <c r="S54" s="208"/>
      <c r="T54" s="12"/>
      <c r="U54" s="12"/>
    </row>
    <row r="55" spans="1:88">
      <c r="A55" s="47" t="s">
        <v>297</v>
      </c>
      <c r="B55" s="305"/>
      <c r="C55" s="48"/>
      <c r="D55" s="48"/>
      <c r="E55" s="48"/>
      <c r="F55" s="263"/>
      <c r="G55" s="48"/>
      <c r="H55" s="48"/>
      <c r="I55" s="48"/>
      <c r="J55" s="48"/>
      <c r="K55" s="48"/>
      <c r="L55" s="48"/>
      <c r="M55" s="48"/>
      <c r="N55" s="372">
        <f t="shared" si="57"/>
        <v>0</v>
      </c>
      <c r="O55" s="393"/>
      <c r="P55" s="359"/>
      <c r="Q55" s="288"/>
      <c r="R55" s="362"/>
      <c r="S55" s="208"/>
      <c r="T55" s="12"/>
      <c r="U55" s="12"/>
    </row>
    <row r="56" spans="1:88">
      <c r="A56" s="47" t="s">
        <v>298</v>
      </c>
      <c r="B56" s="305"/>
      <c r="C56" s="48"/>
      <c r="D56" s="48"/>
      <c r="E56" s="48"/>
      <c r="F56" s="263"/>
      <c r="G56" s="48"/>
      <c r="H56" s="48"/>
      <c r="I56" s="48"/>
      <c r="J56" s="48"/>
      <c r="K56" s="48"/>
      <c r="L56" s="48"/>
      <c r="M56" s="48"/>
      <c r="N56" s="372">
        <f t="shared" si="57"/>
        <v>0</v>
      </c>
      <c r="O56" s="393"/>
      <c r="P56" s="359"/>
      <c r="Q56" s="288"/>
      <c r="R56" s="362"/>
      <c r="S56" s="208"/>
      <c r="T56" s="12"/>
      <c r="U56" s="12"/>
    </row>
    <row r="57" spans="1:88">
      <c r="A57" s="47" t="s">
        <v>301</v>
      </c>
      <c r="B57" s="305"/>
      <c r="C57" s="48"/>
      <c r="D57" s="48"/>
      <c r="E57" s="48"/>
      <c r="F57" s="263"/>
      <c r="G57" s="48"/>
      <c r="H57" s="48"/>
      <c r="I57" s="48"/>
      <c r="J57" s="48"/>
      <c r="K57" s="48"/>
      <c r="L57" s="48"/>
      <c r="M57" s="48"/>
      <c r="N57" s="372">
        <f t="shared" si="57"/>
        <v>0</v>
      </c>
      <c r="O57" s="393"/>
      <c r="P57" s="359"/>
      <c r="Q57" s="288"/>
      <c r="R57" s="362"/>
      <c r="S57" s="208"/>
      <c r="T57" s="12"/>
      <c r="U57" s="12"/>
    </row>
    <row r="58" spans="1:88">
      <c r="A58" s="47" t="s">
        <v>303</v>
      </c>
      <c r="B58" s="305"/>
      <c r="C58" s="48"/>
      <c r="D58" s="48"/>
      <c r="E58" s="48"/>
      <c r="F58" s="263"/>
      <c r="G58" s="48"/>
      <c r="H58" s="48"/>
      <c r="I58" s="48"/>
      <c r="J58" s="48"/>
      <c r="K58" s="48"/>
      <c r="L58" s="48"/>
      <c r="M58" s="48"/>
      <c r="N58" s="372">
        <f t="shared" si="57"/>
        <v>0</v>
      </c>
      <c r="O58" s="393"/>
      <c r="P58" s="359"/>
      <c r="Q58" s="288"/>
      <c r="R58" s="362"/>
      <c r="S58" s="208"/>
      <c r="T58" s="12"/>
      <c r="U58" s="12"/>
    </row>
    <row r="59" spans="1:88">
      <c r="A59" s="47" t="s">
        <v>305</v>
      </c>
      <c r="B59" s="305"/>
      <c r="C59" s="48"/>
      <c r="D59" s="48"/>
      <c r="E59" s="48"/>
      <c r="F59" s="263"/>
      <c r="G59" s="48"/>
      <c r="H59" s="48"/>
      <c r="I59" s="48"/>
      <c r="J59" s="48"/>
      <c r="K59" s="48"/>
      <c r="L59" s="48"/>
      <c r="M59" s="48"/>
      <c r="N59" s="372">
        <f t="shared" si="57"/>
        <v>0</v>
      </c>
      <c r="O59" s="393"/>
      <c r="P59" s="359"/>
      <c r="Q59" s="288"/>
      <c r="R59" s="362"/>
      <c r="S59" s="208"/>
      <c r="T59" s="12"/>
      <c r="U59" s="12"/>
    </row>
    <row r="60" spans="1:88">
      <c r="A60" s="47" t="s">
        <v>320</v>
      </c>
      <c r="B60" s="305"/>
      <c r="C60" s="48"/>
      <c r="D60" s="48"/>
      <c r="E60" s="48"/>
      <c r="F60" s="263"/>
      <c r="G60" s="48"/>
      <c r="H60" s="48"/>
      <c r="I60" s="48"/>
      <c r="J60" s="48"/>
      <c r="K60" s="48"/>
      <c r="L60" s="48"/>
      <c r="M60" s="48"/>
      <c r="N60" s="372">
        <f t="shared" si="57"/>
        <v>0</v>
      </c>
      <c r="O60" s="393"/>
      <c r="P60" s="359"/>
      <c r="Q60" s="288"/>
      <c r="R60" s="362"/>
      <c r="S60" s="208"/>
      <c r="T60" s="12"/>
      <c r="U60" s="12"/>
    </row>
    <row r="61" spans="1:88">
      <c r="A61" s="47" t="s">
        <v>324</v>
      </c>
      <c r="B61" s="305"/>
      <c r="C61" s="48"/>
      <c r="D61" s="48"/>
      <c r="E61" s="48"/>
      <c r="F61" s="263"/>
      <c r="G61" s="48"/>
      <c r="H61" s="48"/>
      <c r="I61" s="48"/>
      <c r="J61" s="48"/>
      <c r="K61" s="48"/>
      <c r="L61" s="48"/>
      <c r="M61" s="48"/>
      <c r="N61" s="372">
        <f t="shared" si="57"/>
        <v>0</v>
      </c>
      <c r="O61" s="393"/>
      <c r="P61" s="359"/>
      <c r="Q61" s="288"/>
      <c r="R61" s="362"/>
      <c r="S61" s="208"/>
      <c r="T61" s="12"/>
      <c r="U61" s="12"/>
    </row>
    <row r="62" spans="1:88">
      <c r="A62" s="47" t="s">
        <v>322</v>
      </c>
      <c r="B62" s="305"/>
      <c r="C62" s="48"/>
      <c r="D62" s="48"/>
      <c r="E62" s="48"/>
      <c r="F62" s="263"/>
      <c r="G62" s="48"/>
      <c r="H62" s="48"/>
      <c r="I62" s="48"/>
      <c r="J62" s="48"/>
      <c r="K62" s="48"/>
      <c r="L62" s="48"/>
      <c r="M62" s="48"/>
      <c r="N62" s="372">
        <f t="shared" si="57"/>
        <v>0</v>
      </c>
      <c r="O62" s="393"/>
      <c r="P62" s="359"/>
      <c r="Q62" s="288"/>
      <c r="R62" s="362"/>
      <c r="S62" s="208"/>
      <c r="T62" s="12"/>
      <c r="U62" s="12"/>
    </row>
    <row r="63" spans="1:88">
      <c r="A63" s="47" t="s">
        <v>328</v>
      </c>
      <c r="B63" s="305"/>
      <c r="C63" s="48"/>
      <c r="D63" s="48"/>
      <c r="E63" s="48"/>
      <c r="F63" s="263"/>
      <c r="G63" s="48"/>
      <c r="H63" s="48"/>
      <c r="I63" s="48"/>
      <c r="J63" s="48"/>
      <c r="K63" s="48"/>
      <c r="L63" s="48"/>
      <c r="M63" s="48"/>
      <c r="N63" s="372">
        <f t="shared" si="57"/>
        <v>0</v>
      </c>
      <c r="O63" s="393"/>
      <c r="P63" s="359"/>
      <c r="Q63" s="288"/>
      <c r="R63" s="362"/>
      <c r="S63" s="208"/>
      <c r="T63" s="12"/>
      <c r="U63" s="12"/>
    </row>
    <row r="64" spans="1:88">
      <c r="A64" s="47" t="s">
        <v>329</v>
      </c>
      <c r="B64" s="305"/>
      <c r="C64" s="48"/>
      <c r="D64" s="48"/>
      <c r="E64" s="48"/>
      <c r="F64" s="263"/>
      <c r="G64" s="48"/>
      <c r="H64" s="48"/>
      <c r="I64" s="48"/>
      <c r="J64" s="48"/>
      <c r="K64" s="48"/>
      <c r="L64" s="48"/>
      <c r="M64" s="48"/>
      <c r="N64" s="372">
        <f t="shared" si="57"/>
        <v>0</v>
      </c>
      <c r="O64" s="393"/>
      <c r="P64" s="359"/>
      <c r="Q64" s="288"/>
      <c r="R64" s="362"/>
      <c r="S64" s="208"/>
      <c r="T64" s="12"/>
      <c r="U64" s="12"/>
    </row>
    <row r="65" spans="1:21">
      <c r="A65" s="47" t="s">
        <v>330</v>
      </c>
      <c r="B65" s="305"/>
      <c r="C65" s="48"/>
      <c r="D65" s="48"/>
      <c r="E65" s="48"/>
      <c r="F65" s="263"/>
      <c r="G65" s="48"/>
      <c r="H65" s="48"/>
      <c r="I65" s="48"/>
      <c r="J65" s="48"/>
      <c r="K65" s="48"/>
      <c r="L65" s="48"/>
      <c r="M65" s="48"/>
      <c r="N65" s="372">
        <f t="shared" si="57"/>
        <v>0</v>
      </c>
      <c r="O65" s="393"/>
      <c r="P65" s="359"/>
      <c r="Q65" s="288"/>
      <c r="R65" s="362"/>
      <c r="S65" s="208"/>
      <c r="T65" s="12"/>
      <c r="U65" s="12"/>
    </row>
    <row r="66" spans="1:21">
      <c r="A66" s="47" t="s">
        <v>332</v>
      </c>
      <c r="B66" s="305"/>
      <c r="C66" s="48"/>
      <c r="D66" s="48"/>
      <c r="E66" s="48"/>
      <c r="F66" s="263"/>
      <c r="G66" s="48"/>
      <c r="H66" s="48"/>
      <c r="I66" s="48"/>
      <c r="J66" s="48"/>
      <c r="K66" s="48"/>
      <c r="L66" s="48"/>
      <c r="M66" s="48"/>
      <c r="N66" s="372">
        <f t="shared" si="57"/>
        <v>0</v>
      </c>
      <c r="O66" s="393"/>
      <c r="P66" s="359"/>
      <c r="Q66" s="288"/>
      <c r="R66" s="362"/>
      <c r="S66" s="208"/>
      <c r="T66" s="12"/>
      <c r="U66" s="12"/>
    </row>
    <row r="67" spans="1:21">
      <c r="A67" s="47" t="s">
        <v>337</v>
      </c>
      <c r="B67" s="305"/>
      <c r="C67" s="48"/>
      <c r="D67" s="48"/>
      <c r="E67" s="48"/>
      <c r="F67" s="263"/>
      <c r="G67" s="48"/>
      <c r="H67" s="48"/>
      <c r="I67" s="48"/>
      <c r="J67" s="48"/>
      <c r="K67" s="48"/>
      <c r="L67" s="48"/>
      <c r="M67" s="48"/>
      <c r="N67" s="372">
        <f t="shared" si="57"/>
        <v>0</v>
      </c>
      <c r="O67" s="393"/>
      <c r="P67" s="359"/>
      <c r="Q67" s="288"/>
      <c r="R67" s="362"/>
      <c r="S67" s="208"/>
      <c r="T67" s="12"/>
      <c r="U67" s="12"/>
    </row>
    <row r="68" spans="1:21">
      <c r="A68" s="47" t="s">
        <v>338</v>
      </c>
      <c r="B68" s="305"/>
      <c r="C68" s="48"/>
      <c r="D68" s="48"/>
      <c r="E68" s="48"/>
      <c r="F68" s="263"/>
      <c r="G68" s="48"/>
      <c r="H68" s="48"/>
      <c r="I68" s="48"/>
      <c r="J68" s="48"/>
      <c r="K68" s="48"/>
      <c r="L68" s="48"/>
      <c r="M68" s="48"/>
      <c r="N68" s="372">
        <f t="shared" si="57"/>
        <v>0</v>
      </c>
      <c r="O68" s="393"/>
      <c r="P68" s="359"/>
      <c r="Q68" s="288"/>
      <c r="R68" s="362"/>
      <c r="S68" s="208"/>
      <c r="T68" s="12"/>
      <c r="U68" s="12"/>
    </row>
    <row r="69" spans="1:21">
      <c r="A69" s="47" t="s">
        <v>339</v>
      </c>
      <c r="B69" s="305"/>
      <c r="C69" s="48"/>
      <c r="D69" s="48"/>
      <c r="E69" s="48"/>
      <c r="F69" s="263"/>
      <c r="G69" s="48"/>
      <c r="H69" s="48"/>
      <c r="I69" s="48"/>
      <c r="J69" s="48"/>
      <c r="K69" s="48"/>
      <c r="L69" s="48"/>
      <c r="M69" s="48"/>
      <c r="N69" s="372">
        <f t="shared" si="57"/>
        <v>0</v>
      </c>
      <c r="O69" s="393"/>
      <c r="P69" s="359"/>
      <c r="Q69" s="288"/>
      <c r="R69" s="362"/>
      <c r="S69" s="208"/>
      <c r="T69" s="12"/>
      <c r="U69" s="12"/>
    </row>
    <row r="70" spans="1:21">
      <c r="A70" s="47" t="s">
        <v>340</v>
      </c>
      <c r="B70" s="305"/>
      <c r="C70" s="48"/>
      <c r="D70" s="48"/>
      <c r="E70" s="48"/>
      <c r="F70" s="263"/>
      <c r="G70" s="48"/>
      <c r="H70" s="48"/>
      <c r="I70" s="48"/>
      <c r="J70" s="48"/>
      <c r="K70" s="48"/>
      <c r="L70" s="48"/>
      <c r="M70" s="48"/>
      <c r="N70" s="372">
        <f t="shared" si="57"/>
        <v>0</v>
      </c>
      <c r="O70" s="393"/>
      <c r="P70" s="359"/>
      <c r="Q70" s="288"/>
      <c r="R70" s="362"/>
      <c r="S70" s="208"/>
      <c r="T70" s="12"/>
      <c r="U70" s="12"/>
    </row>
    <row r="71" spans="1:21">
      <c r="A71" s="47" t="s">
        <v>346</v>
      </c>
      <c r="B71" s="305"/>
      <c r="C71" s="48"/>
      <c r="D71" s="48"/>
      <c r="E71" s="48"/>
      <c r="F71" s="263"/>
      <c r="G71" s="48"/>
      <c r="H71" s="48"/>
      <c r="I71" s="48"/>
      <c r="J71" s="48"/>
      <c r="K71" s="48"/>
      <c r="L71" s="48"/>
      <c r="M71" s="48"/>
      <c r="N71" s="372">
        <f t="shared" si="57"/>
        <v>0</v>
      </c>
      <c r="O71" s="393"/>
      <c r="P71" s="359"/>
      <c r="Q71" s="288"/>
      <c r="R71" s="362"/>
      <c r="S71" s="208"/>
      <c r="T71" s="12"/>
      <c r="U71" s="12"/>
    </row>
    <row r="72" spans="1:21">
      <c r="A72" s="47" t="s">
        <v>345</v>
      </c>
      <c r="B72" s="305"/>
      <c r="C72" s="48"/>
      <c r="D72" s="48"/>
      <c r="E72" s="48"/>
      <c r="F72" s="263"/>
      <c r="G72" s="48"/>
      <c r="H72" s="48"/>
      <c r="I72" s="48"/>
      <c r="J72" s="48"/>
      <c r="K72" s="48"/>
      <c r="L72" s="48"/>
      <c r="M72" s="48"/>
      <c r="N72" s="372">
        <f t="shared" si="57"/>
        <v>0</v>
      </c>
      <c r="O72" s="393"/>
      <c r="P72" s="359"/>
      <c r="Q72" s="288"/>
      <c r="R72" s="362"/>
      <c r="S72" s="208"/>
      <c r="T72" s="12"/>
      <c r="U72" s="12"/>
    </row>
    <row r="73" spans="1:21">
      <c r="A73" s="47" t="s">
        <v>352</v>
      </c>
      <c r="B73" s="305"/>
      <c r="C73" s="48"/>
      <c r="D73" s="48"/>
      <c r="E73" s="48"/>
      <c r="F73" s="263"/>
      <c r="G73" s="48"/>
      <c r="H73" s="48"/>
      <c r="I73" s="48"/>
      <c r="J73" s="48"/>
      <c r="K73" s="48"/>
      <c r="L73" s="48"/>
      <c r="M73" s="48"/>
      <c r="N73" s="372">
        <f t="shared" si="57"/>
        <v>0</v>
      </c>
      <c r="O73" s="393"/>
      <c r="P73" s="359"/>
      <c r="Q73" s="288"/>
      <c r="R73" s="362"/>
      <c r="S73" s="208"/>
      <c r="T73" s="12"/>
      <c r="U73" s="12"/>
    </row>
    <row r="74" spans="1:21">
      <c r="A74" s="47" t="s">
        <v>343</v>
      </c>
      <c r="B74" s="305"/>
      <c r="C74" s="48"/>
      <c r="D74" s="48"/>
      <c r="E74" s="48"/>
      <c r="F74" s="263"/>
      <c r="G74" s="48"/>
      <c r="H74" s="48"/>
      <c r="I74" s="48"/>
      <c r="J74" s="48"/>
      <c r="K74" s="48"/>
      <c r="L74" s="48"/>
      <c r="M74" s="48"/>
      <c r="N74" s="372">
        <f t="shared" si="57"/>
        <v>0</v>
      </c>
      <c r="O74" s="393"/>
      <c r="P74" s="359"/>
      <c r="Q74" s="288"/>
      <c r="R74" s="362"/>
      <c r="S74" s="208"/>
      <c r="T74" s="12"/>
      <c r="U74" s="12"/>
    </row>
    <row r="75" spans="1:21">
      <c r="A75" s="47" t="s">
        <v>344</v>
      </c>
      <c r="B75" s="305"/>
      <c r="C75" s="48"/>
      <c r="D75" s="48"/>
      <c r="E75" s="48"/>
      <c r="F75" s="263"/>
      <c r="G75" s="48"/>
      <c r="H75" s="48"/>
      <c r="I75" s="48"/>
      <c r="J75" s="48"/>
      <c r="K75" s="48"/>
      <c r="L75" s="48"/>
      <c r="M75" s="48"/>
      <c r="N75" s="372">
        <f t="shared" si="57"/>
        <v>0</v>
      </c>
      <c r="O75" s="393"/>
      <c r="P75" s="359"/>
      <c r="Q75" s="288"/>
      <c r="R75" s="362"/>
      <c r="S75" s="208"/>
      <c r="T75" s="12"/>
      <c r="U75" s="12"/>
    </row>
    <row r="76" spans="1:21">
      <c r="A76" s="47" t="s">
        <v>353</v>
      </c>
      <c r="B76" s="305"/>
      <c r="C76" s="48"/>
      <c r="D76" s="48"/>
      <c r="E76" s="48"/>
      <c r="F76" s="263"/>
      <c r="G76" s="48"/>
      <c r="H76" s="48"/>
      <c r="I76" s="48"/>
      <c r="J76" s="48"/>
      <c r="K76" s="48"/>
      <c r="L76" s="48"/>
      <c r="M76" s="48"/>
      <c r="N76" s="372">
        <f t="shared" si="57"/>
        <v>0</v>
      </c>
      <c r="O76" s="393"/>
      <c r="P76" s="359"/>
      <c r="Q76" s="288"/>
      <c r="R76" s="362"/>
      <c r="S76" s="208"/>
      <c r="T76" s="12"/>
      <c r="U76" s="12"/>
    </row>
    <row r="77" spans="1:21">
      <c r="A77" s="47" t="s">
        <v>354</v>
      </c>
      <c r="B77" s="305"/>
      <c r="C77" s="48"/>
      <c r="D77" s="48"/>
      <c r="E77" s="48"/>
      <c r="F77" s="263"/>
      <c r="G77" s="48"/>
      <c r="H77" s="48"/>
      <c r="I77" s="48"/>
      <c r="J77" s="48"/>
      <c r="K77" s="48"/>
      <c r="L77" s="48"/>
      <c r="M77" s="48"/>
      <c r="N77" s="372">
        <f t="shared" si="57"/>
        <v>0</v>
      </c>
      <c r="O77" s="393"/>
      <c r="P77" s="359"/>
      <c r="Q77" s="288"/>
      <c r="R77" s="362"/>
      <c r="S77" s="208"/>
      <c r="T77" s="12"/>
      <c r="U77" s="12"/>
    </row>
    <row r="78" spans="1:21">
      <c r="A78" s="47" t="s">
        <v>355</v>
      </c>
      <c r="B78" s="305"/>
      <c r="C78" s="48"/>
      <c r="D78" s="48"/>
      <c r="E78" s="48"/>
      <c r="F78" s="263"/>
      <c r="G78" s="48"/>
      <c r="H78" s="48"/>
      <c r="I78" s="48"/>
      <c r="J78" s="48"/>
      <c r="K78" s="48"/>
      <c r="L78" s="48"/>
      <c r="M78" s="48"/>
      <c r="N78" s="372">
        <f t="shared" si="57"/>
        <v>0</v>
      </c>
      <c r="O78" s="393"/>
      <c r="P78" s="359"/>
      <c r="Q78" s="288"/>
      <c r="R78" s="362"/>
      <c r="S78" s="208"/>
      <c r="T78" s="12"/>
      <c r="U78" s="12"/>
    </row>
    <row r="79" spans="1:21">
      <c r="A79" s="47" t="s">
        <v>356</v>
      </c>
      <c r="B79" s="305"/>
      <c r="C79" s="48"/>
      <c r="D79" s="48"/>
      <c r="E79" s="48"/>
      <c r="F79" s="263"/>
      <c r="G79" s="48"/>
      <c r="H79" s="48"/>
      <c r="I79" s="48"/>
      <c r="J79" s="48"/>
      <c r="K79" s="48"/>
      <c r="L79" s="48"/>
      <c r="M79" s="48"/>
      <c r="N79" s="372">
        <f t="shared" si="57"/>
        <v>0</v>
      </c>
      <c r="O79" s="393"/>
      <c r="P79" s="359"/>
      <c r="Q79" s="288"/>
      <c r="R79" s="362"/>
      <c r="S79" s="208"/>
      <c r="T79" s="12"/>
      <c r="U79" s="12"/>
    </row>
    <row r="80" spans="1:21">
      <c r="A80" s="47" t="s">
        <v>364</v>
      </c>
      <c r="B80" s="305"/>
      <c r="C80" s="48"/>
      <c r="D80" s="48"/>
      <c r="E80" s="48"/>
      <c r="F80" s="263"/>
      <c r="G80" s="48"/>
      <c r="H80" s="48"/>
      <c r="I80" s="48"/>
      <c r="J80" s="48"/>
      <c r="K80" s="48"/>
      <c r="L80" s="48"/>
      <c r="M80" s="48"/>
      <c r="N80" s="372">
        <f t="shared" si="57"/>
        <v>0</v>
      </c>
      <c r="O80" s="393"/>
      <c r="P80" s="359"/>
      <c r="Q80" s="288"/>
      <c r="R80" s="362"/>
      <c r="S80" s="208"/>
      <c r="T80" s="12"/>
      <c r="U80" s="12"/>
    </row>
    <row r="81" spans="1:21">
      <c r="A81" s="47" t="s">
        <v>365</v>
      </c>
      <c r="B81" s="305"/>
      <c r="C81" s="48"/>
      <c r="D81" s="48"/>
      <c r="E81" s="48"/>
      <c r="F81" s="263"/>
      <c r="G81" s="48"/>
      <c r="H81" s="48"/>
      <c r="I81" s="48"/>
      <c r="J81" s="48"/>
      <c r="K81" s="48"/>
      <c r="L81" s="48"/>
      <c r="M81" s="48"/>
      <c r="N81" s="372">
        <f t="shared" si="57"/>
        <v>0</v>
      </c>
      <c r="O81" s="393"/>
      <c r="P81" s="359"/>
      <c r="Q81" s="288"/>
      <c r="R81" s="362"/>
      <c r="S81" s="208"/>
      <c r="T81" s="12"/>
      <c r="U81" s="12"/>
    </row>
    <row r="82" spans="1:21">
      <c r="A82" s="47" t="s">
        <v>367</v>
      </c>
      <c r="B82" s="305"/>
      <c r="C82" s="48"/>
      <c r="D82" s="48"/>
      <c r="E82" s="48"/>
      <c r="F82" s="263"/>
      <c r="G82" s="48"/>
      <c r="H82" s="48"/>
      <c r="I82" s="48"/>
      <c r="J82" s="48"/>
      <c r="K82" s="48"/>
      <c r="L82" s="48"/>
      <c r="M82" s="48"/>
      <c r="N82" s="372">
        <f t="shared" si="57"/>
        <v>0</v>
      </c>
      <c r="O82" s="393"/>
      <c r="P82" s="359"/>
      <c r="Q82" s="288"/>
      <c r="R82" s="362"/>
      <c r="S82" s="208"/>
      <c r="T82" s="12"/>
      <c r="U82" s="12"/>
    </row>
    <row r="83" spans="1:21">
      <c r="A83" s="47" t="s">
        <v>368</v>
      </c>
      <c r="B83" s="305"/>
      <c r="C83" s="48"/>
      <c r="D83" s="48"/>
      <c r="E83" s="48"/>
      <c r="F83" s="263"/>
      <c r="G83" s="48"/>
      <c r="H83" s="48"/>
      <c r="I83" s="48"/>
      <c r="J83" s="48"/>
      <c r="K83" s="48"/>
      <c r="L83" s="48"/>
      <c r="M83" s="48"/>
      <c r="N83" s="372">
        <f t="shared" si="57"/>
        <v>0</v>
      </c>
      <c r="O83" s="393"/>
      <c r="P83" s="359"/>
      <c r="Q83" s="288"/>
      <c r="R83" s="362"/>
      <c r="S83" s="208"/>
      <c r="T83" s="12"/>
      <c r="U83" s="12"/>
    </row>
    <row r="84" spans="1:21">
      <c r="A84" s="47" t="s">
        <v>372</v>
      </c>
      <c r="B84" s="305"/>
      <c r="C84" s="48"/>
      <c r="D84" s="48"/>
      <c r="E84" s="48"/>
      <c r="F84" s="263"/>
      <c r="G84" s="48"/>
      <c r="H84" s="48"/>
      <c r="I84" s="48"/>
      <c r="J84" s="48"/>
      <c r="K84" s="48"/>
      <c r="L84" s="48"/>
      <c r="M84" s="48"/>
      <c r="N84" s="372">
        <f t="shared" si="57"/>
        <v>0</v>
      </c>
      <c r="O84" s="393"/>
      <c r="P84" s="359"/>
      <c r="Q84" s="288"/>
      <c r="R84" s="362"/>
      <c r="S84" s="208"/>
      <c r="T84" s="12"/>
      <c r="U84" s="12"/>
    </row>
    <row r="85" spans="1:21">
      <c r="A85" s="47" t="s">
        <v>381</v>
      </c>
      <c r="B85" s="305"/>
      <c r="C85" s="48"/>
      <c r="D85" s="48"/>
      <c r="E85" s="48"/>
      <c r="F85" s="263"/>
      <c r="G85" s="48"/>
      <c r="H85" s="48"/>
      <c r="I85" s="48"/>
      <c r="J85" s="48"/>
      <c r="K85" s="48"/>
      <c r="L85" s="48"/>
      <c r="M85" s="48"/>
      <c r="N85" s="372">
        <f t="shared" si="57"/>
        <v>0</v>
      </c>
      <c r="O85" s="393"/>
      <c r="P85" s="359"/>
      <c r="Q85" s="288"/>
      <c r="R85" s="362"/>
      <c r="S85" s="208"/>
      <c r="T85" s="12"/>
      <c r="U85" s="12"/>
    </row>
    <row r="86" spans="1:21">
      <c r="A86" s="47" t="s">
        <v>373</v>
      </c>
      <c r="B86" s="305"/>
      <c r="C86" s="48"/>
      <c r="D86" s="48"/>
      <c r="E86" s="48"/>
      <c r="F86" s="263"/>
      <c r="G86" s="48"/>
      <c r="H86" s="48"/>
      <c r="I86" s="48"/>
      <c r="J86" s="48"/>
      <c r="K86" s="48"/>
      <c r="L86" s="48"/>
      <c r="M86" s="48"/>
      <c r="N86" s="372">
        <f t="shared" si="57"/>
        <v>0</v>
      </c>
      <c r="O86" s="393"/>
      <c r="P86" s="359"/>
      <c r="Q86" s="288"/>
      <c r="R86" s="362"/>
      <c r="S86" s="208"/>
      <c r="T86" s="12"/>
      <c r="U86" s="12"/>
    </row>
    <row r="87" spans="1:21">
      <c r="A87" s="47" t="s">
        <v>383</v>
      </c>
      <c r="B87" s="305"/>
      <c r="C87" s="48"/>
      <c r="D87" s="48"/>
      <c r="E87" s="48"/>
      <c r="F87" s="263"/>
      <c r="G87" s="48"/>
      <c r="H87" s="48"/>
      <c r="I87" s="48"/>
      <c r="J87" s="48"/>
      <c r="K87" s="48"/>
      <c r="L87" s="48"/>
      <c r="M87" s="48"/>
      <c r="N87" s="372">
        <f t="shared" si="57"/>
        <v>0</v>
      </c>
      <c r="O87" s="393"/>
      <c r="P87" s="359"/>
      <c r="Q87" s="288"/>
      <c r="R87" s="362"/>
      <c r="S87" s="208"/>
      <c r="T87" s="12"/>
      <c r="U87" s="12"/>
    </row>
    <row r="88" spans="1:21">
      <c r="A88" s="47" t="s">
        <v>382</v>
      </c>
      <c r="B88" s="305"/>
      <c r="C88" s="48"/>
      <c r="D88" s="48"/>
      <c r="E88" s="48"/>
      <c r="F88" s="263"/>
      <c r="G88" s="48"/>
      <c r="H88" s="48"/>
      <c r="I88" s="48"/>
      <c r="J88" s="48"/>
      <c r="K88" s="48"/>
      <c r="L88" s="48"/>
      <c r="M88" s="48"/>
      <c r="N88" s="372">
        <f t="shared" si="57"/>
        <v>0</v>
      </c>
      <c r="O88" s="393"/>
      <c r="P88" s="359"/>
      <c r="Q88" s="288"/>
      <c r="R88" s="362"/>
      <c r="S88" s="208"/>
      <c r="T88" s="12"/>
      <c r="U88" s="12"/>
    </row>
    <row r="89" spans="1:21">
      <c r="A89" s="47" t="s">
        <v>390</v>
      </c>
      <c r="B89" s="305"/>
      <c r="C89" s="48"/>
      <c r="D89" s="48"/>
      <c r="E89" s="48"/>
      <c r="F89" s="263"/>
      <c r="G89" s="48"/>
      <c r="H89" s="48"/>
      <c r="I89" s="48"/>
      <c r="J89" s="48"/>
      <c r="K89" s="48"/>
      <c r="L89" s="48"/>
      <c r="M89" s="48"/>
      <c r="N89" s="372">
        <f t="shared" si="57"/>
        <v>0</v>
      </c>
      <c r="O89" s="393"/>
      <c r="P89" s="359"/>
      <c r="Q89" s="288"/>
      <c r="R89" s="362"/>
      <c r="S89" s="208"/>
      <c r="T89" s="12"/>
      <c r="U89" s="12"/>
    </row>
    <row r="90" spans="1:21">
      <c r="A90" s="47" t="s">
        <v>391</v>
      </c>
      <c r="B90" s="305"/>
      <c r="C90" s="48"/>
      <c r="D90" s="48"/>
      <c r="E90" s="48"/>
      <c r="F90" s="263"/>
      <c r="G90" s="48"/>
      <c r="H90" s="48"/>
      <c r="I90" s="48"/>
      <c r="J90" s="48"/>
      <c r="K90" s="48"/>
      <c r="L90" s="48"/>
      <c r="M90" s="48"/>
      <c r="N90" s="372">
        <f t="shared" si="57"/>
        <v>0</v>
      </c>
      <c r="O90" s="393"/>
      <c r="P90" s="359"/>
      <c r="Q90" s="288"/>
      <c r="R90" s="362"/>
      <c r="S90" s="208"/>
      <c r="T90" s="12"/>
      <c r="U90" s="12"/>
    </row>
    <row r="91" spans="1:21">
      <c r="A91" s="47" t="s">
        <v>396</v>
      </c>
      <c r="B91" s="305"/>
      <c r="C91" s="48"/>
      <c r="D91" s="48"/>
      <c r="E91" s="48"/>
      <c r="F91" s="263"/>
      <c r="G91" s="48"/>
      <c r="H91" s="48"/>
      <c r="I91" s="48"/>
      <c r="J91" s="48"/>
      <c r="K91" s="48"/>
      <c r="L91" s="48"/>
      <c r="M91" s="48"/>
      <c r="N91" s="372">
        <f t="shared" si="57"/>
        <v>0</v>
      </c>
      <c r="O91" s="393"/>
      <c r="P91" s="359"/>
      <c r="Q91" s="288"/>
      <c r="R91" s="362"/>
      <c r="S91" s="208"/>
      <c r="T91" s="12"/>
      <c r="U91" s="12"/>
    </row>
    <row r="92" spans="1:21">
      <c r="A92" s="47" t="s">
        <v>392</v>
      </c>
      <c r="B92" s="305"/>
      <c r="C92" s="48"/>
      <c r="D92" s="48"/>
      <c r="E92" s="48"/>
      <c r="F92" s="263"/>
      <c r="G92" s="48"/>
      <c r="H92" s="48"/>
      <c r="I92" s="48"/>
      <c r="J92" s="48"/>
      <c r="K92" s="48"/>
      <c r="L92" s="48"/>
      <c r="M92" s="48"/>
      <c r="N92" s="372">
        <f t="shared" si="57"/>
        <v>0</v>
      </c>
      <c r="O92" s="393"/>
      <c r="P92" s="359"/>
      <c r="Q92" s="288"/>
      <c r="R92" s="362"/>
      <c r="S92" s="208"/>
      <c r="T92" s="12"/>
      <c r="U92" s="12"/>
    </row>
    <row r="93" spans="1:21">
      <c r="A93" s="47" t="s">
        <v>393</v>
      </c>
      <c r="B93" s="305"/>
      <c r="C93" s="48"/>
      <c r="D93" s="48"/>
      <c r="E93" s="48"/>
      <c r="F93" s="263"/>
      <c r="G93" s="48"/>
      <c r="H93" s="48"/>
      <c r="I93" s="48"/>
      <c r="J93" s="48"/>
      <c r="K93" s="48"/>
      <c r="L93" s="48"/>
      <c r="M93" s="48"/>
      <c r="N93" s="372">
        <f t="shared" si="57"/>
        <v>0</v>
      </c>
      <c r="O93" s="393"/>
      <c r="P93" s="359"/>
      <c r="Q93" s="288"/>
      <c r="R93" s="362"/>
      <c r="S93" s="208"/>
      <c r="T93" s="12"/>
      <c r="U93" s="12"/>
    </row>
    <row r="94" spans="1:21">
      <c r="A94" s="47" t="s">
        <v>394</v>
      </c>
      <c r="B94" s="305"/>
      <c r="C94" s="48"/>
      <c r="D94" s="48"/>
      <c r="E94" s="48"/>
      <c r="F94" s="263"/>
      <c r="G94" s="48"/>
      <c r="H94" s="48"/>
      <c r="I94" s="48"/>
      <c r="J94" s="48"/>
      <c r="K94" s="48"/>
      <c r="L94" s="48"/>
      <c r="M94" s="48"/>
      <c r="N94" s="372">
        <f t="shared" si="57"/>
        <v>0</v>
      </c>
      <c r="O94" s="393"/>
      <c r="P94" s="359"/>
      <c r="Q94" s="288"/>
      <c r="R94" s="362"/>
      <c r="S94" s="208"/>
      <c r="T94" s="12"/>
      <c r="U94" s="12"/>
    </row>
    <row r="95" spans="1:21">
      <c r="A95" s="47" t="s">
        <v>395</v>
      </c>
      <c r="B95" s="305"/>
      <c r="C95" s="48"/>
      <c r="D95" s="48"/>
      <c r="E95" s="48"/>
      <c r="F95" s="263"/>
      <c r="G95" s="48"/>
      <c r="H95" s="48"/>
      <c r="I95" s="48"/>
      <c r="J95" s="48"/>
      <c r="K95" s="48"/>
      <c r="L95" s="48"/>
      <c r="M95" s="48"/>
      <c r="N95" s="372">
        <f t="shared" si="57"/>
        <v>0</v>
      </c>
      <c r="O95" s="393"/>
      <c r="P95" s="359"/>
      <c r="Q95" s="288"/>
      <c r="R95" s="362"/>
      <c r="S95" s="208"/>
      <c r="T95" s="12"/>
      <c r="U95" s="12"/>
    </row>
    <row r="96" spans="1:21">
      <c r="A96" s="226"/>
      <c r="B96" s="305"/>
      <c r="C96" s="48"/>
      <c r="D96" s="48"/>
      <c r="E96" s="48"/>
      <c r="F96" s="263"/>
      <c r="G96" s="48"/>
      <c r="H96" s="48"/>
      <c r="I96" s="48"/>
      <c r="J96" s="48"/>
      <c r="K96" s="48"/>
      <c r="L96" s="48"/>
      <c r="M96" s="48"/>
      <c r="N96" s="372">
        <f t="shared" si="57"/>
        <v>0</v>
      </c>
      <c r="O96" s="393"/>
      <c r="P96" s="359"/>
      <c r="Q96" s="288"/>
      <c r="R96" s="362"/>
      <c r="S96" s="208"/>
      <c r="T96" s="12"/>
      <c r="U96" s="12"/>
    </row>
    <row r="97" spans="1:113">
      <c r="A97" s="226"/>
      <c r="B97" s="305"/>
      <c r="C97" s="48"/>
      <c r="D97" s="48"/>
      <c r="E97" s="48"/>
      <c r="F97" s="263"/>
      <c r="G97" s="48"/>
      <c r="H97" s="48"/>
      <c r="I97" s="48"/>
      <c r="J97" s="48"/>
      <c r="K97" s="48"/>
      <c r="L97" s="48"/>
      <c r="M97" s="48"/>
      <c r="N97" s="372">
        <f t="shared" si="57"/>
        <v>0</v>
      </c>
      <c r="O97" s="393"/>
      <c r="P97" s="359"/>
      <c r="Q97" s="288"/>
      <c r="R97" s="362"/>
      <c r="S97" s="208"/>
      <c r="T97" s="12"/>
      <c r="U97" s="12"/>
    </row>
    <row r="98" spans="1:113">
      <c r="A98" s="226"/>
      <c r="B98" s="305"/>
      <c r="C98" s="48"/>
      <c r="D98" s="48"/>
      <c r="E98" s="48"/>
      <c r="F98" s="263"/>
      <c r="G98" s="48"/>
      <c r="H98" s="48"/>
      <c r="I98" s="48"/>
      <c r="J98" s="48"/>
      <c r="K98" s="48"/>
      <c r="L98" s="48"/>
      <c r="M98" s="48"/>
      <c r="N98" s="372">
        <f t="shared" si="57"/>
        <v>0</v>
      </c>
      <c r="O98" s="393"/>
      <c r="P98" s="359"/>
      <c r="Q98" s="288"/>
      <c r="R98" s="362"/>
      <c r="S98" s="208"/>
      <c r="T98" s="12"/>
      <c r="U98" s="12"/>
    </row>
    <row r="99" spans="1:113">
      <c r="A99" s="226"/>
      <c r="B99" s="305"/>
      <c r="C99" s="48"/>
      <c r="D99" s="48"/>
      <c r="E99" s="48"/>
      <c r="F99" s="263"/>
      <c r="G99" s="48"/>
      <c r="H99" s="48"/>
      <c r="I99" s="48"/>
      <c r="J99" s="48"/>
      <c r="K99" s="48"/>
      <c r="L99" s="48"/>
      <c r="M99" s="48"/>
      <c r="N99" s="372">
        <f t="shared" si="57"/>
        <v>0</v>
      </c>
      <c r="O99" s="393"/>
      <c r="P99" s="359"/>
      <c r="Q99" s="288"/>
      <c r="R99" s="362"/>
      <c r="S99" s="208"/>
      <c r="T99" s="12"/>
      <c r="U99" s="12"/>
    </row>
    <row r="100" spans="1:113" ht="16.5" customHeight="1">
      <c r="A100" s="226"/>
      <c r="B100" s="305"/>
      <c r="C100" s="48"/>
      <c r="D100" s="48"/>
      <c r="E100" s="48"/>
      <c r="F100" s="263"/>
      <c r="G100" s="48"/>
      <c r="H100" s="48"/>
      <c r="I100" s="48"/>
      <c r="J100" s="48"/>
      <c r="K100" s="48"/>
      <c r="L100" s="48"/>
      <c r="M100" s="48"/>
      <c r="N100" s="372">
        <f>SUM(B100:M100)</f>
        <v>0</v>
      </c>
      <c r="O100" s="393"/>
      <c r="P100" s="359"/>
      <c r="Q100" s="288"/>
      <c r="R100" s="362"/>
      <c r="S100" s="208"/>
      <c r="T100" s="12"/>
      <c r="U100" s="12"/>
    </row>
    <row r="101" spans="1:113">
      <c r="A101" s="226"/>
      <c r="B101" s="305"/>
      <c r="C101" s="48"/>
      <c r="D101" s="48"/>
      <c r="E101" s="48"/>
      <c r="F101" s="263"/>
      <c r="G101" s="48"/>
      <c r="H101" s="48"/>
      <c r="I101" s="48"/>
      <c r="J101" s="48"/>
      <c r="K101" s="48"/>
      <c r="L101" s="48"/>
      <c r="M101" s="48"/>
      <c r="N101" s="372">
        <f>SUM(B101:M101)</f>
        <v>0</v>
      </c>
      <c r="O101" s="393"/>
      <c r="P101" s="359"/>
      <c r="Q101" s="288"/>
      <c r="R101" s="362"/>
      <c r="S101" s="208"/>
      <c r="T101" s="12"/>
      <c r="U101" s="12"/>
    </row>
    <row r="102" spans="1:113">
      <c r="A102" s="226"/>
      <c r="B102" s="305"/>
      <c r="C102" s="48"/>
      <c r="D102" s="48"/>
      <c r="E102" s="48"/>
      <c r="F102" s="263"/>
      <c r="G102" s="48"/>
      <c r="H102" s="48"/>
      <c r="I102" s="48"/>
      <c r="J102" s="48"/>
      <c r="K102" s="48"/>
      <c r="L102" s="48"/>
      <c r="M102" s="48"/>
      <c r="N102" s="372">
        <f>SUM(B102:M102)</f>
        <v>0</v>
      </c>
      <c r="O102" s="393"/>
      <c r="P102" s="359"/>
      <c r="Q102" s="288"/>
      <c r="R102" s="362"/>
      <c r="S102" s="208"/>
      <c r="T102" s="12"/>
      <c r="U102" s="12"/>
    </row>
    <row r="103" spans="1:113">
      <c r="A103" s="226"/>
      <c r="B103" s="305"/>
      <c r="C103" s="48"/>
      <c r="D103" s="48"/>
      <c r="E103" s="48"/>
      <c r="F103" s="263"/>
      <c r="G103" s="48"/>
      <c r="H103" s="48"/>
      <c r="I103" s="48"/>
      <c r="J103" s="48"/>
      <c r="K103" s="48"/>
      <c r="L103" s="48"/>
      <c r="M103" s="48"/>
      <c r="N103" s="372">
        <f>SUM(B103:M103)</f>
        <v>0</v>
      </c>
      <c r="O103" s="393"/>
      <c r="P103" s="359"/>
      <c r="Q103" s="288"/>
      <c r="R103" s="362"/>
      <c r="S103" s="208"/>
      <c r="T103" s="12"/>
      <c r="U103" s="12"/>
    </row>
    <row r="104" spans="1:113" ht="15.75" thickBot="1">
      <c r="A104" s="85"/>
      <c r="B104" s="261">
        <f t="shared" ref="B104:N104" si="58">SUM(B35:B76)</f>
        <v>0</v>
      </c>
      <c r="C104" s="261">
        <f t="shared" si="58"/>
        <v>0</v>
      </c>
      <c r="D104" s="261">
        <f t="shared" si="58"/>
        <v>0</v>
      </c>
      <c r="E104" s="261">
        <f t="shared" si="58"/>
        <v>0</v>
      </c>
      <c r="F104" s="261">
        <f t="shared" si="58"/>
        <v>0</v>
      </c>
      <c r="G104" s="261">
        <f t="shared" si="58"/>
        <v>0</v>
      </c>
      <c r="H104" s="261">
        <f t="shared" si="58"/>
        <v>0</v>
      </c>
      <c r="I104" s="261">
        <f t="shared" si="58"/>
        <v>0</v>
      </c>
      <c r="J104" s="261">
        <f t="shared" si="58"/>
        <v>0</v>
      </c>
      <c r="K104" s="261">
        <f t="shared" si="58"/>
        <v>0</v>
      </c>
      <c r="L104" s="261">
        <f t="shared" si="58"/>
        <v>0</v>
      </c>
      <c r="M104" s="261">
        <f t="shared" si="58"/>
        <v>0</v>
      </c>
      <c r="N104" s="261">
        <f t="shared" si="58"/>
        <v>0</v>
      </c>
      <c r="O104" s="393"/>
      <c r="P104" s="359"/>
      <c r="Q104" s="288"/>
      <c r="R104" s="362"/>
      <c r="S104" s="208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  <c r="AS104" s="12"/>
      <c r="AT104" s="12"/>
      <c r="AU104" s="12"/>
      <c r="AV104" s="12"/>
      <c r="AW104" s="12"/>
      <c r="AX104" s="12"/>
      <c r="AY104" s="12"/>
      <c r="AZ104" s="12"/>
      <c r="BA104" s="12"/>
      <c r="BB104" s="12"/>
      <c r="BC104" s="12"/>
      <c r="BD104" s="12"/>
      <c r="BE104" s="12"/>
      <c r="BF104" s="12"/>
      <c r="BG104" s="12"/>
      <c r="BH104" s="12"/>
      <c r="BI104" s="12"/>
      <c r="BJ104" s="12"/>
      <c r="BK104" s="12"/>
      <c r="BL104" s="12"/>
      <c r="BM104" s="12"/>
      <c r="BN104" s="12"/>
      <c r="BO104" s="12"/>
      <c r="BP104" s="12"/>
      <c r="BQ104" s="12"/>
      <c r="BR104" s="12"/>
      <c r="BS104" s="12"/>
      <c r="BT104" s="12"/>
      <c r="BU104" s="12"/>
      <c r="BV104" s="12"/>
      <c r="BW104" s="12"/>
      <c r="BX104" s="12"/>
      <c r="BY104" s="12"/>
      <c r="BZ104" s="12"/>
      <c r="CA104" s="12"/>
      <c r="CB104" s="12"/>
      <c r="CC104" s="12"/>
      <c r="CD104" s="12"/>
      <c r="CE104" s="12"/>
      <c r="CF104" s="12"/>
      <c r="CG104" s="12"/>
      <c r="CH104" s="12"/>
      <c r="CI104" s="12"/>
      <c r="CJ104" s="12"/>
      <c r="CK104" s="12"/>
    </row>
    <row r="105" spans="1:113" ht="15.75" thickTop="1">
      <c r="A105" s="81" t="s">
        <v>38</v>
      </c>
      <c r="B105" s="84"/>
      <c r="C105" s="84"/>
      <c r="D105" s="84"/>
      <c r="E105" s="84"/>
      <c r="F105" s="338"/>
      <c r="G105" s="84"/>
      <c r="H105" s="84"/>
      <c r="I105" s="84"/>
      <c r="J105" s="84"/>
      <c r="K105" s="84"/>
      <c r="L105" s="84"/>
      <c r="M105" s="84"/>
      <c r="N105" s="262"/>
      <c r="O105" s="393"/>
      <c r="P105" s="359"/>
      <c r="Q105" s="288"/>
      <c r="R105" s="362"/>
      <c r="S105" s="208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  <c r="AS105" s="12"/>
      <c r="AT105" s="12"/>
      <c r="AU105" s="12"/>
      <c r="AV105" s="12"/>
      <c r="AW105" s="12"/>
      <c r="AX105" s="12"/>
      <c r="AY105" s="12"/>
      <c r="AZ105" s="12"/>
      <c r="BA105" s="12"/>
      <c r="BB105" s="12"/>
      <c r="BC105" s="12"/>
      <c r="BD105" s="12"/>
      <c r="BE105" s="12"/>
      <c r="BF105" s="12"/>
      <c r="BG105" s="12"/>
      <c r="BH105" s="12"/>
      <c r="BI105" s="12"/>
      <c r="BJ105" s="12"/>
      <c r="BK105" s="12"/>
      <c r="BL105" s="12"/>
      <c r="BM105" s="12"/>
      <c r="BN105" s="12"/>
      <c r="BO105" s="12"/>
      <c r="BP105" s="12"/>
      <c r="BQ105" s="12"/>
      <c r="BR105" s="12"/>
      <c r="BS105" s="12"/>
      <c r="BT105" s="12"/>
      <c r="BU105" s="12"/>
      <c r="BV105" s="12"/>
      <c r="BW105" s="12"/>
      <c r="BX105" s="12"/>
      <c r="BY105" s="12"/>
      <c r="BZ105" s="12"/>
      <c r="CA105" s="12"/>
      <c r="CB105" s="12"/>
      <c r="CC105" s="12"/>
      <c r="CD105" s="12"/>
      <c r="CE105" s="12"/>
      <c r="CF105" s="12"/>
      <c r="CG105" s="12"/>
      <c r="CH105" s="12"/>
      <c r="CI105" s="12"/>
      <c r="CJ105" s="12"/>
      <c r="CK105" s="12"/>
    </row>
    <row r="106" spans="1:113" ht="15.75" customHeight="1">
      <c r="A106" s="47"/>
      <c r="B106" s="48"/>
      <c r="C106" s="49"/>
      <c r="D106" s="49"/>
      <c r="E106" s="49"/>
      <c r="F106" s="339"/>
      <c r="G106" s="49"/>
      <c r="H106" s="49"/>
      <c r="I106" s="49"/>
      <c r="J106" s="49"/>
      <c r="K106" s="49"/>
      <c r="L106" s="49"/>
      <c r="M106" s="49"/>
      <c r="N106" s="260">
        <f>SUM(B106:M106)</f>
        <v>0</v>
      </c>
      <c r="O106" s="393"/>
      <c r="P106" s="359"/>
      <c r="Q106" s="288"/>
      <c r="R106" s="362"/>
      <c r="S106" s="208"/>
      <c r="T106" s="12"/>
      <c r="U106" s="12"/>
    </row>
    <row r="107" spans="1:113" ht="15.75" customHeight="1">
      <c r="A107" s="226" t="s">
        <v>281</v>
      </c>
      <c r="B107" s="48"/>
      <c r="C107" s="49"/>
      <c r="D107" s="48"/>
      <c r="E107" s="49"/>
      <c r="F107" s="339"/>
      <c r="G107" s="49"/>
      <c r="H107" s="49"/>
      <c r="I107" s="49"/>
      <c r="J107" s="49"/>
      <c r="K107" s="49"/>
      <c r="L107" s="49"/>
      <c r="M107" s="49"/>
      <c r="N107" s="260">
        <f>SUM(B107:M107)</f>
        <v>0</v>
      </c>
      <c r="O107" s="393"/>
      <c r="P107" s="359"/>
      <c r="Q107" s="288"/>
      <c r="R107" s="362"/>
      <c r="S107" s="208"/>
      <c r="T107" s="12"/>
      <c r="U107" s="12"/>
    </row>
    <row r="108" spans="1:113" ht="15.75" customHeight="1">
      <c r="A108" s="47"/>
      <c r="B108" s="48"/>
      <c r="C108" s="49"/>
      <c r="D108" s="49"/>
      <c r="E108" s="49"/>
      <c r="F108" s="339"/>
      <c r="G108" s="49"/>
      <c r="H108" s="49"/>
      <c r="I108" s="49"/>
      <c r="J108" s="49"/>
      <c r="K108" s="49"/>
      <c r="L108" s="49"/>
      <c r="M108" s="49"/>
      <c r="N108" s="260">
        <f>SUM(B108:M108)</f>
        <v>0</v>
      </c>
      <c r="O108" s="393"/>
      <c r="P108" s="359"/>
      <c r="Q108" s="288"/>
      <c r="R108" s="362"/>
      <c r="S108" s="208"/>
      <c r="T108" s="12"/>
      <c r="U108" s="12"/>
    </row>
    <row r="109" spans="1:113" ht="15.75" customHeight="1">
      <c r="A109" s="47"/>
      <c r="B109" s="48"/>
      <c r="C109" s="49"/>
      <c r="D109" s="49"/>
      <c r="E109" s="49"/>
      <c r="F109" s="339"/>
      <c r="G109" s="49"/>
      <c r="H109" s="49"/>
      <c r="I109" s="49"/>
      <c r="J109" s="49"/>
      <c r="K109" s="49"/>
      <c r="L109" s="49"/>
      <c r="M109" s="49"/>
      <c r="N109" s="260"/>
      <c r="O109" s="297"/>
      <c r="P109" s="359"/>
      <c r="Q109" s="288"/>
      <c r="R109" s="362"/>
      <c r="S109" s="293"/>
      <c r="T109" s="12"/>
      <c r="U109" s="12"/>
    </row>
    <row r="110" spans="1:113" ht="15.75" customHeight="1" thickBot="1">
      <c r="A110" s="85" t="s">
        <v>37</v>
      </c>
      <c r="B110" s="86">
        <f t="shared" ref="B110:M110" si="59">SUM(B106:B108)</f>
        <v>0</v>
      </c>
      <c r="C110" s="86">
        <f t="shared" si="59"/>
        <v>0</v>
      </c>
      <c r="D110" s="86">
        <f t="shared" si="59"/>
        <v>0</v>
      </c>
      <c r="E110" s="86">
        <f t="shared" si="59"/>
        <v>0</v>
      </c>
      <c r="F110" s="340">
        <f t="shared" si="59"/>
        <v>0</v>
      </c>
      <c r="G110" s="86">
        <f t="shared" si="59"/>
        <v>0</v>
      </c>
      <c r="H110" s="86">
        <f t="shared" si="59"/>
        <v>0</v>
      </c>
      <c r="I110" s="261">
        <f t="shared" si="59"/>
        <v>0</v>
      </c>
      <c r="J110" s="261">
        <f t="shared" si="59"/>
        <v>0</v>
      </c>
      <c r="K110" s="369">
        <f t="shared" si="59"/>
        <v>0</v>
      </c>
      <c r="L110" s="261">
        <f t="shared" si="59"/>
        <v>0</v>
      </c>
      <c r="M110" s="261">
        <f t="shared" si="59"/>
        <v>0</v>
      </c>
      <c r="N110" s="261">
        <f>SUM(N106:N108)</f>
        <v>0</v>
      </c>
      <c r="O110" s="297"/>
      <c r="P110" s="359"/>
      <c r="Q110" s="288"/>
      <c r="R110" s="362"/>
      <c r="S110" s="293"/>
      <c r="T110" s="12"/>
      <c r="U110" s="12"/>
    </row>
    <row r="111" spans="1:113" ht="15.75" thickTop="1">
      <c r="A111" s="81" t="s">
        <v>48</v>
      </c>
      <c r="B111" s="84"/>
      <c r="C111" s="66"/>
      <c r="D111" s="66"/>
      <c r="E111" s="66"/>
      <c r="F111" s="341"/>
      <c r="G111" s="66"/>
      <c r="H111" s="66"/>
      <c r="I111" s="66"/>
      <c r="J111" s="66"/>
      <c r="K111" s="66"/>
      <c r="L111" s="66"/>
      <c r="M111" s="66"/>
      <c r="N111" s="262"/>
      <c r="O111" s="297"/>
      <c r="P111" s="359"/>
      <c r="Q111" s="288"/>
      <c r="R111" s="362"/>
      <c r="S111" s="293"/>
      <c r="T111" s="12"/>
      <c r="U111" s="12"/>
    </row>
    <row r="112" spans="1:113" s="113" customFormat="1">
      <c r="A112" s="47"/>
      <c r="B112" s="48"/>
      <c r="C112" s="49"/>
      <c r="D112" s="49"/>
      <c r="E112" s="49"/>
      <c r="F112" s="339"/>
      <c r="G112" s="49"/>
      <c r="H112" s="49"/>
      <c r="I112" s="49"/>
      <c r="J112" s="49"/>
      <c r="K112" s="49"/>
      <c r="L112" s="49"/>
      <c r="M112" s="49"/>
      <c r="N112" s="260">
        <f>SUM(B112:M112)</f>
        <v>0</v>
      </c>
      <c r="O112" s="297"/>
      <c r="P112" s="359"/>
      <c r="Q112" s="288"/>
      <c r="R112" s="362"/>
      <c r="S112" s="293"/>
      <c r="T112" s="12"/>
      <c r="U112" s="12"/>
      <c r="DI112" s="303"/>
    </row>
    <row r="113" spans="1:113" s="113" customFormat="1">
      <c r="A113" s="47"/>
      <c r="B113" s="48"/>
      <c r="C113" s="49"/>
      <c r="D113" s="49"/>
      <c r="E113" s="49"/>
      <c r="F113" s="339"/>
      <c r="G113" s="49"/>
      <c r="H113" s="49"/>
      <c r="I113" s="49"/>
      <c r="J113" s="49"/>
      <c r="K113" s="49"/>
      <c r="L113" s="49"/>
      <c r="M113" s="49"/>
      <c r="N113" s="260">
        <f>SUM(B113:M113)</f>
        <v>0</v>
      </c>
      <c r="O113" s="297"/>
      <c r="P113" s="359"/>
      <c r="Q113" s="288"/>
      <c r="R113" s="362"/>
      <c r="S113" s="293"/>
      <c r="T113" s="12"/>
      <c r="U113" s="12"/>
      <c r="DI113" s="303"/>
    </row>
    <row r="114" spans="1:113" s="113" customFormat="1">
      <c r="A114" s="47"/>
      <c r="B114" s="48"/>
      <c r="C114" s="49"/>
      <c r="D114" s="49"/>
      <c r="E114" s="49"/>
      <c r="F114" s="339"/>
      <c r="G114" s="49"/>
      <c r="H114" s="49"/>
      <c r="I114" s="49"/>
      <c r="J114" s="49"/>
      <c r="K114" s="49"/>
      <c r="L114" s="49"/>
      <c r="M114" s="49"/>
      <c r="N114" s="260">
        <f>SUM(B114:M114)</f>
        <v>0</v>
      </c>
      <c r="O114" s="297"/>
      <c r="P114" s="359"/>
      <c r="Q114" s="288"/>
      <c r="R114" s="362"/>
      <c r="S114" s="293"/>
      <c r="T114" s="12"/>
      <c r="U114" s="12"/>
      <c r="DI114" s="303"/>
    </row>
    <row r="115" spans="1:113" s="113" customFormat="1">
      <c r="A115" s="47"/>
      <c r="B115" s="48"/>
      <c r="C115" s="49"/>
      <c r="D115" s="49"/>
      <c r="E115" s="49"/>
      <c r="F115" s="339"/>
      <c r="G115" s="49"/>
      <c r="H115" s="49"/>
      <c r="I115" s="49"/>
      <c r="J115" s="49"/>
      <c r="K115" s="49"/>
      <c r="L115" s="49"/>
      <c r="M115" s="49"/>
      <c r="N115" s="260">
        <f>SUM(B115:M115)</f>
        <v>0</v>
      </c>
      <c r="O115" s="297"/>
      <c r="P115" s="359"/>
      <c r="Q115" s="288"/>
      <c r="R115" s="362"/>
      <c r="S115" s="293"/>
      <c r="T115" s="12"/>
      <c r="U115" s="12"/>
      <c r="DI115" s="303"/>
    </row>
    <row r="116" spans="1:113" s="113" customFormat="1">
      <c r="A116" s="47"/>
      <c r="B116" s="48"/>
      <c r="C116" s="49"/>
      <c r="D116" s="49"/>
      <c r="E116" s="49"/>
      <c r="F116" s="339"/>
      <c r="G116" s="49"/>
      <c r="H116" s="49"/>
      <c r="I116" s="49"/>
      <c r="J116" s="49"/>
      <c r="K116" s="49"/>
      <c r="L116" s="49"/>
      <c r="M116" s="49"/>
      <c r="N116" s="284"/>
      <c r="O116" s="297"/>
      <c r="P116" s="359"/>
      <c r="Q116" s="288"/>
      <c r="R116" s="362"/>
      <c r="S116" s="293"/>
      <c r="T116" s="12"/>
      <c r="U116" s="12"/>
      <c r="DI116" s="303"/>
    </row>
    <row r="117" spans="1:113" ht="15.75" thickBot="1">
      <c r="A117" s="85" t="s">
        <v>37</v>
      </c>
      <c r="B117" s="237">
        <f t="shared" ref="B117:M117" si="60">SUM(B112:B116)</f>
        <v>0</v>
      </c>
      <c r="C117" s="237">
        <f t="shared" si="60"/>
        <v>0</v>
      </c>
      <c r="D117" s="237">
        <f t="shared" si="60"/>
        <v>0</v>
      </c>
      <c r="E117" s="237">
        <f t="shared" si="60"/>
        <v>0</v>
      </c>
      <c r="F117" s="237">
        <f t="shared" si="60"/>
        <v>0</v>
      </c>
      <c r="G117" s="237">
        <f t="shared" si="60"/>
        <v>0</v>
      </c>
      <c r="H117" s="237">
        <f t="shared" si="60"/>
        <v>0</v>
      </c>
      <c r="I117" s="237">
        <f t="shared" si="60"/>
        <v>0</v>
      </c>
      <c r="J117" s="237">
        <f t="shared" si="60"/>
        <v>0</v>
      </c>
      <c r="K117" s="237">
        <f t="shared" si="60"/>
        <v>0</v>
      </c>
      <c r="L117" s="237">
        <f t="shared" si="60"/>
        <v>0</v>
      </c>
      <c r="M117" s="237">
        <f t="shared" si="60"/>
        <v>0</v>
      </c>
      <c r="N117" s="237">
        <f>SUM(N112:N116)</f>
        <v>0</v>
      </c>
      <c r="O117" s="297"/>
      <c r="P117" s="359"/>
      <c r="Q117" s="288"/>
      <c r="R117" s="362"/>
      <c r="S117" s="293"/>
      <c r="T117" s="12"/>
      <c r="U117" s="12"/>
      <c r="V117" s="16"/>
      <c r="W117" s="16"/>
      <c r="X117" s="16"/>
      <c r="Y117" s="16"/>
      <c r="Z117" s="16"/>
      <c r="AA117" s="16"/>
      <c r="AB117" s="16"/>
      <c r="AC117" s="16"/>
      <c r="AD117" s="16"/>
      <c r="AE117" s="16"/>
      <c r="AF117" s="16"/>
      <c r="AG117" s="16"/>
      <c r="AH117" s="16"/>
      <c r="AI117" s="16"/>
      <c r="AJ117" s="16"/>
      <c r="AK117" s="16"/>
      <c r="AL117" s="16"/>
      <c r="AM117" s="16"/>
      <c r="AN117" s="16"/>
      <c r="AO117" s="16"/>
      <c r="AP117" s="16"/>
      <c r="AQ117" s="16"/>
      <c r="AR117" s="16"/>
      <c r="AS117" s="16"/>
      <c r="AT117" s="16"/>
      <c r="AU117" s="16"/>
      <c r="AV117" s="16"/>
      <c r="AW117" s="16"/>
      <c r="AX117" s="16"/>
      <c r="AY117" s="16"/>
      <c r="AZ117" s="16"/>
      <c r="BA117" s="16"/>
      <c r="BB117" s="16"/>
      <c r="BC117" s="16"/>
      <c r="BD117" s="16"/>
      <c r="BE117" s="16"/>
      <c r="BF117" s="16"/>
      <c r="BG117" s="16"/>
      <c r="BH117" s="16"/>
      <c r="BI117" s="16"/>
      <c r="BJ117" s="16"/>
      <c r="BK117" s="16"/>
      <c r="BL117" s="16"/>
      <c r="BM117" s="16"/>
      <c r="BN117" s="16"/>
      <c r="BO117" s="16"/>
      <c r="BP117" s="16"/>
      <c r="BQ117" s="16"/>
      <c r="BR117" s="16"/>
      <c r="BS117" s="16"/>
      <c r="BT117" s="16"/>
      <c r="BU117" s="16"/>
      <c r="BV117" s="16"/>
      <c r="BW117" s="16"/>
      <c r="BX117" s="16"/>
      <c r="BY117" s="16"/>
      <c r="BZ117" s="16"/>
      <c r="CA117" s="16"/>
      <c r="CB117" s="16"/>
      <c r="CC117" s="16"/>
      <c r="CD117" s="16"/>
      <c r="CE117" s="16"/>
      <c r="CF117" s="16"/>
      <c r="CG117" s="16"/>
      <c r="CH117" s="16"/>
      <c r="CI117" s="16"/>
      <c r="CJ117" s="16"/>
      <c r="CK117" s="17"/>
    </row>
    <row r="118" spans="1:113" ht="16.5" thickTop="1" thickBot="1">
      <c r="A118" s="80" t="s">
        <v>51</v>
      </c>
      <c r="B118" s="68">
        <f>B104+B110+B117</f>
        <v>0</v>
      </c>
      <c r="C118" s="68">
        <f t="shared" ref="C118:M118" si="61">C104+C110+C117</f>
        <v>0</v>
      </c>
      <c r="D118" s="68">
        <f t="shared" si="61"/>
        <v>0</v>
      </c>
      <c r="E118" s="68">
        <f>E104+E110+E117</f>
        <v>0</v>
      </c>
      <c r="F118" s="68">
        <f t="shared" si="61"/>
        <v>0</v>
      </c>
      <c r="G118" s="68">
        <f t="shared" si="61"/>
        <v>0</v>
      </c>
      <c r="H118" s="68">
        <f t="shared" si="61"/>
        <v>0</v>
      </c>
      <c r="I118" s="68">
        <f t="shared" si="61"/>
        <v>0</v>
      </c>
      <c r="J118" s="68">
        <f t="shared" si="61"/>
        <v>0</v>
      </c>
      <c r="K118" s="68">
        <f t="shared" si="61"/>
        <v>0</v>
      </c>
      <c r="L118" s="68">
        <f t="shared" si="61"/>
        <v>0</v>
      </c>
      <c r="M118" s="68">
        <f t="shared" si="61"/>
        <v>0</v>
      </c>
      <c r="N118" s="247">
        <f>N104+N110+N117</f>
        <v>0</v>
      </c>
      <c r="O118" s="297"/>
      <c r="P118" s="359"/>
      <c r="Q118" s="288"/>
      <c r="R118" s="362"/>
      <c r="S118" s="293"/>
      <c r="T118" s="12"/>
      <c r="U118" s="16"/>
      <c r="V118" s="17"/>
      <c r="W118" s="17"/>
      <c r="X118" s="17"/>
      <c r="Y118" s="17"/>
      <c r="Z118" s="17"/>
      <c r="AA118" s="17"/>
      <c r="AB118" s="17"/>
      <c r="AC118" s="17"/>
      <c r="AD118" s="17"/>
      <c r="AE118" s="17"/>
      <c r="AF118" s="17"/>
      <c r="AG118" s="17"/>
      <c r="AH118" s="17"/>
      <c r="AI118" s="17"/>
      <c r="AJ118" s="17"/>
      <c r="AK118" s="17"/>
      <c r="AL118" s="17"/>
      <c r="AM118" s="17"/>
      <c r="AN118" s="17"/>
      <c r="AO118" s="17"/>
      <c r="AP118" s="17"/>
      <c r="AQ118" s="17"/>
      <c r="AR118" s="17"/>
      <c r="AS118" s="17"/>
      <c r="AT118" s="17"/>
      <c r="AU118" s="17"/>
      <c r="AV118" s="17"/>
      <c r="AW118" s="17"/>
      <c r="AX118" s="17"/>
      <c r="AY118" s="17"/>
      <c r="AZ118" s="17"/>
      <c r="BA118" s="17"/>
      <c r="BB118" s="17"/>
      <c r="BC118" s="17"/>
      <c r="BD118" s="17"/>
      <c r="BE118" s="17"/>
      <c r="BF118" s="17"/>
      <c r="BG118" s="17"/>
      <c r="BH118" s="17"/>
      <c r="BI118" s="17"/>
      <c r="BJ118" s="17"/>
      <c r="BK118" s="17"/>
      <c r="BL118" s="17"/>
      <c r="BM118" s="17"/>
      <c r="BN118" s="17"/>
      <c r="BO118" s="17"/>
      <c r="BP118" s="17"/>
      <c r="BQ118" s="17"/>
      <c r="BR118" s="17"/>
      <c r="BS118" s="17"/>
      <c r="BT118" s="17"/>
      <c r="BU118" s="17"/>
      <c r="BV118" s="17"/>
      <c r="BW118" s="17"/>
      <c r="BX118" s="17"/>
      <c r="BY118" s="17"/>
      <c r="BZ118" s="17"/>
      <c r="CA118" s="17"/>
      <c r="CB118" s="17"/>
      <c r="CC118" s="17"/>
      <c r="CD118" s="17"/>
      <c r="CE118" s="17"/>
      <c r="CF118" s="17"/>
      <c r="CG118" s="17"/>
      <c r="CH118" s="17"/>
      <c r="CI118" s="17"/>
      <c r="CJ118" s="17"/>
      <c r="CK118" s="17"/>
    </row>
    <row r="119" spans="1:113" ht="16.5" thickTop="1" thickBot="1">
      <c r="A119" s="80" t="s">
        <v>52</v>
      </c>
      <c r="B119" s="68">
        <f t="shared" ref="B119:L119" si="62">B104+B195</f>
        <v>0</v>
      </c>
      <c r="C119" s="68">
        <f t="shared" si="62"/>
        <v>0</v>
      </c>
      <c r="D119" s="68">
        <f t="shared" si="62"/>
        <v>0</v>
      </c>
      <c r="E119" s="68">
        <f t="shared" si="62"/>
        <v>0</v>
      </c>
      <c r="F119" s="342">
        <f t="shared" si="62"/>
        <v>0</v>
      </c>
      <c r="G119" s="68">
        <f t="shared" si="62"/>
        <v>0</v>
      </c>
      <c r="H119" s="68">
        <f t="shared" si="62"/>
        <v>0</v>
      </c>
      <c r="I119" s="68">
        <f t="shared" si="62"/>
        <v>0</v>
      </c>
      <c r="J119" s="68">
        <f t="shared" si="62"/>
        <v>0</v>
      </c>
      <c r="K119" s="68">
        <f t="shared" si="62"/>
        <v>0</v>
      </c>
      <c r="L119" s="68">
        <f t="shared" si="62"/>
        <v>0</v>
      </c>
      <c r="M119" s="68">
        <f>M104+M195+M209</f>
        <v>0</v>
      </c>
      <c r="N119" s="247">
        <f>SUM(B119:M119)</f>
        <v>0</v>
      </c>
      <c r="O119" s="297"/>
      <c r="P119" s="359"/>
      <c r="Q119" s="288"/>
      <c r="R119" s="368"/>
      <c r="S119" s="293"/>
      <c r="T119" s="12"/>
      <c r="U119" s="17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/>
      <c r="BF119"/>
      <c r="BG119"/>
      <c r="BH119"/>
      <c r="BI119"/>
      <c r="BJ119"/>
      <c r="BK119"/>
      <c r="BL119"/>
      <c r="BM119"/>
      <c r="BN119"/>
      <c r="BO119"/>
      <c r="BP119"/>
      <c r="BQ119"/>
      <c r="BR119"/>
      <c r="BS119"/>
      <c r="BT119"/>
      <c r="BU119"/>
      <c r="BV119"/>
      <c r="BW119"/>
      <c r="BX119"/>
      <c r="BY119"/>
      <c r="BZ119"/>
      <c r="CA119"/>
      <c r="CB119"/>
      <c r="CC119"/>
      <c r="CD119"/>
      <c r="CE119"/>
      <c r="CF119"/>
      <c r="CG119"/>
      <c r="CH119"/>
      <c r="CI119"/>
      <c r="CJ119"/>
    </row>
    <row r="120" spans="1:113" ht="16.5" thickTop="1" thickBot="1">
      <c r="A120" s="80" t="s">
        <v>53</v>
      </c>
      <c r="B120" s="68">
        <f t="shared" ref="B120:N120" si="63">B119+B117+B209+B110</f>
        <v>0</v>
      </c>
      <c r="C120" s="68">
        <f t="shared" si="63"/>
        <v>0</v>
      </c>
      <c r="D120" s="68">
        <f t="shared" si="63"/>
        <v>0</v>
      </c>
      <c r="E120" s="68">
        <f t="shared" si="63"/>
        <v>0</v>
      </c>
      <c r="F120" s="342">
        <f t="shared" si="63"/>
        <v>0</v>
      </c>
      <c r="G120" s="68">
        <f t="shared" si="63"/>
        <v>0</v>
      </c>
      <c r="H120" s="68">
        <f t="shared" si="63"/>
        <v>0</v>
      </c>
      <c r="I120" s="68">
        <f t="shared" si="63"/>
        <v>0</v>
      </c>
      <c r="J120" s="68">
        <f t="shared" si="63"/>
        <v>0</v>
      </c>
      <c r="K120" s="68">
        <f t="shared" si="63"/>
        <v>0</v>
      </c>
      <c r="L120" s="68">
        <f t="shared" si="63"/>
        <v>0</v>
      </c>
      <c r="M120" s="68">
        <f t="shared" si="63"/>
        <v>0</v>
      </c>
      <c r="N120" s="247">
        <f t="shared" si="63"/>
        <v>0</v>
      </c>
      <c r="O120" s="297"/>
      <c r="P120" s="359"/>
      <c r="Q120" s="288"/>
      <c r="R120" s="362"/>
      <c r="S120" s="293"/>
      <c r="T120" s="12"/>
      <c r="U120" s="12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  <c r="BE120"/>
      <c r="BF120"/>
      <c r="BG120"/>
      <c r="BH120"/>
      <c r="BI120"/>
      <c r="BJ120"/>
      <c r="BK120"/>
      <c r="BL120"/>
      <c r="BM120"/>
      <c r="BN120"/>
      <c r="BO120"/>
      <c r="BP120"/>
      <c r="BQ120"/>
      <c r="BR120"/>
      <c r="BS120"/>
      <c r="BT120"/>
      <c r="BU120"/>
      <c r="BV120"/>
      <c r="BW120"/>
      <c r="BX120"/>
      <c r="BY120"/>
      <c r="BZ120"/>
      <c r="CA120"/>
      <c r="CB120"/>
      <c r="CC120"/>
      <c r="CD120"/>
      <c r="CE120"/>
      <c r="CF120"/>
      <c r="CG120"/>
      <c r="CH120"/>
      <c r="CI120"/>
      <c r="CJ120"/>
    </row>
    <row r="121" spans="1:113" ht="15.75" thickTop="1">
      <c r="A121" s="248"/>
      <c r="B121" s="58"/>
      <c r="C121" s="175"/>
      <c r="D121" s="11"/>
      <c r="E121" s="11"/>
      <c r="G121" s="11"/>
      <c r="H121" s="11"/>
      <c r="J121" s="109"/>
      <c r="K121" s="11"/>
      <c r="L121" s="11"/>
      <c r="M121" s="11"/>
      <c r="O121" s="297"/>
      <c r="P121" s="359"/>
      <c r="Q121" s="288"/>
      <c r="R121" s="362"/>
      <c r="S121" s="293"/>
      <c r="T121" s="12"/>
      <c r="U121" s="19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/>
      <c r="BF121"/>
      <c r="BG121"/>
      <c r="BH121"/>
      <c r="BI121"/>
      <c r="BJ121"/>
      <c r="BK121"/>
      <c r="BL121"/>
      <c r="BM121"/>
      <c r="BN121"/>
      <c r="BO121"/>
      <c r="BP121"/>
      <c r="BQ121"/>
      <c r="BR121"/>
      <c r="BS121"/>
      <c r="BT121"/>
      <c r="BU121"/>
      <c r="BV121"/>
      <c r="BW121"/>
      <c r="BX121"/>
      <c r="BY121"/>
      <c r="BZ121"/>
      <c r="CA121"/>
      <c r="CB121"/>
      <c r="CC121"/>
      <c r="CD121"/>
      <c r="CE121"/>
      <c r="CF121"/>
      <c r="CG121"/>
      <c r="CH121"/>
      <c r="CI121"/>
      <c r="CJ121"/>
    </row>
    <row r="122" spans="1:113">
      <c r="A122" s="42" t="s">
        <v>77</v>
      </c>
      <c r="B122" s="437">
        <v>44197</v>
      </c>
      <c r="C122" s="437">
        <v>44228</v>
      </c>
      <c r="D122" s="437">
        <v>44256</v>
      </c>
      <c r="E122" s="437">
        <v>44287</v>
      </c>
      <c r="F122" s="437">
        <v>44317</v>
      </c>
      <c r="G122" s="437">
        <v>44348</v>
      </c>
      <c r="H122" s="437">
        <v>44378</v>
      </c>
      <c r="I122" s="437">
        <v>44409</v>
      </c>
      <c r="J122" s="437">
        <v>44440</v>
      </c>
      <c r="K122" s="437">
        <v>44470</v>
      </c>
      <c r="L122" s="437">
        <v>44501</v>
      </c>
      <c r="M122" s="437">
        <v>44531</v>
      </c>
      <c r="N122" s="469" t="s">
        <v>15</v>
      </c>
      <c r="O122" s="297"/>
      <c r="P122" s="359"/>
      <c r="Q122" s="288"/>
      <c r="R122" s="362"/>
      <c r="S122" s="294"/>
      <c r="U122" s="191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  <c r="BE122"/>
      <c r="BF122"/>
      <c r="BG122"/>
      <c r="BH122"/>
      <c r="BI122"/>
      <c r="BJ122"/>
      <c r="BK122"/>
      <c r="BL122"/>
      <c r="BM122"/>
      <c r="BN122"/>
      <c r="BO122"/>
      <c r="BP122"/>
      <c r="BQ122"/>
      <c r="BR122"/>
      <c r="BS122"/>
      <c r="BT122"/>
      <c r="BU122"/>
      <c r="BV122"/>
      <c r="BW122"/>
      <c r="BX122"/>
      <c r="BY122"/>
      <c r="BZ122"/>
      <c r="CA122"/>
      <c r="CB122"/>
      <c r="CC122"/>
      <c r="CD122"/>
      <c r="CE122"/>
      <c r="CF122"/>
      <c r="CG122"/>
      <c r="CH122"/>
      <c r="CI122"/>
      <c r="CJ122"/>
    </row>
    <row r="123" spans="1:113" ht="15.75" thickBot="1">
      <c r="A123" s="44" t="s">
        <v>34</v>
      </c>
      <c r="B123" s="438"/>
      <c r="C123" s="438"/>
      <c r="D123" s="438"/>
      <c r="E123" s="438"/>
      <c r="F123" s="438"/>
      <c r="G123" s="438"/>
      <c r="H123" s="438"/>
      <c r="I123" s="438"/>
      <c r="J123" s="438"/>
      <c r="K123" s="438"/>
      <c r="L123" s="438"/>
      <c r="M123" s="438"/>
      <c r="N123" s="470"/>
      <c r="O123" s="297"/>
      <c r="P123" s="359"/>
      <c r="Q123" s="288"/>
      <c r="R123" s="362"/>
      <c r="S123" s="294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  <c r="BE123"/>
      <c r="BF123"/>
      <c r="BG123"/>
      <c r="BH123"/>
      <c r="BI123"/>
      <c r="BJ123"/>
      <c r="BK123"/>
      <c r="BL123"/>
      <c r="BM123"/>
      <c r="BN123"/>
      <c r="BO123"/>
      <c r="BP123"/>
      <c r="BQ123"/>
      <c r="BR123"/>
      <c r="BS123"/>
      <c r="BT123"/>
      <c r="BU123"/>
      <c r="BV123"/>
      <c r="BW123"/>
      <c r="BX123"/>
      <c r="BY123"/>
      <c r="BZ123"/>
      <c r="CA123"/>
      <c r="CB123"/>
      <c r="CC123"/>
      <c r="CD123"/>
      <c r="CE123"/>
      <c r="CF123"/>
      <c r="CG123"/>
      <c r="CH123"/>
      <c r="CI123"/>
      <c r="CJ123"/>
    </row>
    <row r="124" spans="1:113" ht="15.75" thickTop="1">
      <c r="A124" s="45" t="s">
        <v>35</v>
      </c>
      <c r="B124" s="46"/>
      <c r="C124" s="46"/>
      <c r="D124" s="46"/>
      <c r="E124" s="46"/>
      <c r="F124" s="343"/>
      <c r="G124" s="82"/>
      <c r="H124" s="82"/>
      <c r="I124" s="82"/>
      <c r="J124" s="82"/>
      <c r="K124" s="82"/>
      <c r="L124" s="82"/>
      <c r="M124" s="82"/>
      <c r="N124" s="259"/>
      <c r="O124" s="297"/>
      <c r="P124" s="359"/>
      <c r="Q124" s="288"/>
      <c r="R124" s="362"/>
      <c r="S124" s="293"/>
      <c r="T124" s="12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  <c r="BE124"/>
      <c r="BF124"/>
      <c r="BG124"/>
      <c r="BH124"/>
      <c r="BI124"/>
      <c r="BJ124"/>
      <c r="BK124"/>
      <c r="BL124"/>
      <c r="BM124"/>
      <c r="BN124"/>
      <c r="BO124"/>
      <c r="BP124"/>
      <c r="BQ124"/>
      <c r="BR124"/>
      <c r="BS124"/>
      <c r="BT124"/>
      <c r="BU124"/>
      <c r="BV124"/>
      <c r="BW124"/>
      <c r="BX124"/>
      <c r="BY124"/>
      <c r="BZ124"/>
      <c r="CA124"/>
      <c r="CB124"/>
      <c r="CC124"/>
      <c r="CD124"/>
      <c r="CE124"/>
      <c r="CF124"/>
      <c r="CG124"/>
      <c r="CH124"/>
      <c r="CI124"/>
      <c r="CJ124"/>
    </row>
    <row r="125" spans="1:113" ht="15" customHeight="1">
      <c r="A125" s="304" t="s">
        <v>266</v>
      </c>
      <c r="B125" s="73"/>
      <c r="C125" s="73"/>
      <c r="D125" s="73"/>
      <c r="E125" s="73"/>
      <c r="F125" s="73"/>
      <c r="G125" s="73"/>
      <c r="H125" s="73"/>
      <c r="I125" s="73"/>
      <c r="J125" s="73"/>
      <c r="K125" s="365"/>
      <c r="L125" s="365"/>
      <c r="M125" s="365"/>
      <c r="N125" s="286">
        <f>SUM(B125:M125)</f>
        <v>0</v>
      </c>
      <c r="O125" s="297"/>
      <c r="P125" s="359"/>
      <c r="Q125" s="288"/>
      <c r="R125" s="362"/>
      <c r="S125" s="293"/>
      <c r="T125" s="12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  <c r="BG125"/>
      <c r="BH125"/>
      <c r="BI125"/>
      <c r="BJ125"/>
      <c r="BK125"/>
      <c r="BL125"/>
      <c r="BM125"/>
      <c r="BN125"/>
      <c r="BO125"/>
      <c r="BP125"/>
      <c r="BQ125"/>
      <c r="BR125"/>
      <c r="BS125"/>
      <c r="BT125"/>
      <c r="BU125"/>
      <c r="BV125"/>
      <c r="BW125"/>
      <c r="BX125"/>
      <c r="BY125"/>
      <c r="BZ125"/>
      <c r="CA125"/>
      <c r="CB125"/>
      <c r="CC125"/>
      <c r="CD125"/>
      <c r="CE125"/>
      <c r="CF125"/>
      <c r="CG125"/>
      <c r="CH125"/>
      <c r="CI125"/>
      <c r="CJ125"/>
    </row>
    <row r="126" spans="1:113">
      <c r="A126" s="47" t="s">
        <v>267</v>
      </c>
      <c r="B126" s="73"/>
      <c r="C126" s="73"/>
      <c r="D126" s="73"/>
      <c r="E126" s="73"/>
      <c r="F126" s="73"/>
      <c r="G126" s="73"/>
      <c r="H126" s="73"/>
      <c r="I126" s="73"/>
      <c r="J126" s="73"/>
      <c r="K126" s="365"/>
      <c r="L126" s="365"/>
      <c r="M126" s="365"/>
      <c r="N126" s="286">
        <f t="shared" ref="N126:N189" si="64">SUM(B126:M126)</f>
        <v>0</v>
      </c>
      <c r="O126" s="297"/>
      <c r="P126" s="359"/>
      <c r="Q126" s="288"/>
      <c r="R126" s="362"/>
      <c r="S126" s="293"/>
      <c r="T126" s="12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  <c r="BE126"/>
      <c r="BF126"/>
      <c r="BG126"/>
      <c r="BH126"/>
      <c r="BI126"/>
      <c r="BJ126"/>
      <c r="BK126"/>
      <c r="BL126"/>
      <c r="BM126"/>
      <c r="BN126"/>
      <c r="BO126"/>
      <c r="BP126"/>
      <c r="BQ126"/>
      <c r="BR126"/>
      <c r="BS126"/>
      <c r="BT126"/>
      <c r="BU126"/>
      <c r="BV126"/>
      <c r="BW126"/>
      <c r="BX126"/>
      <c r="BY126"/>
      <c r="BZ126"/>
      <c r="CA126"/>
      <c r="CB126"/>
      <c r="CC126"/>
      <c r="CD126"/>
      <c r="CE126"/>
      <c r="CF126"/>
      <c r="CG126"/>
      <c r="CH126"/>
      <c r="CI126"/>
      <c r="CJ126"/>
    </row>
    <row r="127" spans="1:113">
      <c r="A127" s="47" t="s">
        <v>268</v>
      </c>
      <c r="B127" s="73"/>
      <c r="C127" s="73"/>
      <c r="D127" s="73"/>
      <c r="E127" s="73"/>
      <c r="F127" s="73"/>
      <c r="G127" s="73"/>
      <c r="H127" s="73"/>
      <c r="I127" s="73"/>
      <c r="J127" s="73"/>
      <c r="K127" s="365"/>
      <c r="L127" s="365"/>
      <c r="M127" s="365"/>
      <c r="N127" s="286">
        <f t="shared" si="64"/>
        <v>0</v>
      </c>
      <c r="O127" s="297"/>
      <c r="P127" s="359"/>
      <c r="Q127" s="288"/>
      <c r="R127" s="362"/>
      <c r="S127" s="293"/>
      <c r="T127" s="12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  <c r="BE127"/>
      <c r="BF127"/>
      <c r="BG127"/>
      <c r="BH127"/>
      <c r="BI127"/>
      <c r="BJ127"/>
      <c r="BK127"/>
      <c r="BL127"/>
      <c r="BM127"/>
      <c r="BN127"/>
      <c r="BO127"/>
      <c r="BP127"/>
      <c r="BQ127"/>
      <c r="BR127"/>
      <c r="BS127"/>
      <c r="BT127"/>
      <c r="BU127"/>
      <c r="BV127"/>
      <c r="BW127"/>
      <c r="BX127"/>
      <c r="BY127"/>
      <c r="BZ127"/>
      <c r="CA127"/>
      <c r="CB127"/>
      <c r="CC127"/>
      <c r="CD127"/>
      <c r="CE127"/>
      <c r="CF127"/>
      <c r="CG127"/>
      <c r="CH127"/>
      <c r="CI127"/>
      <c r="CJ127"/>
    </row>
    <row r="128" spans="1:113" ht="15" customHeight="1">
      <c r="A128" s="47" t="s">
        <v>152</v>
      </c>
      <c r="B128" s="73"/>
      <c r="C128" s="73"/>
      <c r="D128" s="73"/>
      <c r="E128" s="73"/>
      <c r="F128" s="73"/>
      <c r="G128" s="73"/>
      <c r="H128" s="73"/>
      <c r="I128" s="73"/>
      <c r="J128" s="73"/>
      <c r="K128" s="365"/>
      <c r="L128" s="365"/>
      <c r="M128" s="365"/>
      <c r="N128" s="286">
        <f t="shared" si="64"/>
        <v>0</v>
      </c>
      <c r="O128" s="297"/>
      <c r="P128" s="359"/>
      <c r="Q128" s="288"/>
      <c r="R128" s="362"/>
      <c r="S128" s="293"/>
      <c r="T128" s="12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  <c r="BE128"/>
      <c r="BF128"/>
      <c r="BG128"/>
      <c r="BH128"/>
      <c r="BI128"/>
      <c r="BJ128"/>
      <c r="BK128"/>
      <c r="BL128"/>
      <c r="BM128"/>
      <c r="BN128"/>
      <c r="BO128"/>
      <c r="BP128"/>
      <c r="BQ128"/>
      <c r="BR128"/>
      <c r="BS128"/>
      <c r="BT128"/>
      <c r="BU128"/>
      <c r="BV128"/>
      <c r="BW128"/>
      <c r="BX128"/>
      <c r="BY128"/>
      <c r="BZ128"/>
      <c r="CA128"/>
      <c r="CB128"/>
      <c r="CC128"/>
      <c r="CD128"/>
      <c r="CE128"/>
      <c r="CF128"/>
      <c r="CG128"/>
      <c r="CH128"/>
      <c r="CI128"/>
      <c r="CJ128"/>
    </row>
    <row r="129" spans="1:88">
      <c r="A129" s="47" t="s">
        <v>220</v>
      </c>
      <c r="B129" s="73"/>
      <c r="C129" s="73"/>
      <c r="D129" s="73"/>
      <c r="E129" s="73"/>
      <c r="F129" s="73"/>
      <c r="G129" s="73"/>
      <c r="H129" s="73"/>
      <c r="I129" s="73"/>
      <c r="J129" s="73"/>
      <c r="K129" s="365"/>
      <c r="L129" s="365"/>
      <c r="M129" s="365"/>
      <c r="N129" s="286">
        <f t="shared" si="64"/>
        <v>0</v>
      </c>
      <c r="O129" s="297"/>
      <c r="P129" s="359"/>
      <c r="Q129" s="288"/>
      <c r="R129" s="362"/>
      <c r="S129" s="293"/>
      <c r="T129" s="12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  <c r="BE129"/>
      <c r="BF129"/>
      <c r="BG129"/>
      <c r="BH129"/>
      <c r="BI129"/>
      <c r="BJ129"/>
      <c r="BK129"/>
      <c r="BL129"/>
      <c r="BM129"/>
      <c r="BN129"/>
      <c r="BO129"/>
      <c r="BP129"/>
      <c r="BQ129"/>
      <c r="BR129"/>
      <c r="BS129"/>
      <c r="BT129"/>
      <c r="BU129"/>
      <c r="BV129"/>
      <c r="BW129"/>
      <c r="BX129"/>
      <c r="BY129"/>
      <c r="BZ129"/>
      <c r="CA129"/>
      <c r="CB129"/>
      <c r="CC129"/>
      <c r="CD129"/>
      <c r="CE129"/>
      <c r="CF129"/>
      <c r="CG129"/>
      <c r="CH129"/>
      <c r="CI129"/>
      <c r="CJ129"/>
    </row>
    <row r="130" spans="1:88">
      <c r="A130" s="47" t="s">
        <v>228</v>
      </c>
      <c r="B130" s="73"/>
      <c r="C130" s="73"/>
      <c r="D130" s="73"/>
      <c r="E130" s="73"/>
      <c r="F130" s="73"/>
      <c r="G130" s="73"/>
      <c r="H130" s="73"/>
      <c r="I130" s="73"/>
      <c r="J130" s="73"/>
      <c r="K130" s="365"/>
      <c r="L130" s="365"/>
      <c r="M130" s="365"/>
      <c r="N130" s="286">
        <f t="shared" si="64"/>
        <v>0</v>
      </c>
      <c r="O130" s="297"/>
      <c r="P130" s="359"/>
      <c r="Q130" s="288"/>
      <c r="R130" s="362"/>
      <c r="S130" s="293"/>
      <c r="T130" s="12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  <c r="BE130"/>
      <c r="BF130"/>
      <c r="BG130"/>
      <c r="BH130"/>
      <c r="BI130"/>
      <c r="BJ130"/>
      <c r="BK130"/>
      <c r="BL130"/>
      <c r="BM130"/>
      <c r="BN130"/>
      <c r="BO130"/>
      <c r="BP130"/>
      <c r="BQ130"/>
      <c r="BR130"/>
      <c r="BS130"/>
      <c r="BT130"/>
      <c r="BU130"/>
      <c r="BV130"/>
      <c r="BW130"/>
      <c r="BX130"/>
      <c r="BY130"/>
      <c r="BZ130"/>
      <c r="CA130"/>
      <c r="CB130"/>
      <c r="CC130"/>
      <c r="CD130"/>
      <c r="CE130"/>
      <c r="CF130"/>
      <c r="CG130"/>
      <c r="CH130"/>
      <c r="CI130"/>
      <c r="CJ130"/>
    </row>
    <row r="131" spans="1:88" ht="15" customHeight="1">
      <c r="A131" s="47" t="s">
        <v>232</v>
      </c>
      <c r="B131" s="73"/>
      <c r="C131" s="73"/>
      <c r="D131" s="73"/>
      <c r="E131" s="73"/>
      <c r="F131" s="73"/>
      <c r="G131" s="73"/>
      <c r="H131" s="73"/>
      <c r="I131" s="73"/>
      <c r="J131" s="73"/>
      <c r="K131" s="365"/>
      <c r="L131" s="365"/>
      <c r="M131" s="365"/>
      <c r="N131" s="286">
        <f t="shared" si="64"/>
        <v>0</v>
      </c>
      <c r="O131" s="297"/>
      <c r="P131" s="359"/>
      <c r="Q131" s="288"/>
      <c r="R131" s="362"/>
      <c r="S131" s="293"/>
      <c r="T131" s="12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  <c r="BE131"/>
      <c r="BF131"/>
      <c r="BG131"/>
      <c r="BH131"/>
      <c r="BI131"/>
      <c r="BJ131"/>
      <c r="BK131"/>
      <c r="BL131"/>
      <c r="BM131"/>
      <c r="BN131"/>
      <c r="BO131"/>
      <c r="BP131"/>
      <c r="BQ131"/>
      <c r="BR131"/>
      <c r="BS131"/>
      <c r="BT131"/>
      <c r="BU131"/>
      <c r="BV131"/>
      <c r="BW131"/>
      <c r="BX131"/>
      <c r="BY131"/>
      <c r="BZ131"/>
      <c r="CA131"/>
      <c r="CB131"/>
      <c r="CC131"/>
      <c r="CD131"/>
      <c r="CE131"/>
      <c r="CF131"/>
      <c r="CG131"/>
      <c r="CH131"/>
      <c r="CI131"/>
      <c r="CJ131"/>
    </row>
    <row r="132" spans="1:88">
      <c r="A132" s="47" t="s">
        <v>260</v>
      </c>
      <c r="B132" s="73"/>
      <c r="C132" s="73"/>
      <c r="D132" s="73"/>
      <c r="E132" s="73"/>
      <c r="F132" s="73"/>
      <c r="G132" s="73"/>
      <c r="H132" s="73"/>
      <c r="I132" s="73"/>
      <c r="J132" s="73"/>
      <c r="K132" s="365"/>
      <c r="L132" s="365"/>
      <c r="M132" s="365"/>
      <c r="N132" s="286">
        <f t="shared" si="64"/>
        <v>0</v>
      </c>
      <c r="O132" s="297"/>
      <c r="P132" s="359"/>
      <c r="Q132" s="288"/>
      <c r="R132" s="362"/>
      <c r="S132" s="293"/>
      <c r="T132" s="1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  <c r="BE132"/>
      <c r="BF132"/>
      <c r="BG132"/>
      <c r="BH132"/>
      <c r="BI132"/>
      <c r="BJ132"/>
      <c r="BK132"/>
      <c r="BL132"/>
      <c r="BM132"/>
      <c r="BN132"/>
      <c r="BO132"/>
      <c r="BP132"/>
      <c r="BQ132"/>
      <c r="BR132"/>
      <c r="BS132"/>
      <c r="BT132"/>
      <c r="BU132"/>
      <c r="BV132"/>
      <c r="BW132"/>
      <c r="BX132"/>
      <c r="BY132"/>
      <c r="BZ132"/>
      <c r="CA132"/>
      <c r="CB132"/>
      <c r="CC132"/>
      <c r="CD132"/>
      <c r="CE132"/>
      <c r="CF132"/>
      <c r="CG132"/>
      <c r="CH132"/>
      <c r="CI132"/>
      <c r="CJ132"/>
    </row>
    <row r="133" spans="1:88">
      <c r="A133" s="47" t="s">
        <v>261</v>
      </c>
      <c r="B133" s="73"/>
      <c r="C133" s="73"/>
      <c r="D133" s="73"/>
      <c r="E133" s="73"/>
      <c r="F133" s="73"/>
      <c r="G133" s="73"/>
      <c r="H133" s="73"/>
      <c r="I133" s="73"/>
      <c r="J133" s="73"/>
      <c r="K133" s="365"/>
      <c r="L133" s="365"/>
      <c r="M133" s="365"/>
      <c r="N133" s="286">
        <f t="shared" si="64"/>
        <v>0</v>
      </c>
      <c r="O133" s="297"/>
      <c r="P133" s="359"/>
      <c r="Q133" s="288"/>
      <c r="R133" s="362"/>
      <c r="S133" s="293"/>
      <c r="T133" s="12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D133"/>
      <c r="BE133"/>
      <c r="BF133"/>
      <c r="BG133"/>
      <c r="BH133"/>
      <c r="BI133"/>
      <c r="BJ133"/>
      <c r="BK133"/>
      <c r="BL133"/>
      <c r="BM133"/>
      <c r="BN133"/>
      <c r="BO133"/>
      <c r="BP133"/>
      <c r="BQ133"/>
      <c r="BR133"/>
      <c r="BS133"/>
      <c r="BT133"/>
      <c r="BU133"/>
      <c r="BV133"/>
      <c r="BW133"/>
      <c r="BX133"/>
      <c r="BY133"/>
      <c r="BZ133"/>
      <c r="CA133"/>
      <c r="CB133"/>
      <c r="CC133"/>
      <c r="CD133"/>
      <c r="CE133"/>
      <c r="CF133"/>
      <c r="CG133"/>
      <c r="CH133"/>
      <c r="CI133"/>
      <c r="CJ133"/>
    </row>
    <row r="134" spans="1:88">
      <c r="A134" s="47" t="s">
        <v>264</v>
      </c>
      <c r="B134" s="73"/>
      <c r="C134" s="73"/>
      <c r="D134" s="73"/>
      <c r="E134" s="73"/>
      <c r="F134" s="73"/>
      <c r="G134" s="73"/>
      <c r="H134" s="73"/>
      <c r="I134" s="73"/>
      <c r="J134" s="73"/>
      <c r="K134" s="365"/>
      <c r="L134" s="365"/>
      <c r="M134" s="365"/>
      <c r="N134" s="286">
        <f t="shared" si="64"/>
        <v>0</v>
      </c>
      <c r="O134" s="297"/>
      <c r="P134" s="359"/>
      <c r="Q134" s="288"/>
      <c r="R134" s="362"/>
      <c r="S134" s="293"/>
      <c r="T134" s="12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  <c r="BE134"/>
      <c r="BF134"/>
      <c r="BG134"/>
      <c r="BH134"/>
      <c r="BI134"/>
      <c r="BJ134"/>
      <c r="BK134"/>
      <c r="BL134"/>
      <c r="BM134"/>
      <c r="BN134"/>
      <c r="BO134"/>
      <c r="BP134"/>
      <c r="BQ134"/>
      <c r="BR134"/>
      <c r="BS134"/>
      <c r="BT134"/>
      <c r="BU134"/>
      <c r="BV134"/>
      <c r="BW134"/>
      <c r="BX134"/>
      <c r="BY134"/>
      <c r="BZ134"/>
      <c r="CA134"/>
      <c r="CB134"/>
      <c r="CC134"/>
      <c r="CD134"/>
      <c r="CE134"/>
      <c r="CF134"/>
      <c r="CG134"/>
      <c r="CH134"/>
      <c r="CI134"/>
      <c r="CJ134"/>
    </row>
    <row r="135" spans="1:88" ht="15" customHeight="1">
      <c r="A135" s="47" t="s">
        <v>360</v>
      </c>
      <c r="B135" s="73"/>
      <c r="C135" s="73"/>
      <c r="D135" s="73"/>
      <c r="E135" s="73"/>
      <c r="F135" s="73"/>
      <c r="G135" s="73"/>
      <c r="H135" s="73"/>
      <c r="I135" s="73"/>
      <c r="J135" s="73"/>
      <c r="K135" s="365"/>
      <c r="L135" s="365"/>
      <c r="M135" s="365"/>
      <c r="N135" s="286">
        <f t="shared" si="64"/>
        <v>0</v>
      </c>
      <c r="O135" s="297"/>
      <c r="P135" s="359"/>
      <c r="Q135" s="288"/>
      <c r="R135" s="362"/>
      <c r="S135" s="293"/>
      <c r="T135" s="12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  <c r="BE135"/>
      <c r="BF135"/>
      <c r="BG135"/>
      <c r="BH135"/>
      <c r="BI135"/>
      <c r="BJ135"/>
      <c r="BK135"/>
      <c r="BL135"/>
      <c r="BM135"/>
      <c r="BN135"/>
      <c r="BO135"/>
      <c r="BP135"/>
      <c r="BQ135"/>
      <c r="BR135"/>
      <c r="BS135"/>
      <c r="BT135"/>
      <c r="BU135"/>
      <c r="BV135"/>
      <c r="BW135"/>
      <c r="BX135"/>
      <c r="BY135"/>
      <c r="BZ135"/>
      <c r="CA135"/>
      <c r="CB135"/>
      <c r="CC135"/>
      <c r="CD135"/>
      <c r="CE135"/>
      <c r="CF135"/>
      <c r="CG135"/>
      <c r="CH135"/>
      <c r="CI135"/>
      <c r="CJ135"/>
    </row>
    <row r="136" spans="1:88">
      <c r="A136" s="47" t="s">
        <v>265</v>
      </c>
      <c r="B136" s="73"/>
      <c r="C136" s="73"/>
      <c r="D136" s="73"/>
      <c r="E136" s="73"/>
      <c r="F136" s="73"/>
      <c r="G136" s="73"/>
      <c r="H136" s="73"/>
      <c r="I136" s="73"/>
      <c r="J136" s="73"/>
      <c r="K136" s="365"/>
      <c r="L136" s="365"/>
      <c r="M136" s="365"/>
      <c r="N136" s="286">
        <f t="shared" si="64"/>
        <v>0</v>
      </c>
      <c r="O136" s="297"/>
      <c r="P136" s="359"/>
      <c r="Q136" s="288"/>
      <c r="R136" s="362"/>
      <c r="S136" s="293"/>
      <c r="T136" s="12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  <c r="BE136"/>
      <c r="BF136"/>
      <c r="BG136"/>
      <c r="BH136"/>
      <c r="BI136"/>
      <c r="BJ136"/>
      <c r="BK136"/>
      <c r="BL136"/>
      <c r="BM136"/>
      <c r="BN136"/>
      <c r="BO136"/>
      <c r="BP136"/>
      <c r="BQ136"/>
      <c r="BR136"/>
      <c r="BS136"/>
      <c r="BT136"/>
      <c r="BU136"/>
      <c r="BV136"/>
      <c r="BW136"/>
      <c r="BX136"/>
      <c r="BY136"/>
      <c r="BZ136"/>
      <c r="CA136"/>
      <c r="CB136"/>
      <c r="CC136"/>
      <c r="CD136"/>
      <c r="CE136"/>
      <c r="CF136"/>
      <c r="CG136"/>
      <c r="CH136"/>
      <c r="CI136"/>
      <c r="CJ136"/>
    </row>
    <row r="137" spans="1:88" ht="15" customHeight="1">
      <c r="A137" s="47" t="s">
        <v>342</v>
      </c>
      <c r="B137" s="73"/>
      <c r="C137" s="73"/>
      <c r="D137" s="73"/>
      <c r="E137" s="73"/>
      <c r="F137" s="73"/>
      <c r="G137" s="73"/>
      <c r="H137" s="73"/>
      <c r="I137" s="73"/>
      <c r="J137" s="73"/>
      <c r="K137" s="365"/>
      <c r="L137" s="365"/>
      <c r="M137" s="365"/>
      <c r="N137" s="286">
        <f t="shared" si="64"/>
        <v>0</v>
      </c>
      <c r="O137" s="297"/>
      <c r="P137" s="359"/>
      <c r="Q137" s="288"/>
      <c r="R137" s="362"/>
      <c r="S137" s="293"/>
      <c r="T137" s="12"/>
      <c r="U137" s="12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  <c r="BE137"/>
      <c r="BF137"/>
      <c r="BG137"/>
      <c r="BH137"/>
      <c r="BI137"/>
      <c r="BJ137"/>
      <c r="BK137"/>
      <c r="BL137"/>
      <c r="BM137"/>
      <c r="BN137"/>
      <c r="BO137"/>
      <c r="BP137"/>
      <c r="BQ137"/>
      <c r="BR137"/>
      <c r="BS137"/>
      <c r="BT137"/>
      <c r="BU137"/>
      <c r="BV137"/>
      <c r="BW137"/>
      <c r="BX137"/>
      <c r="BY137"/>
      <c r="BZ137"/>
      <c r="CA137"/>
      <c r="CB137"/>
      <c r="CC137"/>
      <c r="CD137"/>
      <c r="CE137"/>
      <c r="CF137"/>
      <c r="CG137"/>
      <c r="CH137"/>
      <c r="CI137"/>
      <c r="CJ137"/>
    </row>
    <row r="138" spans="1:88">
      <c r="A138" s="47" t="s">
        <v>284</v>
      </c>
      <c r="B138" s="73"/>
      <c r="C138" s="73"/>
      <c r="D138" s="73"/>
      <c r="E138" s="73"/>
      <c r="F138" s="73"/>
      <c r="G138" s="73"/>
      <c r="H138" s="73"/>
      <c r="I138" s="73"/>
      <c r="J138" s="73"/>
      <c r="K138" s="365"/>
      <c r="L138" s="365"/>
      <c r="M138" s="365"/>
      <c r="N138" s="286">
        <f t="shared" si="64"/>
        <v>0</v>
      </c>
      <c r="O138" s="297"/>
      <c r="P138" s="359"/>
      <c r="Q138" s="288"/>
      <c r="R138" s="362"/>
      <c r="S138" s="293"/>
      <c r="T138" s="12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  <c r="BG138"/>
      <c r="BH138"/>
      <c r="BI138"/>
      <c r="BJ138"/>
      <c r="BK138"/>
      <c r="BL138"/>
      <c r="BM138"/>
      <c r="BN138"/>
      <c r="BO138"/>
      <c r="BP138"/>
      <c r="BQ138"/>
      <c r="BR138"/>
      <c r="BS138"/>
      <c r="BT138"/>
      <c r="BU138"/>
      <c r="BV138"/>
      <c r="BW138"/>
      <c r="BX138"/>
      <c r="BY138"/>
      <c r="BZ138"/>
      <c r="CA138"/>
      <c r="CB138"/>
      <c r="CC138"/>
      <c r="CD138"/>
      <c r="CE138"/>
      <c r="CF138"/>
      <c r="CG138"/>
      <c r="CH138"/>
      <c r="CI138"/>
      <c r="CJ138"/>
    </row>
    <row r="139" spans="1:88" ht="15" customHeight="1">
      <c r="A139" s="47" t="s">
        <v>279</v>
      </c>
      <c r="B139" s="73"/>
      <c r="C139" s="73"/>
      <c r="D139" s="73"/>
      <c r="E139" s="73"/>
      <c r="F139" s="73"/>
      <c r="G139" s="73"/>
      <c r="H139" s="73"/>
      <c r="I139" s="73"/>
      <c r="J139" s="73"/>
      <c r="K139" s="365"/>
      <c r="L139" s="365"/>
      <c r="M139" s="365"/>
      <c r="N139" s="286">
        <f t="shared" si="64"/>
        <v>0</v>
      </c>
      <c r="O139" s="297"/>
      <c r="P139" s="359"/>
      <c r="Q139" s="288"/>
      <c r="R139" s="362"/>
      <c r="S139" s="293"/>
      <c r="T139" s="12"/>
      <c r="U139" s="12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  <c r="BE139"/>
      <c r="BF139"/>
      <c r="BG139"/>
      <c r="BH139"/>
      <c r="BI139"/>
      <c r="BJ139"/>
      <c r="BK139"/>
      <c r="BL139"/>
      <c r="BM139"/>
      <c r="BN139"/>
      <c r="BO139"/>
      <c r="BP139"/>
      <c r="BQ139"/>
      <c r="BR139"/>
      <c r="BS139"/>
      <c r="BT139"/>
      <c r="BU139"/>
      <c r="BV139"/>
      <c r="BW139"/>
      <c r="BX139"/>
      <c r="BY139"/>
      <c r="BZ139"/>
      <c r="CA139"/>
      <c r="CB139"/>
      <c r="CC139"/>
      <c r="CD139"/>
      <c r="CE139"/>
      <c r="CF139"/>
      <c r="CG139"/>
      <c r="CH139"/>
      <c r="CI139"/>
      <c r="CJ139"/>
    </row>
    <row r="140" spans="1:88">
      <c r="A140" s="47" t="s">
        <v>283</v>
      </c>
      <c r="B140" s="73"/>
      <c r="C140" s="73"/>
      <c r="D140" s="73"/>
      <c r="E140" s="73"/>
      <c r="F140" s="73"/>
      <c r="G140" s="73"/>
      <c r="H140" s="73"/>
      <c r="I140" s="73"/>
      <c r="J140" s="73"/>
      <c r="K140" s="365"/>
      <c r="L140" s="365"/>
      <c r="M140" s="365"/>
      <c r="N140" s="286">
        <f t="shared" si="64"/>
        <v>0</v>
      </c>
      <c r="O140" s="297"/>
      <c r="P140" s="359"/>
      <c r="Q140" s="288"/>
      <c r="R140" s="362"/>
      <c r="S140" s="293"/>
      <c r="T140" s="12"/>
      <c r="U140" s="12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  <c r="BE140"/>
      <c r="BF140"/>
      <c r="BG140"/>
      <c r="BH140"/>
      <c r="BI140"/>
      <c r="BJ140"/>
      <c r="BK140"/>
      <c r="BL140"/>
      <c r="BM140"/>
      <c r="BN140"/>
      <c r="BO140"/>
      <c r="BP140"/>
      <c r="BQ140"/>
      <c r="BR140"/>
      <c r="BS140"/>
      <c r="BT140"/>
      <c r="BU140"/>
      <c r="BV140"/>
      <c r="BW140"/>
      <c r="BX140"/>
      <c r="BY140"/>
      <c r="BZ140"/>
      <c r="CA140"/>
      <c r="CB140"/>
      <c r="CC140"/>
      <c r="CD140"/>
      <c r="CE140"/>
      <c r="CF140"/>
      <c r="CG140"/>
      <c r="CH140"/>
      <c r="CI140"/>
      <c r="CJ140"/>
    </row>
    <row r="141" spans="1:88">
      <c r="A141" s="47" t="s">
        <v>287</v>
      </c>
      <c r="B141" s="73"/>
      <c r="C141" s="73"/>
      <c r="D141" s="73"/>
      <c r="E141" s="73"/>
      <c r="F141" s="73"/>
      <c r="G141" s="73"/>
      <c r="H141" s="73"/>
      <c r="I141" s="73"/>
      <c r="J141" s="73"/>
      <c r="K141" s="365"/>
      <c r="L141" s="365"/>
      <c r="M141" s="365"/>
      <c r="N141" s="286">
        <f t="shared" si="64"/>
        <v>0</v>
      </c>
      <c r="O141" s="297"/>
      <c r="P141" s="359"/>
      <c r="Q141" s="288"/>
      <c r="R141" s="362"/>
      <c r="S141" s="293"/>
      <c r="T141" s="12"/>
      <c r="U141" s="12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  <c r="BE141"/>
      <c r="BF141"/>
      <c r="BG141"/>
      <c r="BH141"/>
      <c r="BI141"/>
      <c r="BJ141"/>
      <c r="BK141"/>
      <c r="BL141"/>
      <c r="BM141"/>
      <c r="BN141"/>
      <c r="BO141"/>
      <c r="BP141"/>
      <c r="BQ141"/>
      <c r="BR141"/>
      <c r="BS141"/>
      <c r="BT141"/>
      <c r="BU141"/>
      <c r="BV141"/>
      <c r="BW141"/>
      <c r="BX141"/>
      <c r="BY141"/>
      <c r="BZ141"/>
      <c r="CA141"/>
      <c r="CB141"/>
      <c r="CC141"/>
      <c r="CD141"/>
      <c r="CE141"/>
      <c r="CF141"/>
      <c r="CG141"/>
      <c r="CH141"/>
      <c r="CI141"/>
      <c r="CJ141"/>
    </row>
    <row r="142" spans="1:88">
      <c r="A142" s="47" t="s">
        <v>295</v>
      </c>
      <c r="B142" s="73"/>
      <c r="C142" s="73"/>
      <c r="D142" s="73"/>
      <c r="E142" s="73"/>
      <c r="F142" s="73"/>
      <c r="G142" s="73"/>
      <c r="H142" s="73"/>
      <c r="I142" s="73"/>
      <c r="J142" s="73"/>
      <c r="K142" s="365"/>
      <c r="L142" s="365"/>
      <c r="M142" s="365"/>
      <c r="N142" s="286">
        <f t="shared" si="64"/>
        <v>0</v>
      </c>
      <c r="O142" s="297"/>
      <c r="P142" s="359"/>
      <c r="Q142" s="288"/>
      <c r="R142" s="362"/>
      <c r="S142" s="293"/>
      <c r="T142" s="12"/>
      <c r="U142" s="1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  <c r="BE142"/>
      <c r="BF142"/>
      <c r="BG142"/>
      <c r="BH142"/>
      <c r="BI142"/>
      <c r="BJ142"/>
      <c r="BK142"/>
      <c r="BL142"/>
      <c r="BM142"/>
      <c r="BN142"/>
      <c r="BO142"/>
      <c r="BP142"/>
      <c r="BQ142"/>
      <c r="BR142"/>
      <c r="BS142"/>
      <c r="BT142"/>
      <c r="BU142"/>
      <c r="BV142"/>
      <c r="BW142"/>
      <c r="BX142"/>
      <c r="BY142"/>
      <c r="BZ142"/>
      <c r="CA142"/>
      <c r="CB142"/>
      <c r="CC142"/>
      <c r="CD142"/>
      <c r="CE142"/>
      <c r="CF142"/>
      <c r="CG142"/>
      <c r="CH142"/>
      <c r="CI142"/>
      <c r="CJ142"/>
    </row>
    <row r="143" spans="1:88">
      <c r="A143" s="47" t="s">
        <v>288</v>
      </c>
      <c r="B143" s="73"/>
      <c r="C143" s="73"/>
      <c r="D143" s="73"/>
      <c r="E143" s="73"/>
      <c r="F143" s="73"/>
      <c r="G143" s="73"/>
      <c r="H143" s="73"/>
      <c r="I143" s="73"/>
      <c r="J143" s="73"/>
      <c r="K143" s="365"/>
      <c r="L143" s="365"/>
      <c r="M143" s="365"/>
      <c r="N143" s="286">
        <f t="shared" si="64"/>
        <v>0</v>
      </c>
      <c r="O143" s="297"/>
      <c r="P143" s="359"/>
      <c r="Q143" s="288"/>
      <c r="R143" s="362"/>
      <c r="S143" s="293"/>
      <c r="T143" s="12"/>
      <c r="U143" s="12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  <c r="BE143"/>
      <c r="BF143"/>
      <c r="BG143"/>
      <c r="BH143"/>
      <c r="BI143"/>
      <c r="BJ143"/>
      <c r="BK143"/>
      <c r="BL143"/>
      <c r="BM143"/>
      <c r="BN143"/>
      <c r="BO143"/>
      <c r="BP143"/>
      <c r="BQ143"/>
      <c r="BR143"/>
      <c r="BS143"/>
      <c r="BT143"/>
      <c r="BU143"/>
      <c r="BV143"/>
      <c r="BW143"/>
      <c r="BX143"/>
      <c r="BY143"/>
      <c r="BZ143"/>
      <c r="CA143"/>
      <c r="CB143"/>
      <c r="CC143"/>
      <c r="CD143"/>
      <c r="CE143"/>
      <c r="CF143"/>
      <c r="CG143"/>
      <c r="CH143"/>
      <c r="CI143"/>
      <c r="CJ143"/>
    </row>
    <row r="144" spans="1:88">
      <c r="A144" s="47" t="s">
        <v>292</v>
      </c>
      <c r="B144" s="73"/>
      <c r="C144" s="73"/>
      <c r="D144" s="73"/>
      <c r="E144" s="73"/>
      <c r="F144" s="73"/>
      <c r="G144" s="73"/>
      <c r="H144" s="73"/>
      <c r="I144" s="73"/>
      <c r="J144" s="73"/>
      <c r="K144" s="365"/>
      <c r="L144" s="365"/>
      <c r="M144" s="365"/>
      <c r="N144" s="286">
        <f t="shared" si="64"/>
        <v>0</v>
      </c>
      <c r="O144" s="297"/>
      <c r="P144" s="359"/>
      <c r="Q144" s="288"/>
      <c r="R144" s="362"/>
      <c r="S144" s="293"/>
      <c r="T144" s="12"/>
      <c r="U144" s="12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  <c r="BD144"/>
      <c r="BE144"/>
      <c r="BF144"/>
      <c r="BG144"/>
      <c r="BH144"/>
      <c r="BI144"/>
      <c r="BJ144"/>
      <c r="BK144"/>
      <c r="BL144"/>
      <c r="BM144"/>
      <c r="BN144"/>
      <c r="BO144"/>
      <c r="BP144"/>
      <c r="BQ144"/>
      <c r="BR144"/>
      <c r="BS144"/>
      <c r="BT144"/>
      <c r="BU144"/>
      <c r="BV144"/>
      <c r="BW144"/>
      <c r="BX144"/>
      <c r="BY144"/>
      <c r="BZ144"/>
      <c r="CA144"/>
      <c r="CB144"/>
      <c r="CC144"/>
      <c r="CD144"/>
      <c r="CE144"/>
      <c r="CF144"/>
      <c r="CG144"/>
      <c r="CH144"/>
      <c r="CI144"/>
      <c r="CJ144"/>
    </row>
    <row r="145" spans="1:88">
      <c r="A145" s="47" t="s">
        <v>297</v>
      </c>
      <c r="B145" s="73"/>
      <c r="C145" s="73"/>
      <c r="D145" s="73"/>
      <c r="E145" s="73"/>
      <c r="F145" s="73"/>
      <c r="G145" s="73"/>
      <c r="H145" s="73"/>
      <c r="I145" s="73"/>
      <c r="J145" s="73"/>
      <c r="K145" s="365"/>
      <c r="L145" s="365"/>
      <c r="M145" s="365"/>
      <c r="N145" s="286">
        <f t="shared" si="64"/>
        <v>0</v>
      </c>
      <c r="O145" s="297"/>
      <c r="P145" s="359"/>
      <c r="Q145" s="288"/>
      <c r="R145" s="362"/>
      <c r="S145" s="294"/>
      <c r="U145" s="12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  <c r="BD145"/>
      <c r="BE145"/>
      <c r="BF145"/>
      <c r="BG145"/>
      <c r="BH145"/>
      <c r="BI145"/>
      <c r="BJ145"/>
      <c r="BK145"/>
      <c r="BL145"/>
      <c r="BM145"/>
      <c r="BN145"/>
      <c r="BO145"/>
      <c r="BP145"/>
      <c r="BQ145"/>
      <c r="BR145"/>
      <c r="BS145"/>
      <c r="BT145"/>
      <c r="BU145"/>
      <c r="BV145"/>
      <c r="BW145"/>
      <c r="BX145"/>
      <c r="BY145"/>
      <c r="BZ145"/>
      <c r="CA145"/>
      <c r="CB145"/>
      <c r="CC145"/>
      <c r="CD145"/>
      <c r="CE145"/>
      <c r="CF145"/>
      <c r="CG145"/>
      <c r="CH145"/>
      <c r="CI145"/>
      <c r="CJ145"/>
    </row>
    <row r="146" spans="1:88">
      <c r="A146" s="47" t="s">
        <v>298</v>
      </c>
      <c r="B146" s="73"/>
      <c r="C146" s="73"/>
      <c r="D146" s="73"/>
      <c r="E146" s="73"/>
      <c r="F146" s="73"/>
      <c r="G146" s="73"/>
      <c r="H146" s="73"/>
      <c r="I146" s="73"/>
      <c r="J146" s="73"/>
      <c r="K146" s="365"/>
      <c r="L146" s="365"/>
      <c r="M146" s="365"/>
      <c r="N146" s="286">
        <f t="shared" si="64"/>
        <v>0</v>
      </c>
      <c r="O146" s="297"/>
      <c r="P146" s="359"/>
      <c r="Q146" s="288"/>
      <c r="R146" s="362"/>
      <c r="S146" s="293"/>
      <c r="T146" s="12"/>
      <c r="U146" s="12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  <c r="BE146"/>
      <c r="BF146"/>
      <c r="BG146"/>
      <c r="BH146"/>
      <c r="BI146"/>
      <c r="BJ146"/>
      <c r="BK146"/>
      <c r="BL146"/>
      <c r="BM146"/>
      <c r="BN146"/>
      <c r="BO146"/>
      <c r="BP146"/>
      <c r="BQ146"/>
      <c r="BR146"/>
      <c r="BS146"/>
      <c r="BT146"/>
      <c r="BU146"/>
      <c r="BV146"/>
      <c r="BW146"/>
      <c r="BX146"/>
      <c r="BY146"/>
      <c r="BZ146"/>
      <c r="CA146"/>
      <c r="CB146"/>
      <c r="CC146"/>
      <c r="CD146"/>
      <c r="CE146"/>
      <c r="CF146"/>
      <c r="CG146"/>
      <c r="CH146"/>
      <c r="CI146"/>
      <c r="CJ146"/>
    </row>
    <row r="147" spans="1:88">
      <c r="A147" s="47" t="s">
        <v>301</v>
      </c>
      <c r="B147" s="73"/>
      <c r="C147" s="73"/>
      <c r="D147" s="73"/>
      <c r="E147" s="73"/>
      <c r="F147" s="73"/>
      <c r="G147" s="73"/>
      <c r="H147" s="73"/>
      <c r="I147" s="73"/>
      <c r="J147" s="73"/>
      <c r="K147" s="365"/>
      <c r="L147" s="365"/>
      <c r="M147" s="365"/>
      <c r="N147" s="286">
        <f t="shared" si="64"/>
        <v>0</v>
      </c>
      <c r="O147" s="297"/>
      <c r="P147" s="359"/>
      <c r="Q147" s="288"/>
      <c r="R147" s="362"/>
      <c r="S147" s="293"/>
      <c r="T147" s="12"/>
      <c r="U147" s="12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  <c r="BD147"/>
      <c r="BE147"/>
      <c r="BF147"/>
      <c r="BG147"/>
      <c r="BH147"/>
      <c r="BI147"/>
      <c r="BJ147"/>
      <c r="BK147"/>
      <c r="BL147"/>
      <c r="BM147"/>
      <c r="BN147"/>
      <c r="BO147"/>
      <c r="BP147"/>
      <c r="BQ147"/>
      <c r="BR147"/>
      <c r="BS147"/>
      <c r="BT147"/>
      <c r="BU147"/>
      <c r="BV147"/>
      <c r="BW147"/>
      <c r="BX147"/>
      <c r="BY147"/>
      <c r="BZ147"/>
      <c r="CA147"/>
      <c r="CB147"/>
      <c r="CC147"/>
      <c r="CD147"/>
      <c r="CE147"/>
      <c r="CF147"/>
      <c r="CG147"/>
      <c r="CH147"/>
      <c r="CI147"/>
      <c r="CJ147"/>
    </row>
    <row r="148" spans="1:88">
      <c r="A148" s="47" t="s">
        <v>303</v>
      </c>
      <c r="B148" s="73"/>
      <c r="C148" s="73"/>
      <c r="D148" s="73"/>
      <c r="E148" s="73"/>
      <c r="F148" s="73"/>
      <c r="G148" s="73"/>
      <c r="H148" s="73"/>
      <c r="I148" s="73"/>
      <c r="J148" s="73"/>
      <c r="K148" s="365"/>
      <c r="L148" s="365"/>
      <c r="M148" s="365"/>
      <c r="N148" s="286">
        <f t="shared" si="64"/>
        <v>0</v>
      </c>
      <c r="O148" s="297"/>
      <c r="P148" s="359"/>
      <c r="Q148" s="288"/>
      <c r="R148" s="362"/>
      <c r="S148" s="293"/>
      <c r="T148" s="12"/>
      <c r="U148" s="12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  <c r="BD148"/>
      <c r="BE148"/>
      <c r="BF148"/>
      <c r="BG148"/>
      <c r="BH148"/>
      <c r="BI148"/>
      <c r="BJ148"/>
      <c r="BK148"/>
      <c r="BL148"/>
      <c r="BM148"/>
      <c r="BN148"/>
      <c r="BO148"/>
      <c r="BP148"/>
      <c r="BQ148"/>
      <c r="BR148"/>
      <c r="BS148"/>
      <c r="BT148"/>
      <c r="BU148"/>
      <c r="BV148"/>
      <c r="BW148"/>
      <c r="BX148"/>
      <c r="BY148"/>
      <c r="BZ148"/>
      <c r="CA148"/>
      <c r="CB148"/>
      <c r="CC148"/>
      <c r="CD148"/>
      <c r="CE148"/>
      <c r="CF148"/>
      <c r="CG148"/>
      <c r="CH148"/>
      <c r="CI148"/>
      <c r="CJ148"/>
    </row>
    <row r="149" spans="1:88">
      <c r="A149" s="47" t="s">
        <v>305</v>
      </c>
      <c r="B149" s="73"/>
      <c r="C149" s="73"/>
      <c r="D149" s="73"/>
      <c r="E149" s="73"/>
      <c r="F149" s="73"/>
      <c r="G149" s="73"/>
      <c r="H149" s="73"/>
      <c r="I149" s="73"/>
      <c r="J149" s="73"/>
      <c r="K149" s="365"/>
      <c r="L149" s="365"/>
      <c r="M149" s="365"/>
      <c r="N149" s="286">
        <f t="shared" si="64"/>
        <v>0</v>
      </c>
      <c r="O149" s="297"/>
      <c r="P149" s="359"/>
      <c r="Q149" s="288"/>
      <c r="R149" s="362"/>
      <c r="S149" s="293"/>
      <c r="T149" s="12"/>
      <c r="U149" s="12"/>
    </row>
    <row r="150" spans="1:88">
      <c r="A150" s="47" t="s">
        <v>320</v>
      </c>
      <c r="B150" s="73"/>
      <c r="C150" s="73"/>
      <c r="D150" s="73"/>
      <c r="E150" s="73"/>
      <c r="F150" s="73"/>
      <c r="G150" s="73"/>
      <c r="H150" s="73"/>
      <c r="I150" s="73"/>
      <c r="J150" s="73"/>
      <c r="K150" s="365"/>
      <c r="L150" s="365"/>
      <c r="M150" s="365"/>
      <c r="N150" s="286">
        <f t="shared" si="64"/>
        <v>0</v>
      </c>
      <c r="O150" s="297"/>
      <c r="P150" s="359"/>
      <c r="Q150" s="288"/>
      <c r="R150" s="362"/>
      <c r="S150" s="293"/>
      <c r="T150" s="12"/>
      <c r="U150" s="12"/>
    </row>
    <row r="151" spans="1:88">
      <c r="A151" s="47" t="s">
        <v>324</v>
      </c>
      <c r="B151" s="73"/>
      <c r="C151" s="73"/>
      <c r="D151" s="73"/>
      <c r="E151" s="73"/>
      <c r="F151" s="73"/>
      <c r="G151" s="73"/>
      <c r="H151" s="73"/>
      <c r="I151" s="73"/>
      <c r="J151" s="73"/>
      <c r="K151" s="365"/>
      <c r="L151" s="365"/>
      <c r="M151" s="365"/>
      <c r="N151" s="286">
        <f t="shared" si="64"/>
        <v>0</v>
      </c>
      <c r="O151" s="297"/>
      <c r="P151" s="359"/>
      <c r="Q151" s="288"/>
      <c r="R151" s="362"/>
      <c r="S151" s="293"/>
      <c r="T151" s="12"/>
      <c r="U151" s="12"/>
    </row>
    <row r="152" spans="1:88">
      <c r="A152" s="47" t="s">
        <v>322</v>
      </c>
      <c r="B152" s="73"/>
      <c r="C152" s="73"/>
      <c r="D152" s="73"/>
      <c r="E152" s="73"/>
      <c r="F152" s="73"/>
      <c r="G152" s="73"/>
      <c r="H152" s="73"/>
      <c r="I152" s="73"/>
      <c r="J152" s="73"/>
      <c r="K152" s="365"/>
      <c r="L152" s="365"/>
      <c r="M152" s="365"/>
      <c r="N152" s="286">
        <f t="shared" si="64"/>
        <v>0</v>
      </c>
      <c r="O152" s="297"/>
      <c r="P152" s="359"/>
      <c r="Q152" s="288"/>
      <c r="R152" s="362"/>
      <c r="S152" s="293"/>
      <c r="T152" s="12"/>
      <c r="U152" s="12"/>
    </row>
    <row r="153" spans="1:88">
      <c r="A153" s="47" t="s">
        <v>328</v>
      </c>
      <c r="B153" s="73"/>
      <c r="C153" s="73"/>
      <c r="D153" s="73"/>
      <c r="E153" s="73"/>
      <c r="F153" s="73"/>
      <c r="G153" s="73"/>
      <c r="H153" s="73"/>
      <c r="I153" s="73"/>
      <c r="J153" s="73"/>
      <c r="K153" s="365"/>
      <c r="L153" s="365"/>
      <c r="M153" s="365"/>
      <c r="N153" s="286">
        <f t="shared" si="64"/>
        <v>0</v>
      </c>
      <c r="O153" s="297"/>
      <c r="P153" s="359"/>
      <c r="Q153" s="288"/>
      <c r="R153" s="362"/>
      <c r="S153" s="293"/>
      <c r="T153" s="12"/>
      <c r="U153" s="12"/>
    </row>
    <row r="154" spans="1:88">
      <c r="A154" s="47" t="s">
        <v>329</v>
      </c>
      <c r="B154" s="73"/>
      <c r="C154" s="73"/>
      <c r="D154" s="73"/>
      <c r="E154" s="73"/>
      <c r="F154" s="73"/>
      <c r="G154" s="73"/>
      <c r="H154" s="73"/>
      <c r="I154" s="73"/>
      <c r="J154" s="73"/>
      <c r="K154" s="365"/>
      <c r="L154" s="365"/>
      <c r="M154" s="365"/>
      <c r="N154" s="286">
        <f t="shared" si="64"/>
        <v>0</v>
      </c>
      <c r="O154" s="297"/>
      <c r="P154" s="359"/>
      <c r="Q154" s="288"/>
      <c r="R154" s="362"/>
      <c r="S154" s="293"/>
      <c r="T154" s="12"/>
      <c r="U154" s="12"/>
    </row>
    <row r="155" spans="1:88">
      <c r="A155" s="47" t="s">
        <v>330</v>
      </c>
      <c r="B155" s="73"/>
      <c r="C155" s="73"/>
      <c r="D155" s="73"/>
      <c r="E155" s="73"/>
      <c r="F155" s="73"/>
      <c r="G155" s="73"/>
      <c r="H155" s="73"/>
      <c r="I155" s="73"/>
      <c r="J155" s="73"/>
      <c r="K155" s="365"/>
      <c r="L155" s="365"/>
      <c r="M155" s="365"/>
      <c r="N155" s="286">
        <f t="shared" si="64"/>
        <v>0</v>
      </c>
      <c r="O155" s="297"/>
      <c r="P155" s="359"/>
      <c r="Q155" s="288"/>
      <c r="R155" s="362"/>
      <c r="S155" s="293"/>
      <c r="T155" s="12"/>
      <c r="U155" s="12"/>
    </row>
    <row r="156" spans="1:88">
      <c r="A156" s="47" t="s">
        <v>332</v>
      </c>
      <c r="B156" s="73"/>
      <c r="C156" s="73"/>
      <c r="D156" s="73"/>
      <c r="E156" s="73"/>
      <c r="F156" s="73"/>
      <c r="G156" s="73"/>
      <c r="H156" s="73"/>
      <c r="I156" s="73"/>
      <c r="J156" s="73"/>
      <c r="K156" s="365"/>
      <c r="L156" s="365"/>
      <c r="M156" s="365"/>
      <c r="N156" s="286">
        <f t="shared" si="64"/>
        <v>0</v>
      </c>
      <c r="O156" s="297"/>
      <c r="P156" s="359"/>
      <c r="Q156" s="288"/>
      <c r="R156" s="362"/>
      <c r="S156" s="293"/>
      <c r="T156" s="12"/>
      <c r="U156" s="12"/>
    </row>
    <row r="157" spans="1:88">
      <c r="A157" s="47" t="s">
        <v>337</v>
      </c>
      <c r="B157" s="73"/>
      <c r="C157" s="73"/>
      <c r="D157" s="73"/>
      <c r="E157" s="73"/>
      <c r="F157" s="73"/>
      <c r="G157" s="73"/>
      <c r="H157" s="73"/>
      <c r="I157" s="73"/>
      <c r="J157" s="73"/>
      <c r="K157" s="365"/>
      <c r="L157" s="365"/>
      <c r="M157" s="365"/>
      <c r="N157" s="286">
        <f t="shared" si="64"/>
        <v>0</v>
      </c>
      <c r="O157" s="297"/>
      <c r="P157" s="359"/>
      <c r="Q157" s="288"/>
      <c r="R157" s="362"/>
      <c r="S157" s="293"/>
      <c r="T157" s="12"/>
      <c r="U157" s="12"/>
    </row>
    <row r="158" spans="1:88">
      <c r="A158" s="47" t="s">
        <v>338</v>
      </c>
      <c r="B158" s="73"/>
      <c r="C158" s="73"/>
      <c r="D158" s="73"/>
      <c r="E158" s="73"/>
      <c r="F158" s="73"/>
      <c r="G158" s="73"/>
      <c r="H158" s="73"/>
      <c r="I158" s="73"/>
      <c r="J158" s="73"/>
      <c r="K158" s="365"/>
      <c r="L158" s="365"/>
      <c r="M158" s="365"/>
      <c r="N158" s="286">
        <f t="shared" si="64"/>
        <v>0</v>
      </c>
      <c r="O158" s="297"/>
      <c r="P158" s="359"/>
      <c r="Q158" s="288"/>
      <c r="R158" s="362"/>
      <c r="S158" s="293"/>
      <c r="T158" s="12"/>
      <c r="U158" s="12"/>
    </row>
    <row r="159" spans="1:88">
      <c r="A159" s="47" t="s">
        <v>339</v>
      </c>
      <c r="B159" s="73"/>
      <c r="C159" s="73"/>
      <c r="D159" s="73"/>
      <c r="E159" s="73"/>
      <c r="F159" s="73"/>
      <c r="G159" s="73"/>
      <c r="H159" s="73"/>
      <c r="I159" s="73"/>
      <c r="J159" s="73"/>
      <c r="K159" s="365"/>
      <c r="L159" s="365"/>
      <c r="M159" s="365"/>
      <c r="N159" s="286">
        <f t="shared" si="64"/>
        <v>0</v>
      </c>
      <c r="O159" s="297"/>
      <c r="P159" s="359"/>
      <c r="Q159" s="288"/>
      <c r="R159" s="362"/>
      <c r="S159" s="293"/>
      <c r="T159" s="12"/>
      <c r="U159" s="12"/>
    </row>
    <row r="160" spans="1:88">
      <c r="A160" s="47" t="s">
        <v>340</v>
      </c>
      <c r="B160" s="73"/>
      <c r="C160" s="73"/>
      <c r="D160" s="73"/>
      <c r="E160" s="73"/>
      <c r="F160" s="73"/>
      <c r="G160" s="73"/>
      <c r="H160" s="73"/>
      <c r="I160" s="73"/>
      <c r="J160" s="73"/>
      <c r="K160" s="365"/>
      <c r="L160" s="365"/>
      <c r="M160" s="365"/>
      <c r="N160" s="286">
        <f t="shared" si="64"/>
        <v>0</v>
      </c>
      <c r="O160" s="297"/>
      <c r="P160" s="359"/>
      <c r="Q160" s="288"/>
      <c r="R160" s="362"/>
      <c r="S160" s="293"/>
      <c r="T160" s="12"/>
      <c r="U160" s="12"/>
    </row>
    <row r="161" spans="1:21">
      <c r="A161" s="47" t="s">
        <v>346</v>
      </c>
      <c r="B161" s="73"/>
      <c r="C161" s="73"/>
      <c r="D161" s="73"/>
      <c r="E161" s="73"/>
      <c r="F161" s="73"/>
      <c r="G161" s="73"/>
      <c r="H161" s="73"/>
      <c r="I161" s="73"/>
      <c r="J161" s="73"/>
      <c r="K161" s="365"/>
      <c r="L161" s="365"/>
      <c r="M161" s="365"/>
      <c r="N161" s="286">
        <f t="shared" si="64"/>
        <v>0</v>
      </c>
      <c r="O161" s="297"/>
      <c r="P161" s="359"/>
      <c r="Q161" s="288"/>
      <c r="R161" s="362"/>
      <c r="S161" s="293"/>
      <c r="T161" s="12"/>
      <c r="U161" s="12"/>
    </row>
    <row r="162" spans="1:21">
      <c r="A162" s="47" t="s">
        <v>345</v>
      </c>
      <c r="B162" s="73"/>
      <c r="C162" s="73"/>
      <c r="D162" s="73"/>
      <c r="E162" s="73"/>
      <c r="F162" s="73"/>
      <c r="G162" s="73"/>
      <c r="H162" s="73"/>
      <c r="I162" s="73"/>
      <c r="J162" s="73"/>
      <c r="K162" s="365"/>
      <c r="L162" s="365"/>
      <c r="M162" s="365"/>
      <c r="N162" s="286">
        <f t="shared" si="64"/>
        <v>0</v>
      </c>
      <c r="O162" s="297"/>
      <c r="P162" s="359"/>
      <c r="Q162" s="288"/>
      <c r="R162" s="362"/>
      <c r="S162" s="293"/>
      <c r="T162" s="12"/>
      <c r="U162" s="12"/>
    </row>
    <row r="163" spans="1:21">
      <c r="A163" s="47" t="s">
        <v>352</v>
      </c>
      <c r="B163" s="73"/>
      <c r="C163" s="73"/>
      <c r="D163" s="73"/>
      <c r="E163" s="73"/>
      <c r="F163" s="73"/>
      <c r="G163" s="73"/>
      <c r="H163" s="73"/>
      <c r="I163" s="73"/>
      <c r="J163" s="73"/>
      <c r="K163" s="365"/>
      <c r="L163" s="365"/>
      <c r="M163" s="365"/>
      <c r="N163" s="286">
        <f t="shared" si="64"/>
        <v>0</v>
      </c>
      <c r="O163" s="297"/>
      <c r="P163" s="359"/>
      <c r="Q163" s="288"/>
      <c r="R163" s="362"/>
      <c r="S163" s="293"/>
      <c r="T163" s="12"/>
      <c r="U163" s="12"/>
    </row>
    <row r="164" spans="1:21">
      <c r="A164" s="47" t="s">
        <v>343</v>
      </c>
      <c r="B164" s="73"/>
      <c r="C164" s="73"/>
      <c r="D164" s="73"/>
      <c r="E164" s="73"/>
      <c r="F164" s="73"/>
      <c r="G164" s="73"/>
      <c r="H164" s="73"/>
      <c r="I164" s="73"/>
      <c r="J164" s="73"/>
      <c r="K164" s="365"/>
      <c r="L164" s="365"/>
      <c r="M164" s="365"/>
      <c r="N164" s="286">
        <f t="shared" si="64"/>
        <v>0</v>
      </c>
      <c r="O164" s="297"/>
      <c r="P164" s="359"/>
      <c r="Q164" s="288"/>
      <c r="R164" s="362"/>
      <c r="S164" s="293"/>
      <c r="T164" s="12"/>
      <c r="U164" s="12"/>
    </row>
    <row r="165" spans="1:21">
      <c r="A165" s="47" t="s">
        <v>344</v>
      </c>
      <c r="B165" s="73"/>
      <c r="C165" s="73"/>
      <c r="D165" s="73"/>
      <c r="E165" s="73"/>
      <c r="F165" s="73"/>
      <c r="G165" s="73"/>
      <c r="H165" s="73"/>
      <c r="I165" s="73"/>
      <c r="J165" s="73"/>
      <c r="K165" s="365"/>
      <c r="L165" s="365"/>
      <c r="M165" s="365"/>
      <c r="N165" s="286">
        <f t="shared" si="64"/>
        <v>0</v>
      </c>
      <c r="O165" s="297"/>
      <c r="P165" s="359"/>
      <c r="Q165" s="288"/>
      <c r="R165" s="362"/>
      <c r="S165" s="293"/>
      <c r="T165" s="12"/>
      <c r="U165" s="12"/>
    </row>
    <row r="166" spans="1:21">
      <c r="A166" s="47" t="s">
        <v>353</v>
      </c>
      <c r="B166" s="73"/>
      <c r="C166" s="73"/>
      <c r="D166" s="73"/>
      <c r="E166" s="73"/>
      <c r="F166" s="73"/>
      <c r="G166" s="73"/>
      <c r="H166" s="73"/>
      <c r="I166" s="73"/>
      <c r="J166" s="73"/>
      <c r="K166" s="365"/>
      <c r="L166" s="365"/>
      <c r="M166" s="365"/>
      <c r="N166" s="286">
        <f t="shared" si="64"/>
        <v>0</v>
      </c>
      <c r="O166" s="297"/>
      <c r="P166" s="359"/>
      <c r="Q166" s="288"/>
      <c r="R166" s="362"/>
      <c r="S166" s="293"/>
      <c r="T166" s="12"/>
      <c r="U166" s="12"/>
    </row>
    <row r="167" spans="1:21">
      <c r="A167" s="47" t="s">
        <v>354</v>
      </c>
      <c r="B167" s="73"/>
      <c r="C167" s="73"/>
      <c r="D167" s="73"/>
      <c r="E167" s="73"/>
      <c r="F167" s="73"/>
      <c r="G167" s="73"/>
      <c r="H167" s="73"/>
      <c r="I167" s="73"/>
      <c r="J167" s="73"/>
      <c r="K167" s="365"/>
      <c r="L167" s="365"/>
      <c r="M167" s="365"/>
      <c r="N167" s="286">
        <f t="shared" si="64"/>
        <v>0</v>
      </c>
      <c r="O167" s="297"/>
      <c r="P167" s="359"/>
      <c r="Q167" s="288"/>
      <c r="R167" s="362"/>
      <c r="S167" s="293"/>
      <c r="T167" s="12"/>
      <c r="U167" s="12"/>
    </row>
    <row r="168" spans="1:21">
      <c r="A168" s="47" t="s">
        <v>355</v>
      </c>
      <c r="B168" s="73"/>
      <c r="C168" s="73"/>
      <c r="D168" s="73"/>
      <c r="E168" s="73"/>
      <c r="F168" s="73"/>
      <c r="G168" s="73"/>
      <c r="H168" s="73"/>
      <c r="I168" s="73"/>
      <c r="J168" s="73"/>
      <c r="K168" s="365"/>
      <c r="L168" s="365"/>
      <c r="M168" s="365"/>
      <c r="N168" s="286">
        <f t="shared" si="64"/>
        <v>0</v>
      </c>
      <c r="O168" s="297"/>
      <c r="P168" s="359"/>
      <c r="Q168" s="288"/>
      <c r="R168" s="362"/>
      <c r="S168" s="293"/>
      <c r="T168" s="12"/>
      <c r="U168" s="12"/>
    </row>
    <row r="169" spans="1:21">
      <c r="A169" s="47" t="s">
        <v>356</v>
      </c>
      <c r="B169" s="73"/>
      <c r="C169" s="73"/>
      <c r="D169" s="73"/>
      <c r="E169" s="73"/>
      <c r="F169" s="73"/>
      <c r="G169" s="73"/>
      <c r="H169" s="73"/>
      <c r="I169" s="73"/>
      <c r="J169" s="73"/>
      <c r="K169" s="365"/>
      <c r="L169" s="365"/>
      <c r="M169" s="365"/>
      <c r="N169" s="286">
        <f t="shared" si="64"/>
        <v>0</v>
      </c>
      <c r="O169" s="297"/>
      <c r="P169" s="359"/>
      <c r="Q169" s="288"/>
      <c r="R169" s="362"/>
      <c r="S169" s="293"/>
      <c r="T169" s="12"/>
      <c r="U169" s="12"/>
    </row>
    <row r="170" spans="1:21">
      <c r="A170" s="47" t="s">
        <v>364</v>
      </c>
      <c r="B170" s="73"/>
      <c r="C170" s="73"/>
      <c r="D170" s="73"/>
      <c r="E170" s="73"/>
      <c r="F170" s="73"/>
      <c r="G170" s="73"/>
      <c r="H170" s="73"/>
      <c r="I170" s="73"/>
      <c r="J170" s="73"/>
      <c r="K170" s="365"/>
      <c r="L170" s="365"/>
      <c r="M170" s="365"/>
      <c r="N170" s="286">
        <f t="shared" si="64"/>
        <v>0</v>
      </c>
      <c r="O170" s="297"/>
      <c r="P170" s="359"/>
      <c r="Q170" s="288"/>
      <c r="R170" s="362"/>
      <c r="S170" s="293"/>
      <c r="T170" s="12"/>
      <c r="U170" s="12"/>
    </row>
    <row r="171" spans="1:21">
      <c r="A171" s="47" t="s">
        <v>365</v>
      </c>
      <c r="B171" s="73"/>
      <c r="C171" s="73"/>
      <c r="D171" s="73"/>
      <c r="E171" s="73"/>
      <c r="F171" s="73"/>
      <c r="G171" s="73"/>
      <c r="H171" s="73"/>
      <c r="I171" s="73"/>
      <c r="J171" s="73"/>
      <c r="K171" s="365"/>
      <c r="L171" s="365"/>
      <c r="M171" s="365"/>
      <c r="N171" s="286">
        <f t="shared" si="64"/>
        <v>0</v>
      </c>
      <c r="O171" s="297"/>
      <c r="P171" s="359"/>
      <c r="Q171" s="288"/>
      <c r="R171" s="362"/>
      <c r="S171" s="293"/>
      <c r="T171" s="12"/>
      <c r="U171" s="12"/>
    </row>
    <row r="172" spans="1:21">
      <c r="A172" s="47" t="s">
        <v>367</v>
      </c>
      <c r="B172" s="73"/>
      <c r="C172" s="73"/>
      <c r="D172" s="73"/>
      <c r="E172" s="73"/>
      <c r="F172" s="73"/>
      <c r="G172" s="73"/>
      <c r="H172" s="73"/>
      <c r="I172" s="73"/>
      <c r="J172" s="73"/>
      <c r="K172" s="365"/>
      <c r="L172" s="365"/>
      <c r="M172" s="365"/>
      <c r="N172" s="286">
        <f t="shared" si="64"/>
        <v>0</v>
      </c>
      <c r="O172" s="297"/>
      <c r="P172" s="359"/>
      <c r="Q172" s="288"/>
      <c r="R172" s="362"/>
      <c r="S172" s="293"/>
      <c r="T172" s="12"/>
      <c r="U172" s="12"/>
    </row>
    <row r="173" spans="1:21">
      <c r="A173" s="47" t="s">
        <v>368</v>
      </c>
      <c r="B173" s="73"/>
      <c r="C173" s="73"/>
      <c r="D173" s="73"/>
      <c r="E173" s="73"/>
      <c r="F173" s="73"/>
      <c r="G173" s="73"/>
      <c r="H173" s="73"/>
      <c r="I173" s="73"/>
      <c r="J173" s="73"/>
      <c r="K173" s="365"/>
      <c r="L173" s="365"/>
      <c r="M173" s="365"/>
      <c r="N173" s="286">
        <f t="shared" si="64"/>
        <v>0</v>
      </c>
      <c r="O173" s="297"/>
      <c r="P173" s="359"/>
      <c r="Q173" s="288"/>
      <c r="R173" s="362"/>
      <c r="S173" s="293"/>
      <c r="T173" s="12"/>
      <c r="U173" s="12"/>
    </row>
    <row r="174" spans="1:21">
      <c r="A174" s="47" t="s">
        <v>372</v>
      </c>
      <c r="B174" s="73"/>
      <c r="C174" s="73"/>
      <c r="D174" s="73"/>
      <c r="E174" s="73"/>
      <c r="F174" s="73"/>
      <c r="G174" s="73"/>
      <c r="H174" s="73"/>
      <c r="I174" s="73"/>
      <c r="J174" s="73"/>
      <c r="K174" s="365"/>
      <c r="L174" s="365"/>
      <c r="M174" s="365"/>
      <c r="N174" s="286">
        <f t="shared" si="64"/>
        <v>0</v>
      </c>
      <c r="O174" s="297"/>
      <c r="P174" s="359"/>
      <c r="Q174" s="288"/>
      <c r="R174" s="362"/>
      <c r="S174" s="293"/>
      <c r="T174" s="12"/>
      <c r="U174" s="12"/>
    </row>
    <row r="175" spans="1:21">
      <c r="A175" s="47" t="s">
        <v>381</v>
      </c>
      <c r="B175" s="73"/>
      <c r="C175" s="73"/>
      <c r="D175" s="73"/>
      <c r="E175" s="73"/>
      <c r="F175" s="73"/>
      <c r="G175" s="73"/>
      <c r="H175" s="73"/>
      <c r="I175" s="73"/>
      <c r="J175" s="73"/>
      <c r="K175" s="365"/>
      <c r="L175" s="365"/>
      <c r="M175" s="365"/>
      <c r="N175" s="286">
        <f t="shared" si="64"/>
        <v>0</v>
      </c>
      <c r="O175" s="297"/>
      <c r="P175" s="359"/>
      <c r="Q175" s="288"/>
      <c r="R175" s="362"/>
      <c r="S175" s="293"/>
      <c r="T175" s="12"/>
      <c r="U175" s="12"/>
    </row>
    <row r="176" spans="1:21">
      <c r="A176" s="47" t="s">
        <v>373</v>
      </c>
      <c r="B176" s="73"/>
      <c r="C176" s="73"/>
      <c r="D176" s="73"/>
      <c r="E176" s="73"/>
      <c r="F176" s="73"/>
      <c r="G176" s="73"/>
      <c r="H176" s="73"/>
      <c r="I176" s="73"/>
      <c r="J176" s="73"/>
      <c r="K176" s="365"/>
      <c r="L176" s="365"/>
      <c r="M176" s="365"/>
      <c r="N176" s="286">
        <f t="shared" si="64"/>
        <v>0</v>
      </c>
      <c r="O176" s="297"/>
      <c r="P176" s="359"/>
      <c r="Q176" s="288"/>
      <c r="R176" s="362"/>
      <c r="S176" s="293"/>
      <c r="T176" s="12"/>
      <c r="U176" s="12"/>
    </row>
    <row r="177" spans="1:21">
      <c r="A177" s="47" t="s">
        <v>379</v>
      </c>
      <c r="B177" s="73"/>
      <c r="C177" s="73"/>
      <c r="D177" s="73"/>
      <c r="E177" s="73"/>
      <c r="F177" s="73"/>
      <c r="G177" s="73"/>
      <c r="H177" s="73"/>
      <c r="I177" s="73"/>
      <c r="J177" s="73"/>
      <c r="K177" s="365"/>
      <c r="L177" s="365"/>
      <c r="M177" s="365"/>
      <c r="N177" s="286">
        <f t="shared" si="64"/>
        <v>0</v>
      </c>
      <c r="O177" s="297"/>
      <c r="P177" s="359"/>
      <c r="Q177" s="288"/>
      <c r="R177" s="362"/>
      <c r="S177" s="293"/>
      <c r="T177" s="12"/>
      <c r="U177" s="12"/>
    </row>
    <row r="178" spans="1:21">
      <c r="A178" s="47" t="s">
        <v>380</v>
      </c>
      <c r="B178" s="73"/>
      <c r="C178" s="73"/>
      <c r="D178" s="73"/>
      <c r="E178" s="73"/>
      <c r="F178" s="73"/>
      <c r="G178" s="73"/>
      <c r="H178" s="73"/>
      <c r="I178" s="73"/>
      <c r="J178" s="73"/>
      <c r="K178" s="365"/>
      <c r="L178" s="365"/>
      <c r="M178" s="365"/>
      <c r="N178" s="286">
        <f t="shared" si="64"/>
        <v>0</v>
      </c>
      <c r="O178" s="297"/>
      <c r="P178" s="359"/>
      <c r="Q178" s="288"/>
      <c r="R178" s="362"/>
      <c r="S178" s="293"/>
      <c r="T178" s="12"/>
      <c r="U178" s="12"/>
    </row>
    <row r="179" spans="1:21">
      <c r="A179" s="47" t="s">
        <v>390</v>
      </c>
      <c r="B179" s="73"/>
      <c r="C179" s="73"/>
      <c r="D179" s="73"/>
      <c r="E179" s="73"/>
      <c r="F179" s="73"/>
      <c r="G179" s="73"/>
      <c r="H179" s="73"/>
      <c r="I179" s="73"/>
      <c r="J179" s="73"/>
      <c r="K179" s="365"/>
      <c r="L179" s="365"/>
      <c r="M179" s="365"/>
      <c r="N179" s="286">
        <f t="shared" si="64"/>
        <v>0</v>
      </c>
      <c r="O179" s="297"/>
      <c r="P179" s="359"/>
      <c r="Q179" s="288"/>
      <c r="R179" s="362"/>
      <c r="S179" s="293"/>
      <c r="T179" s="12"/>
      <c r="U179" s="12"/>
    </row>
    <row r="180" spans="1:21">
      <c r="A180" s="47" t="s">
        <v>391</v>
      </c>
      <c r="B180" s="73"/>
      <c r="C180" s="73"/>
      <c r="D180" s="73"/>
      <c r="E180" s="73"/>
      <c r="F180" s="73"/>
      <c r="G180" s="73"/>
      <c r="H180" s="73"/>
      <c r="I180" s="73"/>
      <c r="J180" s="73"/>
      <c r="K180" s="365"/>
      <c r="L180" s="365"/>
      <c r="M180" s="365"/>
      <c r="N180" s="286">
        <f t="shared" si="64"/>
        <v>0</v>
      </c>
      <c r="O180" s="297"/>
      <c r="P180" s="359"/>
      <c r="Q180" s="288"/>
      <c r="R180" s="362"/>
      <c r="S180" s="293"/>
      <c r="T180" s="12"/>
      <c r="U180" s="12"/>
    </row>
    <row r="181" spans="1:21">
      <c r="A181" s="47" t="s">
        <v>396</v>
      </c>
      <c r="B181" s="73"/>
      <c r="C181" s="73"/>
      <c r="D181" s="73"/>
      <c r="E181" s="73"/>
      <c r="F181" s="73"/>
      <c r="G181" s="73"/>
      <c r="H181" s="73"/>
      <c r="I181" s="73"/>
      <c r="J181" s="73"/>
      <c r="K181" s="365"/>
      <c r="L181" s="365"/>
      <c r="M181" s="365"/>
      <c r="N181" s="286">
        <f t="shared" si="64"/>
        <v>0</v>
      </c>
      <c r="O181" s="297"/>
      <c r="P181" s="359"/>
      <c r="Q181" s="288"/>
      <c r="R181" s="362"/>
      <c r="S181" s="293"/>
      <c r="T181" s="12"/>
      <c r="U181" s="12"/>
    </row>
    <row r="182" spans="1:21">
      <c r="A182" s="47" t="s">
        <v>392</v>
      </c>
      <c r="B182" s="73"/>
      <c r="C182" s="73"/>
      <c r="D182" s="73"/>
      <c r="E182" s="73"/>
      <c r="F182" s="73"/>
      <c r="G182" s="73"/>
      <c r="H182" s="73"/>
      <c r="I182" s="73"/>
      <c r="J182" s="73"/>
      <c r="K182" s="365"/>
      <c r="L182" s="365"/>
      <c r="M182" s="365"/>
      <c r="N182" s="286">
        <f t="shared" si="64"/>
        <v>0</v>
      </c>
      <c r="O182" s="297"/>
      <c r="P182" s="359"/>
      <c r="Q182" s="288"/>
      <c r="R182" s="362"/>
      <c r="S182" s="293"/>
      <c r="T182" s="12"/>
      <c r="U182" s="12"/>
    </row>
    <row r="183" spans="1:21">
      <c r="A183" s="47" t="s">
        <v>393</v>
      </c>
      <c r="B183" s="73"/>
      <c r="C183" s="73"/>
      <c r="D183" s="73"/>
      <c r="E183" s="73"/>
      <c r="F183" s="73"/>
      <c r="G183" s="73"/>
      <c r="H183" s="73"/>
      <c r="I183" s="73"/>
      <c r="J183" s="73"/>
      <c r="K183" s="365"/>
      <c r="L183" s="365"/>
      <c r="M183" s="365"/>
      <c r="N183" s="286">
        <f t="shared" si="64"/>
        <v>0</v>
      </c>
      <c r="O183" s="297"/>
      <c r="P183" s="359"/>
      <c r="Q183" s="288"/>
      <c r="R183" s="362"/>
      <c r="S183" s="293"/>
      <c r="T183" s="12"/>
      <c r="U183" s="12"/>
    </row>
    <row r="184" spans="1:21">
      <c r="A184" s="47" t="s">
        <v>394</v>
      </c>
      <c r="B184" s="73"/>
      <c r="C184" s="73"/>
      <c r="D184" s="73"/>
      <c r="E184" s="73"/>
      <c r="F184" s="73"/>
      <c r="G184" s="73"/>
      <c r="H184" s="73"/>
      <c r="I184" s="73"/>
      <c r="J184" s="73"/>
      <c r="K184" s="365"/>
      <c r="L184" s="365"/>
      <c r="M184" s="365"/>
      <c r="N184" s="286">
        <f t="shared" si="64"/>
        <v>0</v>
      </c>
      <c r="O184" s="297"/>
      <c r="P184" s="359"/>
      <c r="Q184" s="288"/>
      <c r="R184" s="362"/>
      <c r="S184" s="293"/>
      <c r="T184" s="12"/>
      <c r="U184" s="12"/>
    </row>
    <row r="185" spans="1:21">
      <c r="A185" s="47" t="s">
        <v>395</v>
      </c>
      <c r="B185" s="73"/>
      <c r="C185" s="73"/>
      <c r="D185" s="73"/>
      <c r="E185" s="73"/>
      <c r="F185" s="73"/>
      <c r="G185" s="73"/>
      <c r="H185" s="73"/>
      <c r="I185" s="73"/>
      <c r="J185" s="73"/>
      <c r="K185" s="365"/>
      <c r="L185" s="365"/>
      <c r="M185" s="365"/>
      <c r="N185" s="286">
        <f t="shared" si="64"/>
        <v>0</v>
      </c>
      <c r="O185" s="297"/>
      <c r="P185" s="359"/>
      <c r="Q185" s="288"/>
      <c r="R185" s="362"/>
      <c r="S185" s="293"/>
      <c r="T185" s="12"/>
      <c r="U185" s="12"/>
    </row>
    <row r="186" spans="1:21">
      <c r="A186" s="226"/>
      <c r="B186" s="73"/>
      <c r="C186" s="73"/>
      <c r="D186" s="73"/>
      <c r="E186" s="73"/>
      <c r="F186" s="73"/>
      <c r="G186" s="73"/>
      <c r="H186" s="73"/>
      <c r="I186" s="73"/>
      <c r="J186" s="73"/>
      <c r="K186" s="365"/>
      <c r="L186" s="365"/>
      <c r="M186" s="365"/>
      <c r="N186" s="286">
        <f t="shared" si="64"/>
        <v>0</v>
      </c>
      <c r="O186" s="297"/>
      <c r="P186" s="359"/>
      <c r="Q186" s="288"/>
      <c r="R186" s="362"/>
      <c r="S186" s="293"/>
      <c r="T186" s="12"/>
      <c r="U186" s="12"/>
    </row>
    <row r="187" spans="1:21">
      <c r="A187" s="226"/>
      <c r="B187" s="73"/>
      <c r="C187" s="73"/>
      <c r="D187" s="73"/>
      <c r="E187" s="73"/>
      <c r="F187" s="73"/>
      <c r="G187" s="73"/>
      <c r="H187" s="73"/>
      <c r="I187" s="73"/>
      <c r="J187" s="73"/>
      <c r="K187" s="365"/>
      <c r="L187" s="365"/>
      <c r="M187" s="365"/>
      <c r="N187" s="286">
        <f t="shared" si="64"/>
        <v>0</v>
      </c>
      <c r="O187" s="297"/>
      <c r="P187" s="359"/>
      <c r="Q187" s="288"/>
      <c r="R187" s="362"/>
      <c r="S187" s="293"/>
      <c r="T187" s="12"/>
      <c r="U187" s="12"/>
    </row>
    <row r="188" spans="1:21">
      <c r="A188" s="226"/>
      <c r="B188" s="73"/>
      <c r="C188" s="73"/>
      <c r="D188" s="73"/>
      <c r="E188" s="73"/>
      <c r="F188" s="73"/>
      <c r="G188" s="73"/>
      <c r="H188" s="73"/>
      <c r="I188" s="73"/>
      <c r="J188" s="73"/>
      <c r="K188" s="365"/>
      <c r="L188" s="365"/>
      <c r="M188" s="365"/>
      <c r="N188" s="286">
        <f t="shared" si="64"/>
        <v>0</v>
      </c>
      <c r="O188" s="297"/>
      <c r="P188" s="359"/>
      <c r="Q188" s="288"/>
      <c r="R188" s="362"/>
      <c r="S188" s="293"/>
      <c r="T188" s="12"/>
      <c r="U188" s="12"/>
    </row>
    <row r="189" spans="1:21">
      <c r="A189" s="226"/>
      <c r="B189" s="73"/>
      <c r="C189" s="73"/>
      <c r="D189" s="73"/>
      <c r="E189" s="73"/>
      <c r="F189" s="73"/>
      <c r="G189" s="73"/>
      <c r="H189" s="73"/>
      <c r="I189" s="73"/>
      <c r="J189" s="73"/>
      <c r="K189" s="365"/>
      <c r="L189" s="365"/>
      <c r="M189" s="365"/>
      <c r="N189" s="286">
        <f t="shared" si="64"/>
        <v>0</v>
      </c>
      <c r="O189" s="297"/>
      <c r="P189" s="359"/>
      <c r="Q189" s="288"/>
      <c r="R189" s="362"/>
      <c r="S189" s="293"/>
      <c r="T189" s="12"/>
      <c r="U189" s="12"/>
    </row>
    <row r="190" spans="1:21">
      <c r="A190" s="226"/>
      <c r="B190" s="73"/>
      <c r="C190" s="73"/>
      <c r="D190" s="73"/>
      <c r="E190" s="73"/>
      <c r="F190" s="73"/>
      <c r="G190" s="73"/>
      <c r="H190" s="73"/>
      <c r="I190" s="73"/>
      <c r="J190" s="73"/>
      <c r="K190" s="365"/>
      <c r="L190" s="365"/>
      <c r="M190" s="365"/>
      <c r="N190" s="286">
        <f>SUM(B190:M190)</f>
        <v>0</v>
      </c>
      <c r="O190" s="297"/>
      <c r="P190" s="359"/>
      <c r="Q190" s="288"/>
      <c r="R190" s="362"/>
      <c r="S190" s="293"/>
      <c r="T190" s="12"/>
      <c r="U190" s="12"/>
    </row>
    <row r="191" spans="1:21">
      <c r="A191" s="226"/>
      <c r="B191" s="73"/>
      <c r="C191" s="73"/>
      <c r="D191" s="73"/>
      <c r="E191" s="73"/>
      <c r="F191" s="73"/>
      <c r="G191" s="73"/>
      <c r="H191" s="73"/>
      <c r="I191" s="73"/>
      <c r="J191" s="73"/>
      <c r="K191" s="365"/>
      <c r="L191" s="365"/>
      <c r="M191" s="365"/>
      <c r="N191" s="286">
        <f>SUM(B191:M191)</f>
        <v>0</v>
      </c>
      <c r="O191" s="297"/>
      <c r="P191" s="359"/>
      <c r="Q191" s="288"/>
      <c r="R191" s="362"/>
      <c r="S191" s="293"/>
      <c r="T191" s="12"/>
      <c r="U191" s="12"/>
    </row>
    <row r="192" spans="1:21">
      <c r="A192" s="226"/>
      <c r="B192" s="73"/>
      <c r="C192" s="73"/>
      <c r="D192" s="73"/>
      <c r="E192" s="73"/>
      <c r="F192" s="73"/>
      <c r="G192" s="73"/>
      <c r="H192" s="73"/>
      <c r="I192" s="73"/>
      <c r="J192" s="73"/>
      <c r="K192" s="365"/>
      <c r="L192" s="365"/>
      <c r="M192" s="365"/>
      <c r="N192" s="286">
        <f>SUM(B192:M192)</f>
        <v>0</v>
      </c>
      <c r="O192" s="297"/>
      <c r="P192" s="359"/>
      <c r="Q192" s="288"/>
      <c r="R192" s="362"/>
      <c r="S192" s="293"/>
      <c r="T192" s="12"/>
      <c r="U192" s="12"/>
    </row>
    <row r="193" spans="1:88">
      <c r="A193" s="226"/>
      <c r="B193" s="73"/>
      <c r="C193" s="73"/>
      <c r="D193" s="73"/>
      <c r="E193" s="73"/>
      <c r="F193" s="73"/>
      <c r="G193" s="73"/>
      <c r="H193" s="73"/>
      <c r="I193" s="73"/>
      <c r="J193" s="73"/>
      <c r="K193" s="365"/>
      <c r="L193" s="365"/>
      <c r="M193" s="365"/>
      <c r="N193" s="286">
        <f>SUM(B193:M193)</f>
        <v>0</v>
      </c>
      <c r="O193" s="297"/>
      <c r="P193" s="359"/>
      <c r="Q193" s="288"/>
      <c r="R193" s="362"/>
      <c r="S193" s="293"/>
      <c r="T193" s="12"/>
      <c r="U193" s="12"/>
    </row>
    <row r="194" spans="1:88">
      <c r="A194" s="226"/>
      <c r="B194" s="73"/>
      <c r="C194" s="73"/>
      <c r="D194" s="73"/>
      <c r="E194" s="73"/>
      <c r="F194" s="73"/>
      <c r="G194" s="73"/>
      <c r="H194" s="73"/>
      <c r="I194" s="73"/>
      <c r="J194" s="365"/>
      <c r="K194" s="365"/>
      <c r="L194" s="365"/>
      <c r="M194" s="365"/>
      <c r="N194" s="260"/>
      <c r="O194" s="297"/>
      <c r="P194" s="359"/>
      <c r="Q194" s="288"/>
      <c r="R194" s="362"/>
      <c r="S194" s="293"/>
      <c r="T194" s="12"/>
      <c r="U194" s="12"/>
    </row>
    <row r="195" spans="1:88" ht="15.75" thickBot="1">
      <c r="A195" s="50" t="s">
        <v>37</v>
      </c>
      <c r="B195" s="67">
        <f t="shared" ref="B195:H195" si="65">SUM(B125:B187)</f>
        <v>0</v>
      </c>
      <c r="C195" s="67">
        <f t="shared" si="65"/>
        <v>0</v>
      </c>
      <c r="D195" s="67">
        <f t="shared" si="65"/>
        <v>0</v>
      </c>
      <c r="E195" s="67">
        <f t="shared" si="65"/>
        <v>0</v>
      </c>
      <c r="F195" s="67">
        <f t="shared" si="65"/>
        <v>0</v>
      </c>
      <c r="G195" s="67">
        <f t="shared" si="65"/>
        <v>0</v>
      </c>
      <c r="H195" s="67">
        <f t="shared" si="65"/>
        <v>0</v>
      </c>
      <c r="I195" s="67">
        <f t="shared" ref="I195:N195" si="66">SUM(I125:I187)</f>
        <v>0</v>
      </c>
      <c r="J195" s="67">
        <f t="shared" si="66"/>
        <v>0</v>
      </c>
      <c r="K195" s="67">
        <f t="shared" si="66"/>
        <v>0</v>
      </c>
      <c r="L195" s="67">
        <f t="shared" si="66"/>
        <v>0</v>
      </c>
      <c r="M195" s="67">
        <f t="shared" si="66"/>
        <v>0</v>
      </c>
      <c r="N195" s="67">
        <f t="shared" si="66"/>
        <v>0</v>
      </c>
      <c r="O195" s="297"/>
      <c r="P195" s="359"/>
      <c r="Q195" s="288"/>
      <c r="R195" s="362"/>
      <c r="S195" s="293"/>
      <c r="T195" s="12"/>
      <c r="U195" s="12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  <c r="BE195"/>
      <c r="BF195"/>
      <c r="BG195"/>
      <c r="BH195"/>
      <c r="BI195"/>
      <c r="BJ195"/>
      <c r="BK195"/>
      <c r="BL195"/>
      <c r="BM195"/>
      <c r="BN195"/>
      <c r="BO195"/>
      <c r="BP195"/>
      <c r="BQ195"/>
      <c r="BR195"/>
      <c r="BS195"/>
      <c r="BT195"/>
      <c r="BU195"/>
      <c r="BV195"/>
      <c r="BW195"/>
      <c r="BX195"/>
      <c r="BY195"/>
      <c r="BZ195"/>
      <c r="CA195"/>
      <c r="CB195"/>
      <c r="CC195"/>
      <c r="CD195"/>
      <c r="CE195"/>
      <c r="CF195"/>
      <c r="CG195"/>
      <c r="CH195"/>
      <c r="CI195"/>
      <c r="CJ195"/>
    </row>
    <row r="196" spans="1:88" ht="15.75" thickTop="1">
      <c r="A196" s="45" t="s">
        <v>54</v>
      </c>
      <c r="B196" s="84"/>
      <c r="C196" s="84"/>
      <c r="D196" s="84"/>
      <c r="E196" s="84"/>
      <c r="F196" s="338"/>
      <c r="G196" s="84"/>
      <c r="H196" s="84"/>
      <c r="I196" s="84"/>
      <c r="J196" s="84"/>
      <c r="K196" s="84"/>
      <c r="L196" s="84"/>
      <c r="M196" s="84"/>
      <c r="N196" s="262"/>
      <c r="O196" s="297"/>
      <c r="P196" s="359"/>
      <c r="Q196" s="288"/>
      <c r="R196" s="362"/>
      <c r="S196" s="293"/>
      <c r="T196" s="12"/>
      <c r="U196" s="12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E196"/>
      <c r="BF196"/>
      <c r="BG196"/>
      <c r="BH196"/>
      <c r="BI196"/>
      <c r="BJ196"/>
      <c r="BK196"/>
      <c r="BL196"/>
      <c r="BM196"/>
      <c r="BN196"/>
      <c r="BO196"/>
      <c r="BP196"/>
      <c r="BQ196"/>
      <c r="BR196"/>
      <c r="BS196"/>
      <c r="BT196"/>
      <c r="BU196"/>
      <c r="BV196"/>
      <c r="BW196"/>
      <c r="BX196"/>
      <c r="BY196"/>
      <c r="BZ196"/>
      <c r="CA196"/>
      <c r="CB196"/>
      <c r="CC196"/>
      <c r="CD196"/>
      <c r="CE196"/>
      <c r="CF196"/>
      <c r="CG196"/>
      <c r="CH196"/>
      <c r="CI196"/>
      <c r="CJ196"/>
    </row>
    <row r="197" spans="1:88" ht="15.75" hidden="1" customHeight="1">
      <c r="A197" s="47" t="e">
        <f>#REF!</f>
        <v>#REF!</v>
      </c>
      <c r="B197" s="48">
        <v>0</v>
      </c>
      <c r="C197" s="48">
        <v>0</v>
      </c>
      <c r="D197" s="48">
        <v>0</v>
      </c>
      <c r="E197" s="48">
        <v>0</v>
      </c>
      <c r="F197" s="263">
        <v>0</v>
      </c>
      <c r="G197" s="48">
        <v>0</v>
      </c>
      <c r="H197" s="48">
        <v>0</v>
      </c>
      <c r="I197" s="48">
        <v>0</v>
      </c>
      <c r="J197" s="48">
        <v>0</v>
      </c>
      <c r="K197" s="48">
        <v>0</v>
      </c>
      <c r="L197" s="48">
        <v>0</v>
      </c>
      <c r="M197" s="48">
        <v>0</v>
      </c>
      <c r="N197" s="263">
        <f t="shared" ref="N197:N208" si="67">SUM(B197:M197)</f>
        <v>0</v>
      </c>
      <c r="O197" s="297"/>
      <c r="P197" s="359"/>
      <c r="Q197" s="288"/>
      <c r="R197" s="362"/>
      <c r="S197" s="293"/>
      <c r="T197" s="12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  <c r="BM197"/>
      <c r="BN197"/>
      <c r="BO197"/>
      <c r="BP197"/>
      <c r="BQ197"/>
      <c r="BR197"/>
      <c r="BS197"/>
      <c r="BT197"/>
      <c r="BU197"/>
      <c r="BV197"/>
      <c r="BW197"/>
      <c r="BX197"/>
      <c r="BY197"/>
      <c r="BZ197"/>
      <c r="CA197"/>
      <c r="CB197"/>
      <c r="CC197"/>
      <c r="CD197"/>
      <c r="CE197"/>
      <c r="CF197"/>
      <c r="CG197"/>
      <c r="CH197"/>
      <c r="CI197"/>
      <c r="CJ197"/>
    </row>
    <row r="198" spans="1:88" ht="15.75" hidden="1" customHeight="1">
      <c r="A198" s="47" t="e">
        <f>#REF!</f>
        <v>#REF!</v>
      </c>
      <c r="B198" s="48">
        <v>0</v>
      </c>
      <c r="C198" s="48">
        <v>0</v>
      </c>
      <c r="D198" s="48">
        <v>0</v>
      </c>
      <c r="E198" s="48">
        <v>0</v>
      </c>
      <c r="F198" s="263">
        <v>0</v>
      </c>
      <c r="G198" s="48">
        <v>0</v>
      </c>
      <c r="H198" s="48">
        <v>0</v>
      </c>
      <c r="I198" s="48">
        <v>0</v>
      </c>
      <c r="J198" s="48">
        <v>0</v>
      </c>
      <c r="K198" s="48">
        <v>0</v>
      </c>
      <c r="L198" s="48">
        <v>0</v>
      </c>
      <c r="M198" s="48">
        <v>0</v>
      </c>
      <c r="N198" s="263">
        <f t="shared" si="67"/>
        <v>0</v>
      </c>
      <c r="O198" s="297"/>
      <c r="P198" s="359"/>
      <c r="Q198" s="288"/>
      <c r="R198" s="362"/>
      <c r="S198" s="293"/>
      <c r="T198" s="12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/>
      <c r="BM198"/>
      <c r="BN198"/>
      <c r="BO198"/>
      <c r="BP198"/>
      <c r="BQ198"/>
      <c r="BR198"/>
      <c r="BS198"/>
      <c r="BT198"/>
      <c r="BU198"/>
      <c r="BV198"/>
      <c r="BW198"/>
      <c r="BX198"/>
      <c r="BY198"/>
      <c r="BZ198"/>
      <c r="CA198"/>
      <c r="CB198"/>
      <c r="CC198"/>
      <c r="CD198"/>
      <c r="CE198"/>
      <c r="CF198"/>
      <c r="CG198"/>
      <c r="CH198"/>
      <c r="CI198"/>
      <c r="CJ198"/>
    </row>
    <row r="199" spans="1:88" ht="15.75" hidden="1" customHeight="1">
      <c r="A199" s="47" t="e">
        <f>#REF!</f>
        <v>#REF!</v>
      </c>
      <c r="B199" s="48">
        <v>0</v>
      </c>
      <c r="C199" s="48">
        <v>0</v>
      </c>
      <c r="D199" s="48">
        <v>0</v>
      </c>
      <c r="E199" s="48">
        <v>0</v>
      </c>
      <c r="F199" s="263">
        <v>0</v>
      </c>
      <c r="G199" s="48">
        <v>0</v>
      </c>
      <c r="H199" s="48">
        <v>0</v>
      </c>
      <c r="I199" s="48">
        <v>0</v>
      </c>
      <c r="J199" s="48">
        <v>0</v>
      </c>
      <c r="K199" s="48">
        <v>0</v>
      </c>
      <c r="L199" s="48">
        <v>0</v>
      </c>
      <c r="M199" s="48">
        <v>0</v>
      </c>
      <c r="N199" s="263">
        <f t="shared" si="67"/>
        <v>0</v>
      </c>
      <c r="O199" s="297"/>
      <c r="P199" s="359"/>
      <c r="Q199" s="288"/>
      <c r="R199" s="362"/>
      <c r="S199" s="293"/>
      <c r="T199" s="12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  <c r="BO199"/>
      <c r="BP199"/>
      <c r="BQ199"/>
      <c r="BR199"/>
      <c r="BS199"/>
      <c r="BT199"/>
      <c r="BU199"/>
      <c r="BV199"/>
      <c r="BW199"/>
      <c r="BX199"/>
      <c r="BY199"/>
      <c r="BZ199"/>
      <c r="CA199"/>
      <c r="CB199"/>
      <c r="CC199"/>
      <c r="CD199"/>
      <c r="CE199"/>
      <c r="CF199"/>
      <c r="CG199"/>
      <c r="CH199"/>
      <c r="CI199"/>
      <c r="CJ199"/>
    </row>
    <row r="200" spans="1:88" ht="15.75" hidden="1" customHeight="1">
      <c r="A200" s="47" t="e">
        <f>#REF!</f>
        <v>#REF!</v>
      </c>
      <c r="B200" s="48">
        <v>0</v>
      </c>
      <c r="C200" s="48">
        <v>0</v>
      </c>
      <c r="D200" s="48">
        <v>0</v>
      </c>
      <c r="E200" s="48">
        <v>0</v>
      </c>
      <c r="F200" s="263">
        <v>0</v>
      </c>
      <c r="G200" s="48">
        <v>0</v>
      </c>
      <c r="H200" s="48">
        <v>0</v>
      </c>
      <c r="I200" s="48">
        <v>0</v>
      </c>
      <c r="J200" s="48">
        <v>0</v>
      </c>
      <c r="K200" s="48">
        <v>0</v>
      </c>
      <c r="L200" s="48">
        <v>0</v>
      </c>
      <c r="M200" s="48">
        <v>0</v>
      </c>
      <c r="N200" s="263">
        <f t="shared" si="67"/>
        <v>0</v>
      </c>
      <c r="O200" s="297"/>
      <c r="P200" s="359"/>
      <c r="Q200" s="288"/>
      <c r="R200" s="362"/>
      <c r="S200" s="293"/>
      <c r="T200" s="12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/>
      <c r="BM200"/>
      <c r="BN200"/>
      <c r="BO200"/>
      <c r="BP200"/>
      <c r="BQ200"/>
      <c r="BR200"/>
      <c r="BS200"/>
      <c r="BT200"/>
      <c r="BU200"/>
      <c r="BV200"/>
      <c r="BW200"/>
      <c r="BX200"/>
      <c r="BY200"/>
      <c r="BZ200"/>
      <c r="CA200"/>
      <c r="CB200"/>
      <c r="CC200"/>
      <c r="CD200"/>
      <c r="CE200"/>
      <c r="CF200"/>
      <c r="CG200"/>
      <c r="CH200"/>
      <c r="CI200"/>
      <c r="CJ200"/>
    </row>
    <row r="201" spans="1:88" ht="15.75" hidden="1" customHeight="1">
      <c r="A201" s="47" t="e">
        <f>#REF!</f>
        <v>#REF!</v>
      </c>
      <c r="B201" s="48">
        <v>0</v>
      </c>
      <c r="C201" s="48">
        <v>0</v>
      </c>
      <c r="D201" s="48">
        <v>0</v>
      </c>
      <c r="E201" s="48">
        <v>0</v>
      </c>
      <c r="F201" s="263">
        <v>0</v>
      </c>
      <c r="G201" s="48">
        <v>0</v>
      </c>
      <c r="H201" s="48">
        <v>0</v>
      </c>
      <c r="I201" s="48">
        <v>0</v>
      </c>
      <c r="J201" s="48">
        <v>0</v>
      </c>
      <c r="K201" s="48">
        <v>0</v>
      </c>
      <c r="L201" s="48">
        <v>0</v>
      </c>
      <c r="M201" s="48">
        <v>0</v>
      </c>
      <c r="N201" s="263">
        <f t="shared" si="67"/>
        <v>0</v>
      </c>
      <c r="O201" s="297"/>
      <c r="P201" s="359"/>
      <c r="Q201" s="288"/>
      <c r="R201" s="362"/>
      <c r="S201" s="293"/>
      <c r="T201" s="12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  <c r="BE201"/>
      <c r="BF201"/>
      <c r="BG201"/>
      <c r="BH201"/>
      <c r="BI201"/>
      <c r="BJ201"/>
      <c r="BK201"/>
      <c r="BL201"/>
      <c r="BM201"/>
      <c r="BN201"/>
      <c r="BO201"/>
      <c r="BP201"/>
      <c r="BQ201"/>
      <c r="BR201"/>
      <c r="BS201"/>
      <c r="BT201"/>
      <c r="BU201"/>
      <c r="BV201"/>
      <c r="BW201"/>
      <c r="BX201"/>
      <c r="BY201"/>
      <c r="BZ201"/>
      <c r="CA201"/>
      <c r="CB201"/>
      <c r="CC201"/>
      <c r="CD201"/>
      <c r="CE201"/>
      <c r="CF201"/>
      <c r="CG201"/>
      <c r="CH201"/>
      <c r="CI201"/>
      <c r="CJ201"/>
    </row>
    <row r="202" spans="1:88" ht="15.75" hidden="1" customHeight="1">
      <c r="A202" s="47" t="e">
        <f>#REF!</f>
        <v>#REF!</v>
      </c>
      <c r="B202" s="48">
        <v>0</v>
      </c>
      <c r="C202" s="48">
        <v>0</v>
      </c>
      <c r="D202" s="48">
        <v>0</v>
      </c>
      <c r="E202" s="48">
        <v>0</v>
      </c>
      <c r="F202" s="263">
        <v>0</v>
      </c>
      <c r="G202" s="48">
        <v>0</v>
      </c>
      <c r="H202" s="48">
        <v>0</v>
      </c>
      <c r="I202" s="48">
        <v>0</v>
      </c>
      <c r="J202" s="48">
        <v>0</v>
      </c>
      <c r="K202" s="48">
        <v>0</v>
      </c>
      <c r="L202" s="48">
        <v>0</v>
      </c>
      <c r="M202" s="48">
        <v>0</v>
      </c>
      <c r="N202" s="263">
        <f t="shared" si="67"/>
        <v>0</v>
      </c>
      <c r="O202" s="297"/>
      <c r="P202" s="359"/>
      <c r="Q202" s="288"/>
      <c r="R202" s="362"/>
      <c r="S202" s="293"/>
      <c r="T202" s="1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  <c r="BE202"/>
      <c r="BF202"/>
      <c r="BG202"/>
      <c r="BH202"/>
      <c r="BI202"/>
      <c r="BJ202"/>
      <c r="BK202"/>
      <c r="BL202"/>
      <c r="BM202"/>
      <c r="BN202"/>
      <c r="BO202"/>
      <c r="BP202"/>
      <c r="BQ202"/>
      <c r="BR202"/>
      <c r="BS202"/>
      <c r="BT202"/>
      <c r="BU202"/>
      <c r="BV202"/>
      <c r="BW202"/>
      <c r="BX202"/>
      <c r="BY202"/>
      <c r="BZ202"/>
      <c r="CA202"/>
      <c r="CB202"/>
      <c r="CC202"/>
      <c r="CD202"/>
      <c r="CE202"/>
      <c r="CF202"/>
      <c r="CG202"/>
      <c r="CH202"/>
      <c r="CI202"/>
      <c r="CJ202"/>
    </row>
    <row r="203" spans="1:88" ht="15.75" hidden="1" customHeight="1">
      <c r="A203" s="47" t="e">
        <f>#REF!</f>
        <v>#REF!</v>
      </c>
      <c r="B203" s="48">
        <v>0</v>
      </c>
      <c r="C203" s="48">
        <v>0</v>
      </c>
      <c r="D203" s="48">
        <v>0</v>
      </c>
      <c r="E203" s="48">
        <v>0</v>
      </c>
      <c r="F203" s="263">
        <v>0</v>
      </c>
      <c r="G203" s="48">
        <v>0</v>
      </c>
      <c r="H203" s="48">
        <v>0</v>
      </c>
      <c r="I203" s="48">
        <v>0</v>
      </c>
      <c r="J203" s="48">
        <v>0</v>
      </c>
      <c r="K203" s="48">
        <v>0</v>
      </c>
      <c r="L203" s="48">
        <v>0</v>
      </c>
      <c r="M203" s="48">
        <v>0</v>
      </c>
      <c r="N203" s="263">
        <f>SUM(B203:M203)</f>
        <v>0</v>
      </c>
      <c r="O203" s="297"/>
      <c r="P203" s="359"/>
      <c r="Q203" s="288"/>
      <c r="R203" s="362"/>
      <c r="S203" s="293"/>
      <c r="T203" s="12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  <c r="BE203"/>
      <c r="BF203"/>
      <c r="BG203"/>
      <c r="BH203"/>
      <c r="BI203"/>
      <c r="BJ203"/>
      <c r="BK203"/>
      <c r="BL203"/>
      <c r="BM203"/>
      <c r="BN203"/>
      <c r="BO203"/>
      <c r="BP203"/>
      <c r="BQ203"/>
      <c r="BR203"/>
      <c r="BS203"/>
      <c r="BT203"/>
      <c r="BU203"/>
      <c r="BV203"/>
      <c r="BW203"/>
      <c r="BX203"/>
      <c r="BY203"/>
      <c r="BZ203"/>
      <c r="CA203"/>
      <c r="CB203"/>
      <c r="CC203"/>
      <c r="CD203"/>
      <c r="CE203"/>
      <c r="CF203"/>
      <c r="CG203"/>
      <c r="CH203"/>
      <c r="CI203"/>
      <c r="CJ203"/>
    </row>
    <row r="204" spans="1:88" ht="15.75" hidden="1" customHeight="1">
      <c r="A204" s="47" t="e">
        <f>#REF!</f>
        <v>#REF!</v>
      </c>
      <c r="B204" s="48">
        <v>0</v>
      </c>
      <c r="C204" s="48">
        <v>0</v>
      </c>
      <c r="D204" s="48">
        <v>0</v>
      </c>
      <c r="E204" s="48">
        <v>0</v>
      </c>
      <c r="F204" s="263">
        <v>0</v>
      </c>
      <c r="G204" s="48">
        <v>0</v>
      </c>
      <c r="H204" s="48">
        <v>0</v>
      </c>
      <c r="I204" s="48">
        <v>0</v>
      </c>
      <c r="J204" s="48">
        <v>0</v>
      </c>
      <c r="K204" s="48">
        <v>0</v>
      </c>
      <c r="L204" s="48">
        <v>0</v>
      </c>
      <c r="M204" s="48">
        <v>0</v>
      </c>
      <c r="N204" s="263">
        <f>SUM(B204:M204)</f>
        <v>0</v>
      </c>
      <c r="O204" s="297"/>
      <c r="P204" s="359"/>
      <c r="Q204" s="288"/>
      <c r="R204" s="362"/>
      <c r="S204" s="293"/>
      <c r="T204" s="12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D204"/>
      <c r="BE204"/>
      <c r="BF204"/>
      <c r="BG204"/>
      <c r="BH204"/>
      <c r="BI204"/>
      <c r="BJ204"/>
      <c r="BK204"/>
      <c r="BL204"/>
      <c r="BM204"/>
      <c r="BN204"/>
      <c r="BO204"/>
      <c r="BP204"/>
      <c r="BQ204"/>
      <c r="BR204"/>
      <c r="BS204"/>
      <c r="BT204"/>
      <c r="BU204"/>
      <c r="BV204"/>
      <c r="BW204"/>
      <c r="BX204"/>
      <c r="BY204"/>
      <c r="BZ204"/>
      <c r="CA204"/>
      <c r="CB204"/>
      <c r="CC204"/>
      <c r="CD204"/>
      <c r="CE204"/>
      <c r="CF204"/>
      <c r="CG204"/>
      <c r="CH204"/>
      <c r="CI204"/>
      <c r="CJ204"/>
    </row>
    <row r="205" spans="1:88" ht="15.75" customHeight="1">
      <c r="A205" s="47"/>
      <c r="B205" s="48"/>
      <c r="C205" s="48"/>
      <c r="D205" s="48"/>
      <c r="E205" s="48"/>
      <c r="F205" s="263"/>
      <c r="G205" s="48"/>
      <c r="H205" s="48"/>
      <c r="I205" s="48"/>
      <c r="J205" s="48"/>
      <c r="K205" s="48"/>
      <c r="L205" s="48"/>
      <c r="M205" s="48"/>
      <c r="N205" s="263">
        <f t="shared" si="67"/>
        <v>0</v>
      </c>
      <c r="O205" s="297"/>
      <c r="P205" s="359"/>
      <c r="Q205" s="288"/>
      <c r="R205" s="362"/>
      <c r="S205" s="293"/>
      <c r="T205" s="12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  <c r="BE205"/>
      <c r="BF205"/>
      <c r="BG205"/>
      <c r="BH205"/>
      <c r="BI205"/>
      <c r="BJ205"/>
      <c r="BK205"/>
      <c r="BL205"/>
      <c r="BM205"/>
      <c r="BN205"/>
      <c r="BO205"/>
      <c r="BP205"/>
      <c r="BQ205"/>
      <c r="BR205"/>
      <c r="BS205"/>
      <c r="BT205"/>
      <c r="BU205"/>
      <c r="BV205"/>
      <c r="BW205"/>
      <c r="BX205"/>
      <c r="BY205"/>
      <c r="BZ205"/>
      <c r="CA205"/>
      <c r="CB205"/>
      <c r="CC205"/>
      <c r="CD205"/>
      <c r="CE205"/>
      <c r="CF205"/>
      <c r="CG205"/>
      <c r="CH205"/>
      <c r="CI205"/>
      <c r="CJ205"/>
    </row>
    <row r="206" spans="1:88" ht="15.75" customHeight="1">
      <c r="A206" s="47"/>
      <c r="B206" s="48"/>
      <c r="C206" s="48"/>
      <c r="D206" s="48"/>
      <c r="E206" s="48"/>
      <c r="F206" s="263"/>
      <c r="G206" s="48"/>
      <c r="H206" s="48"/>
      <c r="I206" s="48"/>
      <c r="J206" s="48"/>
      <c r="K206" s="48"/>
      <c r="L206" s="48"/>
      <c r="M206" s="48"/>
      <c r="N206" s="263">
        <f t="shared" si="67"/>
        <v>0</v>
      </c>
      <c r="O206" s="297"/>
      <c r="P206" s="359"/>
      <c r="Q206" s="288"/>
      <c r="R206" s="362"/>
      <c r="S206" s="293"/>
      <c r="T206" s="12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  <c r="AY206"/>
      <c r="AZ206"/>
      <c r="BA206"/>
      <c r="BB206"/>
      <c r="BC206"/>
      <c r="BD206"/>
      <c r="BE206"/>
      <c r="BF206"/>
      <c r="BG206"/>
      <c r="BH206"/>
      <c r="BI206"/>
      <c r="BJ206"/>
      <c r="BK206"/>
      <c r="BL206"/>
      <c r="BM206"/>
      <c r="BN206"/>
      <c r="BO206"/>
      <c r="BP206"/>
      <c r="BQ206"/>
      <c r="BR206"/>
      <c r="BS206"/>
      <c r="BT206"/>
      <c r="BU206"/>
      <c r="BV206"/>
      <c r="BW206"/>
      <c r="BX206"/>
      <c r="BY206"/>
      <c r="BZ206"/>
      <c r="CA206"/>
      <c r="CB206"/>
      <c r="CC206"/>
      <c r="CD206"/>
      <c r="CE206"/>
      <c r="CF206"/>
      <c r="CG206"/>
      <c r="CH206"/>
      <c r="CI206"/>
      <c r="CJ206"/>
    </row>
    <row r="207" spans="1:88">
      <c r="A207" s="47"/>
      <c r="B207" s="48"/>
      <c r="C207" s="48"/>
      <c r="D207" s="48"/>
      <c r="E207" s="48"/>
      <c r="F207" s="263"/>
      <c r="G207" s="48"/>
      <c r="H207" s="48"/>
      <c r="I207" s="48"/>
      <c r="J207" s="48"/>
      <c r="K207" s="48"/>
      <c r="L207" s="48"/>
      <c r="M207" s="48"/>
      <c r="N207" s="263">
        <f t="shared" si="67"/>
        <v>0</v>
      </c>
      <c r="O207" s="297"/>
      <c r="P207" s="359"/>
      <c r="Q207" s="288"/>
      <c r="R207" s="362"/>
      <c r="S207" s="293"/>
      <c r="T207" s="12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  <c r="AY207"/>
      <c r="AZ207"/>
      <c r="BA207"/>
      <c r="BB207"/>
      <c r="BC207"/>
      <c r="BD207"/>
      <c r="BE207"/>
      <c r="BF207"/>
      <c r="BG207"/>
      <c r="BH207"/>
      <c r="BI207"/>
      <c r="BJ207"/>
      <c r="BK207"/>
      <c r="BL207"/>
      <c r="BM207"/>
      <c r="BN207"/>
      <c r="BO207"/>
      <c r="BP207"/>
      <c r="BQ207"/>
      <c r="BR207"/>
      <c r="BS207"/>
      <c r="BT207"/>
      <c r="BU207"/>
      <c r="BV207"/>
      <c r="BW207"/>
      <c r="BX207"/>
      <c r="BY207"/>
      <c r="BZ207"/>
      <c r="CA207"/>
      <c r="CB207"/>
      <c r="CC207"/>
      <c r="CD207"/>
      <c r="CE207"/>
      <c r="CF207"/>
      <c r="CG207"/>
      <c r="CH207"/>
      <c r="CI207"/>
      <c r="CJ207"/>
    </row>
    <row r="208" spans="1:88">
      <c r="A208" s="47"/>
      <c r="B208" s="48"/>
      <c r="C208" s="48"/>
      <c r="D208" s="48"/>
      <c r="E208" s="48"/>
      <c r="F208" s="263"/>
      <c r="G208" s="48"/>
      <c r="H208" s="48"/>
      <c r="I208" s="48"/>
      <c r="J208" s="48"/>
      <c r="K208" s="48"/>
      <c r="L208" s="48"/>
      <c r="M208" s="48"/>
      <c r="N208" s="263">
        <f t="shared" si="67"/>
        <v>0</v>
      </c>
      <c r="O208" s="297"/>
      <c r="P208" s="359"/>
      <c r="Q208" s="288"/>
      <c r="R208" s="362"/>
      <c r="S208" s="293"/>
      <c r="T208" s="12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  <c r="BE208"/>
      <c r="BF208"/>
      <c r="BG208"/>
      <c r="BH208"/>
      <c r="BI208"/>
      <c r="BJ208"/>
      <c r="BK208"/>
      <c r="BL208"/>
      <c r="BM208"/>
      <c r="BN208"/>
      <c r="BO208"/>
      <c r="BP208"/>
      <c r="BQ208"/>
      <c r="BR208"/>
      <c r="BS208"/>
      <c r="BT208"/>
      <c r="BU208"/>
      <c r="BV208"/>
      <c r="BW208"/>
      <c r="BX208"/>
      <c r="BY208"/>
      <c r="BZ208"/>
      <c r="CA208"/>
      <c r="CB208"/>
      <c r="CC208"/>
      <c r="CD208"/>
      <c r="CE208"/>
      <c r="CF208"/>
      <c r="CG208"/>
      <c r="CH208"/>
      <c r="CI208"/>
      <c r="CJ208"/>
    </row>
    <row r="209" spans="1:88" ht="15.75" thickBot="1">
      <c r="A209" s="85" t="s">
        <v>37</v>
      </c>
      <c r="B209" s="237">
        <f t="shared" ref="B209:N209" si="68">SUM(B197:B208)</f>
        <v>0</v>
      </c>
      <c r="C209" s="237">
        <f t="shared" si="68"/>
        <v>0</v>
      </c>
      <c r="D209" s="237">
        <f t="shared" si="68"/>
        <v>0</v>
      </c>
      <c r="E209" s="237">
        <f t="shared" si="68"/>
        <v>0</v>
      </c>
      <c r="F209" s="237">
        <f t="shared" si="68"/>
        <v>0</v>
      </c>
      <c r="G209" s="237">
        <f t="shared" si="68"/>
        <v>0</v>
      </c>
      <c r="H209" s="237">
        <f t="shared" si="68"/>
        <v>0</v>
      </c>
      <c r="I209" s="237">
        <f t="shared" si="68"/>
        <v>0</v>
      </c>
      <c r="J209" s="237">
        <f t="shared" si="68"/>
        <v>0</v>
      </c>
      <c r="K209" s="237">
        <f t="shared" si="68"/>
        <v>0</v>
      </c>
      <c r="L209" s="237">
        <f t="shared" si="68"/>
        <v>0</v>
      </c>
      <c r="M209" s="237">
        <f t="shared" si="68"/>
        <v>0</v>
      </c>
      <c r="N209" s="237">
        <f t="shared" si="68"/>
        <v>0</v>
      </c>
      <c r="O209" s="297"/>
      <c r="P209" s="359"/>
      <c r="Q209" s="288"/>
      <c r="R209" s="362"/>
      <c r="S209" s="293"/>
      <c r="T209" s="12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A209"/>
      <c r="BB209"/>
      <c r="BC209"/>
      <c r="BD209"/>
      <c r="BE209"/>
      <c r="BF209"/>
      <c r="BG209"/>
      <c r="BH209"/>
      <c r="BI209"/>
      <c r="BJ209"/>
      <c r="BK209"/>
      <c r="BL209"/>
      <c r="BM209"/>
      <c r="BN209"/>
      <c r="BO209"/>
      <c r="BP209"/>
      <c r="BQ209"/>
      <c r="BR209"/>
      <c r="BS209"/>
      <c r="BT209"/>
      <c r="BU209"/>
      <c r="BV209"/>
      <c r="BW209"/>
      <c r="BX209"/>
      <c r="BY209"/>
      <c r="BZ209"/>
      <c r="CA209"/>
      <c r="CB209"/>
      <c r="CC209"/>
      <c r="CD209"/>
      <c r="CE209"/>
      <c r="CF209"/>
      <c r="CG209"/>
      <c r="CH209"/>
      <c r="CI209"/>
      <c r="CJ209"/>
    </row>
    <row r="210" spans="1:88" ht="16.5" thickTop="1" thickBot="1">
      <c r="A210" s="80" t="s">
        <v>15</v>
      </c>
      <c r="B210" s="68">
        <f t="shared" ref="B210:K210" si="69">B195+B209</f>
        <v>0</v>
      </c>
      <c r="C210" s="68">
        <f t="shared" si="69"/>
        <v>0</v>
      </c>
      <c r="D210" s="68">
        <f t="shared" si="69"/>
        <v>0</v>
      </c>
      <c r="E210" s="68">
        <f t="shared" si="69"/>
        <v>0</v>
      </c>
      <c r="F210" s="342">
        <f t="shared" si="69"/>
        <v>0</v>
      </c>
      <c r="G210" s="68">
        <f t="shared" si="69"/>
        <v>0</v>
      </c>
      <c r="H210" s="68">
        <f t="shared" si="69"/>
        <v>0</v>
      </c>
      <c r="I210" s="68">
        <f t="shared" si="69"/>
        <v>0</v>
      </c>
      <c r="J210" s="68">
        <f t="shared" si="69"/>
        <v>0</v>
      </c>
      <c r="K210" s="68">
        <f t="shared" si="69"/>
        <v>0</v>
      </c>
      <c r="L210" s="68">
        <f>L195+L209</f>
        <v>0</v>
      </c>
      <c r="M210" s="68">
        <f>M195+M209</f>
        <v>0</v>
      </c>
      <c r="N210" s="247">
        <f>N195+N209</f>
        <v>0</v>
      </c>
      <c r="O210" s="297"/>
      <c r="P210" s="359"/>
      <c r="Q210" s="288"/>
      <c r="R210" s="362"/>
      <c r="S210" s="293"/>
      <c r="T210" s="12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  <c r="AW210"/>
      <c r="AX210"/>
      <c r="AY210"/>
      <c r="AZ210"/>
      <c r="BA210"/>
      <c r="BB210"/>
      <c r="BC210"/>
      <c r="BD210"/>
      <c r="BE210"/>
      <c r="BF210"/>
      <c r="BG210"/>
      <c r="BH210"/>
      <c r="BI210"/>
      <c r="BJ210"/>
      <c r="BK210"/>
      <c r="BL210"/>
      <c r="BM210"/>
      <c r="BN210"/>
      <c r="BO210"/>
      <c r="BP210"/>
      <c r="BQ210"/>
      <c r="BR210"/>
      <c r="BS210"/>
      <c r="BT210"/>
      <c r="BU210"/>
      <c r="BV210"/>
      <c r="BW210"/>
      <c r="BX210"/>
      <c r="BY210"/>
      <c r="BZ210"/>
      <c r="CA210"/>
      <c r="CB210"/>
      <c r="CC210"/>
      <c r="CD210"/>
      <c r="CE210"/>
      <c r="CF210"/>
      <c r="CG210"/>
      <c r="CH210"/>
      <c r="CI210"/>
      <c r="CJ210"/>
    </row>
    <row r="211" spans="1:88" ht="15.75" thickTop="1">
      <c r="A211" s="6"/>
      <c r="B211" s="12"/>
      <c r="E211" s="11"/>
      <c r="M211" s="109"/>
      <c r="O211" s="297"/>
      <c r="P211" s="359"/>
      <c r="Q211" s="288"/>
      <c r="R211" s="362"/>
      <c r="S211" s="293"/>
      <c r="T211" s="12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  <c r="AW211"/>
      <c r="AX211"/>
      <c r="AY211"/>
      <c r="AZ211"/>
      <c r="BA211"/>
      <c r="BB211"/>
      <c r="BC211"/>
      <c r="BD211"/>
      <c r="BE211"/>
      <c r="BF211"/>
      <c r="BG211"/>
      <c r="BH211"/>
      <c r="BI211"/>
      <c r="BJ211"/>
      <c r="BK211"/>
      <c r="BL211"/>
      <c r="BM211"/>
      <c r="BN211"/>
      <c r="BO211"/>
      <c r="BP211"/>
      <c r="BQ211"/>
      <c r="BR211"/>
      <c r="BS211"/>
      <c r="BT211"/>
      <c r="BU211"/>
      <c r="BV211"/>
      <c r="BW211"/>
      <c r="BX211"/>
      <c r="BY211"/>
      <c r="BZ211"/>
      <c r="CA211"/>
      <c r="CB211"/>
      <c r="CC211"/>
      <c r="CD211"/>
      <c r="CE211"/>
      <c r="CF211"/>
      <c r="CG211"/>
      <c r="CH211"/>
      <c r="CI211"/>
      <c r="CJ211"/>
    </row>
    <row r="212" spans="1:88">
      <c r="A212" s="439" t="s">
        <v>55</v>
      </c>
      <c r="B212" s="437">
        <v>44197</v>
      </c>
      <c r="C212" s="437">
        <v>44228</v>
      </c>
      <c r="D212" s="437">
        <v>44256</v>
      </c>
      <c r="E212" s="437">
        <v>44287</v>
      </c>
      <c r="F212" s="437">
        <v>44317</v>
      </c>
      <c r="G212" s="437">
        <v>44348</v>
      </c>
      <c r="H212" s="437">
        <v>44378</v>
      </c>
      <c r="I212" s="437">
        <v>44409</v>
      </c>
      <c r="J212" s="437">
        <v>44440</v>
      </c>
      <c r="K212" s="437">
        <v>44470</v>
      </c>
      <c r="L212" s="437">
        <v>44501</v>
      </c>
      <c r="M212" s="437">
        <v>44531</v>
      </c>
      <c r="N212" s="469" t="str">
        <f>N32</f>
        <v>Total</v>
      </c>
      <c r="O212" s="297"/>
      <c r="P212" s="359"/>
      <c r="Q212" s="288"/>
      <c r="R212" s="362"/>
      <c r="S212" s="293"/>
      <c r="T212" s="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  <c r="BA212"/>
      <c r="BB212"/>
      <c r="BC212"/>
      <c r="BD212"/>
      <c r="BE212"/>
      <c r="BF212"/>
      <c r="BG212"/>
      <c r="BH212"/>
      <c r="BI212"/>
      <c r="BJ212"/>
      <c r="BK212"/>
      <c r="BL212"/>
      <c r="BM212"/>
      <c r="BN212"/>
      <c r="BO212"/>
      <c r="BP212"/>
      <c r="BQ212"/>
      <c r="BR212"/>
      <c r="BS212"/>
      <c r="BT212"/>
      <c r="BU212"/>
      <c r="BV212"/>
      <c r="BW212"/>
      <c r="BX212"/>
      <c r="BY212"/>
      <c r="BZ212"/>
      <c r="CA212"/>
      <c r="CB212"/>
      <c r="CC212"/>
      <c r="CD212"/>
      <c r="CE212"/>
      <c r="CF212"/>
      <c r="CG212"/>
      <c r="CH212"/>
      <c r="CI212"/>
      <c r="CJ212"/>
    </row>
    <row r="213" spans="1:88" ht="15.75" thickBot="1">
      <c r="A213" s="440"/>
      <c r="B213" s="438"/>
      <c r="C213" s="438"/>
      <c r="D213" s="438"/>
      <c r="E213" s="438"/>
      <c r="F213" s="438"/>
      <c r="G213" s="438"/>
      <c r="H213" s="438"/>
      <c r="I213" s="438"/>
      <c r="J213" s="438"/>
      <c r="K213" s="438"/>
      <c r="L213" s="438"/>
      <c r="M213" s="438"/>
      <c r="N213" s="470"/>
      <c r="O213" s="297"/>
      <c r="P213" s="359"/>
      <c r="Q213" s="288"/>
      <c r="R213" s="362"/>
      <c r="S213" s="293"/>
      <c r="T213" s="12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  <c r="AY213"/>
      <c r="AZ213"/>
      <c r="BA213"/>
      <c r="BB213"/>
      <c r="BC213"/>
      <c r="BD213"/>
      <c r="BE213"/>
      <c r="BF213"/>
      <c r="BG213"/>
      <c r="BH213"/>
      <c r="BI213"/>
      <c r="BJ213"/>
      <c r="BK213"/>
      <c r="BL213"/>
      <c r="BM213"/>
      <c r="BN213"/>
      <c r="BO213"/>
      <c r="BP213"/>
      <c r="BQ213"/>
      <c r="BR213"/>
      <c r="BS213"/>
      <c r="BT213"/>
      <c r="BU213"/>
      <c r="BV213"/>
      <c r="BW213"/>
      <c r="BX213"/>
      <c r="BY213"/>
      <c r="BZ213"/>
      <c r="CA213"/>
      <c r="CB213"/>
      <c r="CC213"/>
      <c r="CD213"/>
      <c r="CE213"/>
      <c r="CF213"/>
      <c r="CG213"/>
      <c r="CH213"/>
      <c r="CI213"/>
      <c r="CJ213"/>
    </row>
    <row r="214" spans="1:88" ht="15.75" thickTop="1">
      <c r="A214" s="81" t="s">
        <v>35</v>
      </c>
      <c r="B214" s="82"/>
      <c r="C214" s="82"/>
      <c r="D214" s="82"/>
      <c r="E214" s="82"/>
      <c r="F214" s="82"/>
      <c r="G214" s="82"/>
      <c r="H214" s="82"/>
      <c r="I214" s="82"/>
      <c r="J214" s="82"/>
      <c r="K214" s="82"/>
      <c r="L214" s="82"/>
      <c r="M214" s="82"/>
      <c r="N214" s="259"/>
      <c r="O214" s="297"/>
      <c r="P214" s="359"/>
      <c r="Q214" s="288"/>
      <c r="R214" s="362"/>
      <c r="S214" s="293"/>
      <c r="T214" s="12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/>
      <c r="AW214"/>
      <c r="AX214"/>
      <c r="AY214"/>
      <c r="AZ214"/>
      <c r="BA214"/>
      <c r="BB214"/>
      <c r="BC214"/>
      <c r="BD214"/>
      <c r="BE214"/>
      <c r="BF214"/>
      <c r="BG214"/>
      <c r="BH214"/>
      <c r="BI214"/>
      <c r="BJ214"/>
      <c r="BK214"/>
      <c r="BL214"/>
      <c r="BM214"/>
      <c r="BN214"/>
      <c r="BO214"/>
      <c r="BP214"/>
      <c r="BQ214"/>
      <c r="BR214"/>
      <c r="BS214"/>
      <c r="BT214"/>
      <c r="BU214"/>
      <c r="BV214"/>
      <c r="BW214"/>
      <c r="BX214"/>
      <c r="BY214"/>
      <c r="BZ214"/>
      <c r="CA214"/>
      <c r="CB214"/>
      <c r="CC214"/>
      <c r="CD214"/>
      <c r="CE214"/>
      <c r="CF214"/>
      <c r="CG214"/>
      <c r="CH214"/>
      <c r="CI214"/>
      <c r="CJ214"/>
    </row>
    <row r="215" spans="1:88" ht="15" customHeight="1">
      <c r="A215" s="304" t="s">
        <v>266</v>
      </c>
      <c r="B215" s="309">
        <v>936711.98</v>
      </c>
      <c r="C215" s="309">
        <v>13481367.460000001</v>
      </c>
      <c r="D215" s="309">
        <v>570464.43999999994</v>
      </c>
      <c r="E215" s="309">
        <v>85598.9</v>
      </c>
      <c r="F215" s="309"/>
      <c r="G215" s="309"/>
      <c r="H215" s="309"/>
      <c r="I215" s="309"/>
      <c r="J215" s="309"/>
      <c r="K215" s="309"/>
      <c r="L215" s="309"/>
      <c r="M215" s="309"/>
      <c r="N215" s="314">
        <f>SUM(B215:M215)</f>
        <v>15074142.780000001</v>
      </c>
      <c r="O215" s="297"/>
      <c r="P215" s="359"/>
      <c r="Q215" s="288"/>
      <c r="R215" s="362"/>
      <c r="S215" s="293"/>
      <c r="T215" s="12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  <c r="AW215"/>
      <c r="AX215"/>
      <c r="AY215"/>
      <c r="AZ215"/>
      <c r="BA215"/>
      <c r="BB215"/>
      <c r="BC215"/>
      <c r="BD215"/>
      <c r="BE215"/>
      <c r="BF215"/>
      <c r="BG215"/>
      <c r="BH215"/>
      <c r="BI215"/>
      <c r="BJ215"/>
      <c r="BK215"/>
      <c r="BL215"/>
      <c r="BM215"/>
      <c r="BN215"/>
      <c r="BO215"/>
      <c r="BP215"/>
      <c r="BQ215"/>
      <c r="BR215"/>
      <c r="BS215"/>
      <c r="BT215"/>
      <c r="BU215"/>
      <c r="BV215"/>
      <c r="BW215"/>
      <c r="BX215"/>
      <c r="BY215"/>
      <c r="BZ215"/>
      <c r="CA215"/>
      <c r="CB215"/>
      <c r="CC215"/>
      <c r="CD215"/>
      <c r="CE215"/>
      <c r="CF215"/>
      <c r="CG215"/>
      <c r="CH215"/>
      <c r="CI215"/>
      <c r="CJ215"/>
    </row>
    <row r="216" spans="1:88">
      <c r="A216" s="47" t="s">
        <v>267</v>
      </c>
      <c r="B216" s="309">
        <v>5044866.33</v>
      </c>
      <c r="C216" s="309">
        <v>30962202.859999999</v>
      </c>
      <c r="D216" s="309">
        <v>3256962.2</v>
      </c>
      <c r="E216" s="309">
        <v>42475690.969999999</v>
      </c>
      <c r="F216" s="309"/>
      <c r="G216" s="309"/>
      <c r="H216" s="309"/>
      <c r="I216" s="309"/>
      <c r="J216" s="309"/>
      <c r="K216" s="309"/>
      <c r="L216" s="309"/>
      <c r="M216" s="309"/>
      <c r="N216" s="314">
        <f t="shared" ref="N216:N279" si="70">SUM(B216:M216)</f>
        <v>81739722.359999999</v>
      </c>
      <c r="O216" s="297"/>
      <c r="P216" s="359"/>
      <c r="Q216" s="288"/>
      <c r="R216" s="366"/>
      <c r="S216" s="293"/>
      <c r="T216" s="12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  <c r="AX216"/>
      <c r="AY216"/>
      <c r="AZ216"/>
      <c r="BA216"/>
      <c r="BB216"/>
      <c r="BC216"/>
      <c r="BD216"/>
      <c r="BE216"/>
      <c r="BF216"/>
      <c r="BG216"/>
      <c r="BH216"/>
      <c r="BI216"/>
      <c r="BJ216"/>
      <c r="BK216"/>
      <c r="BL216"/>
      <c r="BM216"/>
      <c r="BN216"/>
      <c r="BO216"/>
      <c r="BP216"/>
      <c r="BQ216"/>
      <c r="BR216"/>
      <c r="BS216"/>
      <c r="BT216"/>
      <c r="BU216"/>
      <c r="BV216"/>
      <c r="BW216"/>
      <c r="BX216"/>
      <c r="BY216"/>
      <c r="BZ216"/>
      <c r="CA216"/>
      <c r="CB216"/>
      <c r="CC216"/>
      <c r="CD216"/>
      <c r="CE216"/>
      <c r="CF216"/>
      <c r="CG216"/>
      <c r="CH216"/>
      <c r="CI216"/>
      <c r="CJ216"/>
    </row>
    <row r="217" spans="1:88">
      <c r="A217" s="47" t="s">
        <v>268</v>
      </c>
      <c r="B217" s="309">
        <v>737673.76</v>
      </c>
      <c r="C217" s="309">
        <v>455351.29</v>
      </c>
      <c r="D217" s="309">
        <v>196241.85</v>
      </c>
      <c r="E217" s="309">
        <v>195652.59</v>
      </c>
      <c r="F217" s="309"/>
      <c r="G217" s="309"/>
      <c r="H217" s="309"/>
      <c r="I217" s="309"/>
      <c r="J217" s="309"/>
      <c r="K217" s="309"/>
      <c r="L217" s="309"/>
      <c r="M217" s="309"/>
      <c r="N217" s="314">
        <f t="shared" si="70"/>
        <v>1584919.4900000002</v>
      </c>
      <c r="O217" s="297"/>
      <c r="P217" s="359"/>
      <c r="Q217" s="288"/>
      <c r="R217" s="362"/>
      <c r="S217" s="293"/>
      <c r="T217" s="12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/>
      <c r="AW217"/>
      <c r="AX217"/>
      <c r="AY217"/>
      <c r="AZ217"/>
      <c r="BA217"/>
      <c r="BB217"/>
      <c r="BC217"/>
      <c r="BD217"/>
      <c r="BE217"/>
      <c r="BF217"/>
      <c r="BG217"/>
      <c r="BH217"/>
      <c r="BI217"/>
      <c r="BJ217"/>
      <c r="BK217"/>
      <c r="BL217"/>
      <c r="BM217"/>
      <c r="BN217"/>
      <c r="BO217"/>
      <c r="BP217"/>
      <c r="BQ217"/>
      <c r="BR217"/>
      <c r="BS217"/>
      <c r="BT217"/>
      <c r="BU217"/>
      <c r="BV217"/>
      <c r="BW217"/>
      <c r="BX217"/>
      <c r="BY217"/>
      <c r="BZ217"/>
      <c r="CA217"/>
      <c r="CB217"/>
      <c r="CC217"/>
      <c r="CD217"/>
      <c r="CE217"/>
      <c r="CF217"/>
      <c r="CG217"/>
      <c r="CH217"/>
      <c r="CI217"/>
      <c r="CJ217"/>
    </row>
    <row r="218" spans="1:88">
      <c r="A218" s="47" t="s">
        <v>269</v>
      </c>
      <c r="B218" s="309">
        <v>18843.02</v>
      </c>
      <c r="C218" s="309">
        <v>12617.56</v>
      </c>
      <c r="D218" s="309">
        <v>25141.24</v>
      </c>
      <c r="E218" s="309">
        <v>244938.69</v>
      </c>
      <c r="F218" s="309"/>
      <c r="G218" s="309"/>
      <c r="H218" s="309"/>
      <c r="I218" s="309"/>
      <c r="J218" s="309"/>
      <c r="K218" s="309"/>
      <c r="L218" s="309"/>
      <c r="M218" s="309"/>
      <c r="N218" s="314">
        <f t="shared" si="70"/>
        <v>301540.51</v>
      </c>
      <c r="O218" s="297"/>
      <c r="P218" s="359"/>
      <c r="Q218" s="288"/>
      <c r="R218" s="362"/>
      <c r="S218" s="293"/>
      <c r="T218" s="12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/>
      <c r="AW218"/>
      <c r="AX218"/>
      <c r="AY218"/>
      <c r="AZ218"/>
      <c r="BA218"/>
      <c r="BB218"/>
      <c r="BC218"/>
      <c r="BD218"/>
      <c r="BE218"/>
      <c r="BF218"/>
      <c r="BG218"/>
      <c r="BH218"/>
      <c r="BI218"/>
      <c r="BJ218"/>
      <c r="BK218"/>
      <c r="BL218"/>
      <c r="BM218"/>
      <c r="BN218"/>
      <c r="BO218"/>
      <c r="BP218"/>
      <c r="BQ218"/>
      <c r="BR218"/>
      <c r="BS218"/>
      <c r="BT218"/>
      <c r="BU218"/>
      <c r="BV218"/>
      <c r="BW218"/>
      <c r="BX218"/>
      <c r="BY218"/>
      <c r="BZ218"/>
      <c r="CA218"/>
      <c r="CB218"/>
      <c r="CC218"/>
      <c r="CD218"/>
      <c r="CE218"/>
      <c r="CF218"/>
      <c r="CG218"/>
      <c r="CH218"/>
      <c r="CI218"/>
      <c r="CJ218"/>
    </row>
    <row r="219" spans="1:88">
      <c r="A219" s="47" t="s">
        <v>270</v>
      </c>
      <c r="B219" s="309">
        <v>20169755.75</v>
      </c>
      <c r="C219" s="309">
        <v>17701109.890000001</v>
      </c>
      <c r="D219" s="309">
        <v>18897946.170000002</v>
      </c>
      <c r="E219" s="309">
        <v>15267400.199999999</v>
      </c>
      <c r="F219" s="309"/>
      <c r="G219" s="309"/>
      <c r="H219" s="309"/>
      <c r="I219" s="309"/>
      <c r="J219" s="309"/>
      <c r="K219" s="309"/>
      <c r="L219" s="309"/>
      <c r="M219" s="309"/>
      <c r="N219" s="314">
        <f t="shared" si="70"/>
        <v>72036212.010000005</v>
      </c>
      <c r="O219" s="297"/>
      <c r="P219" s="359"/>
      <c r="Q219" s="288"/>
      <c r="R219" s="362"/>
      <c r="S219" s="293"/>
      <c r="T219" s="12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/>
      <c r="AW219"/>
      <c r="AX219"/>
      <c r="AY219"/>
      <c r="AZ219"/>
      <c r="BA219"/>
      <c r="BB219"/>
      <c r="BC219"/>
      <c r="BD219"/>
      <c r="BE219"/>
      <c r="BF219"/>
      <c r="BG219"/>
      <c r="BH219"/>
      <c r="BI219"/>
      <c r="BJ219"/>
      <c r="BK219"/>
      <c r="BL219"/>
      <c r="BM219"/>
      <c r="BN219"/>
      <c r="BO219"/>
      <c r="BP219"/>
      <c r="BQ219"/>
      <c r="BR219"/>
      <c r="BS219"/>
      <c r="BT219"/>
      <c r="BU219"/>
      <c r="BV219"/>
      <c r="BW219"/>
      <c r="BX219"/>
      <c r="BY219"/>
      <c r="BZ219"/>
      <c r="CA219"/>
      <c r="CB219"/>
      <c r="CC219"/>
      <c r="CD219"/>
      <c r="CE219"/>
      <c r="CF219"/>
      <c r="CG219"/>
      <c r="CH219"/>
      <c r="CI219"/>
      <c r="CJ219"/>
    </row>
    <row r="220" spans="1:88" ht="15" customHeight="1">
      <c r="A220" s="47" t="s">
        <v>271</v>
      </c>
      <c r="B220" s="309">
        <v>-4907606.74</v>
      </c>
      <c r="C220" s="309">
        <v>4726159.2</v>
      </c>
      <c r="D220" s="309">
        <v>345371.01</v>
      </c>
      <c r="E220" s="309">
        <v>235576.7</v>
      </c>
      <c r="F220" s="309"/>
      <c r="G220" s="309"/>
      <c r="H220" s="309"/>
      <c r="I220" s="309"/>
      <c r="J220" s="309"/>
      <c r="K220" s="309"/>
      <c r="L220" s="309"/>
      <c r="M220" s="309"/>
      <c r="N220" s="314">
        <f t="shared" si="70"/>
        <v>399500.17</v>
      </c>
      <c r="O220" s="297"/>
      <c r="P220" s="359"/>
      <c r="Q220" s="288"/>
      <c r="R220" s="362"/>
      <c r="S220" s="293"/>
      <c r="T220" s="12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/>
      <c r="AW220"/>
      <c r="AX220"/>
      <c r="AY220"/>
      <c r="AZ220"/>
      <c r="BA220"/>
      <c r="BB220"/>
      <c r="BC220"/>
      <c r="BD220"/>
      <c r="BE220"/>
      <c r="BF220"/>
      <c r="BG220"/>
      <c r="BH220"/>
      <c r="BI220"/>
      <c r="BJ220"/>
      <c r="BK220"/>
      <c r="BL220"/>
      <c r="BM220"/>
      <c r="BN220"/>
      <c r="BO220"/>
      <c r="BP220"/>
      <c r="BQ220"/>
      <c r="BR220"/>
      <c r="BS220"/>
      <c r="BT220"/>
      <c r="BU220"/>
      <c r="BV220"/>
      <c r="BW220"/>
      <c r="BX220"/>
      <c r="BY220"/>
      <c r="BZ220"/>
      <c r="CA220"/>
      <c r="CB220"/>
      <c r="CC220"/>
      <c r="CD220"/>
      <c r="CE220"/>
      <c r="CF220"/>
      <c r="CG220"/>
      <c r="CH220"/>
      <c r="CI220"/>
      <c r="CJ220"/>
    </row>
    <row r="221" spans="1:88">
      <c r="A221" s="47" t="s">
        <v>272</v>
      </c>
      <c r="B221" s="309">
        <v>7534348.5700000003</v>
      </c>
      <c r="C221" s="309">
        <v>9179426.8000000007</v>
      </c>
      <c r="D221" s="309">
        <v>7252198.7199999997</v>
      </c>
      <c r="E221" s="309">
        <v>4477584.1900000004</v>
      </c>
      <c r="F221" s="309"/>
      <c r="G221" s="309"/>
      <c r="H221" s="309"/>
      <c r="I221" s="309"/>
      <c r="J221" s="309"/>
      <c r="K221" s="309"/>
      <c r="L221" s="309"/>
      <c r="M221" s="309"/>
      <c r="N221" s="314">
        <f t="shared" si="70"/>
        <v>28443558.280000001</v>
      </c>
      <c r="O221" s="297"/>
      <c r="P221" s="359"/>
      <c r="Q221" s="298"/>
      <c r="R221" s="363"/>
      <c r="S221" s="293"/>
      <c r="T221" s="12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/>
      <c r="AW221"/>
      <c r="AX221"/>
      <c r="AY221"/>
      <c r="AZ221"/>
      <c r="BA221"/>
      <c r="BB221"/>
      <c r="BC221"/>
      <c r="BD221"/>
      <c r="BE221"/>
      <c r="BF221"/>
      <c r="BG221"/>
      <c r="BH221"/>
      <c r="BI221"/>
      <c r="BJ221"/>
      <c r="BK221"/>
      <c r="BL221"/>
      <c r="BM221"/>
      <c r="BN221"/>
      <c r="BO221"/>
      <c r="BP221"/>
      <c r="BQ221"/>
      <c r="BR221"/>
      <c r="BS221"/>
      <c r="BT221"/>
      <c r="BU221"/>
      <c r="BV221"/>
      <c r="BW221"/>
      <c r="BX221"/>
      <c r="BY221"/>
      <c r="BZ221"/>
      <c r="CA221"/>
      <c r="CB221"/>
      <c r="CC221"/>
      <c r="CD221"/>
      <c r="CE221"/>
      <c r="CF221"/>
      <c r="CG221"/>
      <c r="CH221"/>
      <c r="CI221"/>
      <c r="CJ221"/>
    </row>
    <row r="222" spans="1:88">
      <c r="A222" s="47" t="s">
        <v>260</v>
      </c>
      <c r="B222" s="309">
        <v>133396.91</v>
      </c>
      <c r="C222" s="309">
        <v>5229.51</v>
      </c>
      <c r="D222" s="309">
        <v>20406</v>
      </c>
      <c r="E222" s="309">
        <v>5017</v>
      </c>
      <c r="F222" s="309"/>
      <c r="G222" s="309"/>
      <c r="H222" s="309"/>
      <c r="I222" s="309"/>
      <c r="J222" s="309"/>
      <c r="K222" s="309"/>
      <c r="L222" s="309"/>
      <c r="M222" s="309"/>
      <c r="N222" s="314">
        <f t="shared" si="70"/>
        <v>164049.42000000001</v>
      </c>
      <c r="O222" s="297"/>
      <c r="P222" s="359"/>
      <c r="Q222" s="298"/>
      <c r="R222" s="363"/>
      <c r="S222" s="293"/>
      <c r="T222" s="1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/>
      <c r="AW222"/>
      <c r="AX222"/>
      <c r="AY222"/>
      <c r="AZ222"/>
      <c r="BA222"/>
      <c r="BB222"/>
      <c r="BC222"/>
      <c r="BD222"/>
      <c r="BE222"/>
      <c r="BF222"/>
      <c r="BG222"/>
      <c r="BH222"/>
      <c r="BI222"/>
      <c r="BJ222"/>
      <c r="BK222"/>
      <c r="BL222"/>
      <c r="BM222"/>
      <c r="BN222"/>
      <c r="BO222"/>
      <c r="BP222"/>
      <c r="BQ222"/>
      <c r="BR222"/>
      <c r="BS222"/>
      <c r="BT222"/>
      <c r="BU222"/>
      <c r="BV222"/>
      <c r="BW222"/>
      <c r="BX222"/>
      <c r="BY222"/>
      <c r="BZ222"/>
      <c r="CA222"/>
      <c r="CB222"/>
      <c r="CC222"/>
      <c r="CD222"/>
      <c r="CE222"/>
      <c r="CF222"/>
      <c r="CG222"/>
      <c r="CH222"/>
      <c r="CI222"/>
      <c r="CJ222"/>
    </row>
    <row r="223" spans="1:88">
      <c r="A223" s="47" t="s">
        <v>273</v>
      </c>
      <c r="B223" s="309">
        <v>0</v>
      </c>
      <c r="C223" s="309">
        <v>0</v>
      </c>
      <c r="D223" s="309">
        <v>-3500000</v>
      </c>
      <c r="E223" s="309">
        <v>0</v>
      </c>
      <c r="F223" s="309"/>
      <c r="G223" s="309"/>
      <c r="H223" s="309"/>
      <c r="I223" s="309"/>
      <c r="J223" s="309"/>
      <c r="K223" s="309"/>
      <c r="L223" s="309"/>
      <c r="M223" s="309"/>
      <c r="N223" s="314">
        <f t="shared" si="70"/>
        <v>-3500000</v>
      </c>
      <c r="O223" s="297"/>
      <c r="P223" s="359"/>
      <c r="Q223" s="298"/>
      <c r="R223" s="363"/>
      <c r="S223" s="293"/>
      <c r="T223" s="12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/>
      <c r="AW223"/>
      <c r="AX223"/>
      <c r="AY223"/>
      <c r="AZ223"/>
      <c r="BA223"/>
      <c r="BB223"/>
      <c r="BC223"/>
      <c r="BD223"/>
      <c r="BE223"/>
      <c r="BF223"/>
      <c r="BG223"/>
      <c r="BH223"/>
      <c r="BI223"/>
      <c r="BJ223"/>
      <c r="BK223"/>
      <c r="BL223"/>
      <c r="BM223"/>
      <c r="BN223"/>
      <c r="BO223"/>
      <c r="BP223"/>
      <c r="BQ223"/>
      <c r="BR223"/>
      <c r="BS223"/>
      <c r="BT223"/>
      <c r="BU223"/>
      <c r="BV223"/>
      <c r="BW223"/>
      <c r="BX223"/>
      <c r="BY223"/>
      <c r="BZ223"/>
      <c r="CA223"/>
      <c r="CB223"/>
      <c r="CC223"/>
      <c r="CD223"/>
      <c r="CE223"/>
      <c r="CF223"/>
      <c r="CG223"/>
      <c r="CH223"/>
      <c r="CI223"/>
      <c r="CJ223"/>
    </row>
    <row r="224" spans="1:88" ht="15" customHeight="1">
      <c r="A224" s="47" t="s">
        <v>274</v>
      </c>
      <c r="B224" s="309">
        <v>2593559.14</v>
      </c>
      <c r="C224" s="309">
        <v>1634068.13</v>
      </c>
      <c r="D224" s="309">
        <v>4579600.74</v>
      </c>
      <c r="E224" s="309">
        <v>507953.43</v>
      </c>
      <c r="F224" s="309"/>
      <c r="G224" s="309"/>
      <c r="H224" s="309"/>
      <c r="I224" s="309"/>
      <c r="J224" s="309"/>
      <c r="K224" s="309"/>
      <c r="L224" s="309"/>
      <c r="M224" s="309"/>
      <c r="N224" s="314">
        <f t="shared" si="70"/>
        <v>9315181.4399999995</v>
      </c>
      <c r="O224" s="297"/>
      <c r="P224" s="359"/>
      <c r="Q224" s="298"/>
      <c r="R224" s="363"/>
      <c r="S224" s="293"/>
      <c r="T224" s="12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/>
      <c r="AW224"/>
      <c r="AX224"/>
      <c r="AY224"/>
      <c r="AZ224"/>
      <c r="BA224"/>
      <c r="BB224"/>
      <c r="BC224"/>
      <c r="BD224"/>
      <c r="BE224"/>
      <c r="BF224"/>
      <c r="BG224"/>
      <c r="BH224"/>
      <c r="BI224"/>
      <c r="BJ224"/>
      <c r="BK224"/>
      <c r="BL224"/>
      <c r="BM224"/>
      <c r="BN224"/>
      <c r="BO224"/>
      <c r="BP224"/>
      <c r="BQ224"/>
      <c r="BR224"/>
      <c r="BS224"/>
      <c r="BT224"/>
      <c r="BU224"/>
      <c r="BV224"/>
      <c r="BW224"/>
      <c r="BX224"/>
      <c r="BY224"/>
      <c r="BZ224"/>
      <c r="CA224"/>
      <c r="CB224"/>
      <c r="CC224"/>
      <c r="CD224"/>
      <c r="CE224"/>
      <c r="CF224"/>
      <c r="CG224"/>
      <c r="CH224"/>
      <c r="CI224"/>
      <c r="CJ224"/>
    </row>
    <row r="225" spans="1:88">
      <c r="A225" s="47" t="s">
        <v>286</v>
      </c>
      <c r="B225" s="309">
        <v>7390757.1100000003</v>
      </c>
      <c r="C225" s="309">
        <v>5725950.8300000001</v>
      </c>
      <c r="D225" s="309">
        <v>6159984.3799999999</v>
      </c>
      <c r="E225" s="309">
        <v>8077987.5</v>
      </c>
      <c r="F225" s="309"/>
      <c r="G225" s="309"/>
      <c r="H225" s="309"/>
      <c r="I225" s="309"/>
      <c r="J225" s="309"/>
      <c r="K225" s="309"/>
      <c r="L225" s="309"/>
      <c r="M225" s="309"/>
      <c r="N225" s="314">
        <f t="shared" si="70"/>
        <v>27354679.82</v>
      </c>
      <c r="O225" s="297"/>
      <c r="P225" s="359"/>
      <c r="Q225" s="298"/>
      <c r="R225" s="363"/>
      <c r="S225" s="293"/>
      <c r="T225" s="12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/>
      <c r="AW225"/>
      <c r="AX225"/>
      <c r="AY225"/>
      <c r="AZ225"/>
      <c r="BA225"/>
      <c r="BB225"/>
      <c r="BC225"/>
      <c r="BD225"/>
      <c r="BE225"/>
      <c r="BF225"/>
      <c r="BG225"/>
      <c r="BH225"/>
      <c r="BI225"/>
      <c r="BJ225"/>
      <c r="BK225"/>
      <c r="BL225"/>
      <c r="BM225"/>
      <c r="BN225"/>
      <c r="BO225"/>
      <c r="BP225"/>
      <c r="BQ225"/>
      <c r="BR225"/>
      <c r="BS225"/>
      <c r="BT225"/>
      <c r="BU225"/>
      <c r="BV225"/>
      <c r="BW225"/>
      <c r="BX225"/>
      <c r="BY225"/>
      <c r="BZ225"/>
      <c r="CA225"/>
      <c r="CB225"/>
      <c r="CC225"/>
      <c r="CD225"/>
      <c r="CE225"/>
      <c r="CF225"/>
      <c r="CG225"/>
      <c r="CH225"/>
      <c r="CI225"/>
      <c r="CJ225"/>
    </row>
    <row r="226" spans="1:88">
      <c r="A226" s="47" t="s">
        <v>275</v>
      </c>
      <c r="B226" s="309">
        <v>206601.12</v>
      </c>
      <c r="C226" s="309">
        <v>1358.9</v>
      </c>
      <c r="D226" s="309">
        <v>929</v>
      </c>
      <c r="E226" s="309">
        <v>468220</v>
      </c>
      <c r="F226" s="309"/>
      <c r="G226" s="309"/>
      <c r="H226" s="309"/>
      <c r="I226" s="309"/>
      <c r="J226" s="309"/>
      <c r="K226" s="309"/>
      <c r="L226" s="309"/>
      <c r="M226" s="309"/>
      <c r="N226" s="314">
        <f t="shared" si="70"/>
        <v>677109.02</v>
      </c>
      <c r="O226" s="297"/>
      <c r="P226" s="359"/>
      <c r="Q226" s="298"/>
      <c r="R226" s="363"/>
      <c r="S226" s="293"/>
      <c r="T226" s="12"/>
      <c r="U226" s="12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/>
      <c r="AW226"/>
      <c r="AX226"/>
      <c r="AY226"/>
      <c r="AZ226"/>
      <c r="BA226"/>
      <c r="BB226"/>
      <c r="BC226"/>
      <c r="BD226"/>
      <c r="BE226"/>
      <c r="BF226"/>
      <c r="BG226"/>
      <c r="BH226"/>
      <c r="BI226"/>
      <c r="BJ226"/>
      <c r="BK226"/>
      <c r="BL226"/>
      <c r="BM226"/>
      <c r="BN226"/>
      <c r="BO226"/>
      <c r="BP226"/>
      <c r="BQ226"/>
      <c r="BR226"/>
      <c r="BS226"/>
      <c r="BT226"/>
      <c r="BU226"/>
      <c r="BV226"/>
      <c r="BW226"/>
      <c r="BX226"/>
      <c r="BY226"/>
      <c r="BZ226"/>
      <c r="CA226"/>
      <c r="CB226"/>
      <c r="CC226"/>
      <c r="CD226"/>
      <c r="CE226"/>
      <c r="CF226"/>
      <c r="CG226"/>
      <c r="CH226"/>
      <c r="CI226"/>
      <c r="CJ226"/>
    </row>
    <row r="227" spans="1:88">
      <c r="A227" s="47" t="s">
        <v>342</v>
      </c>
      <c r="B227" s="309">
        <v>11479645</v>
      </c>
      <c r="C227" s="309">
        <v>12195385.34</v>
      </c>
      <c r="D227" s="309">
        <v>20576356.600000001</v>
      </c>
      <c r="E227" s="309">
        <v>10798194.9</v>
      </c>
      <c r="F227" s="309"/>
      <c r="G227" s="309"/>
      <c r="H227" s="309"/>
      <c r="I227" s="309"/>
      <c r="J227" s="309"/>
      <c r="K227" s="309"/>
      <c r="L227" s="309"/>
      <c r="M227" s="309"/>
      <c r="N227" s="314">
        <f t="shared" si="70"/>
        <v>55049581.839999996</v>
      </c>
      <c r="O227" s="297"/>
      <c r="P227" s="359"/>
      <c r="Q227" s="298"/>
      <c r="R227" s="363"/>
      <c r="S227" s="293"/>
      <c r="T227" s="12"/>
      <c r="U227" s="12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  <c r="AV227"/>
      <c r="AW227"/>
      <c r="AX227"/>
      <c r="AY227"/>
      <c r="AZ227"/>
      <c r="BA227"/>
      <c r="BB227"/>
      <c r="BC227"/>
      <c r="BD227"/>
      <c r="BE227"/>
      <c r="BF227"/>
      <c r="BG227"/>
      <c r="BH227"/>
      <c r="BI227"/>
      <c r="BJ227"/>
      <c r="BK227"/>
      <c r="BL227"/>
      <c r="BM227"/>
      <c r="BN227"/>
      <c r="BO227"/>
      <c r="BP227"/>
      <c r="BQ227"/>
      <c r="BR227"/>
      <c r="BS227"/>
      <c r="BT227"/>
      <c r="BU227"/>
      <c r="BV227"/>
      <c r="BW227"/>
      <c r="BX227"/>
      <c r="BY227"/>
      <c r="BZ227"/>
      <c r="CA227"/>
      <c r="CB227"/>
      <c r="CC227"/>
      <c r="CD227"/>
      <c r="CE227"/>
      <c r="CF227"/>
      <c r="CG227"/>
      <c r="CH227"/>
      <c r="CI227"/>
      <c r="CJ227"/>
    </row>
    <row r="228" spans="1:88">
      <c r="A228" s="47" t="s">
        <v>284</v>
      </c>
      <c r="B228" s="309">
        <v>4171282.41</v>
      </c>
      <c r="C228" s="309">
        <v>5680680.0599999996</v>
      </c>
      <c r="D228" s="309">
        <v>47069990.079999998</v>
      </c>
      <c r="E228" s="309">
        <v>4001753.15</v>
      </c>
      <c r="F228" s="309"/>
      <c r="G228" s="309"/>
      <c r="H228" s="309"/>
      <c r="I228" s="309"/>
      <c r="J228" s="309"/>
      <c r="K228" s="309"/>
      <c r="L228" s="309"/>
      <c r="M228" s="309"/>
      <c r="N228" s="314">
        <f t="shared" si="70"/>
        <v>60923705.699999996</v>
      </c>
      <c r="O228" s="297"/>
      <c r="P228" s="359"/>
      <c r="Q228" s="298"/>
      <c r="R228" s="363"/>
      <c r="S228" s="293"/>
      <c r="T228" s="12"/>
      <c r="U228" s="12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V228"/>
      <c r="AW228"/>
      <c r="AX228"/>
      <c r="AY228"/>
      <c r="AZ228"/>
      <c r="BA228"/>
      <c r="BB228"/>
      <c r="BC228"/>
      <c r="BD228"/>
      <c r="BE228"/>
      <c r="BF228"/>
      <c r="BG228"/>
      <c r="BH228"/>
      <c r="BI228"/>
      <c r="BJ228"/>
      <c r="BK228"/>
      <c r="BL228"/>
      <c r="BM228"/>
      <c r="BN228"/>
      <c r="BO228"/>
      <c r="BP228"/>
      <c r="BQ228"/>
      <c r="BR228"/>
      <c r="BS228"/>
      <c r="BT228"/>
      <c r="BU228"/>
      <c r="BV228"/>
      <c r="BW228"/>
      <c r="BX228"/>
      <c r="BY228"/>
      <c r="BZ228"/>
      <c r="CA228"/>
      <c r="CB228"/>
      <c r="CC228"/>
      <c r="CD228"/>
      <c r="CE228"/>
      <c r="CF228"/>
      <c r="CG228"/>
      <c r="CH228"/>
      <c r="CI228"/>
      <c r="CJ228"/>
    </row>
    <row r="229" spans="1:88">
      <c r="A229" s="47" t="s">
        <v>279</v>
      </c>
      <c r="B229" s="309">
        <v>9869881.6099999994</v>
      </c>
      <c r="C229" s="309">
        <v>7995440.7199999997</v>
      </c>
      <c r="D229" s="309">
        <v>439093.25</v>
      </c>
      <c r="E229" s="309">
        <v>638295.89</v>
      </c>
      <c r="F229" s="309"/>
      <c r="G229" s="309"/>
      <c r="H229" s="309"/>
      <c r="I229" s="309"/>
      <c r="J229" s="309"/>
      <c r="K229" s="309"/>
      <c r="L229" s="309"/>
      <c r="M229" s="309"/>
      <c r="N229" s="314">
        <f t="shared" si="70"/>
        <v>18942711.469999999</v>
      </c>
      <c r="O229" s="297"/>
      <c r="P229" s="359"/>
      <c r="Q229" s="298"/>
      <c r="R229" s="363"/>
      <c r="S229" s="293"/>
      <c r="T229" s="12"/>
      <c r="U229" s="12"/>
    </row>
    <row r="230" spans="1:88">
      <c r="A230" s="47" t="s">
        <v>283</v>
      </c>
      <c r="B230" s="309">
        <v>18780845.91</v>
      </c>
      <c r="C230" s="309">
        <v>19140158.48</v>
      </c>
      <c r="D230" s="309">
        <v>29062518.16</v>
      </c>
      <c r="E230" s="309">
        <v>18025682.719999999</v>
      </c>
      <c r="F230" s="309"/>
      <c r="G230" s="309"/>
      <c r="H230" s="309"/>
      <c r="I230" s="309"/>
      <c r="J230" s="309"/>
      <c r="K230" s="309"/>
      <c r="L230" s="309"/>
      <c r="M230" s="309"/>
      <c r="N230" s="314">
        <f t="shared" si="70"/>
        <v>85009205.269999996</v>
      </c>
      <c r="O230" s="297"/>
      <c r="P230" s="359"/>
      <c r="Q230" s="298"/>
      <c r="R230" s="363"/>
      <c r="S230" s="293"/>
      <c r="T230" s="12"/>
      <c r="U230" s="12"/>
    </row>
    <row r="231" spans="1:88">
      <c r="A231" s="47" t="s">
        <v>287</v>
      </c>
      <c r="B231" s="309">
        <v>19971783.949999999</v>
      </c>
      <c r="C231" s="309">
        <v>56450549.539999999</v>
      </c>
      <c r="D231" s="309">
        <v>34601673.939999998</v>
      </c>
      <c r="E231" s="309">
        <v>19221848.550000001</v>
      </c>
      <c r="F231" s="309"/>
      <c r="G231" s="309"/>
      <c r="H231" s="309"/>
      <c r="I231" s="309"/>
      <c r="J231" s="309"/>
      <c r="K231" s="309"/>
      <c r="L231" s="309"/>
      <c r="M231" s="309"/>
      <c r="N231" s="314">
        <f t="shared" si="70"/>
        <v>130245855.97999999</v>
      </c>
      <c r="O231" s="297"/>
      <c r="P231" s="359"/>
      <c r="Q231" s="298"/>
      <c r="R231" s="363"/>
      <c r="S231" s="293"/>
      <c r="T231" s="12"/>
      <c r="U231" s="12"/>
    </row>
    <row r="232" spans="1:88">
      <c r="A232" s="47" t="s">
        <v>295</v>
      </c>
      <c r="B232" s="309">
        <v>6088630.1799999997</v>
      </c>
      <c r="C232" s="309">
        <v>11578375.23</v>
      </c>
      <c r="D232" s="309">
        <v>9294941.5399999991</v>
      </c>
      <c r="E232" s="309">
        <v>4923569.29</v>
      </c>
      <c r="F232" s="309"/>
      <c r="G232" s="309"/>
      <c r="H232" s="309"/>
      <c r="I232" s="309"/>
      <c r="J232" s="309"/>
      <c r="K232" s="309"/>
      <c r="L232" s="309"/>
      <c r="M232" s="309"/>
      <c r="N232" s="314">
        <f t="shared" si="70"/>
        <v>31885516.239999998</v>
      </c>
      <c r="O232" s="297"/>
      <c r="P232" s="359"/>
      <c r="Q232" s="298"/>
      <c r="R232" s="363"/>
      <c r="S232" s="293"/>
      <c r="T232" s="12"/>
      <c r="U232" s="12"/>
    </row>
    <row r="233" spans="1:88">
      <c r="A233" s="47" t="s">
        <v>288</v>
      </c>
      <c r="B233" s="309">
        <v>9934567.5099999998</v>
      </c>
      <c r="C233" s="309">
        <v>5373546.6200000001</v>
      </c>
      <c r="D233" s="309">
        <v>6830030.7999999998</v>
      </c>
      <c r="E233" s="309">
        <v>4002798.93</v>
      </c>
      <c r="F233" s="309"/>
      <c r="G233" s="309"/>
      <c r="H233" s="309"/>
      <c r="I233" s="309"/>
      <c r="J233" s="309"/>
      <c r="K233" s="309"/>
      <c r="L233" s="309"/>
      <c r="M233" s="309"/>
      <c r="N233" s="314">
        <f t="shared" si="70"/>
        <v>26140943.859999999</v>
      </c>
      <c r="O233" s="297"/>
      <c r="P233" s="359"/>
      <c r="Q233" s="298"/>
      <c r="R233" s="363"/>
      <c r="S233" s="293"/>
      <c r="T233" s="12"/>
      <c r="U233" s="12"/>
    </row>
    <row r="234" spans="1:88">
      <c r="A234" s="47" t="s">
        <v>292</v>
      </c>
      <c r="B234" s="309">
        <v>6152223.04</v>
      </c>
      <c r="C234" s="309">
        <v>16993342.210000001</v>
      </c>
      <c r="D234" s="309">
        <v>5416507.1600000001</v>
      </c>
      <c r="E234" s="309">
        <v>3077961.93</v>
      </c>
      <c r="F234" s="309"/>
      <c r="G234" s="309"/>
      <c r="H234" s="309"/>
      <c r="I234" s="309"/>
      <c r="J234" s="309"/>
      <c r="K234" s="309"/>
      <c r="L234" s="309"/>
      <c r="M234" s="309"/>
      <c r="N234" s="314">
        <f t="shared" si="70"/>
        <v>31640034.34</v>
      </c>
      <c r="O234" s="297"/>
      <c r="P234" s="359"/>
      <c r="Q234" s="298"/>
      <c r="R234" s="363"/>
      <c r="S234" s="293"/>
      <c r="T234" s="12"/>
      <c r="U234" s="12"/>
    </row>
    <row r="235" spans="1:88">
      <c r="A235" s="47" t="s">
        <v>297</v>
      </c>
      <c r="B235" s="309">
        <v>3820251.01</v>
      </c>
      <c r="C235" s="309">
        <v>3005495.68</v>
      </c>
      <c r="D235" s="309">
        <v>1940360.62</v>
      </c>
      <c r="E235" s="309">
        <v>7980360.1100000003</v>
      </c>
      <c r="F235" s="309"/>
      <c r="G235" s="309"/>
      <c r="H235" s="309"/>
      <c r="I235" s="309"/>
      <c r="J235" s="309"/>
      <c r="K235" s="309"/>
      <c r="L235" s="309"/>
      <c r="M235" s="309"/>
      <c r="N235" s="314">
        <f t="shared" si="70"/>
        <v>16746467.419999998</v>
      </c>
      <c r="O235" s="297"/>
      <c r="P235" s="359"/>
      <c r="Q235" s="298"/>
      <c r="R235" s="363"/>
      <c r="S235" s="293"/>
      <c r="T235" s="12"/>
      <c r="U235" s="12"/>
    </row>
    <row r="236" spans="1:88">
      <c r="A236" s="47" t="s">
        <v>298</v>
      </c>
      <c r="B236" s="309">
        <v>18184809.789999999</v>
      </c>
      <c r="C236" s="309">
        <v>20268024.48</v>
      </c>
      <c r="D236" s="309">
        <v>23416189.420000002</v>
      </c>
      <c r="E236" s="309">
        <v>13081806.300000001</v>
      </c>
      <c r="F236" s="309"/>
      <c r="G236" s="309"/>
      <c r="H236" s="309"/>
      <c r="I236" s="309"/>
      <c r="J236" s="309"/>
      <c r="K236" s="309"/>
      <c r="L236" s="309"/>
      <c r="M236" s="309"/>
      <c r="N236" s="314">
        <f t="shared" si="70"/>
        <v>74950829.989999995</v>
      </c>
      <c r="O236" s="297"/>
      <c r="P236" s="359"/>
      <c r="Q236" s="298"/>
      <c r="R236" s="363"/>
      <c r="S236" s="293"/>
      <c r="T236" s="12"/>
      <c r="U236" s="12"/>
    </row>
    <row r="237" spans="1:88">
      <c r="A237" s="47" t="s">
        <v>301</v>
      </c>
      <c r="B237" s="309">
        <v>65824768.546999998</v>
      </c>
      <c r="C237" s="309">
        <v>59015347.859999999</v>
      </c>
      <c r="D237" s="309">
        <v>77060710.269999996</v>
      </c>
      <c r="E237" s="309">
        <v>46195070</v>
      </c>
      <c r="F237" s="309"/>
      <c r="G237" s="309"/>
      <c r="H237" s="309"/>
      <c r="I237" s="309"/>
      <c r="J237" s="309"/>
      <c r="K237" s="309"/>
      <c r="L237" s="309"/>
      <c r="M237" s="309"/>
      <c r="N237" s="314">
        <f t="shared" si="70"/>
        <v>248095896.67699999</v>
      </c>
      <c r="O237" s="297"/>
      <c r="P237" s="359"/>
      <c r="Q237" s="298"/>
      <c r="R237" s="363"/>
      <c r="S237" s="293"/>
      <c r="T237" s="12"/>
      <c r="U237" s="12"/>
    </row>
    <row r="238" spans="1:88">
      <c r="A238" s="47" t="s">
        <v>303</v>
      </c>
      <c r="B238" s="309">
        <v>24682218.829999998</v>
      </c>
      <c r="C238" s="309">
        <v>32192376.050000001</v>
      </c>
      <c r="D238" s="309">
        <v>16506261.050000001</v>
      </c>
      <c r="E238" s="309">
        <v>21839644.420000002</v>
      </c>
      <c r="F238" s="309"/>
      <c r="G238" s="309"/>
      <c r="H238" s="309"/>
      <c r="I238" s="309"/>
      <c r="J238" s="309"/>
      <c r="K238" s="309"/>
      <c r="L238" s="309"/>
      <c r="M238" s="309"/>
      <c r="N238" s="314">
        <f t="shared" si="70"/>
        <v>95220500.349999994</v>
      </c>
      <c r="O238" s="297"/>
      <c r="P238" s="359"/>
      <c r="Q238" s="298"/>
      <c r="R238" s="363"/>
      <c r="S238" s="293"/>
      <c r="T238" s="12"/>
      <c r="U238" s="12"/>
    </row>
    <row r="239" spans="1:88">
      <c r="A239" s="47" t="s">
        <v>305</v>
      </c>
      <c r="B239" s="309">
        <v>2410864.4500000002</v>
      </c>
      <c r="C239" s="309">
        <v>1925395.03</v>
      </c>
      <c r="D239" s="309">
        <v>594357.38</v>
      </c>
      <c r="E239" s="309">
        <v>30820.69</v>
      </c>
      <c r="F239" s="309"/>
      <c r="G239" s="309"/>
      <c r="H239" s="309"/>
      <c r="I239" s="309"/>
      <c r="J239" s="309"/>
      <c r="K239" s="309"/>
      <c r="L239" s="309"/>
      <c r="M239" s="309"/>
      <c r="N239" s="314">
        <f t="shared" si="70"/>
        <v>4961437.5500000007</v>
      </c>
      <c r="O239" s="297"/>
      <c r="P239" s="359"/>
      <c r="Q239" s="298"/>
      <c r="R239" s="363"/>
      <c r="S239" s="293"/>
      <c r="T239" s="12"/>
      <c r="U239" s="12"/>
    </row>
    <row r="240" spans="1:88">
      <c r="A240" s="47" t="s">
        <v>320</v>
      </c>
      <c r="B240" s="309">
        <v>45571391.200000003</v>
      </c>
      <c r="C240" s="309">
        <v>34853726.829999998</v>
      </c>
      <c r="D240" s="309">
        <v>59808709.420000002</v>
      </c>
      <c r="E240" s="309">
        <v>32079675.800000001</v>
      </c>
      <c r="F240" s="309"/>
      <c r="G240" s="309"/>
      <c r="H240" s="309"/>
      <c r="I240" s="309"/>
      <c r="J240" s="309"/>
      <c r="K240" s="309"/>
      <c r="L240" s="309"/>
      <c r="M240" s="309"/>
      <c r="N240" s="314">
        <f t="shared" si="70"/>
        <v>172313503.25</v>
      </c>
      <c r="O240" s="297"/>
      <c r="P240" s="359"/>
      <c r="Q240" s="298"/>
      <c r="R240" s="363"/>
      <c r="S240" s="293"/>
      <c r="T240" s="12"/>
      <c r="U240" s="12"/>
    </row>
    <row r="241" spans="1:21">
      <c r="A241" s="47" t="s">
        <v>324</v>
      </c>
      <c r="B241" s="309">
        <v>13111621.48</v>
      </c>
      <c r="C241" s="309">
        <v>12712051.779999999</v>
      </c>
      <c r="D241" s="309">
        <v>19911937.260000002</v>
      </c>
      <c r="E241" s="309">
        <v>7017207.4699999997</v>
      </c>
      <c r="F241" s="309"/>
      <c r="G241" s="309"/>
      <c r="H241" s="309"/>
      <c r="I241" s="309"/>
      <c r="J241" s="309"/>
      <c r="K241" s="309"/>
      <c r="L241" s="309"/>
      <c r="M241" s="309"/>
      <c r="N241" s="314">
        <f t="shared" si="70"/>
        <v>52752817.989999995</v>
      </c>
      <c r="O241" s="297"/>
      <c r="P241" s="359"/>
      <c r="Q241" s="298"/>
      <c r="R241" s="363"/>
      <c r="S241" s="293"/>
      <c r="T241" s="12"/>
      <c r="U241" s="12"/>
    </row>
    <row r="242" spans="1:21">
      <c r="A242" s="47" t="s">
        <v>322</v>
      </c>
      <c r="B242" s="309">
        <v>21249378.300000001</v>
      </c>
      <c r="C242" s="309">
        <v>18980504.969999999</v>
      </c>
      <c r="D242" s="309">
        <v>22195971.370000001</v>
      </c>
      <c r="E242" s="309">
        <v>12265859.189999999</v>
      </c>
      <c r="F242" s="309"/>
      <c r="G242" s="309"/>
      <c r="H242" s="309"/>
      <c r="I242" s="309"/>
      <c r="J242" s="309"/>
      <c r="K242" s="309"/>
      <c r="L242" s="309"/>
      <c r="M242" s="309"/>
      <c r="N242" s="314">
        <f t="shared" si="70"/>
        <v>74691713.829999998</v>
      </c>
      <c r="O242" s="297"/>
      <c r="P242" s="359"/>
      <c r="Q242" s="298"/>
      <c r="R242" s="363"/>
      <c r="S242" s="293"/>
      <c r="T242" s="12"/>
      <c r="U242" s="12"/>
    </row>
    <row r="243" spans="1:21">
      <c r="A243" s="47" t="s">
        <v>328</v>
      </c>
      <c r="B243" s="309">
        <v>6092414.2699999996</v>
      </c>
      <c r="C243" s="309">
        <v>10719333.92</v>
      </c>
      <c r="D243" s="309">
        <v>14767288.779999999</v>
      </c>
      <c r="E243" s="309">
        <v>21854898.829999998</v>
      </c>
      <c r="F243" s="309"/>
      <c r="G243" s="309"/>
      <c r="H243" s="309"/>
      <c r="I243" s="309"/>
      <c r="J243" s="309"/>
      <c r="K243" s="309"/>
      <c r="L243" s="309"/>
      <c r="M243" s="309"/>
      <c r="N243" s="314">
        <f t="shared" si="70"/>
        <v>53433935.799999997</v>
      </c>
      <c r="O243" s="297"/>
      <c r="P243" s="359"/>
      <c r="Q243" s="298"/>
      <c r="R243" s="363"/>
      <c r="S243" s="293"/>
      <c r="T243" s="12"/>
      <c r="U243" s="12"/>
    </row>
    <row r="244" spans="1:21">
      <c r="A244" s="47" t="s">
        <v>329</v>
      </c>
      <c r="B244" s="309">
        <v>10285640.27</v>
      </c>
      <c r="C244" s="309">
        <v>6212807.7000000002</v>
      </c>
      <c r="D244" s="309">
        <v>9362077.1799999997</v>
      </c>
      <c r="E244" s="309">
        <v>7699587.1699999999</v>
      </c>
      <c r="F244" s="309"/>
      <c r="G244" s="309"/>
      <c r="H244" s="309"/>
      <c r="I244" s="309"/>
      <c r="J244" s="309"/>
      <c r="K244" s="309"/>
      <c r="L244" s="309"/>
      <c r="M244" s="309"/>
      <c r="N244" s="314">
        <f t="shared" si="70"/>
        <v>33560112.32</v>
      </c>
      <c r="O244" s="297"/>
      <c r="P244" s="359"/>
      <c r="Q244" s="298"/>
      <c r="R244" s="363"/>
      <c r="S244" s="293"/>
      <c r="T244" s="12"/>
      <c r="U244" s="12"/>
    </row>
    <row r="245" spans="1:21">
      <c r="A245" s="47" t="s">
        <v>330</v>
      </c>
      <c r="B245" s="309">
        <v>8734969.5399999991</v>
      </c>
      <c r="C245" s="309">
        <v>4543017.05</v>
      </c>
      <c r="D245" s="309">
        <v>3155344.99</v>
      </c>
      <c r="E245" s="309">
        <v>1558890.87</v>
      </c>
      <c r="F245" s="309"/>
      <c r="G245" s="309"/>
      <c r="H245" s="309"/>
      <c r="I245" s="309"/>
      <c r="J245" s="309"/>
      <c r="K245" s="309"/>
      <c r="L245" s="309"/>
      <c r="M245" s="309"/>
      <c r="N245" s="314">
        <f t="shared" si="70"/>
        <v>17992222.449999999</v>
      </c>
      <c r="O245" s="297"/>
      <c r="P245" s="359"/>
      <c r="Q245" s="298"/>
      <c r="R245" s="363"/>
      <c r="S245" s="293"/>
      <c r="T245" s="12"/>
      <c r="U245" s="12"/>
    </row>
    <row r="246" spans="1:21">
      <c r="A246" s="47" t="s">
        <v>332</v>
      </c>
      <c r="B246" s="309">
        <v>17160530.809999999</v>
      </c>
      <c r="C246" s="309">
        <v>17027482.079999998</v>
      </c>
      <c r="D246" s="309">
        <v>20334878.390000001</v>
      </c>
      <c r="E246" s="309">
        <v>5850485.8200000003</v>
      </c>
      <c r="F246" s="309"/>
      <c r="G246" s="309"/>
      <c r="H246" s="309"/>
      <c r="I246" s="309"/>
      <c r="J246" s="309"/>
      <c r="K246" s="309"/>
      <c r="L246" s="309"/>
      <c r="M246" s="309"/>
      <c r="N246" s="314">
        <f t="shared" si="70"/>
        <v>60373377.100000001</v>
      </c>
      <c r="O246" s="297"/>
      <c r="P246" s="359"/>
      <c r="Q246" s="298"/>
      <c r="R246" s="363"/>
      <c r="S246" s="293"/>
      <c r="T246" s="12"/>
      <c r="U246" s="12"/>
    </row>
    <row r="247" spans="1:21">
      <c r="A247" s="47" t="s">
        <v>337</v>
      </c>
      <c r="B247" s="309">
        <v>11767116.99</v>
      </c>
      <c r="C247" s="309">
        <v>40794653.93</v>
      </c>
      <c r="D247" s="309">
        <v>13496896.039999999</v>
      </c>
      <c r="E247" s="309">
        <v>5744685.71</v>
      </c>
      <c r="F247" s="309"/>
      <c r="G247" s="309"/>
      <c r="H247" s="309"/>
      <c r="I247" s="309"/>
      <c r="J247" s="309"/>
      <c r="K247" s="309"/>
      <c r="L247" s="309"/>
      <c r="M247" s="309"/>
      <c r="N247" s="314">
        <f t="shared" si="70"/>
        <v>71803352.670000002</v>
      </c>
      <c r="O247" s="297"/>
      <c r="P247" s="359"/>
      <c r="Q247" s="298"/>
      <c r="R247" s="363"/>
      <c r="S247" s="293"/>
      <c r="T247" s="12"/>
      <c r="U247" s="12"/>
    </row>
    <row r="248" spans="1:21">
      <c r="A248" s="47" t="s">
        <v>338</v>
      </c>
      <c r="B248" s="309">
        <v>124285.9</v>
      </c>
      <c r="C248" s="309">
        <v>0</v>
      </c>
      <c r="D248" s="309">
        <v>1261225.8</v>
      </c>
      <c r="E248" s="309">
        <v>0</v>
      </c>
      <c r="F248" s="309"/>
      <c r="G248" s="309"/>
      <c r="H248" s="309"/>
      <c r="I248" s="309"/>
      <c r="J248" s="309"/>
      <c r="K248" s="309"/>
      <c r="L248" s="309"/>
      <c r="M248" s="309"/>
      <c r="N248" s="314">
        <f t="shared" si="70"/>
        <v>1385511.7</v>
      </c>
      <c r="O248" s="297"/>
      <c r="P248" s="359"/>
      <c r="Q248" s="298"/>
      <c r="R248" s="363"/>
      <c r="S248" s="293"/>
      <c r="T248" s="12"/>
      <c r="U248" s="12"/>
    </row>
    <row r="249" spans="1:21">
      <c r="A249" s="47" t="s">
        <v>339</v>
      </c>
      <c r="B249" s="309">
        <v>11550459.33</v>
      </c>
      <c r="C249" s="309">
        <v>9891987.9100000001</v>
      </c>
      <c r="D249" s="309">
        <v>8029186.8499999996</v>
      </c>
      <c r="E249" s="309">
        <v>24990986.359999999</v>
      </c>
      <c r="F249" s="309"/>
      <c r="G249" s="309"/>
      <c r="H249" s="309"/>
      <c r="I249" s="309"/>
      <c r="J249" s="309"/>
      <c r="K249" s="309"/>
      <c r="L249" s="309"/>
      <c r="M249" s="309"/>
      <c r="N249" s="314">
        <f t="shared" si="70"/>
        <v>54462620.450000003</v>
      </c>
      <c r="O249" s="297"/>
      <c r="P249" s="359"/>
      <c r="Q249" s="298"/>
      <c r="R249" s="363"/>
      <c r="S249" s="293"/>
      <c r="T249" s="12"/>
      <c r="U249" s="12"/>
    </row>
    <row r="250" spans="1:21">
      <c r="A250" s="47" t="s">
        <v>340</v>
      </c>
      <c r="B250" s="309">
        <v>10552348.59</v>
      </c>
      <c r="C250" s="309">
        <v>12914829.779999999</v>
      </c>
      <c r="D250" s="309">
        <v>2121949.6800000002</v>
      </c>
      <c r="E250" s="309">
        <v>12825570.98</v>
      </c>
      <c r="F250" s="309"/>
      <c r="G250" s="309"/>
      <c r="H250" s="309"/>
      <c r="I250" s="309"/>
      <c r="J250" s="309"/>
      <c r="K250" s="309"/>
      <c r="L250" s="309"/>
      <c r="M250" s="309"/>
      <c r="N250" s="314">
        <f t="shared" si="70"/>
        <v>38414699.030000001</v>
      </c>
      <c r="O250" s="297"/>
      <c r="P250" s="359"/>
      <c r="Q250" s="298"/>
      <c r="R250" s="363"/>
      <c r="S250" s="293"/>
      <c r="T250" s="12"/>
      <c r="U250" s="12"/>
    </row>
    <row r="251" spans="1:21">
      <c r="A251" s="47" t="s">
        <v>346</v>
      </c>
      <c r="B251" s="309">
        <v>1145990</v>
      </c>
      <c r="C251" s="309">
        <v>8781343.4800000004</v>
      </c>
      <c r="D251" s="309">
        <v>-8598685.4100000001</v>
      </c>
      <c r="E251" s="309">
        <v>80177.179999999993</v>
      </c>
      <c r="F251" s="309"/>
      <c r="G251" s="309"/>
      <c r="H251" s="309"/>
      <c r="I251" s="309"/>
      <c r="J251" s="309"/>
      <c r="K251" s="309"/>
      <c r="L251" s="309"/>
      <c r="M251" s="309"/>
      <c r="N251" s="314">
        <f t="shared" si="70"/>
        <v>1408825.2500000002</v>
      </c>
      <c r="O251" s="297"/>
      <c r="P251" s="359"/>
      <c r="Q251" s="298"/>
      <c r="R251" s="363"/>
      <c r="S251" s="293"/>
      <c r="T251" s="12"/>
      <c r="U251" s="12"/>
    </row>
    <row r="252" spans="1:21">
      <c r="A252" s="47" t="s">
        <v>345</v>
      </c>
      <c r="B252" s="309">
        <v>24457258.629999999</v>
      </c>
      <c r="C252" s="309">
        <v>11798720.119999999</v>
      </c>
      <c r="D252" s="309">
        <v>19836703.940000001</v>
      </c>
      <c r="E252" s="309">
        <v>20296664.93</v>
      </c>
      <c r="F252" s="309"/>
      <c r="G252" s="309"/>
      <c r="H252" s="309"/>
      <c r="I252" s="309"/>
      <c r="J252" s="309"/>
      <c r="K252" s="309"/>
      <c r="L252" s="309"/>
      <c r="M252" s="309"/>
      <c r="N252" s="314">
        <f t="shared" si="70"/>
        <v>76389347.620000005</v>
      </c>
      <c r="O252" s="297"/>
      <c r="P252" s="359"/>
      <c r="Q252" s="298"/>
      <c r="R252" s="363"/>
      <c r="S252" s="293"/>
      <c r="T252" s="12"/>
      <c r="U252" s="12"/>
    </row>
    <row r="253" spans="1:21">
      <c r="A253" s="47" t="s">
        <v>352</v>
      </c>
      <c r="B253" s="309">
        <v>1431861.7</v>
      </c>
      <c r="C253" s="309">
        <v>81659.990000000005</v>
      </c>
      <c r="D253" s="309">
        <v>42104.66</v>
      </c>
      <c r="E253" s="309">
        <v>12117.66</v>
      </c>
      <c r="F253" s="309"/>
      <c r="G253" s="309"/>
      <c r="H253" s="309"/>
      <c r="I253" s="309"/>
      <c r="J253" s="309"/>
      <c r="K253" s="309"/>
      <c r="L253" s="309"/>
      <c r="M253" s="309"/>
      <c r="N253" s="314">
        <f t="shared" si="70"/>
        <v>1567744.0099999998</v>
      </c>
      <c r="O253" s="297"/>
      <c r="P253" s="359"/>
      <c r="Q253" s="298"/>
      <c r="R253" s="363"/>
      <c r="S253" s="293"/>
      <c r="T253" s="12"/>
      <c r="U253" s="12"/>
    </row>
    <row r="254" spans="1:21">
      <c r="A254" s="47" t="s">
        <v>343</v>
      </c>
      <c r="B254" s="309">
        <v>18089044.850000001</v>
      </c>
      <c r="C254" s="309">
        <v>15810508.890000001</v>
      </c>
      <c r="D254" s="309">
        <v>18910613.949999999</v>
      </c>
      <c r="E254" s="309">
        <v>15312757.25</v>
      </c>
      <c r="F254" s="309"/>
      <c r="G254" s="309"/>
      <c r="H254" s="309"/>
      <c r="I254" s="309"/>
      <c r="J254" s="309"/>
      <c r="K254" s="309"/>
      <c r="L254" s="309"/>
      <c r="M254" s="309"/>
      <c r="N254" s="314">
        <f t="shared" si="70"/>
        <v>68122924.939999998</v>
      </c>
      <c r="O254" s="297"/>
      <c r="P254" s="359"/>
      <c r="Q254" s="298"/>
      <c r="R254" s="363"/>
      <c r="S254" s="293"/>
      <c r="T254" s="12"/>
      <c r="U254" s="12"/>
    </row>
    <row r="255" spans="1:21">
      <c r="A255" s="47" t="s">
        <v>344</v>
      </c>
      <c r="B255" s="309">
        <v>2225044.23</v>
      </c>
      <c r="C255" s="309">
        <v>1572828.13</v>
      </c>
      <c r="D255" s="309">
        <v>396435.72</v>
      </c>
      <c r="E255" s="309">
        <v>198326.99</v>
      </c>
      <c r="F255" s="309"/>
      <c r="G255" s="309"/>
      <c r="H255" s="309"/>
      <c r="I255" s="309"/>
      <c r="J255" s="309"/>
      <c r="K255" s="309"/>
      <c r="L255" s="309"/>
      <c r="M255" s="309"/>
      <c r="N255" s="314">
        <f t="shared" si="70"/>
        <v>4392635.07</v>
      </c>
      <c r="O255" s="297"/>
      <c r="P255" s="359"/>
      <c r="Q255" s="298"/>
      <c r="R255" s="363"/>
      <c r="S255" s="293"/>
      <c r="T255" s="12"/>
      <c r="U255" s="12"/>
    </row>
    <row r="256" spans="1:21">
      <c r="A256" s="47" t="s">
        <v>353</v>
      </c>
      <c r="B256" s="309">
        <v>505006.47</v>
      </c>
      <c r="C256" s="309">
        <v>457008.03</v>
      </c>
      <c r="D256" s="309">
        <v>417887.23</v>
      </c>
      <c r="E256" s="309">
        <v>374524.1</v>
      </c>
      <c r="F256" s="309"/>
      <c r="G256" s="309"/>
      <c r="H256" s="309"/>
      <c r="I256" s="309"/>
      <c r="J256" s="309"/>
      <c r="K256" s="309"/>
      <c r="L256" s="309"/>
      <c r="M256" s="309"/>
      <c r="N256" s="314">
        <f t="shared" si="70"/>
        <v>1754425.83</v>
      </c>
      <c r="O256" s="297"/>
      <c r="P256" s="359"/>
      <c r="Q256" s="298"/>
      <c r="R256" s="363"/>
      <c r="S256" s="293"/>
      <c r="T256" s="12"/>
      <c r="U256" s="12"/>
    </row>
    <row r="257" spans="1:21">
      <c r="A257" s="47" t="s">
        <v>354</v>
      </c>
      <c r="B257" s="309">
        <v>323088.43</v>
      </c>
      <c r="C257" s="309">
        <v>702834.81</v>
      </c>
      <c r="D257" s="309">
        <v>282549</v>
      </c>
      <c r="E257" s="309">
        <v>532685.48</v>
      </c>
      <c r="F257" s="309"/>
      <c r="G257" s="309"/>
      <c r="H257" s="309"/>
      <c r="I257" s="309"/>
      <c r="J257" s="309"/>
      <c r="K257" s="309"/>
      <c r="L257" s="309"/>
      <c r="M257" s="309"/>
      <c r="N257" s="314">
        <f t="shared" si="70"/>
        <v>1841157.72</v>
      </c>
      <c r="O257" s="297"/>
      <c r="P257" s="359"/>
      <c r="Q257" s="298"/>
      <c r="R257" s="363"/>
      <c r="S257" s="293"/>
      <c r="T257" s="12"/>
      <c r="U257" s="12"/>
    </row>
    <row r="258" spans="1:21">
      <c r="A258" s="47" t="s">
        <v>355</v>
      </c>
      <c r="B258" s="309">
        <v>6218430.3399999999</v>
      </c>
      <c r="C258" s="309">
        <v>5089101.05</v>
      </c>
      <c r="D258" s="309">
        <v>5290215.08</v>
      </c>
      <c r="E258" s="309">
        <v>3548259.22</v>
      </c>
      <c r="F258" s="309"/>
      <c r="G258" s="309"/>
      <c r="H258" s="309"/>
      <c r="I258" s="309"/>
      <c r="J258" s="309"/>
      <c r="K258" s="309"/>
      <c r="L258" s="309"/>
      <c r="M258" s="309"/>
      <c r="N258" s="314">
        <f t="shared" si="70"/>
        <v>20146005.690000001</v>
      </c>
      <c r="O258" s="297"/>
      <c r="P258" s="359"/>
      <c r="Q258" s="298"/>
      <c r="R258" s="363"/>
      <c r="S258" s="293"/>
      <c r="T258" s="12"/>
      <c r="U258" s="12"/>
    </row>
    <row r="259" spans="1:21">
      <c r="A259" s="47" t="s">
        <v>356</v>
      </c>
      <c r="B259" s="309">
        <v>44636.73</v>
      </c>
      <c r="C259" s="309">
        <v>2166</v>
      </c>
      <c r="D259" s="309">
        <v>1002.22</v>
      </c>
      <c r="E259" s="309">
        <v>251550.21</v>
      </c>
      <c r="F259" s="309"/>
      <c r="G259" s="309"/>
      <c r="H259" s="309"/>
      <c r="I259" s="309"/>
      <c r="J259" s="309"/>
      <c r="K259" s="309"/>
      <c r="L259" s="309"/>
      <c r="M259" s="309"/>
      <c r="N259" s="314">
        <f t="shared" si="70"/>
        <v>299355.15999999997</v>
      </c>
      <c r="O259" s="297"/>
      <c r="P259" s="359"/>
      <c r="Q259" s="298"/>
      <c r="R259" s="363"/>
      <c r="S259" s="293"/>
      <c r="T259" s="12"/>
      <c r="U259" s="12"/>
    </row>
    <row r="260" spans="1:21">
      <c r="A260" s="47" t="s">
        <v>364</v>
      </c>
      <c r="B260" s="309">
        <v>14775</v>
      </c>
      <c r="C260" s="309">
        <v>1674.62</v>
      </c>
      <c r="D260" s="309">
        <v>909.6</v>
      </c>
      <c r="E260" s="309">
        <v>0</v>
      </c>
      <c r="F260" s="309"/>
      <c r="G260" s="309"/>
      <c r="H260" s="309"/>
      <c r="I260" s="309"/>
      <c r="J260" s="309"/>
      <c r="K260" s="309"/>
      <c r="L260" s="309"/>
      <c r="M260" s="309"/>
      <c r="N260" s="314">
        <f t="shared" si="70"/>
        <v>17359.219999999998</v>
      </c>
      <c r="O260" s="297"/>
      <c r="P260" s="359"/>
      <c r="Q260" s="298"/>
      <c r="R260" s="363"/>
      <c r="S260" s="293"/>
      <c r="T260" s="12"/>
      <c r="U260" s="12"/>
    </row>
    <row r="261" spans="1:21">
      <c r="A261" s="47" t="s">
        <v>365</v>
      </c>
      <c r="B261" s="309">
        <v>218523.61</v>
      </c>
      <c r="C261" s="309">
        <v>233736.53</v>
      </c>
      <c r="D261" s="309">
        <v>146079.51</v>
      </c>
      <c r="E261" s="309">
        <v>122897.91</v>
      </c>
      <c r="F261" s="309"/>
      <c r="G261" s="309"/>
      <c r="H261" s="309"/>
      <c r="I261" s="309"/>
      <c r="J261" s="309"/>
      <c r="K261" s="309"/>
      <c r="L261" s="309"/>
      <c r="M261" s="309"/>
      <c r="N261" s="314">
        <f t="shared" si="70"/>
        <v>721237.56</v>
      </c>
      <c r="O261" s="297"/>
      <c r="P261" s="359"/>
      <c r="Q261" s="298"/>
      <c r="R261" s="363"/>
      <c r="S261" s="293"/>
      <c r="T261" s="12"/>
      <c r="U261" s="12"/>
    </row>
    <row r="262" spans="1:21">
      <c r="A262" s="47" t="s">
        <v>367</v>
      </c>
      <c r="B262" s="309">
        <v>34770</v>
      </c>
      <c r="C262" s="309">
        <v>0</v>
      </c>
      <c r="D262" s="309">
        <v>6940</v>
      </c>
      <c r="E262" s="309">
        <v>101027.61</v>
      </c>
      <c r="F262" s="309"/>
      <c r="G262" s="309"/>
      <c r="H262" s="309"/>
      <c r="I262" s="309"/>
      <c r="J262" s="309"/>
      <c r="K262" s="309"/>
      <c r="L262" s="309"/>
      <c r="M262" s="309"/>
      <c r="N262" s="314">
        <f t="shared" si="70"/>
        <v>142737.60999999999</v>
      </c>
      <c r="O262" s="297"/>
      <c r="P262" s="359"/>
      <c r="Q262" s="298"/>
      <c r="R262" s="363"/>
      <c r="S262" s="293"/>
      <c r="T262" s="12"/>
      <c r="U262" s="12"/>
    </row>
    <row r="263" spans="1:21">
      <c r="A263" s="47" t="s">
        <v>368</v>
      </c>
      <c r="B263" s="309">
        <v>110127.18</v>
      </c>
      <c r="C263" s="309">
        <v>703002.63</v>
      </c>
      <c r="D263" s="309">
        <v>649182.62</v>
      </c>
      <c r="E263" s="309">
        <v>0</v>
      </c>
      <c r="F263" s="309"/>
      <c r="G263" s="309"/>
      <c r="H263" s="309"/>
      <c r="I263" s="309"/>
      <c r="J263" s="309"/>
      <c r="K263" s="309"/>
      <c r="L263" s="309"/>
      <c r="M263" s="309"/>
      <c r="N263" s="314">
        <f t="shared" si="70"/>
        <v>1462312.4300000002</v>
      </c>
      <c r="O263" s="297"/>
      <c r="P263" s="359"/>
      <c r="Q263" s="298"/>
      <c r="R263" s="363"/>
      <c r="S263" s="293"/>
      <c r="T263" s="12"/>
      <c r="U263" s="12"/>
    </row>
    <row r="264" spans="1:21">
      <c r="A264" s="47" t="s">
        <v>372</v>
      </c>
      <c r="B264" s="309">
        <v>3165891.7</v>
      </c>
      <c r="C264" s="309">
        <v>1926801.23</v>
      </c>
      <c r="D264" s="309">
        <v>5752332.9299999997</v>
      </c>
      <c r="E264" s="309">
        <v>2816299.81</v>
      </c>
      <c r="F264" s="309"/>
      <c r="G264" s="309"/>
      <c r="H264" s="309"/>
      <c r="I264" s="309"/>
      <c r="J264" s="309"/>
      <c r="K264" s="309"/>
      <c r="L264" s="309"/>
      <c r="M264" s="309"/>
      <c r="N264" s="314">
        <f t="shared" si="70"/>
        <v>13661325.67</v>
      </c>
      <c r="O264" s="297"/>
      <c r="P264" s="359"/>
      <c r="Q264" s="298"/>
      <c r="R264" s="363"/>
      <c r="S264" s="293"/>
      <c r="T264" s="12"/>
      <c r="U264" s="12"/>
    </row>
    <row r="265" spans="1:21">
      <c r="A265" s="47" t="s">
        <v>381</v>
      </c>
      <c r="B265" s="309">
        <v>1633199.94</v>
      </c>
      <c r="C265" s="309">
        <v>7778133.5700000003</v>
      </c>
      <c r="D265" s="309">
        <v>46524522.810000002</v>
      </c>
      <c r="E265" s="309">
        <v>36545190.950000003</v>
      </c>
      <c r="F265" s="309"/>
      <c r="G265" s="309"/>
      <c r="H265" s="309"/>
      <c r="I265" s="309"/>
      <c r="J265" s="309"/>
      <c r="K265" s="309"/>
      <c r="L265" s="309"/>
      <c r="M265" s="309"/>
      <c r="N265" s="314">
        <f t="shared" si="70"/>
        <v>92481047.270000011</v>
      </c>
      <c r="O265" s="297"/>
      <c r="P265" s="359"/>
      <c r="Q265" s="298"/>
      <c r="R265" s="363"/>
      <c r="S265" s="293"/>
      <c r="T265" s="12"/>
      <c r="U265" s="12"/>
    </row>
    <row r="266" spans="1:21">
      <c r="A266" s="47" t="s">
        <v>373</v>
      </c>
      <c r="B266" s="309">
        <v>1402625.04</v>
      </c>
      <c r="C266" s="309">
        <v>3738930.45</v>
      </c>
      <c r="D266" s="309">
        <v>5338973.7300000004</v>
      </c>
      <c r="E266" s="309">
        <v>4461493.3</v>
      </c>
      <c r="F266" s="309"/>
      <c r="G266" s="309"/>
      <c r="H266" s="309"/>
      <c r="I266" s="309"/>
      <c r="J266" s="309"/>
      <c r="K266" s="309"/>
      <c r="L266" s="309"/>
      <c r="M266" s="309"/>
      <c r="N266" s="314">
        <f t="shared" si="70"/>
        <v>14942022.52</v>
      </c>
      <c r="O266" s="297"/>
      <c r="P266" s="359"/>
      <c r="Q266" s="298"/>
      <c r="R266" s="363"/>
      <c r="S266" s="293"/>
      <c r="T266" s="12"/>
      <c r="U266" s="12"/>
    </row>
    <row r="267" spans="1:21">
      <c r="A267" s="47" t="s">
        <v>383</v>
      </c>
      <c r="B267" s="309">
        <v>33630</v>
      </c>
      <c r="C267" s="309">
        <v>9687.1200000000008</v>
      </c>
      <c r="D267" s="309">
        <v>0</v>
      </c>
      <c r="E267" s="309">
        <v>0</v>
      </c>
      <c r="F267" s="309"/>
      <c r="G267" s="309"/>
      <c r="H267" s="309"/>
      <c r="I267" s="309"/>
      <c r="J267" s="309"/>
      <c r="K267" s="309"/>
      <c r="L267" s="309"/>
      <c r="M267" s="309"/>
      <c r="N267" s="314">
        <f t="shared" si="70"/>
        <v>43317.120000000003</v>
      </c>
      <c r="O267" s="297"/>
      <c r="P267" s="359"/>
      <c r="Q267" s="298"/>
      <c r="R267" s="363"/>
      <c r="S267" s="293"/>
      <c r="T267" s="12"/>
      <c r="U267" s="12"/>
    </row>
    <row r="268" spans="1:21">
      <c r="A268" s="47" t="s">
        <v>382</v>
      </c>
      <c r="B268" s="309">
        <v>9442169.7300000004</v>
      </c>
      <c r="C268" s="309">
        <v>5800670.7199999997</v>
      </c>
      <c r="D268" s="309">
        <v>9031881.8599999994</v>
      </c>
      <c r="E268" s="309">
        <v>6546458.2599999998</v>
      </c>
      <c r="F268" s="309"/>
      <c r="G268" s="309"/>
      <c r="H268" s="309"/>
      <c r="I268" s="309"/>
      <c r="J268" s="309"/>
      <c r="K268" s="309"/>
      <c r="L268" s="309"/>
      <c r="M268" s="309"/>
      <c r="N268" s="314">
        <f t="shared" si="70"/>
        <v>30821180.57</v>
      </c>
      <c r="O268" s="297"/>
      <c r="P268" s="359"/>
      <c r="Q268" s="298"/>
      <c r="R268" s="363"/>
      <c r="S268" s="293"/>
      <c r="T268" s="12"/>
      <c r="U268" s="12"/>
    </row>
    <row r="269" spans="1:21">
      <c r="A269" s="47" t="s">
        <v>390</v>
      </c>
      <c r="B269" s="309">
        <v>68717.66</v>
      </c>
      <c r="C269" s="309">
        <v>91034.3</v>
      </c>
      <c r="D269" s="309">
        <v>225770.65</v>
      </c>
      <c r="E269" s="309">
        <v>0</v>
      </c>
      <c r="F269" s="309"/>
      <c r="G269" s="309"/>
      <c r="H269" s="309"/>
      <c r="I269" s="309"/>
      <c r="J269" s="309"/>
      <c r="K269" s="309"/>
      <c r="L269" s="309"/>
      <c r="M269" s="309"/>
      <c r="N269" s="314">
        <f t="shared" si="70"/>
        <v>385522.61</v>
      </c>
      <c r="O269" s="418"/>
      <c r="P269" s="359"/>
      <c r="Q269" s="298"/>
      <c r="R269" s="363"/>
      <c r="S269" s="293"/>
      <c r="T269" s="12"/>
      <c r="U269" s="12"/>
    </row>
    <row r="270" spans="1:21">
      <c r="A270" s="47" t="s">
        <v>391</v>
      </c>
      <c r="B270" s="309">
        <v>3184624.72</v>
      </c>
      <c r="C270" s="309">
        <v>6221566.8399999999</v>
      </c>
      <c r="D270" s="309">
        <v>4087421.92</v>
      </c>
      <c r="E270" s="309">
        <v>770592.46</v>
      </c>
      <c r="F270" s="309"/>
      <c r="G270" s="309"/>
      <c r="H270" s="309"/>
      <c r="I270" s="309"/>
      <c r="J270" s="309"/>
      <c r="K270" s="309"/>
      <c r="L270" s="309"/>
      <c r="M270" s="309"/>
      <c r="N270" s="314">
        <f t="shared" si="70"/>
        <v>14264205.940000001</v>
      </c>
      <c r="O270" s="297"/>
      <c r="P270" s="359"/>
      <c r="Q270" s="298"/>
      <c r="R270" s="363"/>
      <c r="S270" s="293"/>
      <c r="T270" s="12"/>
      <c r="U270" s="12"/>
    </row>
    <row r="271" spans="1:21">
      <c r="A271" s="47"/>
      <c r="B271" s="309">
        <v>0</v>
      </c>
      <c r="C271" s="309">
        <v>0</v>
      </c>
      <c r="D271" s="309">
        <v>0</v>
      </c>
      <c r="E271" s="309">
        <v>0</v>
      </c>
      <c r="F271" s="309"/>
      <c r="G271" s="309"/>
      <c r="H271" s="309"/>
      <c r="I271" s="309"/>
      <c r="J271" s="309"/>
      <c r="K271" s="309"/>
      <c r="L271" s="309"/>
      <c r="M271" s="309"/>
      <c r="N271" s="314">
        <f t="shared" si="70"/>
        <v>0</v>
      </c>
      <c r="O271" s="297"/>
      <c r="P271" s="359"/>
      <c r="Q271" s="298"/>
      <c r="R271" s="363"/>
      <c r="S271" s="293"/>
      <c r="T271" s="12"/>
      <c r="U271" s="12"/>
    </row>
    <row r="272" spans="1:21">
      <c r="A272" s="47" t="s">
        <v>392</v>
      </c>
      <c r="B272" s="309">
        <v>-26542.400000000001</v>
      </c>
      <c r="C272" s="309">
        <v>187.6</v>
      </c>
      <c r="D272" s="309">
        <v>187.6</v>
      </c>
      <c r="E272" s="309">
        <v>0</v>
      </c>
      <c r="F272" s="309"/>
      <c r="G272" s="309"/>
      <c r="H272" s="309"/>
      <c r="I272" s="309"/>
      <c r="J272" s="309"/>
      <c r="K272" s="309"/>
      <c r="L272" s="309"/>
      <c r="M272" s="309"/>
      <c r="N272" s="314">
        <f t="shared" si="70"/>
        <v>-26167.200000000004</v>
      </c>
      <c r="O272" s="297"/>
      <c r="P272" s="359"/>
      <c r="Q272" s="298"/>
      <c r="R272" s="363"/>
      <c r="S272" s="293"/>
      <c r="T272" s="12"/>
      <c r="U272" s="12"/>
    </row>
    <row r="273" spans="1:21">
      <c r="A273" s="47" t="s">
        <v>393</v>
      </c>
      <c r="B273" s="309">
        <v>0</v>
      </c>
      <c r="C273" s="309">
        <v>316642.26</v>
      </c>
      <c r="D273" s="309">
        <v>377928.81</v>
      </c>
      <c r="E273" s="309">
        <v>3484155.14</v>
      </c>
      <c r="F273" s="309"/>
      <c r="G273" s="309"/>
      <c r="H273" s="309"/>
      <c r="I273" s="309"/>
      <c r="J273" s="309"/>
      <c r="K273" s="309"/>
      <c r="L273" s="309"/>
      <c r="M273" s="309"/>
      <c r="N273" s="314">
        <f t="shared" si="70"/>
        <v>4178726.21</v>
      </c>
      <c r="O273" s="297"/>
      <c r="P273" s="359"/>
      <c r="Q273" s="298"/>
      <c r="R273" s="363"/>
      <c r="S273" s="293"/>
      <c r="T273" s="12"/>
      <c r="U273" s="12"/>
    </row>
    <row r="274" spans="1:21">
      <c r="A274" s="47" t="s">
        <v>394</v>
      </c>
      <c r="B274" s="309">
        <v>2860903.06</v>
      </c>
      <c r="C274" s="309">
        <v>4128558.99</v>
      </c>
      <c r="D274" s="309">
        <v>9321089.25</v>
      </c>
      <c r="E274" s="309">
        <v>5764421.8799999999</v>
      </c>
      <c r="F274" s="309"/>
      <c r="G274" s="309"/>
      <c r="H274" s="309"/>
      <c r="I274" s="309"/>
      <c r="J274" s="309"/>
      <c r="K274" s="309"/>
      <c r="L274" s="309"/>
      <c r="M274" s="309"/>
      <c r="N274" s="314">
        <f t="shared" si="70"/>
        <v>22074973.18</v>
      </c>
      <c r="O274" s="297"/>
      <c r="P274" s="359"/>
      <c r="Q274" s="298"/>
      <c r="R274" s="363"/>
      <c r="S274" s="293"/>
      <c r="T274" s="12"/>
      <c r="U274" s="12"/>
    </row>
    <row r="275" spans="1:21">
      <c r="A275" s="47" t="s">
        <v>395</v>
      </c>
      <c r="B275" s="309">
        <v>385886.57</v>
      </c>
      <c r="C275" s="309">
        <v>881385.13</v>
      </c>
      <c r="D275" s="309">
        <v>342918.65</v>
      </c>
      <c r="E275" s="309">
        <v>594060.54</v>
      </c>
      <c r="F275" s="309"/>
      <c r="G275" s="309"/>
      <c r="H275" s="309"/>
      <c r="I275" s="309"/>
      <c r="J275" s="309"/>
      <c r="K275" s="309"/>
      <c r="L275" s="309"/>
      <c r="M275" s="309"/>
      <c r="N275" s="314">
        <f t="shared" si="70"/>
        <v>2204250.89</v>
      </c>
      <c r="O275" s="297"/>
      <c r="P275" s="359"/>
      <c r="Q275" s="298"/>
      <c r="R275" s="363"/>
      <c r="S275" s="293"/>
      <c r="T275" s="12"/>
      <c r="U275" s="12"/>
    </row>
    <row r="276" spans="1:21">
      <c r="A276" s="47" t="s">
        <v>405</v>
      </c>
      <c r="B276" s="309">
        <v>50000</v>
      </c>
      <c r="C276" s="309">
        <v>0</v>
      </c>
      <c r="D276" s="309">
        <v>0</v>
      </c>
      <c r="E276" s="309">
        <v>0</v>
      </c>
      <c r="F276" s="309"/>
      <c r="G276" s="309"/>
      <c r="H276" s="309"/>
      <c r="I276" s="309"/>
      <c r="J276" s="309"/>
      <c r="K276" s="309"/>
      <c r="L276" s="309"/>
      <c r="M276" s="309"/>
      <c r="N276" s="314">
        <f t="shared" si="70"/>
        <v>50000</v>
      </c>
      <c r="O276" s="297"/>
      <c r="P276" s="359"/>
      <c r="Q276" s="298"/>
      <c r="R276" s="363"/>
      <c r="S276" s="293"/>
      <c r="T276" s="12"/>
      <c r="U276" s="12"/>
    </row>
    <row r="277" spans="1:21">
      <c r="A277" s="47"/>
      <c r="B277" s="309">
        <v>0</v>
      </c>
      <c r="C277" s="309">
        <v>0</v>
      </c>
      <c r="D277" s="309">
        <v>0</v>
      </c>
      <c r="E277" s="309">
        <v>0</v>
      </c>
      <c r="F277" s="309"/>
      <c r="G277" s="309"/>
      <c r="H277" s="309"/>
      <c r="I277" s="309"/>
      <c r="J277" s="309"/>
      <c r="K277" s="309"/>
      <c r="L277" s="309"/>
      <c r="M277" s="309"/>
      <c r="N277" s="314">
        <f t="shared" si="70"/>
        <v>0</v>
      </c>
      <c r="O277" s="297"/>
      <c r="P277" s="359"/>
      <c r="Q277" s="298"/>
      <c r="R277" s="363"/>
      <c r="S277" s="293"/>
      <c r="T277" s="12"/>
      <c r="U277" s="12"/>
    </row>
    <row r="278" spans="1:21">
      <c r="A278" s="47" t="s">
        <v>404</v>
      </c>
      <c r="B278" s="309">
        <v>14206.62</v>
      </c>
      <c r="C278" s="309">
        <v>3190763.52</v>
      </c>
      <c r="D278" s="309">
        <v>3640018.95</v>
      </c>
      <c r="E278" s="309">
        <v>4453167.41</v>
      </c>
      <c r="F278" s="309"/>
      <c r="G278" s="309"/>
      <c r="H278" s="309"/>
      <c r="I278" s="309"/>
      <c r="J278" s="309"/>
      <c r="K278" s="309"/>
      <c r="L278" s="309"/>
      <c r="M278" s="309"/>
      <c r="N278" s="314">
        <f t="shared" si="70"/>
        <v>11298156.5</v>
      </c>
      <c r="O278" s="297">
        <v>1058133007</v>
      </c>
      <c r="P278" s="359"/>
      <c r="Q278" s="298"/>
      <c r="R278" s="363"/>
      <c r="S278" s="293"/>
      <c r="T278" s="12"/>
      <c r="U278" s="12"/>
    </row>
    <row r="279" spans="1:21">
      <c r="A279" s="47" t="s">
        <v>407</v>
      </c>
      <c r="B279" s="309"/>
      <c r="C279" s="309"/>
      <c r="D279" s="309">
        <v>1680561.92</v>
      </c>
      <c r="E279" s="309">
        <v>1349744.99</v>
      </c>
      <c r="F279" s="309"/>
      <c r="G279" s="309"/>
      <c r="H279" s="309"/>
      <c r="I279" s="309"/>
      <c r="J279" s="309"/>
      <c r="K279" s="309"/>
      <c r="L279" s="309"/>
      <c r="M279" s="309"/>
      <c r="N279" s="314">
        <f t="shared" si="70"/>
        <v>3030306.91</v>
      </c>
      <c r="O279" s="297"/>
      <c r="P279" s="359"/>
      <c r="Q279" s="298"/>
      <c r="R279" s="363"/>
      <c r="S279" s="293"/>
      <c r="T279" s="12"/>
      <c r="U279" s="12"/>
    </row>
    <row r="280" spans="1:21">
      <c r="A280" s="47"/>
      <c r="B280" s="309"/>
      <c r="C280" s="309"/>
      <c r="D280" s="309"/>
      <c r="E280" s="309"/>
      <c r="F280" s="309"/>
      <c r="G280" s="309"/>
      <c r="H280" s="309"/>
      <c r="I280" s="309"/>
      <c r="J280" s="309"/>
      <c r="K280" s="309"/>
      <c r="L280" s="309"/>
      <c r="M280" s="309"/>
      <c r="N280" s="314">
        <f t="shared" ref="N280:N284" si="71">SUM(B280:M280)</f>
        <v>0</v>
      </c>
      <c r="O280" s="297"/>
      <c r="P280" s="359"/>
      <c r="Q280" s="298"/>
      <c r="R280" s="363"/>
      <c r="S280" s="293"/>
      <c r="T280" s="12"/>
      <c r="U280" s="12"/>
    </row>
    <row r="281" spans="1:21">
      <c r="A281" s="226"/>
      <c r="B281" s="309"/>
      <c r="C281" s="309"/>
      <c r="D281" s="309"/>
      <c r="E281" s="309"/>
      <c r="F281" s="309"/>
      <c r="G281" s="309"/>
      <c r="H281" s="309"/>
      <c r="I281" s="309"/>
      <c r="J281" s="309"/>
      <c r="K281" s="309"/>
      <c r="L281" s="309"/>
      <c r="M281" s="309"/>
      <c r="N281" s="314">
        <f t="shared" si="71"/>
        <v>0</v>
      </c>
      <c r="O281" s="297"/>
      <c r="P281" s="359"/>
      <c r="Q281" s="298"/>
      <c r="R281" s="363"/>
      <c r="S281" s="293"/>
      <c r="T281" s="12"/>
      <c r="U281" s="12"/>
    </row>
    <row r="282" spans="1:21">
      <c r="A282" s="226"/>
      <c r="B282" s="309"/>
      <c r="C282" s="309"/>
      <c r="D282" s="309"/>
      <c r="E282" s="309"/>
      <c r="F282" s="309"/>
      <c r="G282" s="309"/>
      <c r="H282" s="309"/>
      <c r="I282" s="309"/>
      <c r="J282" s="309"/>
      <c r="K282" s="309"/>
      <c r="L282" s="309"/>
      <c r="M282" s="309"/>
      <c r="N282" s="314">
        <f t="shared" si="71"/>
        <v>0</v>
      </c>
      <c r="O282" s="297"/>
      <c r="P282" s="359"/>
      <c r="Q282" s="298"/>
      <c r="R282" s="363"/>
      <c r="S282" s="293"/>
      <c r="T282" s="12"/>
      <c r="U282" s="12"/>
    </row>
    <row r="283" spans="1:21">
      <c r="A283" s="226"/>
      <c r="B283" s="309"/>
      <c r="C283" s="309"/>
      <c r="D283" s="309"/>
      <c r="E283" s="309"/>
      <c r="F283" s="309"/>
      <c r="G283" s="309"/>
      <c r="H283" s="309"/>
      <c r="I283" s="309"/>
      <c r="J283" s="309"/>
      <c r="K283" s="309"/>
      <c r="L283" s="309"/>
      <c r="M283" s="309"/>
      <c r="N283" s="314">
        <f t="shared" si="71"/>
        <v>0</v>
      </c>
      <c r="O283" s="297"/>
      <c r="P283" s="359"/>
      <c r="Q283" s="298"/>
      <c r="R283" s="363"/>
      <c r="S283" s="293"/>
      <c r="T283" s="12"/>
      <c r="U283" s="12"/>
    </row>
    <row r="284" spans="1:21">
      <c r="A284" s="47"/>
      <c r="B284" s="309"/>
      <c r="C284" s="309"/>
      <c r="D284" s="309"/>
      <c r="E284" s="309"/>
      <c r="F284" s="309"/>
      <c r="G284" s="309"/>
      <c r="H284" s="309"/>
      <c r="I284" s="309"/>
      <c r="J284" s="309"/>
      <c r="K284" s="309"/>
      <c r="L284" s="309"/>
      <c r="M284" s="309"/>
      <c r="N284" s="314">
        <f t="shared" si="71"/>
        <v>0</v>
      </c>
      <c r="O284" s="297"/>
      <c r="P284" s="359"/>
      <c r="Q284" s="298"/>
      <c r="R284" s="363"/>
      <c r="S284" s="293"/>
      <c r="T284" s="12"/>
      <c r="U284" s="12"/>
    </row>
    <row r="285" spans="1:21">
      <c r="A285" s="47"/>
      <c r="B285" s="309"/>
      <c r="C285" s="309"/>
      <c r="D285" s="309"/>
      <c r="E285" s="309"/>
      <c r="F285" s="309"/>
      <c r="G285" s="309"/>
      <c r="H285" s="309"/>
      <c r="I285" s="309"/>
      <c r="J285" s="309"/>
      <c r="K285" s="309"/>
      <c r="L285" s="309"/>
      <c r="M285" s="309"/>
      <c r="N285" s="314">
        <f t="shared" ref="N285:N291" si="72">SUM(B285:M285)</f>
        <v>0</v>
      </c>
      <c r="O285" s="297"/>
      <c r="P285" s="359"/>
      <c r="Q285" s="298"/>
      <c r="R285" s="363"/>
      <c r="S285" s="293"/>
      <c r="T285" s="12"/>
      <c r="U285" s="12"/>
    </row>
    <row r="286" spans="1:21">
      <c r="A286" s="47"/>
      <c r="B286" s="309"/>
      <c r="C286" s="309"/>
      <c r="D286" s="309"/>
      <c r="E286" s="309"/>
      <c r="F286" s="309"/>
      <c r="G286" s="309"/>
      <c r="H286" s="309"/>
      <c r="I286" s="309"/>
      <c r="J286" s="309"/>
      <c r="K286" s="309"/>
      <c r="L286" s="309"/>
      <c r="M286" s="309"/>
      <c r="N286" s="314">
        <f t="shared" si="72"/>
        <v>0</v>
      </c>
      <c r="O286" s="297"/>
      <c r="P286" s="359"/>
      <c r="Q286" s="298"/>
      <c r="R286" s="363"/>
      <c r="S286" s="293"/>
      <c r="T286" s="12"/>
      <c r="U286" s="12"/>
    </row>
    <row r="287" spans="1:21">
      <c r="A287" s="47"/>
      <c r="B287" s="309"/>
      <c r="C287" s="309"/>
      <c r="D287" s="309"/>
      <c r="E287" s="309"/>
      <c r="F287" s="309"/>
      <c r="G287" s="309"/>
      <c r="H287" s="309"/>
      <c r="I287" s="309"/>
      <c r="J287" s="309"/>
      <c r="K287" s="309"/>
      <c r="L287" s="309"/>
      <c r="M287" s="309"/>
      <c r="N287" s="314">
        <f t="shared" si="72"/>
        <v>0</v>
      </c>
      <c r="O287" s="297"/>
      <c r="P287" s="359"/>
      <c r="Q287" s="298"/>
      <c r="R287" s="363"/>
      <c r="S287" s="293"/>
      <c r="T287" s="12"/>
      <c r="U287" s="12"/>
    </row>
    <row r="288" spans="1:21">
      <c r="A288" s="47"/>
      <c r="B288" s="309"/>
      <c r="C288" s="309"/>
      <c r="D288" s="309"/>
      <c r="E288" s="309"/>
      <c r="F288" s="309"/>
      <c r="G288" s="309"/>
      <c r="H288" s="309"/>
      <c r="I288" s="309"/>
      <c r="J288" s="309"/>
      <c r="K288" s="309"/>
      <c r="L288" s="309"/>
      <c r="M288" s="309"/>
      <c r="N288" s="314">
        <f t="shared" si="72"/>
        <v>0</v>
      </c>
      <c r="O288" s="297"/>
      <c r="P288" s="359"/>
      <c r="Q288" s="298"/>
      <c r="R288" s="363"/>
      <c r="S288" s="293"/>
      <c r="T288" s="12"/>
      <c r="U288" s="12"/>
    </row>
    <row r="289" spans="1:88">
      <c r="A289" s="47"/>
      <c r="B289" s="309"/>
      <c r="C289" s="309"/>
      <c r="D289" s="309"/>
      <c r="E289" s="309"/>
      <c r="F289" s="309"/>
      <c r="G289" s="309"/>
      <c r="H289" s="309"/>
      <c r="I289" s="309"/>
      <c r="J289" s="309"/>
      <c r="K289" s="309"/>
      <c r="L289" s="309"/>
      <c r="M289" s="309"/>
      <c r="N289" s="314">
        <f t="shared" si="72"/>
        <v>0</v>
      </c>
      <c r="O289" s="297"/>
      <c r="P289" s="359"/>
      <c r="Q289" s="298"/>
      <c r="R289" s="363"/>
      <c r="S289" s="293"/>
      <c r="T289" s="12"/>
      <c r="U289" s="12"/>
    </row>
    <row r="290" spans="1:88">
      <c r="A290" s="47"/>
      <c r="B290" s="309"/>
      <c r="C290" s="309"/>
      <c r="D290" s="309"/>
      <c r="E290" s="309"/>
      <c r="F290" s="309"/>
      <c r="G290" s="309"/>
      <c r="H290" s="309"/>
      <c r="I290" s="309"/>
      <c r="J290" s="309"/>
      <c r="K290" s="309"/>
      <c r="L290" s="309"/>
      <c r="M290" s="309"/>
      <c r="N290" s="314">
        <f t="shared" si="72"/>
        <v>0</v>
      </c>
      <c r="O290" s="297"/>
      <c r="P290" s="359"/>
      <c r="Q290" s="298"/>
      <c r="R290" s="363"/>
      <c r="S290" s="293"/>
      <c r="T290" s="12"/>
      <c r="U290" s="12"/>
    </row>
    <row r="291" spans="1:88">
      <c r="A291" s="47"/>
      <c r="B291" s="309"/>
      <c r="C291" s="309"/>
      <c r="D291" s="309"/>
      <c r="E291" s="309"/>
      <c r="F291" s="309"/>
      <c r="G291" s="309"/>
      <c r="H291" s="309"/>
      <c r="I291" s="309"/>
      <c r="J291" s="309"/>
      <c r="K291" s="309"/>
      <c r="L291" s="309"/>
      <c r="M291" s="309"/>
      <c r="N291" s="314">
        <f t="shared" si="72"/>
        <v>0</v>
      </c>
      <c r="O291" s="297"/>
      <c r="P291" s="359"/>
      <c r="Q291" s="298"/>
      <c r="R291" s="363"/>
      <c r="S291" s="293"/>
      <c r="T291" s="12"/>
      <c r="U291" s="12"/>
    </row>
    <row r="292" spans="1:88">
      <c r="A292" s="47"/>
      <c r="B292" s="309"/>
      <c r="C292" s="309"/>
      <c r="D292" s="309"/>
      <c r="E292" s="309"/>
      <c r="F292" s="309"/>
      <c r="G292" s="309"/>
      <c r="H292" s="309"/>
      <c r="I292" s="309"/>
      <c r="J292" s="309"/>
      <c r="K292" s="309"/>
      <c r="L292" s="309"/>
      <c r="M292" s="309"/>
      <c r="N292" s="314"/>
      <c r="O292" s="359"/>
      <c r="P292" s="359"/>
      <c r="Q292" s="298"/>
      <c r="R292" s="363"/>
      <c r="S292" s="293"/>
      <c r="T292" s="12"/>
      <c r="U292" s="12"/>
    </row>
    <row r="293" spans="1:88">
      <c r="A293" s="47"/>
      <c r="B293" s="309"/>
      <c r="C293" s="309"/>
      <c r="D293" s="309"/>
      <c r="E293" s="309"/>
      <c r="F293" s="309"/>
      <c r="G293" s="309"/>
      <c r="H293" s="309"/>
      <c r="I293" s="309"/>
      <c r="J293" s="309"/>
      <c r="K293" s="309"/>
      <c r="L293" s="309"/>
      <c r="M293" s="309"/>
      <c r="N293" s="314"/>
      <c r="O293" s="359"/>
      <c r="P293" s="359"/>
      <c r="Q293" s="298"/>
      <c r="R293" s="363"/>
      <c r="S293" s="293"/>
      <c r="T293" s="12"/>
      <c r="U293" s="12"/>
    </row>
    <row r="294" spans="1:88">
      <c r="A294" s="47"/>
      <c r="B294" s="309"/>
      <c r="C294" s="309"/>
      <c r="D294" s="309"/>
      <c r="E294" s="309"/>
      <c r="F294" s="309"/>
      <c r="G294" s="309"/>
      <c r="H294" s="309"/>
      <c r="I294" s="309"/>
      <c r="J294" s="309"/>
      <c r="K294" s="309"/>
      <c r="L294" s="309"/>
      <c r="M294" s="309"/>
      <c r="N294" s="314"/>
      <c r="O294" s="359"/>
      <c r="P294" s="359"/>
      <c r="Q294" s="298"/>
      <c r="R294" s="363"/>
      <c r="S294" s="293"/>
      <c r="T294" s="12"/>
      <c r="U294" s="12"/>
    </row>
    <row r="295" spans="1:88">
      <c r="A295" s="47"/>
      <c r="B295" s="309"/>
      <c r="C295" s="309"/>
      <c r="D295" s="309"/>
      <c r="E295" s="309"/>
      <c r="F295" s="309"/>
      <c r="G295" s="309"/>
      <c r="H295" s="309"/>
      <c r="I295" s="309"/>
      <c r="J295" s="309"/>
      <c r="K295" s="309"/>
      <c r="L295" s="309"/>
      <c r="M295" s="309"/>
      <c r="N295" s="314"/>
      <c r="O295" s="297"/>
      <c r="P295" s="359"/>
      <c r="Q295" s="298"/>
      <c r="R295" s="363"/>
      <c r="S295" s="293"/>
      <c r="T295" s="12"/>
      <c r="U295" s="12"/>
    </row>
    <row r="296" spans="1:88" ht="15.75" thickBot="1">
      <c r="A296" s="106"/>
      <c r="B296" s="261">
        <f t="shared" ref="B296:H296" si="73">SUM(B215:B295)</f>
        <v>474464705.67700011</v>
      </c>
      <c r="C296" s="261">
        <f t="shared" si="73"/>
        <v>583668301.68999994</v>
      </c>
      <c r="D296" s="261">
        <f t="shared" si="73"/>
        <v>608765248.98000002</v>
      </c>
      <c r="E296" s="261">
        <f t="shared" si="73"/>
        <v>465363848.53000021</v>
      </c>
      <c r="F296" s="261">
        <f t="shared" si="73"/>
        <v>0</v>
      </c>
      <c r="G296" s="261">
        <f t="shared" si="73"/>
        <v>0</v>
      </c>
      <c r="H296" s="261">
        <f t="shared" si="73"/>
        <v>0</v>
      </c>
      <c r="I296" s="261">
        <f t="shared" ref="I296:N296" si="74">SUM(I215:I295)</f>
        <v>0</v>
      </c>
      <c r="J296" s="261">
        <f t="shared" si="74"/>
        <v>0</v>
      </c>
      <c r="K296" s="261">
        <f t="shared" si="74"/>
        <v>0</v>
      </c>
      <c r="L296" s="261">
        <f t="shared" si="74"/>
        <v>0</v>
      </c>
      <c r="M296" s="261">
        <f t="shared" si="74"/>
        <v>0</v>
      </c>
      <c r="N296" s="261">
        <f t="shared" si="74"/>
        <v>2132262104.8769996</v>
      </c>
      <c r="O296" s="297"/>
      <c r="P296" s="359"/>
      <c r="S296" s="293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  <c r="AH296" s="12"/>
      <c r="AI296" s="12"/>
      <c r="AJ296" s="12"/>
      <c r="AK296" s="12"/>
      <c r="AL296" s="12"/>
      <c r="AM296" s="12"/>
      <c r="AN296" s="12"/>
      <c r="AO296" s="12"/>
      <c r="AP296" s="12"/>
      <c r="AQ296" s="12"/>
      <c r="AR296" s="12"/>
      <c r="AS296" s="12"/>
      <c r="AT296" s="12"/>
      <c r="AU296" s="12"/>
      <c r="AV296" s="12"/>
      <c r="AW296" s="12"/>
      <c r="AX296" s="12"/>
      <c r="AY296" s="12"/>
      <c r="AZ296" s="12"/>
      <c r="BA296" s="12"/>
      <c r="BB296" s="12"/>
      <c r="BC296" s="12"/>
      <c r="BD296" s="12"/>
      <c r="BE296" s="12"/>
      <c r="BF296" s="12"/>
      <c r="BG296" s="12"/>
      <c r="BH296" s="12"/>
      <c r="BI296" s="12"/>
      <c r="BJ296" s="12"/>
      <c r="BK296" s="12"/>
      <c r="BL296" s="12"/>
      <c r="BM296" s="12"/>
      <c r="BN296" s="12"/>
      <c r="BO296" s="12"/>
      <c r="BP296" s="12"/>
      <c r="BQ296" s="12"/>
      <c r="BR296" s="12"/>
      <c r="BS296" s="12"/>
      <c r="BT296" s="12"/>
      <c r="BU296" s="12"/>
      <c r="BV296" s="12"/>
      <c r="BW296" s="12"/>
      <c r="BX296" s="12"/>
      <c r="BY296" s="12"/>
      <c r="BZ296" s="12"/>
      <c r="CA296" s="12"/>
      <c r="CB296" s="12"/>
      <c r="CC296" s="12"/>
      <c r="CD296" s="12"/>
      <c r="CE296" s="12"/>
      <c r="CF296" s="12"/>
      <c r="CG296" s="12"/>
      <c r="CH296" s="12"/>
      <c r="CI296" s="12"/>
      <c r="CJ296" s="12"/>
    </row>
    <row r="297" spans="1:88" ht="15" customHeight="1" thickTop="1">
      <c r="A297" s="81" t="str">
        <f>A105</f>
        <v>Closed Projects</v>
      </c>
      <c r="B297" s="262"/>
      <c r="C297" s="262"/>
      <c r="D297" s="262"/>
      <c r="E297" s="262"/>
      <c r="F297" s="262"/>
      <c r="G297" s="262"/>
      <c r="H297" s="84"/>
      <c r="I297" s="84"/>
      <c r="J297" s="84"/>
      <c r="K297" s="48"/>
      <c r="L297" s="48"/>
      <c r="M297" s="48"/>
      <c r="N297" s="260"/>
      <c r="O297" s="297"/>
      <c r="P297" s="359"/>
      <c r="Q297" s="299"/>
      <c r="R297" s="363"/>
      <c r="S297" s="293"/>
      <c r="T297" s="12"/>
      <c r="U297" s="12"/>
      <c r="V297" s="11"/>
      <c r="W297" s="11"/>
      <c r="X297" s="11"/>
      <c r="Y297" s="11"/>
      <c r="Z297" s="11"/>
      <c r="AA297" s="11"/>
      <c r="AB297" s="11"/>
      <c r="AC297" s="11"/>
      <c r="AD297" s="11"/>
      <c r="AE297" s="11"/>
      <c r="AF297" s="11"/>
      <c r="AG297" s="11"/>
      <c r="AH297" s="11"/>
      <c r="AI297" s="11"/>
      <c r="AJ297" s="11"/>
      <c r="AK297" s="11"/>
      <c r="AL297" s="11"/>
      <c r="AM297" s="11"/>
      <c r="AN297" s="11"/>
      <c r="AO297" s="11"/>
      <c r="AP297" s="11"/>
      <c r="AQ297" s="11"/>
      <c r="AR297" s="11"/>
      <c r="AS297" s="11"/>
      <c r="AT297" s="11"/>
      <c r="AU297" s="11"/>
      <c r="AV297" s="11"/>
      <c r="AW297" s="11"/>
      <c r="AX297" s="11"/>
      <c r="AY297" s="11"/>
      <c r="AZ297" s="11"/>
      <c r="BA297" s="11"/>
      <c r="BB297" s="11"/>
      <c r="BC297" s="11"/>
      <c r="BD297" s="11"/>
      <c r="BE297" s="11"/>
      <c r="BF297" s="11"/>
      <c r="BG297" s="11"/>
      <c r="BH297" s="11"/>
      <c r="BI297" s="11"/>
      <c r="BJ297" s="11"/>
      <c r="BK297" s="11"/>
      <c r="BL297" s="11"/>
      <c r="BM297" s="11"/>
      <c r="BN297" s="11"/>
      <c r="BO297" s="11"/>
      <c r="BP297" s="11"/>
      <c r="BQ297" s="11"/>
      <c r="BR297" s="11"/>
      <c r="BS297" s="11"/>
      <c r="BT297" s="11"/>
      <c r="BU297" s="11"/>
      <c r="BV297" s="11"/>
      <c r="BW297" s="11"/>
      <c r="BX297" s="11"/>
      <c r="BY297" s="11"/>
      <c r="BZ297" s="11"/>
      <c r="CA297" s="11"/>
      <c r="CB297" s="11"/>
      <c r="CC297" s="11"/>
      <c r="CD297" s="11"/>
      <c r="CE297" s="11"/>
      <c r="CF297" s="11"/>
      <c r="CG297" s="11"/>
      <c r="CH297" s="11"/>
      <c r="CI297" s="11"/>
      <c r="CJ297" s="11"/>
    </row>
    <row r="298" spans="1:88" ht="15.75" hidden="1" customHeight="1" thickTop="1">
      <c r="A298" s="287" t="e">
        <f>#REF!</f>
        <v>#REF!</v>
      </c>
      <c r="B298" s="286">
        <v>0</v>
      </c>
      <c r="C298" s="286">
        <v>0</v>
      </c>
      <c r="D298" s="286">
        <v>0</v>
      </c>
      <c r="E298" s="286">
        <v>0</v>
      </c>
      <c r="F298" s="286">
        <v>0</v>
      </c>
      <c r="G298" s="286">
        <v>0</v>
      </c>
      <c r="H298" s="285">
        <v>0</v>
      </c>
      <c r="I298" s="285">
        <v>0</v>
      </c>
      <c r="J298" s="285">
        <v>0</v>
      </c>
      <c r="K298" s="285">
        <v>0</v>
      </c>
      <c r="L298" s="285">
        <v>0</v>
      </c>
      <c r="M298" s="285">
        <v>0</v>
      </c>
      <c r="N298" s="286">
        <f t="shared" ref="N298:N307" si="75">SUM(B298:M298)</f>
        <v>0</v>
      </c>
      <c r="O298" s="297"/>
      <c r="P298" s="359"/>
      <c r="Q298" s="298"/>
      <c r="R298" s="363"/>
      <c r="S298" s="293"/>
      <c r="T298" s="12"/>
      <c r="V298"/>
      <c r="W298"/>
      <c r="X298"/>
      <c r="Y298"/>
      <c r="Z298"/>
      <c r="AA298"/>
      <c r="AB298"/>
      <c r="AC298"/>
      <c r="AD298"/>
      <c r="AE298"/>
      <c r="AF298"/>
      <c r="AG298"/>
      <c r="AH298"/>
      <c r="AI298"/>
      <c r="AJ298"/>
      <c r="AK298"/>
      <c r="AL298"/>
      <c r="AM298"/>
      <c r="AN298"/>
      <c r="AO298"/>
      <c r="AP298"/>
      <c r="AQ298"/>
      <c r="AR298"/>
      <c r="AS298"/>
      <c r="AT298"/>
      <c r="AU298"/>
      <c r="AV298"/>
      <c r="AW298"/>
      <c r="AX298"/>
      <c r="AY298"/>
      <c r="AZ298"/>
      <c r="BA298"/>
      <c r="BB298"/>
      <c r="BC298"/>
      <c r="BD298"/>
      <c r="BE298"/>
      <c r="BF298"/>
      <c r="BG298"/>
      <c r="BH298"/>
      <c r="BI298"/>
      <c r="BJ298"/>
      <c r="BK298"/>
      <c r="BL298"/>
      <c r="BM298"/>
      <c r="BN298"/>
      <c r="BO298"/>
      <c r="BP298"/>
      <c r="BQ298"/>
      <c r="BR298"/>
      <c r="BS298"/>
      <c r="BT298"/>
      <c r="BU298"/>
      <c r="BV298"/>
      <c r="BW298"/>
      <c r="BX298"/>
      <c r="BY298"/>
      <c r="BZ298"/>
      <c r="CA298"/>
      <c r="CB298"/>
      <c r="CC298"/>
      <c r="CD298"/>
      <c r="CE298"/>
      <c r="CF298"/>
      <c r="CG298"/>
      <c r="CH298"/>
      <c r="CI298"/>
      <c r="CJ298"/>
    </row>
    <row r="299" spans="1:88" ht="15.75" hidden="1" customHeight="1">
      <c r="A299" s="47" t="e">
        <f>#REF!</f>
        <v>#REF!</v>
      </c>
      <c r="B299" s="260">
        <v>0</v>
      </c>
      <c r="C299" s="260">
        <v>0</v>
      </c>
      <c r="D299" s="260">
        <v>0</v>
      </c>
      <c r="E299" s="260">
        <v>0</v>
      </c>
      <c r="F299" s="260">
        <v>0</v>
      </c>
      <c r="G299" s="260">
        <v>0</v>
      </c>
      <c r="H299" s="48">
        <v>0</v>
      </c>
      <c r="I299" s="48">
        <v>0</v>
      </c>
      <c r="J299" s="48">
        <v>0</v>
      </c>
      <c r="K299" s="48">
        <v>0</v>
      </c>
      <c r="L299" s="48">
        <v>0</v>
      </c>
      <c r="M299" s="48">
        <v>0</v>
      </c>
      <c r="N299" s="260">
        <f t="shared" si="75"/>
        <v>0</v>
      </c>
      <c r="O299" s="297"/>
      <c r="P299" s="359"/>
      <c r="Q299" s="298"/>
      <c r="R299" s="363"/>
      <c r="S299" s="293"/>
      <c r="T299" s="12"/>
      <c r="V299"/>
      <c r="W299"/>
      <c r="X299"/>
      <c r="Y299"/>
      <c r="Z299"/>
      <c r="AA299"/>
      <c r="AB299"/>
      <c r="AC299"/>
      <c r="AD299"/>
      <c r="AE299"/>
      <c r="AF299"/>
      <c r="AG299"/>
      <c r="AH299"/>
      <c r="AI299"/>
      <c r="AJ299"/>
      <c r="AK299"/>
      <c r="AL299"/>
      <c r="AM299"/>
      <c r="AN299"/>
      <c r="AO299"/>
      <c r="AP299"/>
      <c r="AQ299"/>
      <c r="AR299"/>
      <c r="AS299"/>
      <c r="AT299"/>
      <c r="AU299"/>
      <c r="AV299"/>
      <c r="AW299"/>
      <c r="AX299"/>
      <c r="AY299"/>
      <c r="AZ299"/>
      <c r="BA299"/>
      <c r="BB299"/>
      <c r="BC299"/>
      <c r="BD299"/>
      <c r="BE299"/>
      <c r="BF299"/>
      <c r="BG299"/>
      <c r="BH299"/>
      <c r="BI299"/>
      <c r="BJ299"/>
      <c r="BK299"/>
      <c r="BL299"/>
      <c r="BM299"/>
      <c r="BN299"/>
      <c r="BO299"/>
      <c r="BP299"/>
      <c r="BQ299"/>
      <c r="BR299"/>
      <c r="BS299"/>
      <c r="BT299"/>
      <c r="BU299"/>
      <c r="BV299"/>
      <c r="BW299"/>
      <c r="BX299"/>
      <c r="BY299"/>
      <c r="BZ299"/>
      <c r="CA299"/>
      <c r="CB299"/>
      <c r="CC299"/>
      <c r="CD299"/>
      <c r="CE299"/>
      <c r="CF299"/>
      <c r="CG299"/>
      <c r="CH299"/>
      <c r="CI299"/>
      <c r="CJ299"/>
    </row>
    <row r="300" spans="1:88" ht="15.75" hidden="1" customHeight="1">
      <c r="A300" s="47" t="e">
        <f>#REF!</f>
        <v>#REF!</v>
      </c>
      <c r="B300" s="260">
        <v>0</v>
      </c>
      <c r="C300" s="260">
        <v>0</v>
      </c>
      <c r="D300" s="260">
        <v>0</v>
      </c>
      <c r="E300" s="260">
        <v>0</v>
      </c>
      <c r="F300" s="260">
        <v>0</v>
      </c>
      <c r="G300" s="260">
        <v>0</v>
      </c>
      <c r="H300" s="48">
        <v>0</v>
      </c>
      <c r="I300" s="48">
        <v>0</v>
      </c>
      <c r="J300" s="48">
        <v>0</v>
      </c>
      <c r="K300" s="48">
        <v>0</v>
      </c>
      <c r="L300" s="48">
        <v>0</v>
      </c>
      <c r="M300" s="48">
        <v>0</v>
      </c>
      <c r="N300" s="260">
        <f t="shared" si="75"/>
        <v>0</v>
      </c>
      <c r="O300" s="297"/>
      <c r="P300" s="359"/>
      <c r="Q300" s="298"/>
      <c r="R300" s="363"/>
      <c r="S300" s="293"/>
      <c r="T300" s="12"/>
      <c r="V300"/>
      <c r="W300"/>
      <c r="X300"/>
      <c r="Y300"/>
      <c r="Z300"/>
      <c r="AA300"/>
      <c r="AB300"/>
      <c r="AC300"/>
      <c r="AD300"/>
      <c r="AE300"/>
      <c r="AF300"/>
      <c r="AG300"/>
      <c r="AH300"/>
      <c r="AI300"/>
      <c r="AJ300"/>
      <c r="AK300"/>
      <c r="AL300"/>
      <c r="AM300"/>
      <c r="AN300"/>
      <c r="AO300"/>
      <c r="AP300"/>
      <c r="AQ300"/>
      <c r="AR300"/>
      <c r="AS300"/>
      <c r="AT300"/>
      <c r="AU300"/>
      <c r="AV300"/>
      <c r="AW300"/>
      <c r="AX300"/>
      <c r="AY300"/>
      <c r="AZ300"/>
      <c r="BA300"/>
      <c r="BB300"/>
      <c r="BC300"/>
      <c r="BD300"/>
      <c r="BE300"/>
      <c r="BF300"/>
      <c r="BG300"/>
      <c r="BH300"/>
      <c r="BI300"/>
      <c r="BJ300"/>
      <c r="BK300"/>
      <c r="BL300"/>
      <c r="BM300"/>
      <c r="BN300"/>
      <c r="BO300"/>
      <c r="BP300"/>
      <c r="BQ300"/>
      <c r="BR300"/>
      <c r="BS300"/>
      <c r="BT300"/>
      <c r="BU300"/>
      <c r="BV300"/>
      <c r="BW300"/>
      <c r="BX300"/>
      <c r="BY300"/>
      <c r="BZ300"/>
      <c r="CA300"/>
      <c r="CB300"/>
      <c r="CC300"/>
      <c r="CD300"/>
      <c r="CE300"/>
      <c r="CF300"/>
      <c r="CG300"/>
      <c r="CH300"/>
      <c r="CI300"/>
      <c r="CJ300"/>
    </row>
    <row r="301" spans="1:88" ht="15.75" hidden="1" customHeight="1">
      <c r="A301" s="47" t="e">
        <f>#REF!</f>
        <v>#REF!</v>
      </c>
      <c r="B301" s="260">
        <v>0</v>
      </c>
      <c r="C301" s="260">
        <v>0</v>
      </c>
      <c r="D301" s="260">
        <v>0</v>
      </c>
      <c r="E301" s="260">
        <v>0</v>
      </c>
      <c r="F301" s="260">
        <v>0</v>
      </c>
      <c r="G301" s="260">
        <v>0</v>
      </c>
      <c r="H301" s="48">
        <v>0</v>
      </c>
      <c r="I301" s="48">
        <v>0</v>
      </c>
      <c r="J301" s="48">
        <v>0</v>
      </c>
      <c r="K301" s="48">
        <v>0</v>
      </c>
      <c r="L301" s="48">
        <v>0</v>
      </c>
      <c r="M301" s="48">
        <v>0</v>
      </c>
      <c r="N301" s="260">
        <f t="shared" si="75"/>
        <v>0</v>
      </c>
      <c r="O301" s="297"/>
      <c r="P301" s="359"/>
      <c r="Q301" s="298"/>
      <c r="R301" s="363"/>
      <c r="S301" s="293"/>
      <c r="T301" s="12"/>
      <c r="V301"/>
      <c r="W301"/>
      <c r="X301"/>
      <c r="Y301"/>
      <c r="Z301"/>
      <c r="AA301"/>
      <c r="AB301"/>
      <c r="AC301"/>
      <c r="AD301"/>
      <c r="AE301"/>
      <c r="AF301"/>
      <c r="AG301"/>
      <c r="AH301"/>
      <c r="AI301"/>
      <c r="AJ301"/>
      <c r="AK301"/>
      <c r="AL301"/>
      <c r="AM301"/>
      <c r="AN301"/>
      <c r="AO301"/>
      <c r="AP301"/>
      <c r="AQ301"/>
      <c r="AR301"/>
      <c r="AS301"/>
      <c r="AT301"/>
      <c r="AU301"/>
      <c r="AV301"/>
      <c r="AW301"/>
      <c r="AX301"/>
      <c r="AY301"/>
      <c r="AZ301"/>
      <c r="BA301"/>
      <c r="BB301"/>
      <c r="BC301"/>
      <c r="BD301"/>
      <c r="BE301"/>
      <c r="BF301"/>
      <c r="BG301"/>
      <c r="BH301"/>
      <c r="BI301"/>
      <c r="BJ301"/>
      <c r="BK301"/>
      <c r="BL301"/>
      <c r="BM301"/>
      <c r="BN301"/>
      <c r="BO301"/>
      <c r="BP301"/>
      <c r="BQ301"/>
      <c r="BR301"/>
      <c r="BS301"/>
      <c r="BT301"/>
      <c r="BU301"/>
      <c r="BV301"/>
      <c r="BW301"/>
      <c r="BX301"/>
      <c r="BY301"/>
      <c r="BZ301"/>
      <c r="CA301"/>
      <c r="CB301"/>
      <c r="CC301"/>
      <c r="CD301"/>
      <c r="CE301"/>
      <c r="CF301"/>
      <c r="CG301"/>
      <c r="CH301"/>
      <c r="CI301"/>
      <c r="CJ301"/>
    </row>
    <row r="302" spans="1:88" ht="15.75" hidden="1" customHeight="1">
      <c r="A302" s="47" t="e">
        <f>#REF!</f>
        <v>#REF!</v>
      </c>
      <c r="B302" s="260">
        <v>0</v>
      </c>
      <c r="C302" s="260">
        <v>0</v>
      </c>
      <c r="D302" s="260">
        <v>0</v>
      </c>
      <c r="E302" s="260">
        <v>0</v>
      </c>
      <c r="F302" s="260">
        <v>0</v>
      </c>
      <c r="G302" s="260">
        <v>0</v>
      </c>
      <c r="H302" s="48">
        <v>0</v>
      </c>
      <c r="I302" s="48">
        <v>0</v>
      </c>
      <c r="J302" s="48">
        <v>0</v>
      </c>
      <c r="K302" s="48">
        <v>0</v>
      </c>
      <c r="L302" s="48">
        <v>0</v>
      </c>
      <c r="M302" s="48">
        <v>0</v>
      </c>
      <c r="N302" s="260">
        <f t="shared" si="75"/>
        <v>0</v>
      </c>
      <c r="O302" s="297"/>
      <c r="P302" s="359"/>
      <c r="Q302" s="298"/>
      <c r="R302" s="363"/>
      <c r="S302" s="293"/>
      <c r="T302" s="12"/>
      <c r="V302"/>
      <c r="W302"/>
      <c r="X302"/>
      <c r="Y302"/>
      <c r="Z302"/>
      <c r="AA302"/>
      <c r="AB302"/>
      <c r="AC302"/>
      <c r="AD302"/>
      <c r="AE302"/>
      <c r="AF302"/>
      <c r="AG302"/>
      <c r="AH302"/>
      <c r="AI302"/>
      <c r="AJ302"/>
      <c r="AK302"/>
      <c r="AL302"/>
      <c r="AM302"/>
      <c r="AN302"/>
      <c r="AO302"/>
      <c r="AP302"/>
      <c r="AQ302"/>
      <c r="AR302"/>
      <c r="AS302"/>
      <c r="AT302"/>
      <c r="AU302"/>
      <c r="AV302"/>
      <c r="AW302"/>
      <c r="AX302"/>
      <c r="AY302"/>
      <c r="AZ302"/>
      <c r="BA302"/>
      <c r="BB302"/>
      <c r="BC302"/>
      <c r="BD302"/>
      <c r="BE302"/>
      <c r="BF302"/>
      <c r="BG302"/>
      <c r="BH302"/>
      <c r="BI302"/>
      <c r="BJ302"/>
      <c r="BK302"/>
      <c r="BL302"/>
      <c r="BM302"/>
      <c r="BN302"/>
      <c r="BO302"/>
      <c r="BP302"/>
      <c r="BQ302"/>
      <c r="BR302"/>
      <c r="BS302"/>
      <c r="BT302"/>
      <c r="BU302"/>
      <c r="BV302"/>
      <c r="BW302"/>
      <c r="BX302"/>
      <c r="BY302"/>
      <c r="BZ302"/>
      <c r="CA302"/>
      <c r="CB302"/>
      <c r="CC302"/>
      <c r="CD302"/>
      <c r="CE302"/>
      <c r="CF302"/>
      <c r="CG302"/>
      <c r="CH302"/>
      <c r="CI302"/>
      <c r="CJ302"/>
    </row>
    <row r="303" spans="1:88" ht="15.75" hidden="1" customHeight="1">
      <c r="A303" s="47" t="e">
        <f>#REF!</f>
        <v>#REF!</v>
      </c>
      <c r="B303" s="260">
        <v>0</v>
      </c>
      <c r="C303" s="260">
        <v>0</v>
      </c>
      <c r="D303" s="260">
        <v>0</v>
      </c>
      <c r="E303" s="260">
        <v>0</v>
      </c>
      <c r="F303" s="260">
        <v>0</v>
      </c>
      <c r="G303" s="260">
        <v>0</v>
      </c>
      <c r="H303" s="48">
        <v>0</v>
      </c>
      <c r="I303" s="48">
        <v>0</v>
      </c>
      <c r="J303" s="48">
        <v>0</v>
      </c>
      <c r="K303" s="48">
        <v>0</v>
      </c>
      <c r="L303" s="48">
        <v>0</v>
      </c>
      <c r="M303" s="48">
        <v>0</v>
      </c>
      <c r="N303" s="260">
        <f t="shared" si="75"/>
        <v>0</v>
      </c>
      <c r="O303" s="297"/>
      <c r="P303" s="359"/>
      <c r="Q303" s="298"/>
      <c r="R303" s="363"/>
      <c r="S303" s="293"/>
      <c r="T303" s="12"/>
      <c r="V303"/>
      <c r="W303"/>
      <c r="X303"/>
      <c r="Y303"/>
      <c r="Z303"/>
      <c r="AA303"/>
      <c r="AB303"/>
      <c r="AC303"/>
      <c r="AD303"/>
      <c r="AE303"/>
      <c r="AF303"/>
      <c r="AG303"/>
      <c r="AH303"/>
      <c r="AI303"/>
      <c r="AJ303"/>
      <c r="AK303"/>
      <c r="AL303"/>
      <c r="AM303"/>
      <c r="AN303"/>
      <c r="AO303"/>
      <c r="AP303"/>
      <c r="AQ303"/>
      <c r="AR303"/>
      <c r="AS303"/>
      <c r="AT303"/>
      <c r="AU303"/>
      <c r="AV303"/>
      <c r="AW303"/>
      <c r="AX303"/>
      <c r="AY303"/>
      <c r="AZ303"/>
      <c r="BA303"/>
      <c r="BB303"/>
      <c r="BC303"/>
      <c r="BD303"/>
      <c r="BE303"/>
      <c r="BF303"/>
      <c r="BG303"/>
      <c r="BH303"/>
      <c r="BI303"/>
      <c r="BJ303"/>
      <c r="BK303"/>
      <c r="BL303"/>
      <c r="BM303"/>
      <c r="BN303"/>
      <c r="BO303"/>
      <c r="BP303"/>
      <c r="BQ303"/>
      <c r="BR303"/>
      <c r="BS303"/>
      <c r="BT303"/>
      <c r="BU303"/>
      <c r="BV303"/>
      <c r="BW303"/>
      <c r="BX303"/>
      <c r="BY303"/>
      <c r="BZ303"/>
      <c r="CA303"/>
      <c r="CB303"/>
      <c r="CC303"/>
      <c r="CD303"/>
      <c r="CE303"/>
      <c r="CF303"/>
      <c r="CG303"/>
      <c r="CH303"/>
      <c r="CI303"/>
      <c r="CJ303"/>
    </row>
    <row r="304" spans="1:88" ht="15.75" hidden="1" customHeight="1">
      <c r="A304" s="47" t="e">
        <f>#REF!</f>
        <v>#REF!</v>
      </c>
      <c r="B304" s="260">
        <v>0</v>
      </c>
      <c r="C304" s="260">
        <v>0</v>
      </c>
      <c r="D304" s="260">
        <v>0</v>
      </c>
      <c r="E304" s="260">
        <v>0</v>
      </c>
      <c r="F304" s="260">
        <v>0</v>
      </c>
      <c r="G304" s="260">
        <v>0</v>
      </c>
      <c r="H304" s="48">
        <v>0</v>
      </c>
      <c r="I304" s="48">
        <v>0</v>
      </c>
      <c r="J304" s="48">
        <v>0</v>
      </c>
      <c r="K304" s="48">
        <v>0</v>
      </c>
      <c r="L304" s="48">
        <v>0</v>
      </c>
      <c r="M304" s="48">
        <v>0</v>
      </c>
      <c r="N304" s="260">
        <f t="shared" si="75"/>
        <v>0</v>
      </c>
      <c r="O304" s="297"/>
      <c r="P304" s="359"/>
      <c r="Q304" s="298"/>
      <c r="R304" s="363"/>
      <c r="S304" s="293"/>
      <c r="T304" s="12"/>
      <c r="V304"/>
      <c r="W304"/>
      <c r="X304"/>
      <c r="Y304"/>
      <c r="Z304"/>
      <c r="AA304"/>
      <c r="AB304"/>
      <c r="AC304"/>
      <c r="AD304"/>
      <c r="AE304"/>
      <c r="AF304"/>
      <c r="AG304"/>
      <c r="AH304"/>
      <c r="AI304"/>
      <c r="AJ304"/>
      <c r="AK304"/>
      <c r="AL304"/>
      <c r="AM304"/>
      <c r="AN304"/>
      <c r="AO304"/>
      <c r="AP304"/>
      <c r="AQ304"/>
      <c r="AR304"/>
      <c r="AS304"/>
      <c r="AT304"/>
      <c r="AU304"/>
      <c r="AV304"/>
      <c r="AW304"/>
      <c r="AX304"/>
      <c r="AY304"/>
      <c r="AZ304"/>
      <c r="BA304"/>
      <c r="BB304"/>
      <c r="BC304"/>
      <c r="BD304"/>
      <c r="BE304"/>
      <c r="BF304"/>
      <c r="BG304"/>
      <c r="BH304"/>
      <c r="BI304"/>
      <c r="BJ304"/>
      <c r="BK304"/>
      <c r="BL304"/>
      <c r="BM304"/>
      <c r="BN304"/>
      <c r="BO304"/>
      <c r="BP304"/>
      <c r="BQ304"/>
      <c r="BR304"/>
      <c r="BS304"/>
      <c r="BT304"/>
      <c r="BU304"/>
      <c r="BV304"/>
      <c r="BW304"/>
      <c r="BX304"/>
      <c r="BY304"/>
      <c r="BZ304"/>
      <c r="CA304"/>
      <c r="CB304"/>
      <c r="CC304"/>
      <c r="CD304"/>
      <c r="CE304"/>
      <c r="CF304"/>
      <c r="CG304"/>
      <c r="CH304"/>
      <c r="CI304"/>
      <c r="CJ304"/>
    </row>
    <row r="305" spans="1:88" ht="15.75" hidden="1" customHeight="1">
      <c r="A305" s="47" t="e">
        <f>#REF!</f>
        <v>#REF!</v>
      </c>
      <c r="B305" s="260">
        <v>0</v>
      </c>
      <c r="C305" s="260">
        <v>0</v>
      </c>
      <c r="D305" s="260">
        <v>0</v>
      </c>
      <c r="E305" s="260">
        <v>0</v>
      </c>
      <c r="F305" s="260">
        <v>0</v>
      </c>
      <c r="G305" s="260">
        <v>0</v>
      </c>
      <c r="H305" s="48">
        <v>0</v>
      </c>
      <c r="I305" s="48">
        <v>0</v>
      </c>
      <c r="J305" s="48">
        <v>0</v>
      </c>
      <c r="K305" s="48">
        <v>0</v>
      </c>
      <c r="L305" s="48">
        <v>0</v>
      </c>
      <c r="M305" s="48">
        <v>0</v>
      </c>
      <c r="N305" s="260">
        <f t="shared" si="75"/>
        <v>0</v>
      </c>
      <c r="O305" s="297"/>
      <c r="P305" s="359"/>
      <c r="Q305" s="298"/>
      <c r="R305" s="363"/>
      <c r="S305" s="293"/>
      <c r="T305" s="12"/>
      <c r="V305"/>
      <c r="W305"/>
      <c r="X305"/>
      <c r="Y305"/>
      <c r="Z305"/>
      <c r="AA305"/>
      <c r="AB305"/>
      <c r="AC305"/>
      <c r="AD305"/>
      <c r="AE305"/>
      <c r="AF305"/>
      <c r="AG305"/>
      <c r="AH305"/>
      <c r="AI305"/>
      <c r="AJ305"/>
      <c r="AK305"/>
      <c r="AL305"/>
      <c r="AM305"/>
      <c r="AN305"/>
      <c r="AO305"/>
      <c r="AP305"/>
      <c r="AQ305"/>
      <c r="AR305"/>
      <c r="AS305"/>
      <c r="AT305"/>
      <c r="AU305"/>
      <c r="AV305"/>
      <c r="AW305"/>
      <c r="AX305"/>
      <c r="AY305"/>
      <c r="AZ305"/>
      <c r="BA305"/>
      <c r="BB305"/>
      <c r="BC305"/>
      <c r="BD305"/>
      <c r="BE305"/>
      <c r="BF305"/>
      <c r="BG305"/>
      <c r="BH305"/>
      <c r="BI305"/>
      <c r="BJ305"/>
      <c r="BK305"/>
      <c r="BL305"/>
      <c r="BM305"/>
      <c r="BN305"/>
      <c r="BO305"/>
      <c r="BP305"/>
      <c r="BQ305"/>
      <c r="BR305"/>
      <c r="BS305"/>
      <c r="BT305"/>
      <c r="BU305"/>
      <c r="BV305"/>
      <c r="BW305"/>
      <c r="BX305"/>
      <c r="BY305"/>
      <c r="BZ305"/>
      <c r="CA305"/>
      <c r="CB305"/>
      <c r="CC305"/>
      <c r="CD305"/>
      <c r="CE305"/>
      <c r="CF305"/>
      <c r="CG305"/>
      <c r="CH305"/>
      <c r="CI305"/>
      <c r="CJ305"/>
    </row>
    <row r="306" spans="1:88" ht="15.75" hidden="1" customHeight="1">
      <c r="A306" s="47" t="e">
        <f>#REF!</f>
        <v>#REF!</v>
      </c>
      <c r="B306" s="260">
        <v>0</v>
      </c>
      <c r="C306" s="260">
        <v>0</v>
      </c>
      <c r="D306" s="260">
        <v>0</v>
      </c>
      <c r="E306" s="260">
        <v>0</v>
      </c>
      <c r="F306" s="260">
        <v>0</v>
      </c>
      <c r="G306" s="260">
        <v>0</v>
      </c>
      <c r="H306" s="48">
        <v>0</v>
      </c>
      <c r="I306" s="48">
        <v>0</v>
      </c>
      <c r="J306" s="48">
        <v>0</v>
      </c>
      <c r="K306" s="48">
        <v>0</v>
      </c>
      <c r="L306" s="48">
        <v>0</v>
      </c>
      <c r="M306" s="48">
        <v>0</v>
      </c>
      <c r="N306" s="260">
        <f t="shared" si="75"/>
        <v>0</v>
      </c>
      <c r="O306" s="297"/>
      <c r="P306" s="359"/>
      <c r="Q306" s="298"/>
      <c r="R306" s="363"/>
      <c r="S306" s="293"/>
      <c r="T306" s="12"/>
      <c r="V306"/>
      <c r="W306"/>
      <c r="X306"/>
      <c r="Y306"/>
      <c r="Z306"/>
      <c r="AA306"/>
      <c r="AB306"/>
      <c r="AC306"/>
      <c r="AD306"/>
      <c r="AE306"/>
      <c r="AF306"/>
      <c r="AG306"/>
      <c r="AH306"/>
      <c r="AI306"/>
      <c r="AJ306"/>
      <c r="AK306"/>
      <c r="AL306"/>
      <c r="AM306"/>
      <c r="AN306"/>
      <c r="AO306"/>
      <c r="AP306"/>
      <c r="AQ306"/>
      <c r="AR306"/>
      <c r="AS306"/>
      <c r="AT306"/>
      <c r="AU306"/>
      <c r="AV306"/>
      <c r="AW306"/>
      <c r="AX306"/>
      <c r="AY306"/>
      <c r="AZ306"/>
      <c r="BA306"/>
      <c r="BB306"/>
      <c r="BC306"/>
      <c r="BD306"/>
      <c r="BE306"/>
      <c r="BF306"/>
      <c r="BG306"/>
      <c r="BH306"/>
      <c r="BI306"/>
      <c r="BJ306"/>
      <c r="BK306"/>
      <c r="BL306"/>
      <c r="BM306"/>
      <c r="BN306"/>
      <c r="BO306"/>
      <c r="BP306"/>
      <c r="BQ306"/>
      <c r="BR306"/>
      <c r="BS306"/>
      <c r="BT306"/>
      <c r="BU306"/>
      <c r="BV306"/>
      <c r="BW306"/>
      <c r="BX306"/>
      <c r="BY306"/>
      <c r="BZ306"/>
      <c r="CA306"/>
      <c r="CB306"/>
      <c r="CC306"/>
      <c r="CD306"/>
      <c r="CE306"/>
      <c r="CF306"/>
      <c r="CG306"/>
      <c r="CH306"/>
      <c r="CI306"/>
      <c r="CJ306"/>
    </row>
    <row r="307" spans="1:88" ht="15.75" hidden="1" customHeight="1">
      <c r="A307" s="47" t="s">
        <v>36</v>
      </c>
      <c r="B307" s="260">
        <v>0</v>
      </c>
      <c r="C307" s="260">
        <v>0</v>
      </c>
      <c r="D307" s="260">
        <v>0</v>
      </c>
      <c r="E307" s="260">
        <v>0</v>
      </c>
      <c r="F307" s="260">
        <v>0</v>
      </c>
      <c r="G307" s="260">
        <v>0</v>
      </c>
      <c r="H307" s="48">
        <v>0</v>
      </c>
      <c r="I307" s="48">
        <v>0</v>
      </c>
      <c r="J307" s="48">
        <v>0</v>
      </c>
      <c r="K307" s="48">
        <v>0</v>
      </c>
      <c r="L307" s="48">
        <v>0</v>
      </c>
      <c r="M307" s="48">
        <v>0</v>
      </c>
      <c r="N307" s="260">
        <f t="shared" si="75"/>
        <v>0</v>
      </c>
      <c r="O307" s="297"/>
      <c r="P307" s="359"/>
      <c r="Q307" s="298"/>
      <c r="R307" s="363"/>
      <c r="S307" s="293"/>
      <c r="T307" s="12"/>
      <c r="V307"/>
      <c r="W307"/>
      <c r="X307"/>
      <c r="Y307"/>
      <c r="Z307"/>
      <c r="AA307"/>
      <c r="AB307"/>
      <c r="AC307"/>
      <c r="AD307"/>
      <c r="AE307"/>
      <c r="AF307"/>
      <c r="AG307"/>
      <c r="AH307"/>
      <c r="AI307"/>
      <c r="AJ307"/>
      <c r="AK307"/>
      <c r="AL307"/>
      <c r="AM307"/>
      <c r="AN307"/>
      <c r="AO307"/>
      <c r="AP307"/>
      <c r="AQ307"/>
      <c r="AR307"/>
      <c r="AS307"/>
      <c r="AT307"/>
      <c r="AU307"/>
      <c r="AV307"/>
      <c r="AW307"/>
      <c r="AX307"/>
      <c r="AY307"/>
      <c r="AZ307"/>
      <c r="BA307"/>
      <c r="BB307"/>
      <c r="BC307"/>
      <c r="BD307"/>
      <c r="BE307"/>
      <c r="BF307"/>
      <c r="BG307"/>
      <c r="BH307"/>
      <c r="BI307"/>
      <c r="BJ307"/>
      <c r="BK307"/>
      <c r="BL307"/>
      <c r="BM307"/>
      <c r="BN307"/>
      <c r="BO307"/>
      <c r="BP307"/>
      <c r="BQ307"/>
      <c r="BR307"/>
      <c r="BS307"/>
      <c r="BT307"/>
      <c r="BU307"/>
      <c r="BV307"/>
      <c r="BW307"/>
      <c r="BX307"/>
      <c r="BY307"/>
      <c r="BZ307"/>
      <c r="CA307"/>
      <c r="CB307"/>
      <c r="CC307"/>
      <c r="CD307"/>
      <c r="CE307"/>
      <c r="CF307"/>
      <c r="CG307"/>
      <c r="CH307"/>
      <c r="CI307"/>
      <c r="CJ307"/>
    </row>
    <row r="308" spans="1:88">
      <c r="A308" s="47" t="s">
        <v>56</v>
      </c>
      <c r="B308" s="260">
        <v>1533218.9120000601</v>
      </c>
      <c r="C308" s="260">
        <v>380337.6939997673</v>
      </c>
      <c r="D308" s="260">
        <v>3338128.5957001448</v>
      </c>
      <c r="E308" s="408">
        <v>1262815.4340003133</v>
      </c>
      <c r="F308" s="408">
        <v>952058.24999898672</v>
      </c>
      <c r="G308" s="408">
        <v>-4274314.6039996147</v>
      </c>
      <c r="H308" s="409">
        <v>-575399.11000031233</v>
      </c>
      <c r="I308" s="409">
        <v>1846044.6161996126</v>
      </c>
      <c r="J308" s="409">
        <v>-1643142.773001194</v>
      </c>
      <c r="K308" s="409">
        <v>747069.04699957371</v>
      </c>
      <c r="L308" s="48">
        <v>978696.90540069342</v>
      </c>
      <c r="M308" s="48">
        <v>-1217565.6439990997</v>
      </c>
      <c r="N308" s="260">
        <f>SUM(B308:M308)</f>
        <v>3327947.3232989311</v>
      </c>
      <c r="O308" s="297"/>
      <c r="P308" s="359"/>
      <c r="Q308" s="298"/>
      <c r="R308" s="363"/>
      <c r="S308" s="293"/>
      <c r="T308" s="12"/>
      <c r="V308"/>
      <c r="W308"/>
      <c r="X308"/>
      <c r="Y308"/>
      <c r="Z308"/>
      <c r="AA308"/>
      <c r="AB308"/>
      <c r="AC308"/>
      <c r="AD308"/>
      <c r="AE308"/>
      <c r="AF308"/>
      <c r="AG308"/>
      <c r="AH308"/>
      <c r="AI308"/>
      <c r="AJ308"/>
      <c r="AK308"/>
      <c r="AL308"/>
      <c r="AM308"/>
      <c r="AN308"/>
      <c r="AO308"/>
      <c r="AP308"/>
      <c r="AQ308"/>
      <c r="AR308"/>
      <c r="AS308"/>
      <c r="AT308"/>
      <c r="AU308"/>
      <c r="AV308"/>
      <c r="AW308"/>
      <c r="AX308"/>
      <c r="AY308"/>
      <c r="AZ308"/>
      <c r="BA308"/>
      <c r="BB308"/>
      <c r="BC308"/>
      <c r="BD308"/>
      <c r="BE308"/>
      <c r="BF308"/>
      <c r="BG308"/>
      <c r="BH308"/>
      <c r="BI308"/>
      <c r="BJ308"/>
      <c r="BK308"/>
      <c r="BL308"/>
      <c r="BM308"/>
      <c r="BN308"/>
      <c r="BO308"/>
      <c r="BP308"/>
      <c r="BQ308"/>
      <c r="BR308"/>
      <c r="BS308"/>
      <c r="BT308"/>
      <c r="BU308"/>
      <c r="BV308"/>
      <c r="BW308"/>
      <c r="BX308"/>
      <c r="BY308"/>
      <c r="BZ308"/>
      <c r="CA308"/>
      <c r="CB308"/>
      <c r="CC308"/>
      <c r="CD308"/>
      <c r="CE308"/>
      <c r="CF308"/>
      <c r="CG308"/>
      <c r="CH308"/>
      <c r="CI308"/>
      <c r="CJ308"/>
    </row>
    <row r="309" spans="1:88" ht="15.75" thickBot="1">
      <c r="A309" s="106" t="s">
        <v>37</v>
      </c>
      <c r="B309" s="261">
        <f t="shared" ref="B309:L309" si="76">SUM(B298:B308)</f>
        <v>1533218.9120000601</v>
      </c>
      <c r="C309" s="261">
        <f t="shared" si="76"/>
        <v>380337.6939997673</v>
      </c>
      <c r="D309" s="261">
        <f t="shared" si="76"/>
        <v>3338128.5957001448</v>
      </c>
      <c r="E309" s="410">
        <f t="shared" si="76"/>
        <v>1262815.4340003133</v>
      </c>
      <c r="F309" s="410">
        <f t="shared" si="76"/>
        <v>952058.24999898672</v>
      </c>
      <c r="G309" s="410">
        <f t="shared" si="76"/>
        <v>-4274314.6039996147</v>
      </c>
      <c r="H309" s="410">
        <f t="shared" si="76"/>
        <v>-575399.11000031233</v>
      </c>
      <c r="I309" s="410">
        <f t="shared" si="76"/>
        <v>1846044.6161996126</v>
      </c>
      <c r="J309" s="410">
        <f t="shared" si="76"/>
        <v>-1643142.773001194</v>
      </c>
      <c r="K309" s="410">
        <f t="shared" si="76"/>
        <v>747069.04699957371</v>
      </c>
      <c r="L309" s="261">
        <f t="shared" si="76"/>
        <v>978696.90540069342</v>
      </c>
      <c r="M309" s="261">
        <f>SUM(M298:M308)</f>
        <v>-1217565.6439990997</v>
      </c>
      <c r="N309" s="261">
        <f>SUM(N298:N308)</f>
        <v>3327947.3232989311</v>
      </c>
      <c r="O309" s="297"/>
      <c r="P309" s="359"/>
      <c r="Q309" s="298"/>
      <c r="R309" s="363"/>
      <c r="S309" s="293"/>
      <c r="T309" s="12"/>
      <c r="U309" s="12"/>
      <c r="V309" s="11"/>
      <c r="W309" s="11"/>
      <c r="X309" s="11"/>
      <c r="Y309" s="11"/>
      <c r="Z309" s="11"/>
      <c r="AA309" s="11"/>
      <c r="AB309" s="11"/>
      <c r="AC309" s="11"/>
      <c r="AD309" s="11"/>
      <c r="AE309" s="11"/>
      <c r="AF309" s="11"/>
      <c r="AG309" s="11"/>
      <c r="AH309" s="11"/>
      <c r="AI309" s="11"/>
      <c r="AJ309" s="11"/>
      <c r="AK309" s="11"/>
      <c r="AL309" s="11"/>
      <c r="AM309" s="11"/>
      <c r="AN309" s="11"/>
      <c r="AO309" s="11"/>
      <c r="AP309" s="11"/>
      <c r="AQ309" s="11"/>
      <c r="AR309" s="11"/>
      <c r="AS309" s="11"/>
      <c r="AT309" s="11"/>
      <c r="AU309" s="11"/>
      <c r="AV309" s="11"/>
      <c r="AW309" s="11"/>
      <c r="AX309" s="11"/>
      <c r="AY309" s="11"/>
      <c r="AZ309" s="11"/>
      <c r="BA309" s="11"/>
      <c r="BB309" s="11"/>
      <c r="BC309" s="11"/>
      <c r="BD309" s="11"/>
      <c r="BE309" s="11"/>
      <c r="BF309" s="11"/>
      <c r="BG309" s="11"/>
      <c r="BH309" s="11"/>
      <c r="BI309" s="11"/>
      <c r="BJ309" s="11"/>
      <c r="BK309" s="11"/>
      <c r="BL309" s="11"/>
      <c r="BM309" s="11"/>
      <c r="BN309" s="11"/>
      <c r="BO309" s="11"/>
      <c r="BP309" s="11"/>
      <c r="BQ309" s="11"/>
      <c r="BR309" s="11"/>
      <c r="BS309" s="11"/>
      <c r="BT309" s="11"/>
      <c r="BU309" s="11"/>
      <c r="BV309" s="11"/>
      <c r="BW309" s="11"/>
      <c r="BX309" s="11"/>
      <c r="BY309" s="11"/>
      <c r="BZ309" s="11"/>
      <c r="CA309" s="11"/>
      <c r="CB309" s="11"/>
      <c r="CC309" s="11"/>
      <c r="CD309" s="11"/>
      <c r="CE309" s="11"/>
      <c r="CF309" s="11"/>
      <c r="CG309" s="11"/>
      <c r="CH309" s="11"/>
      <c r="CI309" s="11"/>
      <c r="CJ309" s="11"/>
    </row>
    <row r="310" spans="1:88" ht="16.5" thickTop="1" thickBot="1">
      <c r="A310" s="50"/>
      <c r="B310" s="59"/>
      <c r="C310" s="59"/>
      <c r="D310" s="59"/>
      <c r="E310" s="59"/>
      <c r="F310" s="347"/>
      <c r="G310" s="67"/>
      <c r="H310" s="59"/>
      <c r="I310" s="59"/>
      <c r="J310" s="59"/>
      <c r="K310" s="59"/>
      <c r="L310" s="59"/>
      <c r="M310" s="59"/>
      <c r="N310" s="264"/>
      <c r="O310" s="297"/>
      <c r="P310" s="359"/>
      <c r="Q310" s="298"/>
      <c r="R310" s="363"/>
      <c r="S310" s="293"/>
      <c r="T310" s="12"/>
      <c r="U310" s="12"/>
      <c r="V310" s="11"/>
      <c r="W310" s="11"/>
      <c r="X310" s="11"/>
      <c r="Y310" s="11"/>
      <c r="Z310" s="11"/>
      <c r="AA310" s="11"/>
      <c r="AB310" s="11"/>
      <c r="AC310" s="11"/>
      <c r="AD310" s="11"/>
      <c r="AE310" s="11"/>
      <c r="AF310" s="11"/>
      <c r="AG310" s="11"/>
      <c r="AH310" s="11"/>
      <c r="AI310" s="11"/>
      <c r="AJ310" s="11"/>
      <c r="AK310" s="11"/>
      <c r="AL310" s="11"/>
      <c r="AM310" s="11"/>
      <c r="AN310" s="11"/>
      <c r="AO310" s="11"/>
      <c r="AP310" s="11"/>
      <c r="AQ310" s="11"/>
      <c r="AR310" s="11"/>
      <c r="AS310" s="11"/>
      <c r="AT310" s="11"/>
      <c r="AU310" s="11"/>
      <c r="AV310" s="11"/>
      <c r="AW310" s="11"/>
      <c r="AX310" s="11"/>
      <c r="AY310" s="11"/>
      <c r="AZ310" s="11"/>
      <c r="BA310" s="11"/>
      <c r="BB310" s="11"/>
      <c r="BC310" s="11"/>
      <c r="BD310" s="11"/>
      <c r="BE310" s="11"/>
      <c r="BF310" s="11"/>
      <c r="BG310" s="11"/>
      <c r="BH310" s="11"/>
      <c r="BI310" s="11"/>
      <c r="BJ310" s="11"/>
      <c r="BK310" s="11"/>
      <c r="BL310" s="11"/>
      <c r="BM310" s="11"/>
      <c r="BN310" s="11"/>
      <c r="BO310" s="11"/>
      <c r="BP310" s="11"/>
      <c r="BQ310" s="11"/>
      <c r="BR310" s="11"/>
      <c r="BS310" s="11"/>
      <c r="BT310" s="11"/>
      <c r="BU310" s="11"/>
      <c r="BV310" s="11"/>
      <c r="BW310" s="11"/>
      <c r="BX310" s="11"/>
      <c r="BY310" s="11"/>
      <c r="BZ310" s="11"/>
      <c r="CA310" s="11"/>
      <c r="CB310" s="11"/>
      <c r="CC310" s="11"/>
      <c r="CD310" s="11"/>
      <c r="CE310" s="11"/>
      <c r="CF310" s="11"/>
      <c r="CG310" s="11"/>
      <c r="CH310" s="11"/>
      <c r="CI310" s="11"/>
      <c r="CJ310" s="11"/>
    </row>
    <row r="311" spans="1:88" ht="15.75" thickTop="1">
      <c r="A311" s="60" t="str">
        <f t="shared" ref="A311:A316" si="77">A111</f>
        <v>Trade Activities</v>
      </c>
      <c r="B311" s="48"/>
      <c r="C311" s="48"/>
      <c r="D311" s="49"/>
      <c r="E311" s="49"/>
      <c r="F311" s="339"/>
      <c r="G311" s="49"/>
      <c r="H311" s="49"/>
      <c r="I311" s="49"/>
      <c r="J311" s="49"/>
      <c r="K311" s="49"/>
      <c r="L311" s="49"/>
      <c r="M311" s="49"/>
      <c r="N311" s="260" t="s">
        <v>20</v>
      </c>
      <c r="O311" s="297"/>
      <c r="P311" s="359"/>
      <c r="Q311" s="298"/>
      <c r="R311" s="363"/>
      <c r="S311" s="293"/>
      <c r="T311" s="12"/>
      <c r="U311" s="12"/>
      <c r="V311" s="11"/>
      <c r="W311" s="11"/>
      <c r="X311" s="11"/>
      <c r="Y311" s="11"/>
      <c r="Z311" s="11"/>
      <c r="AA311" s="11"/>
      <c r="AB311" s="11"/>
      <c r="AC311" s="11"/>
      <c r="AD311" s="11"/>
      <c r="AE311" s="11"/>
      <c r="AF311" s="11"/>
      <c r="AG311" s="11"/>
      <c r="AH311" s="11"/>
      <c r="AI311" s="11"/>
      <c r="AJ311" s="11"/>
      <c r="AK311" s="11"/>
      <c r="AL311" s="11"/>
      <c r="AM311" s="11"/>
      <c r="AN311" s="11"/>
      <c r="AO311" s="11"/>
      <c r="AP311" s="11"/>
      <c r="AQ311" s="11"/>
      <c r="AR311" s="11"/>
      <c r="AS311" s="11"/>
      <c r="AT311" s="11"/>
      <c r="AU311" s="11"/>
      <c r="AV311" s="11"/>
      <c r="AW311" s="11"/>
      <c r="AX311" s="11"/>
      <c r="AY311" s="11"/>
      <c r="AZ311" s="11"/>
      <c r="BA311" s="11"/>
      <c r="BB311" s="11"/>
      <c r="BC311" s="11"/>
      <c r="BD311" s="11"/>
      <c r="BE311" s="11"/>
      <c r="BF311" s="11"/>
      <c r="BG311" s="11"/>
      <c r="BH311" s="11"/>
      <c r="BI311" s="11"/>
      <c r="BJ311" s="11"/>
      <c r="BK311" s="11"/>
      <c r="BL311" s="11"/>
      <c r="BM311" s="11"/>
      <c r="BN311" s="11"/>
      <c r="BO311" s="11"/>
      <c r="BP311" s="11"/>
      <c r="BQ311" s="11"/>
      <c r="BR311" s="11"/>
      <c r="BS311" s="11"/>
      <c r="BT311" s="11"/>
      <c r="BU311" s="11"/>
      <c r="BV311" s="11"/>
      <c r="BW311" s="11"/>
      <c r="BX311" s="11"/>
      <c r="BY311" s="11"/>
      <c r="BZ311" s="11"/>
      <c r="CA311" s="11"/>
      <c r="CB311" s="11"/>
      <c r="CC311" s="11"/>
      <c r="CD311" s="11"/>
      <c r="CE311" s="11"/>
      <c r="CF311" s="11"/>
      <c r="CG311" s="11"/>
      <c r="CH311" s="11"/>
      <c r="CI311" s="11"/>
      <c r="CJ311" s="11"/>
    </row>
    <row r="312" spans="1:88">
      <c r="A312" s="47">
        <f t="shared" si="77"/>
        <v>0</v>
      </c>
      <c r="B312" s="49"/>
      <c r="C312" s="49"/>
      <c r="D312" s="49"/>
      <c r="E312" s="49"/>
      <c r="F312" s="339"/>
      <c r="G312" s="49"/>
      <c r="H312" s="49"/>
      <c r="I312" s="49"/>
      <c r="J312" s="49"/>
      <c r="K312" s="49"/>
      <c r="L312" s="49"/>
      <c r="M312" s="49"/>
      <c r="N312" s="260">
        <f>SUM(B312:M312)</f>
        <v>0</v>
      </c>
      <c r="O312" s="297"/>
      <c r="P312" s="359"/>
      <c r="Q312" s="298"/>
      <c r="R312" s="363"/>
      <c r="S312" s="293"/>
      <c r="T312" s="12"/>
      <c r="U312" s="12"/>
      <c r="V312" s="11"/>
      <c r="W312" s="11"/>
      <c r="X312" s="11"/>
      <c r="Y312" s="11"/>
      <c r="Z312" s="11"/>
      <c r="AA312" s="11"/>
      <c r="AB312" s="11"/>
      <c r="AC312" s="11"/>
      <c r="AD312" s="11"/>
      <c r="AE312" s="11"/>
      <c r="AF312" s="11"/>
      <c r="AG312" s="11"/>
      <c r="AH312" s="11"/>
      <c r="AI312" s="11"/>
      <c r="AJ312" s="11"/>
      <c r="AK312" s="11"/>
      <c r="AL312" s="11"/>
      <c r="AM312" s="11"/>
      <c r="AN312" s="11"/>
      <c r="AO312" s="11"/>
      <c r="AP312" s="11"/>
      <c r="AQ312" s="11"/>
      <c r="AR312" s="11"/>
      <c r="AS312" s="11"/>
      <c r="AT312" s="11"/>
      <c r="AU312" s="11"/>
      <c r="AV312" s="11"/>
      <c r="AW312" s="11"/>
      <c r="AX312" s="11"/>
      <c r="AY312" s="11"/>
      <c r="AZ312" s="11"/>
      <c r="BA312" s="11"/>
      <c r="BB312" s="11"/>
      <c r="BC312" s="11"/>
      <c r="BD312" s="11"/>
      <c r="BE312" s="11"/>
      <c r="BF312" s="11"/>
      <c r="BG312" s="11"/>
      <c r="BH312" s="11"/>
      <c r="BI312" s="11"/>
      <c r="BJ312" s="11"/>
      <c r="BK312" s="11"/>
      <c r="BL312" s="11"/>
      <c r="BM312" s="11"/>
      <c r="BN312" s="11"/>
      <c r="BO312" s="11"/>
      <c r="BP312" s="11"/>
      <c r="BQ312" s="11"/>
      <c r="BR312" s="11"/>
      <c r="BS312" s="11"/>
      <c r="BT312" s="11"/>
      <c r="BU312" s="11"/>
      <c r="BV312" s="11"/>
      <c r="BW312" s="11"/>
      <c r="BX312" s="11"/>
      <c r="BY312" s="11"/>
      <c r="BZ312" s="11"/>
      <c r="CA312" s="11"/>
      <c r="CB312" s="11"/>
      <c r="CC312" s="11"/>
      <c r="CD312" s="11"/>
      <c r="CE312" s="11"/>
      <c r="CF312" s="11"/>
      <c r="CG312" s="11"/>
      <c r="CH312" s="11"/>
      <c r="CI312" s="11"/>
      <c r="CJ312" s="11"/>
    </row>
    <row r="313" spans="1:88">
      <c r="A313" s="47">
        <f t="shared" si="77"/>
        <v>0</v>
      </c>
      <c r="B313" s="48"/>
      <c r="C313" s="48"/>
      <c r="D313" s="48"/>
      <c r="E313" s="48"/>
      <c r="F313" s="48"/>
      <c r="G313" s="48"/>
      <c r="H313" s="48"/>
      <c r="I313" s="48"/>
      <c r="J313" s="48"/>
      <c r="K313" s="48"/>
      <c r="L313" s="48"/>
      <c r="M313" s="48"/>
      <c r="N313" s="260">
        <f>SUM(B313:M313)</f>
        <v>0</v>
      </c>
      <c r="O313" s="297"/>
      <c r="P313" s="359"/>
      <c r="Q313" s="298"/>
      <c r="R313" s="363"/>
      <c r="S313" s="293"/>
      <c r="T313" s="12"/>
      <c r="U313" s="12"/>
      <c r="V313" s="11"/>
      <c r="W313" s="11"/>
      <c r="X313" s="11"/>
      <c r="Y313" s="11"/>
      <c r="Z313" s="11"/>
      <c r="AA313" s="11"/>
      <c r="AB313" s="11"/>
      <c r="AC313" s="11"/>
      <c r="AD313" s="11"/>
      <c r="AE313" s="11"/>
      <c r="AF313" s="11"/>
      <c r="AG313" s="11"/>
      <c r="AH313" s="11"/>
      <c r="AI313" s="11"/>
      <c r="AJ313" s="11"/>
      <c r="AK313" s="11"/>
      <c r="AL313" s="11"/>
      <c r="AM313" s="11"/>
      <c r="AN313" s="11"/>
      <c r="AO313" s="11"/>
      <c r="AP313" s="11"/>
      <c r="AQ313" s="11"/>
      <c r="AR313" s="11"/>
      <c r="AS313" s="11"/>
      <c r="AT313" s="11"/>
      <c r="AU313" s="11"/>
      <c r="AV313" s="11"/>
      <c r="AW313" s="11"/>
      <c r="AX313" s="11"/>
      <c r="AY313" s="11"/>
      <c r="AZ313" s="11"/>
      <c r="BA313" s="11"/>
      <c r="BB313" s="11"/>
      <c r="BC313" s="11"/>
      <c r="BD313" s="11"/>
      <c r="BE313" s="11"/>
      <c r="BF313" s="11"/>
      <c r="BG313" s="11"/>
      <c r="BH313" s="11"/>
      <c r="BI313" s="11"/>
      <c r="BJ313" s="11"/>
      <c r="BK313" s="11"/>
      <c r="BL313" s="11"/>
      <c r="BM313" s="11"/>
      <c r="BN313" s="11"/>
      <c r="BO313" s="11"/>
      <c r="BP313" s="11"/>
      <c r="BQ313" s="11"/>
      <c r="BR313" s="11"/>
      <c r="BS313" s="11"/>
      <c r="BT313" s="11"/>
      <c r="BU313" s="11"/>
      <c r="BV313" s="11"/>
      <c r="BW313" s="11"/>
      <c r="BX313" s="11"/>
      <c r="BY313" s="11"/>
      <c r="BZ313" s="11"/>
      <c r="CA313" s="11"/>
      <c r="CB313" s="11"/>
      <c r="CC313" s="11"/>
      <c r="CD313" s="11"/>
      <c r="CE313" s="11"/>
      <c r="CF313" s="11"/>
      <c r="CG313" s="11"/>
      <c r="CH313" s="11"/>
      <c r="CI313" s="11"/>
      <c r="CJ313" s="11"/>
    </row>
    <row r="314" spans="1:88">
      <c r="A314" s="47">
        <f t="shared" si="77"/>
        <v>0</v>
      </c>
      <c r="B314" s="48"/>
      <c r="C314" s="48"/>
      <c r="D314" s="48"/>
      <c r="E314" s="48"/>
      <c r="F314" s="263"/>
      <c r="G314" s="48"/>
      <c r="H314" s="48"/>
      <c r="I314" s="48"/>
      <c r="J314" s="48"/>
      <c r="K314" s="48"/>
      <c r="L314" s="48"/>
      <c r="M314" s="48"/>
      <c r="N314" s="260">
        <f>SUM(B314:M314)</f>
        <v>0</v>
      </c>
      <c r="O314" s="297"/>
      <c r="P314" s="359"/>
      <c r="Q314" s="298"/>
      <c r="R314" s="363"/>
      <c r="S314" s="293"/>
      <c r="T314" s="12"/>
      <c r="U314" s="12"/>
      <c r="V314" s="11"/>
      <c r="W314" s="11"/>
      <c r="X314" s="11"/>
      <c r="Y314" s="11"/>
      <c r="Z314" s="11"/>
      <c r="AA314" s="11"/>
      <c r="AB314" s="11"/>
      <c r="AC314" s="11"/>
      <c r="AD314" s="11"/>
      <c r="AE314" s="11"/>
      <c r="AF314" s="11"/>
      <c r="AG314" s="11"/>
      <c r="AH314" s="11"/>
      <c r="AI314" s="11"/>
      <c r="AJ314" s="11"/>
      <c r="AK314" s="11"/>
      <c r="AL314" s="11"/>
      <c r="AM314" s="11"/>
      <c r="AN314" s="11"/>
      <c r="AO314" s="11"/>
      <c r="AP314" s="11"/>
      <c r="AQ314" s="11"/>
      <c r="AR314" s="11"/>
      <c r="AS314" s="11"/>
      <c r="AT314" s="11"/>
      <c r="AU314" s="11"/>
      <c r="AV314" s="11"/>
      <c r="AW314" s="11"/>
      <c r="AX314" s="11"/>
      <c r="AY314" s="11"/>
      <c r="AZ314" s="11"/>
      <c r="BA314" s="11"/>
      <c r="BB314" s="11"/>
      <c r="BC314" s="11"/>
      <c r="BD314" s="11"/>
      <c r="BE314" s="11"/>
      <c r="BF314" s="11"/>
      <c r="BG314" s="11"/>
      <c r="BH314" s="11"/>
      <c r="BI314" s="11"/>
      <c r="BJ314" s="11"/>
      <c r="BK314" s="11"/>
      <c r="BL314" s="11"/>
      <c r="BM314" s="11"/>
      <c r="BN314" s="11"/>
      <c r="BO314" s="11"/>
      <c r="BP314" s="11"/>
      <c r="BQ314" s="11"/>
      <c r="BR314" s="11"/>
      <c r="BS314" s="11"/>
      <c r="BT314" s="11"/>
      <c r="BU314" s="11"/>
      <c r="BV314" s="11"/>
      <c r="BW314" s="11"/>
      <c r="BX314" s="11"/>
      <c r="BY314" s="11"/>
      <c r="BZ314" s="11"/>
      <c r="CA314" s="11"/>
      <c r="CB314" s="11"/>
      <c r="CC314" s="11"/>
      <c r="CD314" s="11"/>
      <c r="CE314" s="11"/>
      <c r="CF314" s="11"/>
      <c r="CG314" s="11"/>
      <c r="CH314" s="11"/>
      <c r="CI314" s="11"/>
      <c r="CJ314" s="11"/>
    </row>
    <row r="315" spans="1:88">
      <c r="A315" s="47">
        <f t="shared" si="77"/>
        <v>0</v>
      </c>
      <c r="B315" s="48"/>
      <c r="C315" s="48"/>
      <c r="D315" s="48"/>
      <c r="E315" s="48"/>
      <c r="F315" s="263"/>
      <c r="G315" s="48"/>
      <c r="H315" s="48"/>
      <c r="I315" s="48"/>
      <c r="J315" s="48"/>
      <c r="K315" s="48"/>
      <c r="L315" s="48"/>
      <c r="M315" s="48"/>
      <c r="N315" s="260">
        <f>SUM(B315:M315)</f>
        <v>0</v>
      </c>
      <c r="O315" s="297"/>
      <c r="P315" s="359"/>
      <c r="Q315" s="298"/>
      <c r="R315" s="363"/>
      <c r="S315" s="293"/>
      <c r="T315" s="12"/>
      <c r="U315" s="12"/>
      <c r="V315" s="11"/>
      <c r="W315" s="11"/>
      <c r="X315" s="11"/>
      <c r="Y315" s="11"/>
      <c r="Z315" s="11"/>
      <c r="AA315" s="11"/>
      <c r="AB315" s="11"/>
      <c r="AC315" s="11"/>
      <c r="AD315" s="11"/>
      <c r="AE315" s="11"/>
      <c r="AF315" s="11"/>
      <c r="AG315" s="11"/>
      <c r="AH315" s="11"/>
      <c r="AI315" s="11"/>
      <c r="AJ315" s="11"/>
      <c r="AK315" s="11"/>
      <c r="AL315" s="11"/>
      <c r="AM315" s="11"/>
      <c r="AN315" s="11"/>
      <c r="AO315" s="11"/>
      <c r="AP315" s="11"/>
      <c r="AQ315" s="11"/>
      <c r="AR315" s="11"/>
      <c r="AS315" s="11"/>
      <c r="AT315" s="11"/>
      <c r="AU315" s="11"/>
      <c r="AV315" s="11"/>
      <c r="AW315" s="11"/>
      <c r="AX315" s="11"/>
      <c r="AY315" s="11"/>
      <c r="AZ315" s="11"/>
      <c r="BA315" s="11"/>
      <c r="BB315" s="11"/>
      <c r="BC315" s="11"/>
      <c r="BD315" s="11"/>
      <c r="BE315" s="11"/>
      <c r="BF315" s="11"/>
      <c r="BG315" s="11"/>
      <c r="BH315" s="11"/>
      <c r="BI315" s="11"/>
      <c r="BJ315" s="11"/>
      <c r="BK315" s="11"/>
      <c r="BL315" s="11"/>
      <c r="BM315" s="11"/>
      <c r="BN315" s="11"/>
      <c r="BO315" s="11"/>
      <c r="BP315" s="11"/>
      <c r="BQ315" s="11"/>
      <c r="BR315" s="11"/>
      <c r="BS315" s="11"/>
      <c r="BT315" s="11"/>
      <c r="BU315" s="11"/>
      <c r="BV315" s="11"/>
      <c r="BW315" s="11"/>
      <c r="BX315" s="11"/>
      <c r="BY315" s="11"/>
      <c r="BZ315" s="11"/>
      <c r="CA315" s="11"/>
      <c r="CB315" s="11"/>
      <c r="CC315" s="11"/>
      <c r="CD315" s="11"/>
      <c r="CE315" s="11"/>
      <c r="CF315" s="11"/>
      <c r="CG315" s="11"/>
      <c r="CH315" s="11"/>
      <c r="CI315" s="11"/>
      <c r="CJ315" s="11"/>
    </row>
    <row r="316" spans="1:88">
      <c r="A316" s="47">
        <f t="shared" si="77"/>
        <v>0</v>
      </c>
      <c r="B316" s="48"/>
      <c r="C316" s="48"/>
      <c r="D316" s="48"/>
      <c r="E316" s="48"/>
      <c r="F316" s="263"/>
      <c r="G316" s="48"/>
      <c r="H316" s="48"/>
      <c r="I316" s="48"/>
      <c r="J316" s="48"/>
      <c r="K316" s="48"/>
      <c r="L316" s="48"/>
      <c r="M316" s="48"/>
      <c r="N316" s="260">
        <f>SUM(B316:M316)</f>
        <v>0</v>
      </c>
      <c r="O316" s="297"/>
      <c r="P316" s="359"/>
      <c r="Q316" s="298"/>
      <c r="R316" s="363"/>
      <c r="S316" s="293"/>
      <c r="T316" s="12"/>
      <c r="U316" s="12"/>
      <c r="V316" s="11"/>
      <c r="W316" s="11"/>
      <c r="X316" s="11"/>
      <c r="Y316" s="11"/>
      <c r="Z316" s="11"/>
      <c r="AA316" s="11"/>
      <c r="AB316" s="11"/>
      <c r="AC316" s="11"/>
      <c r="AD316" s="11"/>
      <c r="AE316" s="11"/>
      <c r="AF316" s="11"/>
      <c r="AG316" s="11"/>
      <c r="AH316" s="11"/>
      <c r="AI316" s="11"/>
      <c r="AJ316" s="11"/>
      <c r="AK316" s="11"/>
      <c r="AL316" s="11"/>
      <c r="AM316" s="11"/>
      <c r="AN316" s="11"/>
      <c r="AO316" s="11"/>
      <c r="AP316" s="11"/>
      <c r="AQ316" s="11"/>
      <c r="AR316" s="11"/>
      <c r="AS316" s="11"/>
      <c r="AT316" s="11"/>
      <c r="AU316" s="11"/>
      <c r="AV316" s="11"/>
      <c r="AW316" s="11"/>
      <c r="AX316" s="11"/>
      <c r="AY316" s="11"/>
      <c r="AZ316" s="11"/>
      <c r="BA316" s="11"/>
      <c r="BB316" s="11"/>
      <c r="BC316" s="11"/>
      <c r="BD316" s="11"/>
      <c r="BE316" s="11"/>
      <c r="BF316" s="11"/>
      <c r="BG316" s="11"/>
      <c r="BH316" s="11"/>
      <c r="BI316" s="11"/>
      <c r="BJ316" s="11"/>
      <c r="BK316" s="11"/>
      <c r="BL316" s="11"/>
      <c r="BM316" s="11"/>
      <c r="BN316" s="11"/>
      <c r="BO316" s="11"/>
      <c r="BP316" s="11"/>
      <c r="BQ316" s="11"/>
      <c r="BR316" s="11"/>
      <c r="BS316" s="11"/>
      <c r="BT316" s="11"/>
      <c r="BU316" s="11"/>
      <c r="BV316" s="11"/>
      <c r="BW316" s="11"/>
      <c r="BX316" s="11"/>
      <c r="BY316" s="11"/>
      <c r="BZ316" s="11"/>
      <c r="CA316" s="11"/>
      <c r="CB316" s="11"/>
      <c r="CC316" s="11"/>
      <c r="CD316" s="11"/>
      <c r="CE316" s="11"/>
      <c r="CF316" s="11"/>
      <c r="CG316" s="11"/>
      <c r="CH316" s="11"/>
      <c r="CI316" s="11"/>
      <c r="CJ316" s="11"/>
    </row>
    <row r="317" spans="1:88" ht="15.75" thickBot="1">
      <c r="A317" s="107" t="s">
        <v>37</v>
      </c>
      <c r="B317" s="264">
        <f t="shared" ref="B317:M317" si="78">SUM(B312:B316)</f>
        <v>0</v>
      </c>
      <c r="C317" s="264">
        <f t="shared" si="78"/>
        <v>0</v>
      </c>
      <c r="D317" s="264">
        <f t="shared" si="78"/>
        <v>0</v>
      </c>
      <c r="E317" s="264">
        <f t="shared" si="78"/>
        <v>0</v>
      </c>
      <c r="F317" s="264">
        <f t="shared" si="78"/>
        <v>0</v>
      </c>
      <c r="G317" s="264">
        <f t="shared" si="78"/>
        <v>0</v>
      </c>
      <c r="H317" s="264">
        <f t="shared" si="78"/>
        <v>0</v>
      </c>
      <c r="I317" s="264">
        <f t="shared" si="78"/>
        <v>0</v>
      </c>
      <c r="J317" s="264">
        <f t="shared" si="78"/>
        <v>0</v>
      </c>
      <c r="K317" s="264">
        <f t="shared" si="78"/>
        <v>0</v>
      </c>
      <c r="L317" s="264">
        <f t="shared" si="78"/>
        <v>0</v>
      </c>
      <c r="M317" s="264">
        <f t="shared" si="78"/>
        <v>0</v>
      </c>
      <c r="N317" s="264">
        <f>SUM(N312:N316)</f>
        <v>0</v>
      </c>
      <c r="O317" s="297"/>
      <c r="P317" s="359"/>
      <c r="Q317" s="298"/>
      <c r="R317" s="363"/>
      <c r="S317" s="293"/>
      <c r="T317" s="12"/>
      <c r="U317" s="12"/>
      <c r="V317" s="11"/>
      <c r="W317" s="11"/>
      <c r="X317" s="11"/>
      <c r="Y317" s="11"/>
      <c r="Z317" s="11"/>
      <c r="AA317" s="11"/>
      <c r="AB317" s="11"/>
      <c r="AC317" s="11"/>
      <c r="AD317" s="11"/>
      <c r="AE317" s="11"/>
      <c r="AF317" s="11"/>
      <c r="AG317" s="11"/>
      <c r="AH317" s="11"/>
      <c r="AI317" s="11"/>
      <c r="AJ317" s="11"/>
      <c r="AK317" s="11"/>
      <c r="AL317" s="11"/>
      <c r="AM317" s="11"/>
      <c r="AN317" s="11"/>
      <c r="AO317" s="11"/>
      <c r="AP317" s="11"/>
      <c r="AQ317" s="11"/>
      <c r="AR317" s="11"/>
      <c r="AS317" s="11"/>
      <c r="AT317" s="11"/>
      <c r="AU317" s="11"/>
      <c r="AV317" s="11"/>
      <c r="AW317" s="11"/>
      <c r="AX317" s="11"/>
      <c r="AY317" s="11"/>
      <c r="AZ317" s="11"/>
      <c r="BA317" s="11"/>
      <c r="BB317" s="11"/>
      <c r="BC317" s="11"/>
      <c r="BD317" s="11"/>
      <c r="BE317" s="11"/>
      <c r="BF317" s="11"/>
      <c r="BG317" s="11"/>
      <c r="BH317" s="11"/>
      <c r="BI317" s="11"/>
      <c r="BJ317" s="11"/>
      <c r="BK317" s="11"/>
      <c r="BL317" s="11"/>
      <c r="BM317" s="11"/>
      <c r="BN317" s="11"/>
      <c r="BO317" s="11"/>
      <c r="BP317" s="11"/>
      <c r="BQ317" s="11"/>
      <c r="BR317" s="11"/>
      <c r="BS317" s="11"/>
      <c r="BT317" s="11"/>
      <c r="BU317" s="11"/>
      <c r="BV317" s="11"/>
      <c r="BW317" s="11"/>
      <c r="BX317" s="11"/>
      <c r="BY317" s="11"/>
      <c r="BZ317" s="11"/>
      <c r="CA317" s="11"/>
      <c r="CB317" s="11"/>
      <c r="CC317" s="11"/>
      <c r="CD317" s="11"/>
      <c r="CE317" s="11"/>
      <c r="CF317" s="11"/>
      <c r="CG317" s="11"/>
      <c r="CH317" s="11"/>
      <c r="CI317" s="11"/>
      <c r="CJ317" s="11"/>
    </row>
    <row r="318" spans="1:88" ht="16.5" thickTop="1" thickBot="1">
      <c r="A318" s="44" t="s">
        <v>15</v>
      </c>
      <c r="B318" s="9">
        <f t="shared" ref="B318:M318" si="79">B296+B309+B317</f>
        <v>475997924.58900017</v>
      </c>
      <c r="C318" s="9">
        <f>C296+C309+C317</f>
        <v>584048639.38399971</v>
      </c>
      <c r="D318" s="9">
        <f t="shared" si="79"/>
        <v>612103377.57570016</v>
      </c>
      <c r="E318" s="9">
        <f t="shared" si="79"/>
        <v>466626663.96400052</v>
      </c>
      <c r="F318" s="349">
        <f t="shared" si="79"/>
        <v>952058.24999898672</v>
      </c>
      <c r="G318" s="9">
        <f t="shared" si="79"/>
        <v>-4274314.6039996147</v>
      </c>
      <c r="H318" s="9">
        <f>H296+H309+H317</f>
        <v>-575399.11000031233</v>
      </c>
      <c r="I318" s="9">
        <f t="shared" si="79"/>
        <v>1846044.6161996126</v>
      </c>
      <c r="J318" s="9">
        <f t="shared" si="79"/>
        <v>-1643142.773001194</v>
      </c>
      <c r="K318" s="9">
        <f t="shared" si="79"/>
        <v>747069.04699957371</v>
      </c>
      <c r="L318" s="9">
        <f t="shared" si="79"/>
        <v>978696.90540069342</v>
      </c>
      <c r="M318" s="9">
        <f t="shared" si="79"/>
        <v>-1217565.6439990997</v>
      </c>
      <c r="N318" s="9">
        <f>N296+N309+N317</f>
        <v>2135590052.2002985</v>
      </c>
      <c r="O318" s="297"/>
      <c r="P318" s="297"/>
      <c r="Q318" s="407"/>
      <c r="R318" s="363"/>
      <c r="S318" s="293"/>
      <c r="T318" s="12"/>
      <c r="U318" s="12"/>
      <c r="V318" s="17"/>
      <c r="W318" s="17"/>
      <c r="X318" s="17"/>
      <c r="Y318" s="17"/>
      <c r="Z318" s="17"/>
      <c r="AA318" s="17"/>
      <c r="AB318" s="17"/>
      <c r="AC318" s="17"/>
      <c r="AD318" s="17"/>
      <c r="AE318" s="17"/>
      <c r="AF318" s="17"/>
      <c r="AG318" s="17"/>
      <c r="AH318" s="17"/>
      <c r="AI318" s="17"/>
      <c r="AJ318" s="17"/>
      <c r="AK318" s="17"/>
      <c r="AL318" s="17"/>
      <c r="AM318" s="17"/>
      <c r="AN318" s="17"/>
      <c r="AO318" s="17"/>
      <c r="AP318" s="17"/>
      <c r="AQ318" s="17"/>
      <c r="AR318" s="17"/>
      <c r="AS318" s="17"/>
      <c r="AT318" s="17"/>
      <c r="AU318" s="17"/>
      <c r="AV318" s="17"/>
      <c r="AW318" s="17"/>
      <c r="AX318" s="17"/>
      <c r="AY318" s="17"/>
      <c r="AZ318" s="17"/>
      <c r="BA318" s="17"/>
      <c r="BB318" s="17"/>
      <c r="BC318" s="17"/>
      <c r="BD318" s="17"/>
      <c r="BE318" s="17"/>
      <c r="BF318" s="17"/>
      <c r="BG318" s="17"/>
      <c r="BH318" s="17"/>
      <c r="BI318" s="17"/>
      <c r="BJ318" s="17"/>
      <c r="BK318" s="17"/>
      <c r="BL318" s="17"/>
      <c r="BM318" s="17"/>
      <c r="BN318" s="17"/>
      <c r="BO318" s="17"/>
      <c r="BP318" s="17"/>
      <c r="BQ318" s="17"/>
      <c r="BR318" s="17"/>
      <c r="BS318" s="17"/>
      <c r="BT318" s="17"/>
      <c r="BU318" s="17"/>
      <c r="BV318" s="17"/>
      <c r="BW318" s="17"/>
      <c r="BX318" s="17"/>
      <c r="BY318" s="17"/>
      <c r="BZ318" s="17"/>
      <c r="CA318" s="17"/>
      <c r="CB318" s="17"/>
      <c r="CC318" s="17"/>
      <c r="CD318" s="17"/>
      <c r="CE318" s="17"/>
      <c r="CF318" s="17"/>
      <c r="CG318" s="17"/>
      <c r="CH318" s="17"/>
      <c r="CI318" s="17"/>
      <c r="CJ318" s="17"/>
    </row>
    <row r="319" spans="1:88" ht="15.75" thickTop="1">
      <c r="B319" s="11"/>
      <c r="C319" s="11"/>
      <c r="D319" s="11"/>
      <c r="F319" s="263"/>
      <c r="N319" s="109"/>
      <c r="O319" s="312"/>
      <c r="P319" s="359"/>
      <c r="Q319" s="370"/>
      <c r="R319" s="363"/>
      <c r="S319" s="293"/>
      <c r="T319" s="12"/>
      <c r="U319" s="12"/>
      <c r="V319"/>
      <c r="W319"/>
      <c r="X319"/>
      <c r="Y319"/>
      <c r="Z319"/>
      <c r="AA319"/>
      <c r="AB319"/>
      <c r="AC319"/>
      <c r="AD319"/>
      <c r="AE319"/>
      <c r="AF319"/>
      <c r="AG319"/>
      <c r="AH319"/>
      <c r="AI319"/>
      <c r="AJ319"/>
      <c r="AK319"/>
      <c r="AL319"/>
      <c r="AM319"/>
      <c r="AN319"/>
      <c r="AO319"/>
      <c r="AP319"/>
      <c r="AQ319"/>
      <c r="AR319"/>
      <c r="AS319"/>
      <c r="AT319"/>
      <c r="AU319"/>
      <c r="AV319"/>
      <c r="AW319"/>
      <c r="AX319"/>
      <c r="AY319"/>
      <c r="AZ319"/>
      <c r="BA319"/>
      <c r="BB319"/>
      <c r="BC319"/>
      <c r="BD319"/>
      <c r="BE319"/>
      <c r="BF319"/>
      <c r="BG319"/>
      <c r="BH319"/>
      <c r="BI319"/>
      <c r="BJ319"/>
      <c r="BK319"/>
      <c r="BL319"/>
      <c r="BM319"/>
      <c r="BN319"/>
      <c r="BO319"/>
      <c r="BP319"/>
      <c r="BQ319"/>
      <c r="BR319"/>
      <c r="BS319"/>
      <c r="BT319"/>
      <c r="BU319"/>
      <c r="BV319"/>
      <c r="BW319"/>
      <c r="BX319"/>
      <c r="BY319"/>
      <c r="BZ319"/>
      <c r="CA319"/>
      <c r="CB319"/>
      <c r="CC319"/>
      <c r="CD319"/>
      <c r="CE319"/>
      <c r="CF319"/>
      <c r="CG319"/>
      <c r="CH319"/>
      <c r="CI319"/>
      <c r="CJ319"/>
    </row>
    <row r="320" spans="1:88">
      <c r="A320" s="236"/>
      <c r="B320" s="414"/>
      <c r="C320" s="414"/>
      <c r="D320" s="414"/>
      <c r="E320" s="414"/>
      <c r="F320" s="414"/>
      <c r="G320" s="414"/>
      <c r="H320" s="310"/>
      <c r="I320" s="310"/>
      <c r="J320" s="310"/>
      <c r="K320" s="310"/>
      <c r="L320" s="310"/>
      <c r="M320" s="310"/>
      <c r="N320" s="310"/>
      <c r="O320" s="288"/>
      <c r="P320" s="288"/>
      <c r="Q320" s="298"/>
      <c r="R320" s="363"/>
      <c r="S320" s="12"/>
      <c r="T320" s="12"/>
      <c r="U320" s="12"/>
      <c r="V320"/>
      <c r="W320"/>
      <c r="X320"/>
      <c r="Y320"/>
      <c r="Z320"/>
      <c r="AA320"/>
      <c r="AB320"/>
      <c r="AC320"/>
      <c r="AD320"/>
      <c r="AE320"/>
      <c r="AF320"/>
      <c r="AG320"/>
      <c r="AH320"/>
      <c r="AI320"/>
      <c r="AJ320"/>
      <c r="AK320"/>
      <c r="AL320"/>
      <c r="AM320"/>
      <c r="AN320"/>
      <c r="AO320"/>
      <c r="AP320"/>
      <c r="AQ320"/>
      <c r="AR320"/>
      <c r="AS320"/>
      <c r="AT320"/>
      <c r="AU320"/>
      <c r="AV320"/>
      <c r="AW320"/>
      <c r="AX320"/>
      <c r="AY320"/>
      <c r="AZ320"/>
      <c r="BA320"/>
      <c r="BB320"/>
      <c r="BC320"/>
      <c r="BD320"/>
      <c r="BE320"/>
      <c r="BF320"/>
      <c r="BG320"/>
      <c r="BH320"/>
      <c r="BI320"/>
      <c r="BJ320"/>
      <c r="BK320"/>
      <c r="BL320"/>
      <c r="BM320"/>
      <c r="BN320"/>
      <c r="BO320"/>
      <c r="BP320"/>
      <c r="BQ320"/>
      <c r="BR320"/>
      <c r="BS320"/>
      <c r="BT320"/>
      <c r="BU320"/>
      <c r="BV320"/>
      <c r="BW320"/>
      <c r="BX320"/>
      <c r="BY320"/>
      <c r="BZ320"/>
      <c r="CA320"/>
      <c r="CB320"/>
      <c r="CC320"/>
      <c r="CD320"/>
      <c r="CE320"/>
      <c r="CF320"/>
      <c r="CG320"/>
      <c r="CH320"/>
      <c r="CI320"/>
      <c r="CJ320"/>
    </row>
    <row r="321" spans="1:88" ht="14.45" customHeight="1">
      <c r="A321" s="435" t="s">
        <v>57</v>
      </c>
      <c r="B321" s="432">
        <f t="shared" ref="B321:N321" si="80">B32</f>
        <v>44927</v>
      </c>
      <c r="C321" s="432">
        <f t="shared" si="80"/>
        <v>44958</v>
      </c>
      <c r="D321" s="432">
        <f t="shared" si="80"/>
        <v>44986</v>
      </c>
      <c r="E321" s="432">
        <f t="shared" si="80"/>
        <v>45017</v>
      </c>
      <c r="F321" s="474">
        <f t="shared" si="80"/>
        <v>45047</v>
      </c>
      <c r="G321" s="432">
        <f t="shared" si="80"/>
        <v>45078</v>
      </c>
      <c r="H321" s="432">
        <f t="shared" si="80"/>
        <v>45108</v>
      </c>
      <c r="I321" s="432">
        <f t="shared" si="80"/>
        <v>45139</v>
      </c>
      <c r="J321" s="432">
        <f t="shared" si="80"/>
        <v>45170</v>
      </c>
      <c r="K321" s="432">
        <f t="shared" si="80"/>
        <v>45200</v>
      </c>
      <c r="L321" s="432">
        <f t="shared" si="80"/>
        <v>45231</v>
      </c>
      <c r="M321" s="432">
        <f t="shared" si="80"/>
        <v>45261</v>
      </c>
      <c r="N321" s="471" t="str">
        <f t="shared" si="80"/>
        <v>Total</v>
      </c>
      <c r="O321" s="288"/>
      <c r="P321" s="359"/>
      <c r="Q321" s="298"/>
      <c r="S321" s="12"/>
      <c r="T321" s="12"/>
      <c r="U321" s="17"/>
      <c r="V321"/>
      <c r="W321"/>
      <c r="X321"/>
      <c r="Y321"/>
      <c r="Z321"/>
      <c r="AA321"/>
      <c r="AB321"/>
      <c r="AC321"/>
      <c r="AD321"/>
      <c r="AE321"/>
      <c r="AF321"/>
      <c r="AG321"/>
      <c r="AH321"/>
      <c r="AI321"/>
      <c r="AJ321"/>
      <c r="AK321"/>
      <c r="AL321"/>
      <c r="AM321"/>
      <c r="AN321"/>
      <c r="AO321"/>
      <c r="AP321"/>
      <c r="AQ321"/>
      <c r="AR321"/>
      <c r="AS321"/>
      <c r="AT321"/>
      <c r="AU321"/>
      <c r="AV321"/>
      <c r="AW321"/>
      <c r="AX321"/>
      <c r="AY321"/>
      <c r="AZ321"/>
      <c r="BA321"/>
      <c r="BB321"/>
      <c r="BC321"/>
      <c r="BD321"/>
      <c r="BE321"/>
      <c r="BF321"/>
      <c r="BG321"/>
      <c r="BH321"/>
      <c r="BI321"/>
      <c r="BJ321"/>
      <c r="BK321"/>
      <c r="BL321"/>
      <c r="BM321"/>
      <c r="BN321"/>
      <c r="BO321"/>
      <c r="BP321"/>
      <c r="BQ321"/>
      <c r="BR321"/>
      <c r="BS321"/>
      <c r="BT321"/>
      <c r="BU321"/>
      <c r="BV321"/>
      <c r="BW321"/>
      <c r="BX321"/>
      <c r="BY321"/>
      <c r="BZ321"/>
      <c r="CA321"/>
      <c r="CB321"/>
      <c r="CC321"/>
      <c r="CD321"/>
      <c r="CE321"/>
      <c r="CF321"/>
      <c r="CG321"/>
      <c r="CH321"/>
      <c r="CI321"/>
      <c r="CJ321"/>
    </row>
    <row r="322" spans="1:88" ht="15" customHeight="1" thickBot="1">
      <c r="A322" s="436"/>
      <c r="B322" s="433"/>
      <c r="C322" s="433"/>
      <c r="D322" s="433"/>
      <c r="E322" s="433"/>
      <c r="F322" s="475"/>
      <c r="G322" s="433"/>
      <c r="H322" s="433"/>
      <c r="I322" s="433"/>
      <c r="J322" s="433"/>
      <c r="K322" s="433"/>
      <c r="L322" s="433"/>
      <c r="M322" s="433"/>
      <c r="N322" s="472"/>
      <c r="O322" s="288"/>
      <c r="P322" s="359"/>
      <c r="Q322" s="298"/>
      <c r="S322" s="12"/>
      <c r="T322" s="12"/>
      <c r="U322" s="12"/>
      <c r="V322"/>
      <c r="W322"/>
      <c r="X322"/>
      <c r="Y322"/>
      <c r="Z322"/>
      <c r="AA322"/>
      <c r="AB322"/>
      <c r="AC322"/>
      <c r="AD322"/>
      <c r="AE322"/>
      <c r="AF322"/>
      <c r="AG322"/>
      <c r="AH322"/>
      <c r="AI322"/>
      <c r="AJ322"/>
      <c r="AK322"/>
      <c r="AL322"/>
      <c r="AM322"/>
      <c r="AN322"/>
      <c r="AO322"/>
      <c r="AP322"/>
      <c r="AQ322"/>
      <c r="AR322"/>
      <c r="AS322"/>
      <c r="AT322"/>
      <c r="AU322"/>
      <c r="AV322"/>
      <c r="AW322"/>
      <c r="AX322"/>
      <c r="AY322"/>
      <c r="AZ322"/>
      <c r="BA322"/>
      <c r="BB322"/>
      <c r="BC322"/>
      <c r="BD322"/>
      <c r="BE322"/>
      <c r="BF322"/>
      <c r="BG322"/>
      <c r="BH322"/>
      <c r="BI322"/>
      <c r="BJ322"/>
      <c r="BK322"/>
      <c r="BL322"/>
      <c r="BM322"/>
      <c r="BN322"/>
      <c r="BO322"/>
      <c r="BP322"/>
      <c r="BQ322"/>
      <c r="BR322"/>
      <c r="BS322"/>
      <c r="BT322"/>
      <c r="BU322"/>
      <c r="BV322"/>
      <c r="BW322"/>
      <c r="BX322"/>
      <c r="BY322"/>
      <c r="BZ322"/>
      <c r="CA322"/>
      <c r="CB322"/>
      <c r="CC322"/>
      <c r="CD322"/>
      <c r="CE322"/>
      <c r="CF322"/>
      <c r="CG322"/>
      <c r="CH322"/>
      <c r="CI322"/>
      <c r="CJ322"/>
    </row>
    <row r="323" spans="1:88" ht="15" customHeight="1" thickTop="1">
      <c r="A323" s="61" t="s">
        <v>58</v>
      </c>
      <c r="B323" s="62">
        <v>0</v>
      </c>
      <c r="C323" s="62">
        <v>0</v>
      </c>
      <c r="D323" s="62">
        <v>0</v>
      </c>
      <c r="E323" s="62">
        <v>0</v>
      </c>
      <c r="F323" s="351">
        <v>0</v>
      </c>
      <c r="G323" s="62">
        <v>0</v>
      </c>
      <c r="H323" s="62">
        <v>0</v>
      </c>
      <c r="I323" s="62">
        <v>0</v>
      </c>
      <c r="J323" s="62">
        <v>0</v>
      </c>
      <c r="K323" s="62">
        <v>0</v>
      </c>
      <c r="L323" s="62">
        <v>0</v>
      </c>
      <c r="M323" s="62">
        <v>0</v>
      </c>
      <c r="N323" s="265">
        <v>0</v>
      </c>
      <c r="O323" s="288"/>
      <c r="P323" s="359"/>
      <c r="Q323" s="298"/>
      <c r="S323" s="12"/>
      <c r="T323" s="12"/>
      <c r="V323"/>
      <c r="W323"/>
      <c r="X323"/>
      <c r="Y323"/>
      <c r="Z323"/>
      <c r="AA323"/>
      <c r="AB323"/>
      <c r="AC323"/>
      <c r="AD323"/>
      <c r="AE323"/>
      <c r="AF323"/>
      <c r="AG323"/>
      <c r="AH323"/>
      <c r="AI323"/>
      <c r="AJ323"/>
      <c r="AK323"/>
      <c r="AL323"/>
      <c r="AM323"/>
      <c r="AN323"/>
      <c r="AO323"/>
      <c r="AP323"/>
      <c r="AQ323"/>
      <c r="AR323"/>
      <c r="AS323"/>
      <c r="AT323"/>
      <c r="AU323"/>
      <c r="AV323"/>
      <c r="AW323"/>
      <c r="AX323"/>
      <c r="AY323"/>
      <c r="AZ323"/>
      <c r="BA323"/>
      <c r="BB323"/>
      <c r="BC323"/>
      <c r="BD323"/>
      <c r="BE323"/>
      <c r="BF323"/>
      <c r="BG323"/>
      <c r="BH323"/>
      <c r="BI323"/>
      <c r="BJ323"/>
      <c r="BK323"/>
      <c r="BL323"/>
      <c r="BM323"/>
      <c r="BN323"/>
      <c r="BO323"/>
      <c r="BP323"/>
      <c r="BQ323"/>
      <c r="BR323"/>
      <c r="BS323"/>
      <c r="BT323"/>
      <c r="BU323"/>
      <c r="BV323"/>
      <c r="BW323"/>
      <c r="BX323"/>
      <c r="BY323"/>
      <c r="BZ323"/>
      <c r="CA323"/>
      <c r="CB323"/>
      <c r="CC323"/>
      <c r="CD323"/>
      <c r="CE323"/>
      <c r="CF323"/>
      <c r="CG323"/>
      <c r="CH323"/>
      <c r="CI323"/>
      <c r="CJ323"/>
    </row>
    <row r="324" spans="1:88" ht="14.45" customHeight="1">
      <c r="A324" s="61" t="s">
        <v>59</v>
      </c>
      <c r="B324" s="62">
        <v>0</v>
      </c>
      <c r="C324" s="62">
        <v>0</v>
      </c>
      <c r="D324" s="62">
        <v>0</v>
      </c>
      <c r="E324" s="62">
        <v>0</v>
      </c>
      <c r="F324" s="351">
        <v>0</v>
      </c>
      <c r="G324" s="62">
        <v>0</v>
      </c>
      <c r="H324" s="62">
        <v>0</v>
      </c>
      <c r="I324" s="62">
        <v>0</v>
      </c>
      <c r="J324" s="62">
        <v>0</v>
      </c>
      <c r="K324" s="62">
        <v>0</v>
      </c>
      <c r="L324" s="62">
        <v>0</v>
      </c>
      <c r="M324" s="62">
        <v>0</v>
      </c>
      <c r="N324" s="265">
        <v>0</v>
      </c>
      <c r="O324" s="288"/>
      <c r="P324" s="359"/>
      <c r="Q324" s="298"/>
      <c r="S324" s="12"/>
      <c r="T324" s="12"/>
      <c r="V324"/>
      <c r="W324"/>
      <c r="X324"/>
      <c r="Y324"/>
      <c r="Z324"/>
      <c r="AA324"/>
      <c r="AB324"/>
      <c r="AC324"/>
      <c r="AD324"/>
      <c r="AE324"/>
      <c r="AF324"/>
      <c r="AG324"/>
      <c r="AH324"/>
      <c r="AI324"/>
      <c r="AJ324"/>
      <c r="AK324"/>
      <c r="AL324"/>
      <c r="AM324"/>
      <c r="AN324"/>
      <c r="AO324"/>
      <c r="AP324"/>
      <c r="AQ324"/>
      <c r="AR324"/>
      <c r="AS324"/>
      <c r="AT324"/>
      <c r="AU324"/>
      <c r="AV324"/>
      <c r="AW324"/>
      <c r="AX324"/>
      <c r="AY324"/>
      <c r="AZ324"/>
      <c r="BA324"/>
      <c r="BB324"/>
      <c r="BC324"/>
      <c r="BD324"/>
      <c r="BE324"/>
      <c r="BF324"/>
      <c r="BG324"/>
      <c r="BH324"/>
      <c r="BI324"/>
      <c r="BJ324"/>
      <c r="BK324"/>
      <c r="BL324"/>
      <c r="BM324"/>
      <c r="BN324"/>
      <c r="BO324"/>
      <c r="BP324"/>
      <c r="BQ324"/>
      <c r="BR324"/>
      <c r="BS324"/>
      <c r="BT324"/>
      <c r="BU324"/>
      <c r="BV324"/>
      <c r="BW324"/>
      <c r="BX324"/>
      <c r="BY324"/>
      <c r="BZ324"/>
      <c r="CA324"/>
      <c r="CB324"/>
      <c r="CC324"/>
      <c r="CD324"/>
      <c r="CE324"/>
      <c r="CF324"/>
      <c r="CG324"/>
      <c r="CH324"/>
      <c r="CI324"/>
      <c r="CJ324"/>
    </row>
    <row r="325" spans="1:88" ht="15" customHeight="1" thickBot="1">
      <c r="A325" s="63" t="s">
        <v>60</v>
      </c>
      <c r="B325" s="64">
        <f t="shared" ref="B325:N325" si="81">SUM(B323:B324)</f>
        <v>0</v>
      </c>
      <c r="C325" s="64">
        <f t="shared" si="81"/>
        <v>0</v>
      </c>
      <c r="D325" s="64">
        <f t="shared" si="81"/>
        <v>0</v>
      </c>
      <c r="E325" s="64">
        <f t="shared" si="81"/>
        <v>0</v>
      </c>
      <c r="F325" s="352">
        <f t="shared" si="81"/>
        <v>0</v>
      </c>
      <c r="G325" s="64">
        <f t="shared" si="81"/>
        <v>0</v>
      </c>
      <c r="H325" s="64">
        <f t="shared" si="81"/>
        <v>0</v>
      </c>
      <c r="I325" s="64">
        <f t="shared" si="81"/>
        <v>0</v>
      </c>
      <c r="J325" s="64">
        <f t="shared" si="81"/>
        <v>0</v>
      </c>
      <c r="K325" s="64">
        <f t="shared" si="81"/>
        <v>0</v>
      </c>
      <c r="L325" s="64">
        <f t="shared" si="81"/>
        <v>0</v>
      </c>
      <c r="M325" s="64">
        <f t="shared" si="81"/>
        <v>0</v>
      </c>
      <c r="N325" s="266">
        <f t="shared" si="81"/>
        <v>0</v>
      </c>
      <c r="O325" s="288"/>
      <c r="P325" s="359"/>
      <c r="Q325" s="298"/>
      <c r="S325" s="12"/>
      <c r="T325" s="12"/>
      <c r="V325"/>
      <c r="W325"/>
      <c r="X325"/>
      <c r="Y325"/>
      <c r="Z325"/>
      <c r="AA325"/>
      <c r="AB325"/>
      <c r="AC325"/>
      <c r="AD325"/>
      <c r="AE325"/>
      <c r="AF325"/>
      <c r="AG325"/>
      <c r="AH325"/>
      <c r="AI325"/>
      <c r="AJ325"/>
      <c r="AK325"/>
      <c r="AL325"/>
      <c r="AM325"/>
      <c r="AN325"/>
      <c r="AO325"/>
      <c r="AP325"/>
      <c r="AQ325"/>
      <c r="AR325"/>
      <c r="AS325"/>
      <c r="AT325"/>
      <c r="AU325"/>
      <c r="AV325"/>
      <c r="AW325"/>
      <c r="AX325"/>
      <c r="AY325"/>
      <c r="AZ325"/>
      <c r="BA325"/>
      <c r="BB325"/>
      <c r="BC325"/>
      <c r="BD325"/>
      <c r="BE325"/>
      <c r="BF325"/>
      <c r="BG325"/>
      <c r="BH325"/>
      <c r="BI325"/>
      <c r="BJ325"/>
      <c r="BK325"/>
      <c r="BL325"/>
      <c r="BM325"/>
      <c r="BN325"/>
      <c r="BO325"/>
      <c r="BP325"/>
      <c r="BQ325"/>
      <c r="BR325"/>
      <c r="BS325"/>
      <c r="BT325"/>
      <c r="BU325"/>
      <c r="BV325"/>
      <c r="BW325"/>
      <c r="BX325"/>
      <c r="BY325"/>
      <c r="BZ325"/>
      <c r="CA325"/>
      <c r="CB325"/>
      <c r="CC325"/>
      <c r="CD325"/>
      <c r="CE325"/>
      <c r="CF325"/>
      <c r="CG325"/>
      <c r="CH325"/>
      <c r="CI325"/>
      <c r="CJ325"/>
    </row>
    <row r="326" spans="1:88" ht="15" customHeight="1" thickTop="1">
      <c r="A326" s="45" t="s">
        <v>35</v>
      </c>
      <c r="B326" s="46"/>
      <c r="C326" s="46"/>
      <c r="D326" s="46"/>
      <c r="E326" s="46"/>
      <c r="F326" s="343"/>
      <c r="G326" s="46"/>
      <c r="H326" s="46"/>
      <c r="I326" s="46"/>
      <c r="J326" s="46"/>
      <c r="K326" s="46"/>
      <c r="L326" s="46"/>
      <c r="M326" s="46"/>
      <c r="N326" s="267"/>
      <c r="O326" s="288"/>
      <c r="P326" s="359"/>
      <c r="Q326" s="298"/>
      <c r="S326" s="12"/>
      <c r="T326" s="12"/>
      <c r="V326"/>
      <c r="W326"/>
      <c r="X326"/>
      <c r="Y326"/>
      <c r="Z326"/>
      <c r="AA326"/>
      <c r="AB326"/>
      <c r="AC326"/>
      <c r="AD326"/>
      <c r="AE326"/>
      <c r="AF326"/>
      <c r="AG326"/>
      <c r="AH326"/>
      <c r="AI326"/>
      <c r="AJ326"/>
      <c r="AK326"/>
      <c r="AL326"/>
      <c r="AM326"/>
      <c r="AN326"/>
      <c r="AO326"/>
      <c r="AP326"/>
      <c r="AQ326"/>
      <c r="AR326"/>
      <c r="AS326"/>
      <c r="AT326"/>
      <c r="AU326"/>
      <c r="AV326"/>
      <c r="AW326"/>
      <c r="AX326"/>
      <c r="AY326"/>
      <c r="AZ326"/>
      <c r="BA326"/>
      <c r="BB326"/>
      <c r="BC326"/>
      <c r="BD326"/>
      <c r="BE326"/>
      <c r="BF326"/>
      <c r="BG326"/>
      <c r="BH326"/>
      <c r="BI326"/>
      <c r="BJ326"/>
      <c r="BK326"/>
      <c r="BL326"/>
      <c r="BM326"/>
      <c r="BN326"/>
      <c r="BO326"/>
      <c r="BP326"/>
      <c r="BQ326"/>
      <c r="BR326"/>
      <c r="BS326"/>
      <c r="BT326"/>
      <c r="BU326"/>
      <c r="BV326"/>
      <c r="BW326"/>
      <c r="BX326"/>
      <c r="BY326"/>
      <c r="BZ326"/>
      <c r="CA326"/>
      <c r="CB326"/>
      <c r="CC326"/>
      <c r="CD326"/>
      <c r="CE326"/>
      <c r="CF326"/>
      <c r="CG326"/>
      <c r="CH326"/>
      <c r="CI326"/>
      <c r="CJ326"/>
    </row>
    <row r="327" spans="1:88" ht="14.45" customHeight="1">
      <c r="A327" s="65" t="str">
        <f>A215</f>
        <v>Kayan 3 New Cairo Capital City</v>
      </c>
      <c r="B327" s="48">
        <v>0</v>
      </c>
      <c r="C327" s="48">
        <v>0</v>
      </c>
      <c r="D327" s="48">
        <v>0</v>
      </c>
      <c r="E327" s="48">
        <v>0</v>
      </c>
      <c r="F327" s="263">
        <v>0</v>
      </c>
      <c r="G327" s="48">
        <v>0</v>
      </c>
      <c r="H327" s="48">
        <v>0</v>
      </c>
      <c r="I327" s="48">
        <v>0</v>
      </c>
      <c r="J327" s="48">
        <v>0</v>
      </c>
      <c r="K327" s="48">
        <v>0</v>
      </c>
      <c r="L327" s="48">
        <v>0</v>
      </c>
      <c r="M327" s="48">
        <v>0</v>
      </c>
      <c r="N327" s="260">
        <v>0</v>
      </c>
      <c r="O327" s="288"/>
      <c r="P327" s="359"/>
      <c r="Q327" s="298"/>
      <c r="S327" s="12"/>
      <c r="T327" s="12"/>
      <c r="V327"/>
      <c r="W327"/>
      <c r="X327"/>
      <c r="Y327"/>
      <c r="Z327"/>
      <c r="AA327"/>
      <c r="AB327"/>
      <c r="AC327"/>
      <c r="AD327"/>
      <c r="AE327"/>
      <c r="AF327"/>
      <c r="AG327"/>
      <c r="AH327"/>
      <c r="AI327"/>
      <c r="AJ327"/>
      <c r="AK327"/>
      <c r="AL327"/>
      <c r="AM327"/>
      <c r="AN327"/>
      <c r="AO327"/>
      <c r="AP327"/>
      <c r="AQ327"/>
      <c r="AR327"/>
      <c r="AS327"/>
      <c r="AT327"/>
      <c r="AU327"/>
      <c r="AV327"/>
      <c r="AW327"/>
      <c r="AX327"/>
      <c r="AY327"/>
      <c r="AZ327"/>
      <c r="BA327"/>
      <c r="BB327"/>
      <c r="BC327"/>
      <c r="BD327"/>
      <c r="BE327"/>
      <c r="BF327"/>
      <c r="BG327"/>
      <c r="BH327"/>
      <c r="BI327"/>
      <c r="BJ327"/>
      <c r="BK327"/>
      <c r="BL327"/>
      <c r="BM327"/>
      <c r="BN327"/>
      <c r="BO327"/>
      <c r="BP327"/>
      <c r="BQ327"/>
      <c r="BR327"/>
      <c r="BS327"/>
      <c r="BT327"/>
      <c r="BU327"/>
      <c r="BV327"/>
      <c r="BW327"/>
      <c r="BX327"/>
      <c r="BY327"/>
      <c r="BZ327"/>
      <c r="CA327"/>
      <c r="CB327"/>
      <c r="CC327"/>
      <c r="CD327"/>
      <c r="CE327"/>
      <c r="CF327"/>
      <c r="CG327"/>
      <c r="CH327"/>
      <c r="CI327"/>
      <c r="CJ327"/>
    </row>
    <row r="328" spans="1:88" ht="14.45" customHeight="1">
      <c r="A328" s="65" t="e">
        <f>#REF!</f>
        <v>#REF!</v>
      </c>
      <c r="B328" s="48">
        <v>0</v>
      </c>
      <c r="C328" s="48">
        <v>0</v>
      </c>
      <c r="D328" s="48">
        <v>0</v>
      </c>
      <c r="E328" s="48">
        <v>0</v>
      </c>
      <c r="F328" s="263">
        <v>0</v>
      </c>
      <c r="G328" s="48">
        <v>0</v>
      </c>
      <c r="H328" s="48">
        <v>0</v>
      </c>
      <c r="I328" s="48">
        <v>0</v>
      </c>
      <c r="J328" s="48">
        <v>0</v>
      </c>
      <c r="K328" s="48">
        <v>0</v>
      </c>
      <c r="L328" s="48">
        <v>0</v>
      </c>
      <c r="M328" s="48">
        <v>0</v>
      </c>
      <c r="N328" s="260">
        <v>0</v>
      </c>
      <c r="O328" s="288"/>
      <c r="P328" s="359"/>
      <c r="Q328" s="298"/>
      <c r="S328" s="12"/>
      <c r="T328" s="12"/>
      <c r="V328"/>
      <c r="W328"/>
      <c r="X328"/>
      <c r="Y328"/>
      <c r="Z328"/>
      <c r="AA328"/>
      <c r="AB328"/>
      <c r="AC328"/>
      <c r="AD328"/>
      <c r="AE328"/>
      <c r="AF328"/>
      <c r="AG328"/>
      <c r="AH328"/>
      <c r="AI328"/>
      <c r="AJ328"/>
      <c r="AK328"/>
      <c r="AL328"/>
      <c r="AM328"/>
      <c r="AN328"/>
      <c r="AO328"/>
      <c r="AP328"/>
      <c r="AQ328"/>
      <c r="AR328"/>
      <c r="AS328"/>
      <c r="AT328"/>
      <c r="AU328"/>
      <c r="AV328"/>
      <c r="AW328"/>
      <c r="AX328"/>
      <c r="AY328"/>
      <c r="AZ328"/>
      <c r="BA328"/>
      <c r="BB328"/>
      <c r="BC328"/>
      <c r="BD328"/>
      <c r="BE328"/>
      <c r="BF328"/>
      <c r="BG328"/>
      <c r="BH328"/>
      <c r="BI328"/>
      <c r="BJ328"/>
      <c r="BK328"/>
      <c r="BL328"/>
      <c r="BM328"/>
      <c r="BN328"/>
      <c r="BO328"/>
      <c r="BP328"/>
      <c r="BQ328"/>
      <c r="BR328"/>
      <c r="BS328"/>
      <c r="BT328"/>
      <c r="BU328"/>
      <c r="BV328"/>
      <c r="BW328"/>
      <c r="BX328"/>
      <c r="BY328"/>
      <c r="BZ328"/>
      <c r="CA328"/>
      <c r="CB328"/>
      <c r="CC328"/>
      <c r="CD328"/>
      <c r="CE328"/>
      <c r="CF328"/>
      <c r="CG328"/>
      <c r="CH328"/>
      <c r="CI328"/>
      <c r="CJ328"/>
    </row>
    <row r="329" spans="1:88" ht="14.45" customHeight="1">
      <c r="A329" s="65" t="str">
        <f>A216</f>
        <v>Ministries Buildings</v>
      </c>
      <c r="B329" s="48">
        <v>0</v>
      </c>
      <c r="C329" s="48">
        <v>0</v>
      </c>
      <c r="D329" s="48">
        <v>0</v>
      </c>
      <c r="E329" s="48">
        <v>0</v>
      </c>
      <c r="F329" s="263">
        <v>0</v>
      </c>
      <c r="G329" s="48">
        <v>0</v>
      </c>
      <c r="H329" s="48">
        <v>0</v>
      </c>
      <c r="I329" s="48">
        <v>0</v>
      </c>
      <c r="J329" s="48">
        <v>0</v>
      </c>
      <c r="K329" s="48">
        <v>0</v>
      </c>
      <c r="L329" s="48">
        <v>0</v>
      </c>
      <c r="M329" s="48">
        <v>0</v>
      </c>
      <c r="N329" s="260">
        <v>0</v>
      </c>
      <c r="O329" s="288"/>
      <c r="P329" s="359"/>
      <c r="Q329" s="255"/>
      <c r="R329" s="364"/>
      <c r="S329" s="52"/>
      <c r="T329" s="52"/>
      <c r="V329"/>
      <c r="W329"/>
      <c r="X329"/>
      <c r="Y329"/>
      <c r="Z329"/>
      <c r="AA329"/>
      <c r="AB329"/>
      <c r="AC329"/>
      <c r="AD329"/>
      <c r="AE329"/>
      <c r="AF329"/>
      <c r="AG329"/>
      <c r="AH329"/>
      <c r="AI329"/>
      <c r="AJ329"/>
      <c r="AK329"/>
      <c r="AL329"/>
      <c r="AM329"/>
      <c r="AN329"/>
      <c r="AO329"/>
      <c r="AP329"/>
      <c r="AQ329"/>
      <c r="AR329"/>
      <c r="AS329"/>
      <c r="AT329"/>
      <c r="AU329"/>
      <c r="AV329"/>
      <c r="AW329"/>
      <c r="AX329"/>
      <c r="AY329"/>
      <c r="AZ329"/>
      <c r="BA329"/>
      <c r="BB329"/>
      <c r="BC329"/>
      <c r="BD329"/>
      <c r="BE329"/>
      <c r="BF329"/>
      <c r="BG329"/>
      <c r="BH329"/>
      <c r="BI329"/>
      <c r="BJ329"/>
      <c r="BK329"/>
      <c r="BL329"/>
      <c r="BM329"/>
      <c r="BN329"/>
      <c r="BO329"/>
      <c r="BP329"/>
      <c r="BQ329"/>
      <c r="BR329"/>
      <c r="BS329"/>
      <c r="BT329"/>
      <c r="BU329"/>
      <c r="BV329"/>
      <c r="BW329"/>
      <c r="BX329"/>
      <c r="BY329"/>
      <c r="BZ329"/>
      <c r="CA329"/>
      <c r="CB329"/>
      <c r="CC329"/>
      <c r="CD329"/>
      <c r="CE329"/>
      <c r="CF329"/>
      <c r="CG329"/>
      <c r="CH329"/>
      <c r="CI329"/>
      <c r="CJ329"/>
    </row>
    <row r="330" spans="1:88" ht="14.45" customHeight="1">
      <c r="A330" s="65" t="str">
        <f>A217</f>
        <v>Royal City</v>
      </c>
      <c r="B330" s="48">
        <v>0</v>
      </c>
      <c r="C330" s="48">
        <v>0</v>
      </c>
      <c r="D330" s="48">
        <v>0</v>
      </c>
      <c r="E330" s="48">
        <v>0</v>
      </c>
      <c r="F330" s="263">
        <v>0</v>
      </c>
      <c r="G330" s="48">
        <v>0</v>
      </c>
      <c r="H330" s="48">
        <v>0</v>
      </c>
      <c r="I330" s="48">
        <v>0</v>
      </c>
      <c r="J330" s="48">
        <v>0</v>
      </c>
      <c r="K330" s="48">
        <v>0</v>
      </c>
      <c r="L330" s="48">
        <v>0</v>
      </c>
      <c r="M330" s="48">
        <v>0</v>
      </c>
      <c r="N330" s="260">
        <v>0</v>
      </c>
      <c r="O330" s="288"/>
      <c r="P330" s="359"/>
      <c r="Q330" s="255"/>
      <c r="R330" s="364"/>
      <c r="S330" s="52"/>
      <c r="T330" s="52"/>
      <c r="V330"/>
      <c r="W330"/>
      <c r="X330"/>
      <c r="Y330"/>
      <c r="Z330"/>
      <c r="AA330"/>
      <c r="AB330"/>
      <c r="AC330"/>
      <c r="AD330"/>
      <c r="AE330"/>
      <c r="AF330"/>
      <c r="AG330"/>
      <c r="AH330"/>
      <c r="AI330"/>
      <c r="AJ330"/>
      <c r="AK330"/>
      <c r="AL330"/>
      <c r="AM330"/>
      <c r="AN330"/>
      <c r="AO330"/>
      <c r="AP330"/>
      <c r="AQ330"/>
      <c r="AR330"/>
      <c r="AS330"/>
      <c r="AT330"/>
      <c r="AU330"/>
      <c r="AV330"/>
      <c r="AW330"/>
      <c r="AX330"/>
      <c r="AY330"/>
      <c r="AZ330"/>
      <c r="BA330"/>
      <c r="BB330"/>
      <c r="BC330"/>
      <c r="BD330"/>
      <c r="BE330"/>
      <c r="BF330"/>
      <c r="BG330"/>
      <c r="BH330"/>
      <c r="BI330"/>
      <c r="BJ330"/>
      <c r="BK330"/>
      <c r="BL330"/>
      <c r="BM330"/>
      <c r="BN330"/>
      <c r="BO330"/>
      <c r="BP330"/>
      <c r="BQ330"/>
      <c r="BR330"/>
      <c r="BS330"/>
      <c r="BT330"/>
      <c r="BU330"/>
      <c r="BV330"/>
      <c r="BW330"/>
      <c r="BX330"/>
      <c r="BY330"/>
      <c r="BZ330"/>
      <c r="CA330"/>
      <c r="CB330"/>
      <c r="CC330"/>
      <c r="CD330"/>
      <c r="CE330"/>
      <c r="CF330"/>
      <c r="CG330"/>
      <c r="CH330"/>
      <c r="CI330"/>
      <c r="CJ330"/>
    </row>
    <row r="331" spans="1:88" ht="14.45" customHeight="1">
      <c r="A331" s="65" t="e">
        <f>#REF!</f>
        <v>#REF!</v>
      </c>
      <c r="B331" s="48">
        <v>0</v>
      </c>
      <c r="C331" s="48">
        <v>0</v>
      </c>
      <c r="D331" s="48">
        <v>0</v>
      </c>
      <c r="E331" s="48">
        <v>0</v>
      </c>
      <c r="F331" s="263">
        <v>0</v>
      </c>
      <c r="G331" s="48">
        <v>0</v>
      </c>
      <c r="H331" s="48">
        <v>0</v>
      </c>
      <c r="I331" s="48">
        <v>0</v>
      </c>
      <c r="J331" s="48">
        <v>0</v>
      </c>
      <c r="K331" s="48">
        <v>0</v>
      </c>
      <c r="L331" s="48">
        <v>0</v>
      </c>
      <c r="M331" s="48">
        <v>0</v>
      </c>
      <c r="N331" s="260">
        <v>0</v>
      </c>
      <c r="O331" s="288"/>
      <c r="P331" s="359"/>
      <c r="Q331" s="255"/>
      <c r="R331" s="364"/>
      <c r="S331" s="52"/>
      <c r="T331" s="52"/>
      <c r="V331"/>
      <c r="W331"/>
      <c r="X331"/>
      <c r="Y331"/>
      <c r="Z331"/>
      <c r="AA331"/>
      <c r="AB331"/>
      <c r="AC331"/>
      <c r="AD331"/>
      <c r="AE331"/>
      <c r="AF331"/>
      <c r="AG331"/>
      <c r="AH331"/>
      <c r="AI331"/>
      <c r="AJ331"/>
      <c r="AK331"/>
      <c r="AL331"/>
      <c r="AM331"/>
      <c r="AN331"/>
      <c r="AO331"/>
      <c r="AP331"/>
      <c r="AQ331"/>
      <c r="AR331"/>
      <c r="AS331"/>
      <c r="AT331"/>
      <c r="AU331"/>
      <c r="AV331"/>
      <c r="AW331"/>
      <c r="AX331"/>
      <c r="AY331"/>
      <c r="AZ331"/>
      <c r="BA331"/>
      <c r="BB331"/>
      <c r="BC331"/>
      <c r="BD331"/>
      <c r="BE331"/>
      <c r="BF331"/>
      <c r="BG331"/>
      <c r="BH331"/>
      <c r="BI331"/>
      <c r="BJ331"/>
      <c r="BK331"/>
      <c r="BL331"/>
      <c r="BM331"/>
      <c r="BN331"/>
      <c r="BO331"/>
      <c r="BP331"/>
      <c r="BQ331"/>
      <c r="BR331"/>
      <c r="BS331"/>
      <c r="BT331"/>
      <c r="BU331"/>
      <c r="BV331"/>
      <c r="BW331"/>
      <c r="BX331"/>
      <c r="BY331"/>
      <c r="BZ331"/>
      <c r="CA331"/>
      <c r="CB331"/>
      <c r="CC331"/>
      <c r="CD331"/>
      <c r="CE331"/>
      <c r="CF331"/>
      <c r="CG331"/>
      <c r="CH331"/>
      <c r="CI331"/>
      <c r="CJ331"/>
    </row>
    <row r="332" spans="1:88" ht="14.45" customHeight="1">
      <c r="A332" s="65" t="e">
        <f>#REF!</f>
        <v>#REF!</v>
      </c>
      <c r="B332" s="48">
        <v>0</v>
      </c>
      <c r="C332" s="48">
        <v>0</v>
      </c>
      <c r="D332" s="48">
        <v>0</v>
      </c>
      <c r="E332" s="48">
        <v>0</v>
      </c>
      <c r="F332" s="263">
        <v>0</v>
      </c>
      <c r="G332" s="48">
        <v>0</v>
      </c>
      <c r="H332" s="48">
        <v>0</v>
      </c>
      <c r="I332" s="48">
        <v>0</v>
      </c>
      <c r="J332" s="48">
        <v>0</v>
      </c>
      <c r="K332" s="48">
        <v>0</v>
      </c>
      <c r="L332" s="48">
        <v>0</v>
      </c>
      <c r="M332" s="48">
        <v>0</v>
      </c>
      <c r="N332" s="260">
        <v>0</v>
      </c>
      <c r="O332" s="288"/>
      <c r="P332" s="359"/>
      <c r="Q332" s="255"/>
      <c r="R332" s="364"/>
      <c r="S332" s="52"/>
      <c r="T332" s="52"/>
      <c r="V332"/>
      <c r="W332"/>
      <c r="X332"/>
      <c r="Y332"/>
      <c r="Z332"/>
      <c r="AA332"/>
      <c r="AB332"/>
      <c r="AC332"/>
      <c r="AD332"/>
      <c r="AE332"/>
      <c r="AF332"/>
      <c r="AG332"/>
      <c r="AH332"/>
      <c r="AI332"/>
      <c r="AJ332"/>
      <c r="AK332"/>
      <c r="AL332"/>
      <c r="AM332"/>
      <c r="AN332"/>
      <c r="AO332"/>
      <c r="AP332"/>
      <c r="AQ332"/>
      <c r="AR332"/>
      <c r="AS332"/>
      <c r="AT332"/>
      <c r="AU332"/>
      <c r="AV332"/>
      <c r="AW332"/>
      <c r="AX332"/>
      <c r="AY332"/>
      <c r="AZ332"/>
      <c r="BA332"/>
      <c r="BB332"/>
      <c r="BC332"/>
      <c r="BD332"/>
      <c r="BE332"/>
      <c r="BF332"/>
      <c r="BG332"/>
      <c r="BH332"/>
      <c r="BI332"/>
      <c r="BJ332"/>
      <c r="BK332"/>
      <c r="BL332"/>
      <c r="BM332"/>
      <c r="BN332"/>
      <c r="BO332"/>
      <c r="BP332"/>
      <c r="BQ332"/>
      <c r="BR332"/>
      <c r="BS332"/>
      <c r="BT332"/>
      <c r="BU332"/>
      <c r="BV332"/>
      <c r="BW332"/>
      <c r="BX332"/>
      <c r="BY332"/>
      <c r="BZ332"/>
      <c r="CA332"/>
      <c r="CB332"/>
      <c r="CC332"/>
      <c r="CD332"/>
      <c r="CE332"/>
      <c r="CF332"/>
      <c r="CG332"/>
      <c r="CH332"/>
      <c r="CI332"/>
      <c r="CJ332"/>
    </row>
    <row r="333" spans="1:88" ht="14.45" customHeight="1">
      <c r="A333" s="65" t="str">
        <f>A218</f>
        <v>Mohamed Ali Palace Restoration</v>
      </c>
      <c r="B333" s="48">
        <v>0</v>
      </c>
      <c r="C333" s="48">
        <v>0</v>
      </c>
      <c r="D333" s="48">
        <v>0</v>
      </c>
      <c r="E333" s="48">
        <v>0</v>
      </c>
      <c r="F333" s="263">
        <v>0</v>
      </c>
      <c r="G333" s="48">
        <v>0</v>
      </c>
      <c r="H333" s="48">
        <v>0</v>
      </c>
      <c r="I333" s="48">
        <v>0</v>
      </c>
      <c r="J333" s="48">
        <v>0</v>
      </c>
      <c r="K333" s="48">
        <v>0</v>
      </c>
      <c r="L333" s="48">
        <v>0</v>
      </c>
      <c r="M333" s="48">
        <v>0</v>
      </c>
      <c r="N333" s="260">
        <v>0</v>
      </c>
      <c r="O333" s="288"/>
      <c r="P333" s="359"/>
      <c r="Q333" s="255"/>
      <c r="R333" s="364"/>
      <c r="S333" s="52"/>
      <c r="T333" s="52"/>
      <c r="V333"/>
      <c r="W333"/>
      <c r="X333"/>
      <c r="Y333"/>
      <c r="Z333"/>
      <c r="AA333"/>
      <c r="AB333"/>
      <c r="AC333"/>
      <c r="AD333"/>
      <c r="AE333"/>
      <c r="AF333"/>
      <c r="AG333"/>
      <c r="AH333"/>
      <c r="AI333"/>
      <c r="AJ333"/>
      <c r="AK333"/>
      <c r="AL333"/>
      <c r="AM333"/>
      <c r="AN333"/>
      <c r="AO333"/>
      <c r="AP333"/>
      <c r="AQ333"/>
      <c r="AR333"/>
      <c r="AS333"/>
      <c r="AT333"/>
      <c r="AU333"/>
      <c r="AV333"/>
      <c r="AW333"/>
      <c r="AX333"/>
      <c r="AY333"/>
      <c r="AZ333"/>
      <c r="BA333"/>
      <c r="BB333"/>
      <c r="BC333"/>
      <c r="BD333"/>
      <c r="BE333"/>
      <c r="BF333"/>
      <c r="BG333"/>
      <c r="BH333"/>
      <c r="BI333"/>
      <c r="BJ333"/>
      <c r="BK333"/>
      <c r="BL333"/>
      <c r="BM333"/>
      <c r="BN333"/>
      <c r="BO333"/>
      <c r="BP333"/>
      <c r="BQ333"/>
      <c r="BR333"/>
      <c r="BS333"/>
      <c r="BT333"/>
      <c r="BU333"/>
      <c r="BV333"/>
      <c r="BW333"/>
      <c r="BX333"/>
      <c r="BY333"/>
      <c r="BZ333"/>
      <c r="CA333"/>
      <c r="CB333"/>
      <c r="CC333"/>
      <c r="CD333"/>
      <c r="CE333"/>
      <c r="CF333"/>
      <c r="CG333"/>
      <c r="CH333"/>
      <c r="CI333"/>
      <c r="CJ333"/>
    </row>
    <row r="334" spans="1:88" ht="14.45" customHeight="1">
      <c r="A334" s="65" t="str">
        <f>A219</f>
        <v>NUCA R05 - Z02</v>
      </c>
      <c r="B334" s="48">
        <v>0</v>
      </c>
      <c r="C334" s="48">
        <v>0</v>
      </c>
      <c r="D334" s="48">
        <v>0</v>
      </c>
      <c r="E334" s="48">
        <v>0</v>
      </c>
      <c r="F334" s="263">
        <v>0</v>
      </c>
      <c r="G334" s="48">
        <v>0</v>
      </c>
      <c r="H334" s="48">
        <v>0</v>
      </c>
      <c r="I334" s="48">
        <v>0</v>
      </c>
      <c r="J334" s="48">
        <v>0</v>
      </c>
      <c r="K334" s="48">
        <v>0</v>
      </c>
      <c r="L334" s="48">
        <v>0</v>
      </c>
      <c r="M334" s="48">
        <v>0</v>
      </c>
      <c r="N334" s="260">
        <v>0</v>
      </c>
      <c r="O334" s="288"/>
      <c r="P334" s="359"/>
      <c r="Q334" s="255"/>
      <c r="R334" s="364"/>
      <c r="S334" s="52"/>
      <c r="T334" s="52"/>
      <c r="V334"/>
      <c r="W334"/>
      <c r="X334"/>
      <c r="Y334"/>
      <c r="Z334"/>
      <c r="AA334"/>
      <c r="AB334"/>
      <c r="AC334"/>
      <c r="AD334"/>
      <c r="AE334"/>
      <c r="AF334"/>
      <c r="AG334"/>
      <c r="AH334"/>
      <c r="AI334"/>
      <c r="AJ334"/>
      <c r="AK334"/>
      <c r="AL334"/>
      <c r="AM334"/>
      <c r="AN334"/>
      <c r="AO334"/>
      <c r="AP334"/>
      <c r="AQ334"/>
      <c r="AR334"/>
      <c r="AS334"/>
      <c r="AT334"/>
      <c r="AU334"/>
      <c r="AV334"/>
      <c r="AW334"/>
      <c r="AX334"/>
      <c r="AY334"/>
      <c r="AZ334"/>
      <c r="BA334"/>
      <c r="BB334"/>
      <c r="BC334"/>
      <c r="BD334"/>
      <c r="BE334"/>
      <c r="BF334"/>
      <c r="BG334"/>
      <c r="BH334"/>
      <c r="BI334"/>
      <c r="BJ334"/>
      <c r="BK334"/>
      <c r="BL334"/>
      <c r="BM334"/>
      <c r="BN334"/>
      <c r="BO334"/>
      <c r="BP334"/>
      <c r="BQ334"/>
      <c r="BR334"/>
      <c r="BS334"/>
      <c r="BT334"/>
      <c r="BU334"/>
      <c r="BV334"/>
      <c r="BW334"/>
      <c r="BX334"/>
      <c r="BY334"/>
      <c r="BZ334"/>
      <c r="CA334"/>
      <c r="CB334"/>
      <c r="CC334"/>
      <c r="CD334"/>
      <c r="CE334"/>
      <c r="CF334"/>
      <c r="CG334"/>
      <c r="CH334"/>
      <c r="CI334"/>
      <c r="CJ334"/>
    </row>
    <row r="335" spans="1:88" ht="14.45" customHeight="1">
      <c r="A335" s="65" t="str">
        <f>A220</f>
        <v>EDNC Retail &amp; Offices Civil</v>
      </c>
      <c r="B335" s="48">
        <v>0</v>
      </c>
      <c r="C335" s="48">
        <v>0</v>
      </c>
      <c r="D335" s="48">
        <v>0</v>
      </c>
      <c r="E335" s="48">
        <v>0</v>
      </c>
      <c r="F335" s="263">
        <v>0</v>
      </c>
      <c r="G335" s="48">
        <v>0</v>
      </c>
      <c r="H335" s="48">
        <v>0</v>
      </c>
      <c r="I335" s="48">
        <v>0</v>
      </c>
      <c r="J335" s="48">
        <v>0</v>
      </c>
      <c r="K335" s="48">
        <v>0</v>
      </c>
      <c r="L335" s="48">
        <v>0</v>
      </c>
      <c r="M335" s="48">
        <v>0</v>
      </c>
      <c r="N335" s="260">
        <v>0</v>
      </c>
      <c r="O335" s="288"/>
      <c r="P335" s="359"/>
      <c r="Q335" s="255"/>
      <c r="R335" s="364"/>
      <c r="S335" s="52"/>
      <c r="T335" s="52"/>
      <c r="V335"/>
      <c r="W335"/>
      <c r="X335"/>
      <c r="Y335"/>
      <c r="Z335"/>
      <c r="AA335"/>
      <c r="AB335"/>
      <c r="AC335"/>
      <c r="AD335"/>
      <c r="AE335"/>
      <c r="AF335"/>
      <c r="AG335"/>
      <c r="AH335"/>
      <c r="AI335"/>
      <c r="AJ335"/>
      <c r="AK335"/>
      <c r="AL335"/>
      <c r="AM335"/>
      <c r="AN335"/>
      <c r="AO335"/>
      <c r="AP335"/>
      <c r="AQ335"/>
      <c r="AR335"/>
      <c r="AS335"/>
      <c r="AT335"/>
      <c r="AU335"/>
      <c r="AV335"/>
      <c r="AW335"/>
      <c r="AX335"/>
      <c r="AY335"/>
      <c r="AZ335"/>
      <c r="BA335"/>
      <c r="BB335"/>
      <c r="BC335"/>
      <c r="BD335"/>
      <c r="BE335"/>
      <c r="BF335"/>
      <c r="BG335"/>
      <c r="BH335"/>
      <c r="BI335"/>
      <c r="BJ335"/>
      <c r="BK335"/>
      <c r="BL335"/>
      <c r="BM335"/>
      <c r="BN335"/>
      <c r="BO335"/>
      <c r="BP335"/>
      <c r="BQ335"/>
      <c r="BR335"/>
      <c r="BS335"/>
      <c r="BT335"/>
      <c r="BU335"/>
      <c r="BV335"/>
      <c r="BW335"/>
      <c r="BX335"/>
      <c r="BY335"/>
      <c r="BZ335"/>
      <c r="CA335"/>
      <c r="CB335"/>
      <c r="CC335"/>
      <c r="CD335"/>
      <c r="CE335"/>
      <c r="CF335"/>
      <c r="CG335"/>
      <c r="CH335"/>
      <c r="CI335"/>
      <c r="CJ335"/>
    </row>
    <row r="336" spans="1:88" ht="14.45" customHeight="1">
      <c r="A336" s="65" t="e">
        <f>#REF!</f>
        <v>#REF!</v>
      </c>
      <c r="B336" s="48">
        <v>0</v>
      </c>
      <c r="C336" s="48">
        <v>0</v>
      </c>
      <c r="D336" s="48">
        <v>0</v>
      </c>
      <c r="E336" s="48">
        <v>0</v>
      </c>
      <c r="F336" s="263">
        <v>0</v>
      </c>
      <c r="G336" s="48">
        <v>0</v>
      </c>
      <c r="H336" s="48">
        <v>0</v>
      </c>
      <c r="I336" s="48">
        <v>0</v>
      </c>
      <c r="J336" s="48">
        <v>0</v>
      </c>
      <c r="K336" s="48">
        <v>0</v>
      </c>
      <c r="L336" s="48">
        <v>0</v>
      </c>
      <c r="M336" s="48">
        <v>0</v>
      </c>
      <c r="N336" s="260">
        <v>0</v>
      </c>
      <c r="O336" s="288"/>
      <c r="P336" s="359"/>
      <c r="Q336" s="255"/>
      <c r="R336" s="364"/>
      <c r="S336" s="52"/>
      <c r="T336" s="52"/>
      <c r="V336"/>
      <c r="W336"/>
      <c r="X336"/>
      <c r="Y336"/>
      <c r="Z336"/>
      <c r="AA336"/>
      <c r="AB336"/>
      <c r="AC336"/>
      <c r="AD336"/>
      <c r="AE336"/>
      <c r="AF336"/>
      <c r="AG336"/>
      <c r="AH336"/>
      <c r="AI336"/>
      <c r="AJ336"/>
      <c r="AK336"/>
      <c r="AL336"/>
      <c r="AM336"/>
      <c r="AN336"/>
      <c r="AO336"/>
      <c r="AP336"/>
      <c r="AQ336"/>
      <c r="AR336"/>
      <c r="AS336"/>
      <c r="AT336"/>
      <c r="AU336"/>
      <c r="AV336"/>
      <c r="AW336"/>
      <c r="AX336"/>
      <c r="AY336"/>
      <c r="AZ336"/>
      <c r="BA336"/>
      <c r="BB336"/>
      <c r="BC336"/>
      <c r="BD336"/>
      <c r="BE336"/>
      <c r="BF336"/>
      <c r="BG336"/>
      <c r="BH336"/>
      <c r="BI336"/>
      <c r="BJ336"/>
      <c r="BK336"/>
      <c r="BL336"/>
      <c r="BM336"/>
      <c r="BN336"/>
      <c r="BO336"/>
      <c r="BP336"/>
      <c r="BQ336"/>
      <c r="BR336"/>
      <c r="BS336"/>
      <c r="BT336"/>
      <c r="BU336"/>
      <c r="BV336"/>
      <c r="BW336"/>
      <c r="BX336"/>
      <c r="BY336"/>
      <c r="BZ336"/>
      <c r="CA336"/>
      <c r="CB336"/>
      <c r="CC336"/>
      <c r="CD336"/>
      <c r="CE336"/>
      <c r="CF336"/>
      <c r="CG336"/>
      <c r="CH336"/>
      <c r="CI336"/>
      <c r="CJ336"/>
    </row>
    <row r="337" spans="1:88" ht="14.45" customHeight="1">
      <c r="A337" s="65" t="str">
        <f>A221</f>
        <v>Olympic Multi – Sports Hall</v>
      </c>
      <c r="B337" s="48">
        <v>0</v>
      </c>
      <c r="C337" s="48">
        <v>0</v>
      </c>
      <c r="D337" s="48">
        <v>0</v>
      </c>
      <c r="E337" s="48">
        <v>0</v>
      </c>
      <c r="F337" s="263">
        <v>0</v>
      </c>
      <c r="G337" s="48">
        <v>0</v>
      </c>
      <c r="H337" s="48">
        <v>0</v>
      </c>
      <c r="I337" s="48">
        <v>0</v>
      </c>
      <c r="J337" s="48">
        <v>0</v>
      </c>
      <c r="K337" s="48">
        <v>0</v>
      </c>
      <c r="L337" s="48">
        <v>0</v>
      </c>
      <c r="M337" s="48">
        <v>0</v>
      </c>
      <c r="N337" s="260">
        <v>0</v>
      </c>
      <c r="O337" s="288"/>
      <c r="P337" s="359"/>
      <c r="Q337" s="255"/>
      <c r="R337" s="364"/>
      <c r="S337" s="52"/>
      <c r="T337" s="52"/>
      <c r="V337"/>
      <c r="W337"/>
      <c r="X337"/>
      <c r="Y337"/>
      <c r="Z337"/>
      <c r="AA337"/>
      <c r="AB337"/>
      <c r="AC337"/>
      <c r="AD337"/>
      <c r="AE337"/>
      <c r="AF337"/>
      <c r="AG337"/>
      <c r="AH337"/>
      <c r="AI337"/>
      <c r="AJ337"/>
      <c r="AK337"/>
      <c r="AL337"/>
      <c r="AM337"/>
      <c r="AN337"/>
      <c r="AO337"/>
      <c r="AP337"/>
      <c r="AQ337"/>
      <c r="AR337"/>
      <c r="AS337"/>
      <c r="AT337"/>
      <c r="AU337"/>
      <c r="AV337"/>
      <c r="AW337"/>
      <c r="AX337"/>
      <c r="AY337"/>
      <c r="AZ337"/>
      <c r="BA337"/>
      <c r="BB337"/>
      <c r="BC337"/>
      <c r="BD337"/>
      <c r="BE337"/>
      <c r="BF337"/>
      <c r="BG337"/>
      <c r="BH337"/>
      <c r="BI337"/>
      <c r="BJ337"/>
      <c r="BK337"/>
      <c r="BL337"/>
      <c r="BM337"/>
      <c r="BN337"/>
      <c r="BO337"/>
      <c r="BP337"/>
      <c r="BQ337"/>
      <c r="BR337"/>
      <c r="BS337"/>
      <c r="BT337"/>
      <c r="BU337"/>
      <c r="BV337"/>
      <c r="BW337"/>
      <c r="BX337"/>
      <c r="BY337"/>
      <c r="BZ337"/>
      <c r="CA337"/>
      <c r="CB337"/>
      <c r="CC337"/>
      <c r="CD337"/>
      <c r="CE337"/>
      <c r="CF337"/>
      <c r="CG337"/>
      <c r="CH337"/>
      <c r="CI337"/>
      <c r="CJ337"/>
    </row>
    <row r="338" spans="1:88" ht="14.45" customHeight="1">
      <c r="A338" s="65" t="e">
        <f>#REF!</f>
        <v>#REF!</v>
      </c>
      <c r="B338" s="48">
        <v>0</v>
      </c>
      <c r="C338" s="48">
        <v>0</v>
      </c>
      <c r="D338" s="48">
        <v>0</v>
      </c>
      <c r="E338" s="48">
        <v>0</v>
      </c>
      <c r="F338" s="263">
        <v>0</v>
      </c>
      <c r="G338" s="48">
        <v>0</v>
      </c>
      <c r="H338" s="48">
        <v>0</v>
      </c>
      <c r="I338" s="48">
        <v>0</v>
      </c>
      <c r="J338" s="48">
        <v>0</v>
      </c>
      <c r="K338" s="48">
        <v>0</v>
      </c>
      <c r="L338" s="48">
        <v>0</v>
      </c>
      <c r="M338" s="48">
        <v>0</v>
      </c>
      <c r="N338" s="260">
        <v>0</v>
      </c>
      <c r="O338" s="288"/>
      <c r="P338" s="359"/>
      <c r="Q338" s="255"/>
      <c r="R338" s="364"/>
      <c r="S338" s="52"/>
      <c r="T338" s="52"/>
      <c r="V338"/>
      <c r="W338"/>
      <c r="X338"/>
      <c r="Y338"/>
      <c r="Z338"/>
      <c r="AA338"/>
      <c r="AB338"/>
      <c r="AC338"/>
      <c r="AD338"/>
      <c r="AE338"/>
      <c r="AF338"/>
      <c r="AG338"/>
      <c r="AH338"/>
      <c r="AI338"/>
      <c r="AJ338"/>
      <c r="AK338"/>
      <c r="AL338"/>
      <c r="AM338"/>
      <c r="AN338"/>
      <c r="AO338"/>
      <c r="AP338"/>
      <c r="AQ338"/>
      <c r="AR338"/>
      <c r="AS338"/>
      <c r="AT338"/>
      <c r="AU338"/>
      <c r="AV338"/>
      <c r="AW338"/>
      <c r="AX338"/>
      <c r="AY338"/>
      <c r="AZ338"/>
      <c r="BA338"/>
      <c r="BB338"/>
      <c r="BC338"/>
      <c r="BD338"/>
      <c r="BE338"/>
      <c r="BF338"/>
      <c r="BG338"/>
      <c r="BH338"/>
      <c r="BI338"/>
      <c r="BJ338"/>
      <c r="BK338"/>
      <c r="BL338"/>
      <c r="BM338"/>
      <c r="BN338"/>
      <c r="BO338"/>
      <c r="BP338"/>
      <c r="BQ338"/>
      <c r="BR338"/>
      <c r="BS338"/>
      <c r="BT338"/>
      <c r="BU338"/>
      <c r="BV338"/>
      <c r="BW338"/>
      <c r="BX338"/>
      <c r="BY338"/>
      <c r="BZ338"/>
      <c r="CA338"/>
      <c r="CB338"/>
      <c r="CC338"/>
      <c r="CD338"/>
      <c r="CE338"/>
      <c r="CF338"/>
      <c r="CG338"/>
      <c r="CH338"/>
      <c r="CI338"/>
      <c r="CJ338"/>
    </row>
    <row r="339" spans="1:88" ht="14.45" customHeight="1">
      <c r="A339" s="65" t="e">
        <f>#REF!</f>
        <v>#REF!</v>
      </c>
      <c r="B339" s="48">
        <v>0</v>
      </c>
      <c r="C339" s="48">
        <v>0</v>
      </c>
      <c r="D339" s="48">
        <v>0</v>
      </c>
      <c r="E339" s="48">
        <v>0</v>
      </c>
      <c r="F339" s="263">
        <v>0</v>
      </c>
      <c r="G339" s="48">
        <v>0</v>
      </c>
      <c r="H339" s="48">
        <v>0</v>
      </c>
      <c r="I339" s="48">
        <v>0</v>
      </c>
      <c r="J339" s="48">
        <v>0</v>
      </c>
      <c r="K339" s="48">
        <v>0</v>
      </c>
      <c r="L339" s="48">
        <v>0</v>
      </c>
      <c r="M339" s="48">
        <v>0</v>
      </c>
      <c r="N339" s="260">
        <v>0</v>
      </c>
      <c r="O339" s="288"/>
      <c r="P339" s="359"/>
      <c r="Q339" s="255"/>
      <c r="R339" s="364"/>
      <c r="S339" s="52"/>
      <c r="T339" s="52"/>
      <c r="V339"/>
      <c r="W339"/>
      <c r="X339"/>
      <c r="Y339"/>
      <c r="Z339"/>
      <c r="AA339"/>
      <c r="AB339"/>
      <c r="AC339"/>
      <c r="AD339"/>
      <c r="AE339"/>
      <c r="AF339"/>
      <c r="AG339"/>
      <c r="AH339"/>
      <c r="AI339"/>
      <c r="AJ339"/>
      <c r="AK339"/>
      <c r="AL339"/>
      <c r="AM339"/>
      <c r="AN339"/>
      <c r="AO339"/>
      <c r="AP339"/>
      <c r="AQ339"/>
      <c r="AR339"/>
      <c r="AS339"/>
      <c r="AT339"/>
      <c r="AU339"/>
      <c r="AV339"/>
      <c r="AW339"/>
      <c r="AX339"/>
      <c r="AY339"/>
      <c r="AZ339"/>
      <c r="BA339"/>
      <c r="BB339"/>
      <c r="BC339"/>
      <c r="BD339"/>
      <c r="BE339"/>
      <c r="BF339"/>
      <c r="BG339"/>
      <c r="BH339"/>
      <c r="BI339"/>
      <c r="BJ339"/>
      <c r="BK339"/>
      <c r="BL339"/>
      <c r="BM339"/>
      <c r="BN339"/>
      <c r="BO339"/>
      <c r="BP339"/>
      <c r="BQ339"/>
      <c r="BR339"/>
      <c r="BS339"/>
      <c r="BT339"/>
      <c r="BU339"/>
      <c r="BV339"/>
      <c r="BW339"/>
      <c r="BX339"/>
      <c r="BY339"/>
      <c r="BZ339"/>
      <c r="CA339"/>
      <c r="CB339"/>
      <c r="CC339"/>
      <c r="CD339"/>
      <c r="CE339"/>
      <c r="CF339"/>
      <c r="CG339"/>
      <c r="CH339"/>
      <c r="CI339"/>
      <c r="CJ339"/>
    </row>
    <row r="340" spans="1:88" ht="14.45" customHeight="1">
      <c r="A340" s="65" t="e">
        <f>#REF!</f>
        <v>#REF!</v>
      </c>
      <c r="B340" s="48">
        <v>0</v>
      </c>
      <c r="C340" s="48">
        <v>0</v>
      </c>
      <c r="D340" s="48">
        <v>0</v>
      </c>
      <c r="E340" s="48">
        <v>0</v>
      </c>
      <c r="F340" s="263">
        <v>0</v>
      </c>
      <c r="G340" s="48">
        <v>0</v>
      </c>
      <c r="H340" s="48">
        <v>0</v>
      </c>
      <c r="I340" s="48">
        <v>0</v>
      </c>
      <c r="J340" s="48">
        <v>0</v>
      </c>
      <c r="K340" s="48">
        <v>0</v>
      </c>
      <c r="L340" s="48">
        <v>0</v>
      </c>
      <c r="M340" s="48">
        <v>0</v>
      </c>
      <c r="N340" s="260">
        <v>0</v>
      </c>
      <c r="O340" s="288"/>
      <c r="P340" s="359"/>
      <c r="Q340" s="255"/>
      <c r="R340" s="364"/>
      <c r="S340" s="52"/>
      <c r="T340" s="52"/>
      <c r="V340"/>
      <c r="W340"/>
      <c r="X340"/>
      <c r="Y340"/>
      <c r="Z340"/>
      <c r="AA340"/>
      <c r="AB340"/>
      <c r="AC340"/>
      <c r="AD340"/>
      <c r="AE340"/>
      <c r="AF340"/>
      <c r="AG340"/>
      <c r="AH340"/>
      <c r="AI340"/>
      <c r="AJ340"/>
      <c r="AK340"/>
      <c r="AL340"/>
      <c r="AM340"/>
      <c r="AN340"/>
      <c r="AO340"/>
      <c r="AP340"/>
      <c r="AQ340"/>
      <c r="AR340"/>
      <c r="AS340"/>
      <c r="AT340"/>
      <c r="AU340"/>
      <c r="AV340"/>
      <c r="AW340"/>
      <c r="AX340"/>
      <c r="AY340"/>
      <c r="AZ340"/>
      <c r="BA340"/>
      <c r="BB340"/>
      <c r="BC340"/>
      <c r="BD340"/>
      <c r="BE340"/>
      <c r="BF340"/>
      <c r="BG340"/>
      <c r="BH340"/>
      <c r="BI340"/>
      <c r="BJ340"/>
      <c r="BK340"/>
      <c r="BL340"/>
      <c r="BM340"/>
      <c r="BN340"/>
      <c r="BO340"/>
      <c r="BP340"/>
      <c r="BQ340"/>
      <c r="BR340"/>
      <c r="BS340"/>
      <c r="BT340"/>
      <c r="BU340"/>
      <c r="BV340"/>
      <c r="BW340"/>
      <c r="BX340"/>
      <c r="BY340"/>
      <c r="BZ340"/>
      <c r="CA340"/>
      <c r="CB340"/>
      <c r="CC340"/>
      <c r="CD340"/>
      <c r="CE340"/>
      <c r="CF340"/>
      <c r="CG340"/>
      <c r="CH340"/>
      <c r="CI340"/>
      <c r="CJ340"/>
    </row>
    <row r="341" spans="1:88" ht="15" customHeight="1" thickBot="1">
      <c r="A341" s="50" t="s">
        <v>37</v>
      </c>
      <c r="B341" s="59">
        <f>SUM(B327:B340)</f>
        <v>0</v>
      </c>
      <c r="C341" s="59">
        <f t="shared" ref="C341:N341" si="82">SUM(C327:C340)</f>
        <v>0</v>
      </c>
      <c r="D341" s="59">
        <f t="shared" si="82"/>
        <v>0</v>
      </c>
      <c r="E341" s="59">
        <f t="shared" si="82"/>
        <v>0</v>
      </c>
      <c r="F341" s="347">
        <f t="shared" si="82"/>
        <v>0</v>
      </c>
      <c r="G341" s="59">
        <f t="shared" si="82"/>
        <v>0</v>
      </c>
      <c r="H341" s="59">
        <f t="shared" si="82"/>
        <v>0</v>
      </c>
      <c r="I341" s="59">
        <f t="shared" si="82"/>
        <v>0</v>
      </c>
      <c r="J341" s="59">
        <f t="shared" si="82"/>
        <v>0</v>
      </c>
      <c r="K341" s="59">
        <f t="shared" si="82"/>
        <v>0</v>
      </c>
      <c r="L341" s="59">
        <f t="shared" si="82"/>
        <v>0</v>
      </c>
      <c r="M341" s="59">
        <f t="shared" si="82"/>
        <v>0</v>
      </c>
      <c r="N341" s="264">
        <f t="shared" si="82"/>
        <v>0</v>
      </c>
      <c r="O341" s="288"/>
      <c r="P341" s="359"/>
      <c r="Q341" s="255"/>
      <c r="R341" s="364"/>
      <c r="S341" s="52"/>
      <c r="T341" s="52"/>
      <c r="V341"/>
      <c r="W341"/>
      <c r="X341"/>
      <c r="Y341"/>
      <c r="Z341"/>
      <c r="AA341"/>
      <c r="AB341"/>
      <c r="AC341"/>
      <c r="AD341"/>
      <c r="AE341"/>
      <c r="AF341"/>
      <c r="AG341"/>
      <c r="AH341"/>
      <c r="AI341"/>
      <c r="AJ341"/>
      <c r="AK341"/>
      <c r="AL341"/>
      <c r="AM341"/>
      <c r="AN341"/>
      <c r="AO341"/>
      <c r="AP341"/>
      <c r="AQ341"/>
      <c r="AR341"/>
      <c r="AS341"/>
      <c r="AT341"/>
      <c r="AU341"/>
      <c r="AV341"/>
      <c r="AW341"/>
      <c r="AX341"/>
      <c r="AY341"/>
      <c r="AZ341"/>
      <c r="BA341"/>
      <c r="BB341"/>
      <c r="BC341"/>
      <c r="BD341"/>
      <c r="BE341"/>
      <c r="BF341"/>
      <c r="BG341"/>
      <c r="BH341"/>
      <c r="BI341"/>
      <c r="BJ341"/>
      <c r="BK341"/>
      <c r="BL341"/>
      <c r="BM341"/>
      <c r="BN341"/>
      <c r="BO341"/>
      <c r="BP341"/>
      <c r="BQ341"/>
      <c r="BR341"/>
      <c r="BS341"/>
      <c r="BT341"/>
      <c r="BU341"/>
      <c r="BV341"/>
      <c r="BW341"/>
      <c r="BX341"/>
      <c r="BY341"/>
      <c r="BZ341"/>
      <c r="CA341"/>
      <c r="CB341"/>
      <c r="CC341"/>
      <c r="CD341"/>
      <c r="CE341"/>
      <c r="CF341"/>
      <c r="CG341"/>
      <c r="CH341"/>
      <c r="CI341"/>
      <c r="CJ341"/>
    </row>
    <row r="342" spans="1:88" ht="15" customHeight="1" thickTop="1">
      <c r="A342" s="45" t="s">
        <v>48</v>
      </c>
      <c r="B342" s="48"/>
      <c r="C342" s="48"/>
      <c r="D342" s="48"/>
      <c r="E342" s="48"/>
      <c r="F342" s="263"/>
      <c r="G342" s="48"/>
      <c r="H342" s="48"/>
      <c r="I342" s="48"/>
      <c r="J342" s="48"/>
      <c r="K342" s="48"/>
      <c r="L342" s="48"/>
      <c r="M342" s="48"/>
      <c r="N342" s="260"/>
      <c r="O342" s="288"/>
      <c r="P342" s="359"/>
      <c r="Q342" s="255"/>
      <c r="R342" s="364"/>
      <c r="S342" s="52"/>
      <c r="T342" s="52"/>
      <c r="V342"/>
      <c r="W342"/>
      <c r="X342"/>
      <c r="Y342"/>
      <c r="Z342"/>
      <c r="AA342"/>
      <c r="AB342"/>
      <c r="AC342"/>
      <c r="AD342"/>
      <c r="AE342"/>
      <c r="AF342"/>
      <c r="AG342"/>
      <c r="AH342"/>
      <c r="AI342"/>
      <c r="AJ342"/>
      <c r="AK342"/>
      <c r="AL342"/>
      <c r="AM342"/>
      <c r="AN342"/>
      <c r="AO342"/>
      <c r="AP342"/>
      <c r="AQ342"/>
      <c r="AR342"/>
      <c r="AS342"/>
      <c r="AT342"/>
      <c r="AU342"/>
      <c r="AV342"/>
      <c r="AW342"/>
      <c r="AX342"/>
      <c r="AY342"/>
      <c r="AZ342"/>
      <c r="BA342"/>
      <c r="BB342"/>
      <c r="BC342"/>
      <c r="BD342"/>
      <c r="BE342"/>
      <c r="BF342"/>
      <c r="BG342"/>
      <c r="BH342"/>
      <c r="BI342"/>
      <c r="BJ342"/>
      <c r="BK342"/>
      <c r="BL342"/>
      <c r="BM342"/>
      <c r="BN342"/>
      <c r="BO342"/>
      <c r="BP342"/>
      <c r="BQ342"/>
      <c r="BR342"/>
      <c r="BS342"/>
      <c r="BT342"/>
      <c r="BU342"/>
      <c r="BV342"/>
      <c r="BW342"/>
      <c r="BX342"/>
      <c r="BY342"/>
      <c r="BZ342"/>
      <c r="CA342"/>
      <c r="CB342"/>
      <c r="CC342"/>
      <c r="CD342"/>
      <c r="CE342"/>
      <c r="CF342"/>
      <c r="CG342"/>
      <c r="CH342"/>
      <c r="CI342"/>
      <c r="CJ342"/>
    </row>
    <row r="343" spans="1:88" ht="14.45" hidden="1" customHeight="1" thickTop="1">
      <c r="A343" s="65" t="e">
        <f t="shared" ref="A343:A349" si="83">A298</f>
        <v>#REF!</v>
      </c>
      <c r="B343" s="48">
        <v>0</v>
      </c>
      <c r="C343" s="48">
        <v>0</v>
      </c>
      <c r="D343" s="48">
        <v>0</v>
      </c>
      <c r="E343" s="48">
        <v>0</v>
      </c>
      <c r="F343" s="263">
        <v>0</v>
      </c>
      <c r="G343" s="48">
        <v>0</v>
      </c>
      <c r="H343" s="48">
        <v>0</v>
      </c>
      <c r="I343" s="48">
        <v>0</v>
      </c>
      <c r="J343" s="48">
        <v>0</v>
      </c>
      <c r="K343" s="48">
        <v>0</v>
      </c>
      <c r="L343" s="48">
        <v>0</v>
      </c>
      <c r="M343" s="48">
        <v>0</v>
      </c>
      <c r="N343" s="260">
        <v>0</v>
      </c>
      <c r="O343" s="288"/>
      <c r="P343" s="359"/>
      <c r="Q343" s="255"/>
      <c r="R343" s="364"/>
      <c r="S343" s="52"/>
      <c r="T343" s="52"/>
      <c r="V343"/>
      <c r="W343"/>
      <c r="X343"/>
      <c r="Y343"/>
      <c r="Z343"/>
      <c r="AA343"/>
      <c r="AB343"/>
      <c r="AC343"/>
      <c r="AD343"/>
      <c r="AE343"/>
      <c r="AF343"/>
      <c r="AG343"/>
      <c r="AH343"/>
      <c r="AI343"/>
      <c r="AJ343"/>
      <c r="AK343"/>
      <c r="AL343"/>
      <c r="AM343"/>
      <c r="AN343"/>
      <c r="AO343"/>
      <c r="AP343"/>
      <c r="AQ343"/>
      <c r="AR343"/>
      <c r="AS343"/>
      <c r="AT343"/>
      <c r="AU343"/>
      <c r="AV343"/>
      <c r="AW343"/>
      <c r="AX343"/>
      <c r="AY343"/>
      <c r="AZ343"/>
      <c r="BA343"/>
      <c r="BB343"/>
      <c r="BC343"/>
      <c r="BD343"/>
      <c r="BE343"/>
      <c r="BF343"/>
      <c r="BG343"/>
      <c r="BH343"/>
      <c r="BI343"/>
      <c r="BJ343"/>
      <c r="BK343"/>
      <c r="BL343"/>
      <c r="BM343"/>
      <c r="BN343"/>
      <c r="BO343"/>
      <c r="BP343"/>
      <c r="BQ343"/>
      <c r="BR343"/>
      <c r="BS343"/>
      <c r="BT343"/>
      <c r="BU343"/>
      <c r="BV343"/>
      <c r="BW343"/>
      <c r="BX343"/>
      <c r="BY343"/>
      <c r="BZ343"/>
      <c r="CA343"/>
      <c r="CB343"/>
      <c r="CC343"/>
      <c r="CD343"/>
      <c r="CE343"/>
      <c r="CF343"/>
      <c r="CG343"/>
      <c r="CH343"/>
      <c r="CI343"/>
      <c r="CJ343"/>
    </row>
    <row r="344" spans="1:88" ht="14.45" hidden="1" customHeight="1">
      <c r="A344" s="65" t="e">
        <f t="shared" si="83"/>
        <v>#REF!</v>
      </c>
      <c r="B344" s="48">
        <v>0</v>
      </c>
      <c r="C344" s="48">
        <v>0</v>
      </c>
      <c r="D344" s="48">
        <v>0</v>
      </c>
      <c r="E344" s="48">
        <v>0</v>
      </c>
      <c r="F344" s="263">
        <v>0</v>
      </c>
      <c r="G344" s="48">
        <v>0</v>
      </c>
      <c r="H344" s="48">
        <v>0</v>
      </c>
      <c r="I344" s="48">
        <v>0</v>
      </c>
      <c r="J344" s="48">
        <v>0</v>
      </c>
      <c r="K344" s="48">
        <v>0</v>
      </c>
      <c r="L344" s="48">
        <v>0</v>
      </c>
      <c r="M344" s="48">
        <v>0</v>
      </c>
      <c r="N344" s="260">
        <v>0</v>
      </c>
      <c r="O344" s="288"/>
      <c r="P344" s="359"/>
      <c r="Q344" s="255"/>
      <c r="R344" s="364"/>
      <c r="S344" s="52"/>
      <c r="T344" s="52"/>
      <c r="V344"/>
      <c r="W344"/>
      <c r="X344"/>
      <c r="Y344"/>
      <c r="Z344"/>
      <c r="AA344"/>
      <c r="AB344"/>
      <c r="AC344"/>
      <c r="AD344"/>
      <c r="AE344"/>
      <c r="AF344"/>
      <c r="AG344"/>
      <c r="AH344"/>
      <c r="AI344"/>
      <c r="AJ344"/>
      <c r="AK344"/>
      <c r="AL344"/>
      <c r="AM344"/>
      <c r="AN344"/>
      <c r="AO344"/>
      <c r="AP344"/>
      <c r="AQ344"/>
      <c r="AR344"/>
      <c r="AS344"/>
      <c r="AT344"/>
      <c r="AU344"/>
      <c r="AV344"/>
      <c r="AW344"/>
      <c r="AX344"/>
      <c r="AY344"/>
      <c r="AZ344"/>
      <c r="BA344"/>
      <c r="BB344"/>
      <c r="BC344"/>
      <c r="BD344"/>
      <c r="BE344"/>
      <c r="BF344"/>
      <c r="BG344"/>
      <c r="BH344"/>
      <c r="BI344"/>
      <c r="BJ344"/>
      <c r="BK344"/>
      <c r="BL344"/>
      <c r="BM344"/>
      <c r="BN344"/>
      <c r="BO344"/>
      <c r="BP344"/>
      <c r="BQ344"/>
      <c r="BR344"/>
      <c r="BS344"/>
      <c r="BT344"/>
      <c r="BU344"/>
      <c r="BV344"/>
      <c r="BW344"/>
      <c r="BX344"/>
      <c r="BY344"/>
      <c r="BZ344"/>
      <c r="CA344"/>
      <c r="CB344"/>
      <c r="CC344"/>
      <c r="CD344"/>
      <c r="CE344"/>
      <c r="CF344"/>
      <c r="CG344"/>
      <c r="CH344"/>
      <c r="CI344"/>
      <c r="CJ344"/>
    </row>
    <row r="345" spans="1:88" ht="14.45" hidden="1" customHeight="1">
      <c r="A345" s="65" t="e">
        <f t="shared" si="83"/>
        <v>#REF!</v>
      </c>
      <c r="B345" s="48">
        <v>0</v>
      </c>
      <c r="C345" s="48">
        <v>0</v>
      </c>
      <c r="D345" s="48">
        <v>0</v>
      </c>
      <c r="E345" s="48">
        <v>0</v>
      </c>
      <c r="F345" s="263">
        <v>0</v>
      </c>
      <c r="G345" s="48">
        <v>0</v>
      </c>
      <c r="H345" s="48">
        <v>0</v>
      </c>
      <c r="I345" s="48">
        <v>0</v>
      </c>
      <c r="J345" s="48">
        <v>0</v>
      </c>
      <c r="K345" s="48">
        <v>0</v>
      </c>
      <c r="L345" s="48">
        <v>0</v>
      </c>
      <c r="M345" s="48">
        <v>0</v>
      </c>
      <c r="N345" s="260">
        <v>0</v>
      </c>
      <c r="O345" s="288"/>
      <c r="P345" s="359"/>
      <c r="Q345" s="255"/>
      <c r="R345" s="364"/>
      <c r="S345" s="52"/>
      <c r="T345" s="52"/>
      <c r="V345"/>
      <c r="W345"/>
      <c r="X345"/>
      <c r="Y345"/>
      <c r="Z345"/>
      <c r="AA345"/>
      <c r="AB345"/>
      <c r="AC345"/>
      <c r="AD345"/>
      <c r="AE345"/>
      <c r="AF345"/>
      <c r="AG345"/>
      <c r="AH345"/>
      <c r="AI345"/>
      <c r="AJ345"/>
      <c r="AK345"/>
      <c r="AL345"/>
      <c r="AM345"/>
      <c r="AN345"/>
      <c r="AO345"/>
      <c r="AP345"/>
      <c r="AQ345"/>
      <c r="AR345"/>
      <c r="AS345"/>
      <c r="AT345"/>
      <c r="AU345"/>
      <c r="AV345"/>
      <c r="AW345"/>
      <c r="AX345"/>
      <c r="AY345"/>
      <c r="AZ345"/>
      <c r="BA345"/>
      <c r="BB345"/>
      <c r="BC345"/>
      <c r="BD345"/>
      <c r="BE345"/>
      <c r="BF345"/>
      <c r="BG345"/>
      <c r="BH345"/>
      <c r="BI345"/>
      <c r="BJ345"/>
      <c r="BK345"/>
      <c r="BL345"/>
      <c r="BM345"/>
      <c r="BN345"/>
      <c r="BO345"/>
      <c r="BP345"/>
      <c r="BQ345"/>
      <c r="BR345"/>
      <c r="BS345"/>
      <c r="BT345"/>
      <c r="BU345"/>
      <c r="BV345"/>
      <c r="BW345"/>
      <c r="BX345"/>
      <c r="BY345"/>
      <c r="BZ345"/>
      <c r="CA345"/>
      <c r="CB345"/>
      <c r="CC345"/>
      <c r="CD345"/>
      <c r="CE345"/>
      <c r="CF345"/>
      <c r="CG345"/>
      <c r="CH345"/>
      <c r="CI345"/>
      <c r="CJ345"/>
    </row>
    <row r="346" spans="1:88" ht="14.45" hidden="1" customHeight="1">
      <c r="A346" s="65" t="e">
        <f t="shared" si="83"/>
        <v>#REF!</v>
      </c>
      <c r="B346" s="48">
        <v>0</v>
      </c>
      <c r="C346" s="48">
        <v>0</v>
      </c>
      <c r="D346" s="48">
        <v>0</v>
      </c>
      <c r="E346" s="48">
        <v>0</v>
      </c>
      <c r="F346" s="263">
        <v>0</v>
      </c>
      <c r="G346" s="48">
        <v>0</v>
      </c>
      <c r="H346" s="48">
        <v>0</v>
      </c>
      <c r="I346" s="48">
        <v>0</v>
      </c>
      <c r="J346" s="48">
        <v>0</v>
      </c>
      <c r="K346" s="48">
        <v>0</v>
      </c>
      <c r="L346" s="48">
        <v>0</v>
      </c>
      <c r="M346" s="48">
        <v>0</v>
      </c>
      <c r="N346" s="260">
        <v>0</v>
      </c>
      <c r="O346" s="288"/>
      <c r="P346" s="359"/>
      <c r="Q346" s="255"/>
      <c r="R346" s="364"/>
      <c r="S346" s="52"/>
      <c r="T346" s="52"/>
      <c r="V346"/>
      <c r="W346"/>
      <c r="X346"/>
      <c r="Y346"/>
      <c r="Z346"/>
      <c r="AA346"/>
      <c r="AB346"/>
      <c r="AC346"/>
      <c r="AD346"/>
      <c r="AE346"/>
      <c r="AF346"/>
      <c r="AG346"/>
      <c r="AH346"/>
      <c r="AI346"/>
      <c r="AJ346"/>
      <c r="AK346"/>
      <c r="AL346"/>
      <c r="AM346"/>
      <c r="AN346"/>
      <c r="AO346"/>
      <c r="AP346"/>
      <c r="AQ346"/>
      <c r="AR346"/>
      <c r="AS346"/>
      <c r="AT346"/>
      <c r="AU346"/>
      <c r="AV346"/>
      <c r="AW346"/>
      <c r="AX346"/>
      <c r="AY346"/>
      <c r="AZ346"/>
      <c r="BA346"/>
      <c r="BB346"/>
      <c r="BC346"/>
      <c r="BD346"/>
      <c r="BE346"/>
      <c r="BF346"/>
      <c r="BG346"/>
      <c r="BH346"/>
      <c r="BI346"/>
      <c r="BJ346"/>
      <c r="BK346"/>
      <c r="BL346"/>
      <c r="BM346"/>
      <c r="BN346"/>
      <c r="BO346"/>
      <c r="BP346"/>
      <c r="BQ346"/>
      <c r="BR346"/>
      <c r="BS346"/>
      <c r="BT346"/>
      <c r="BU346"/>
      <c r="BV346"/>
      <c r="BW346"/>
      <c r="BX346"/>
      <c r="BY346"/>
      <c r="BZ346"/>
      <c r="CA346"/>
      <c r="CB346"/>
      <c r="CC346"/>
      <c r="CD346"/>
      <c r="CE346"/>
      <c r="CF346"/>
      <c r="CG346"/>
      <c r="CH346"/>
      <c r="CI346"/>
      <c r="CJ346"/>
    </row>
    <row r="347" spans="1:88" ht="14.45" hidden="1" customHeight="1">
      <c r="A347" s="65" t="e">
        <f t="shared" si="83"/>
        <v>#REF!</v>
      </c>
      <c r="B347" s="48">
        <v>0</v>
      </c>
      <c r="C347" s="48">
        <v>0</v>
      </c>
      <c r="D347" s="48">
        <v>0</v>
      </c>
      <c r="E347" s="48">
        <v>0</v>
      </c>
      <c r="F347" s="263">
        <v>0</v>
      </c>
      <c r="G347" s="48">
        <v>0</v>
      </c>
      <c r="H347" s="48">
        <v>0</v>
      </c>
      <c r="I347" s="48">
        <v>0</v>
      </c>
      <c r="J347" s="48">
        <v>0</v>
      </c>
      <c r="K347" s="48">
        <v>0</v>
      </c>
      <c r="L347" s="48">
        <v>0</v>
      </c>
      <c r="M347" s="48">
        <v>0</v>
      </c>
      <c r="N347" s="260">
        <v>0</v>
      </c>
      <c r="O347" s="288"/>
      <c r="P347" s="359"/>
      <c r="Q347" s="255"/>
      <c r="R347" s="364"/>
      <c r="S347" s="52"/>
      <c r="T347" s="52"/>
      <c r="V347"/>
      <c r="W347"/>
      <c r="X347"/>
      <c r="Y347"/>
      <c r="Z347"/>
      <c r="AA347"/>
      <c r="AB347"/>
      <c r="AC347"/>
      <c r="AD347"/>
      <c r="AE347"/>
      <c r="AF347"/>
      <c r="AG347"/>
      <c r="AH347"/>
      <c r="AI347"/>
      <c r="AJ347"/>
      <c r="AK347"/>
      <c r="AL347"/>
      <c r="AM347"/>
      <c r="AN347"/>
      <c r="AO347"/>
      <c r="AP347"/>
      <c r="AQ347"/>
      <c r="AR347"/>
      <c r="AS347"/>
      <c r="AT347"/>
      <c r="AU347"/>
      <c r="AV347"/>
      <c r="AW347"/>
      <c r="AX347"/>
      <c r="AY347"/>
      <c r="AZ347"/>
      <c r="BA347"/>
      <c r="BB347"/>
      <c r="BC347"/>
      <c r="BD347"/>
      <c r="BE347"/>
      <c r="BF347"/>
      <c r="BG347"/>
      <c r="BH347"/>
      <c r="BI347"/>
      <c r="BJ347"/>
      <c r="BK347"/>
      <c r="BL347"/>
      <c r="BM347"/>
      <c r="BN347"/>
      <c r="BO347"/>
      <c r="BP347"/>
      <c r="BQ347"/>
      <c r="BR347"/>
      <c r="BS347"/>
      <c r="BT347"/>
      <c r="BU347"/>
      <c r="BV347"/>
      <c r="BW347"/>
      <c r="BX347"/>
      <c r="BY347"/>
      <c r="BZ347"/>
      <c r="CA347"/>
      <c r="CB347"/>
      <c r="CC347"/>
      <c r="CD347"/>
      <c r="CE347"/>
      <c r="CF347"/>
      <c r="CG347"/>
      <c r="CH347"/>
      <c r="CI347"/>
      <c r="CJ347"/>
    </row>
    <row r="348" spans="1:88" ht="14.45" hidden="1" customHeight="1">
      <c r="A348" s="65" t="e">
        <f t="shared" si="83"/>
        <v>#REF!</v>
      </c>
      <c r="B348" s="48">
        <v>0</v>
      </c>
      <c r="C348" s="48">
        <v>0</v>
      </c>
      <c r="D348" s="48">
        <v>0</v>
      </c>
      <c r="E348" s="48">
        <v>0</v>
      </c>
      <c r="F348" s="263">
        <v>0</v>
      </c>
      <c r="G348" s="48">
        <v>0</v>
      </c>
      <c r="H348" s="48">
        <v>0</v>
      </c>
      <c r="I348" s="48">
        <v>0</v>
      </c>
      <c r="J348" s="48">
        <v>0</v>
      </c>
      <c r="K348" s="48">
        <v>0</v>
      </c>
      <c r="L348" s="48">
        <v>0</v>
      </c>
      <c r="M348" s="48">
        <v>0</v>
      </c>
      <c r="N348" s="260">
        <v>0</v>
      </c>
      <c r="O348" s="288"/>
      <c r="P348" s="359"/>
      <c r="Q348" s="255"/>
      <c r="R348" s="364"/>
      <c r="S348" s="52"/>
      <c r="T348" s="52"/>
      <c r="V348"/>
      <c r="W348"/>
      <c r="X348"/>
      <c r="Y348"/>
      <c r="Z348"/>
      <c r="AA348"/>
      <c r="AB348"/>
      <c r="AC348"/>
      <c r="AD348"/>
      <c r="AE348"/>
      <c r="AF348"/>
      <c r="AG348"/>
      <c r="AH348"/>
      <c r="AI348"/>
      <c r="AJ348"/>
      <c r="AK348"/>
      <c r="AL348"/>
      <c r="AM348"/>
      <c r="AN348"/>
      <c r="AO348"/>
      <c r="AP348"/>
      <c r="AQ348"/>
      <c r="AR348"/>
      <c r="AS348"/>
      <c r="AT348"/>
      <c r="AU348"/>
      <c r="AV348"/>
      <c r="AW348"/>
      <c r="AX348"/>
      <c r="AY348"/>
      <c r="AZ348"/>
      <c r="BA348"/>
      <c r="BB348"/>
      <c r="BC348"/>
      <c r="BD348"/>
      <c r="BE348"/>
      <c r="BF348"/>
      <c r="BG348"/>
      <c r="BH348"/>
      <c r="BI348"/>
      <c r="BJ348"/>
      <c r="BK348"/>
      <c r="BL348"/>
      <c r="BM348"/>
      <c r="BN348"/>
      <c r="BO348"/>
      <c r="BP348"/>
      <c r="BQ348"/>
      <c r="BR348"/>
      <c r="BS348"/>
      <c r="BT348"/>
      <c r="BU348"/>
      <c r="BV348"/>
      <c r="BW348"/>
      <c r="BX348"/>
      <c r="BY348"/>
      <c r="BZ348"/>
      <c r="CA348"/>
      <c r="CB348"/>
      <c r="CC348"/>
      <c r="CD348"/>
      <c r="CE348"/>
      <c r="CF348"/>
      <c r="CG348"/>
      <c r="CH348"/>
      <c r="CI348"/>
      <c r="CJ348"/>
    </row>
    <row r="349" spans="1:88" ht="14.45" hidden="1" customHeight="1">
      <c r="A349" s="65" t="e">
        <f t="shared" si="83"/>
        <v>#REF!</v>
      </c>
      <c r="B349" s="48">
        <v>0</v>
      </c>
      <c r="C349" s="48">
        <v>0</v>
      </c>
      <c r="D349" s="48">
        <v>0</v>
      </c>
      <c r="E349" s="48">
        <v>0</v>
      </c>
      <c r="F349" s="263">
        <v>0</v>
      </c>
      <c r="G349" s="48">
        <v>0</v>
      </c>
      <c r="H349" s="48">
        <v>0</v>
      </c>
      <c r="I349" s="48">
        <v>0</v>
      </c>
      <c r="J349" s="48">
        <v>0</v>
      </c>
      <c r="K349" s="48">
        <v>0</v>
      </c>
      <c r="L349" s="48">
        <v>0</v>
      </c>
      <c r="M349" s="48">
        <v>0</v>
      </c>
      <c r="N349" s="260">
        <v>0</v>
      </c>
      <c r="O349" s="288"/>
      <c r="P349" s="359"/>
      <c r="Q349" s="255"/>
      <c r="R349" s="364"/>
      <c r="S349" s="52"/>
      <c r="T349" s="52"/>
      <c r="V349"/>
      <c r="W349"/>
      <c r="X349"/>
      <c r="Y349"/>
      <c r="Z349"/>
      <c r="AA349"/>
      <c r="AB349"/>
      <c r="AC349"/>
      <c r="AD349"/>
      <c r="AE349"/>
      <c r="AF349"/>
      <c r="AG349"/>
      <c r="AH349"/>
      <c r="AI349"/>
      <c r="AJ349"/>
      <c r="AK349"/>
      <c r="AL349"/>
      <c r="AM349"/>
      <c r="AN349"/>
      <c r="AO349"/>
      <c r="AP349"/>
      <c r="AQ349"/>
      <c r="AR349"/>
      <c r="AS349"/>
      <c r="AT349"/>
      <c r="AU349"/>
      <c r="AV349"/>
      <c r="AW349"/>
      <c r="AX349"/>
      <c r="AY349"/>
      <c r="AZ349"/>
      <c r="BA349"/>
      <c r="BB349"/>
      <c r="BC349"/>
      <c r="BD349"/>
      <c r="BE349"/>
      <c r="BF349"/>
      <c r="BG349"/>
      <c r="BH349"/>
      <c r="BI349"/>
      <c r="BJ349"/>
      <c r="BK349"/>
      <c r="BL349"/>
      <c r="BM349"/>
      <c r="BN349"/>
      <c r="BO349"/>
      <c r="BP349"/>
      <c r="BQ349"/>
      <c r="BR349"/>
      <c r="BS349"/>
      <c r="BT349"/>
      <c r="BU349"/>
      <c r="BV349"/>
      <c r="BW349"/>
      <c r="BX349"/>
      <c r="BY349"/>
      <c r="BZ349"/>
      <c r="CA349"/>
      <c r="CB349"/>
      <c r="CC349"/>
      <c r="CD349"/>
      <c r="CE349"/>
      <c r="CF349"/>
      <c r="CG349"/>
      <c r="CH349"/>
      <c r="CI349"/>
      <c r="CJ349"/>
    </row>
    <row r="350" spans="1:88" ht="14.45" customHeight="1">
      <c r="A350" s="65" t="e">
        <f>A306</f>
        <v>#REF!</v>
      </c>
      <c r="B350" s="48">
        <v>0</v>
      </c>
      <c r="C350" s="48">
        <v>0</v>
      </c>
      <c r="D350" s="48">
        <v>0</v>
      </c>
      <c r="E350" s="48">
        <v>0</v>
      </c>
      <c r="F350" s="263">
        <v>0</v>
      </c>
      <c r="G350" s="48">
        <v>0</v>
      </c>
      <c r="H350" s="48">
        <v>0</v>
      </c>
      <c r="I350" s="48">
        <v>0</v>
      </c>
      <c r="J350" s="48">
        <v>0</v>
      </c>
      <c r="K350" s="48">
        <v>0</v>
      </c>
      <c r="L350" s="48">
        <v>0</v>
      </c>
      <c r="M350" s="48">
        <v>0</v>
      </c>
      <c r="N350" s="260">
        <v>0</v>
      </c>
      <c r="O350" s="288"/>
      <c r="P350" s="359"/>
      <c r="Q350" s="255"/>
      <c r="R350" s="364"/>
      <c r="S350" s="52"/>
      <c r="T350" s="52"/>
      <c r="V350"/>
      <c r="W350"/>
      <c r="X350"/>
      <c r="Y350"/>
      <c r="Z350"/>
      <c r="AA350"/>
      <c r="AB350"/>
      <c r="AC350"/>
      <c r="AD350"/>
      <c r="AE350"/>
      <c r="AF350"/>
      <c r="AG350"/>
      <c r="AH350"/>
      <c r="AI350"/>
      <c r="AJ350"/>
      <c r="AK350"/>
      <c r="AL350"/>
      <c r="AM350"/>
      <c r="AN350"/>
      <c r="AO350"/>
      <c r="AP350"/>
      <c r="AQ350"/>
      <c r="AR350"/>
      <c r="AS350"/>
      <c r="AT350"/>
      <c r="AU350"/>
      <c r="AV350"/>
      <c r="AW350"/>
      <c r="AX350"/>
      <c r="AY350"/>
      <c r="AZ350"/>
      <c r="BA350"/>
      <c r="BB350"/>
      <c r="BC350"/>
      <c r="BD350"/>
      <c r="BE350"/>
      <c r="BF350"/>
      <c r="BG350"/>
      <c r="BH350"/>
      <c r="BI350"/>
      <c r="BJ350"/>
      <c r="BK350"/>
      <c r="BL350"/>
      <c r="BM350"/>
      <c r="BN350"/>
      <c r="BO350"/>
      <c r="BP350"/>
      <c r="BQ350"/>
      <c r="BR350"/>
      <c r="BS350"/>
      <c r="BT350"/>
      <c r="BU350"/>
      <c r="BV350"/>
      <c r="BW350"/>
      <c r="BX350"/>
      <c r="BY350"/>
      <c r="BZ350"/>
      <c r="CA350"/>
      <c r="CB350"/>
      <c r="CC350"/>
      <c r="CD350"/>
      <c r="CE350"/>
      <c r="CF350"/>
      <c r="CG350"/>
      <c r="CH350"/>
      <c r="CI350"/>
      <c r="CJ350"/>
    </row>
    <row r="351" spans="1:88" ht="15" customHeight="1" thickBot="1">
      <c r="A351" s="50" t="s">
        <v>37</v>
      </c>
      <c r="B351" s="59">
        <f t="shared" ref="B351:N351" si="84">SUM(B343:B350)</f>
        <v>0</v>
      </c>
      <c r="C351" s="59">
        <f t="shared" si="84"/>
        <v>0</v>
      </c>
      <c r="D351" s="59">
        <f t="shared" si="84"/>
        <v>0</v>
      </c>
      <c r="E351" s="59">
        <f t="shared" si="84"/>
        <v>0</v>
      </c>
      <c r="F351" s="347">
        <f t="shared" si="84"/>
        <v>0</v>
      </c>
      <c r="G351" s="59">
        <f t="shared" si="84"/>
        <v>0</v>
      </c>
      <c r="H351" s="59">
        <f t="shared" si="84"/>
        <v>0</v>
      </c>
      <c r="I351" s="59">
        <f t="shared" si="84"/>
        <v>0</v>
      </c>
      <c r="J351" s="59">
        <f t="shared" si="84"/>
        <v>0</v>
      </c>
      <c r="K351" s="59">
        <f t="shared" si="84"/>
        <v>0</v>
      </c>
      <c r="L351" s="59">
        <f t="shared" si="84"/>
        <v>0</v>
      </c>
      <c r="M351" s="59">
        <f t="shared" si="84"/>
        <v>0</v>
      </c>
      <c r="N351" s="264">
        <f t="shared" si="84"/>
        <v>0</v>
      </c>
      <c r="O351" s="288"/>
      <c r="P351" s="359"/>
      <c r="Q351" s="255"/>
      <c r="R351" s="364"/>
      <c r="S351" s="52"/>
      <c r="T351" s="52"/>
      <c r="V351"/>
      <c r="W351"/>
      <c r="X351"/>
      <c r="Y351"/>
      <c r="Z351"/>
      <c r="AA351"/>
      <c r="AB351"/>
      <c r="AC351"/>
      <c r="AD351"/>
      <c r="AE351"/>
      <c r="AF351"/>
      <c r="AG351"/>
      <c r="AH351"/>
      <c r="AI351"/>
      <c r="AJ351"/>
      <c r="AK351"/>
      <c r="AL351"/>
      <c r="AM351"/>
      <c r="AN351"/>
      <c r="AO351"/>
      <c r="AP351"/>
      <c r="AQ351"/>
      <c r="AR351"/>
      <c r="AS351"/>
      <c r="AT351"/>
      <c r="AU351"/>
      <c r="AV351"/>
      <c r="AW351"/>
      <c r="AX351"/>
      <c r="AY351"/>
      <c r="AZ351"/>
      <c r="BA351"/>
      <c r="BB351"/>
      <c r="BC351"/>
      <c r="BD351"/>
      <c r="BE351"/>
      <c r="BF351"/>
      <c r="BG351"/>
      <c r="BH351"/>
      <c r="BI351"/>
      <c r="BJ351"/>
      <c r="BK351"/>
      <c r="BL351"/>
      <c r="BM351"/>
      <c r="BN351"/>
      <c r="BO351"/>
      <c r="BP351"/>
      <c r="BQ351"/>
      <c r="BR351"/>
      <c r="BS351"/>
      <c r="BT351"/>
      <c r="BU351"/>
      <c r="BV351"/>
      <c r="BW351"/>
      <c r="BX351"/>
      <c r="BY351"/>
      <c r="BZ351"/>
      <c r="CA351"/>
      <c r="CB351"/>
      <c r="CC351"/>
      <c r="CD351"/>
      <c r="CE351"/>
      <c r="CF351"/>
      <c r="CG351"/>
      <c r="CH351"/>
      <c r="CI351"/>
      <c r="CJ351"/>
    </row>
    <row r="352" spans="1:88" ht="15.6" customHeight="1" thickTop="1" thickBot="1">
      <c r="A352" s="44" t="s">
        <v>15</v>
      </c>
      <c r="B352" s="9">
        <f t="shared" ref="B352:N352" si="85">B351+B341</f>
        <v>0</v>
      </c>
      <c r="C352" s="9">
        <f t="shared" si="85"/>
        <v>0</v>
      </c>
      <c r="D352" s="9">
        <f t="shared" si="85"/>
        <v>0</v>
      </c>
      <c r="E352" s="9">
        <f t="shared" si="85"/>
        <v>0</v>
      </c>
      <c r="F352" s="349">
        <f t="shared" si="85"/>
        <v>0</v>
      </c>
      <c r="G352" s="9">
        <f t="shared" si="85"/>
        <v>0</v>
      </c>
      <c r="H352" s="9">
        <f t="shared" si="85"/>
        <v>0</v>
      </c>
      <c r="I352" s="9">
        <f t="shared" si="85"/>
        <v>0</v>
      </c>
      <c r="J352" s="9">
        <f t="shared" si="85"/>
        <v>0</v>
      </c>
      <c r="K352" s="9">
        <f t="shared" si="85"/>
        <v>0</v>
      </c>
      <c r="L352" s="9">
        <f t="shared" si="85"/>
        <v>0</v>
      </c>
      <c r="M352" s="9">
        <f t="shared" si="85"/>
        <v>0</v>
      </c>
      <c r="N352" s="268">
        <f t="shared" si="85"/>
        <v>0</v>
      </c>
      <c r="O352" s="288"/>
      <c r="P352" s="359"/>
      <c r="Q352" s="255"/>
      <c r="R352" s="364"/>
      <c r="S352" s="52"/>
      <c r="T352" s="52"/>
      <c r="V352"/>
      <c r="W352"/>
      <c r="X352"/>
      <c r="Y352"/>
      <c r="Z352"/>
      <c r="AA352"/>
      <c r="AB352"/>
      <c r="AC352"/>
      <c r="AD352"/>
      <c r="AE352"/>
      <c r="AF352"/>
      <c r="AG352"/>
      <c r="AH352"/>
      <c r="AI352"/>
      <c r="AJ352"/>
      <c r="AK352"/>
      <c r="AL352"/>
      <c r="AM352"/>
      <c r="AN352"/>
      <c r="AO352"/>
      <c r="AP352"/>
      <c r="AQ352"/>
      <c r="AR352"/>
      <c r="AS352"/>
      <c r="AT352"/>
      <c r="AU352"/>
      <c r="AV352"/>
      <c r="AW352"/>
      <c r="AX352"/>
      <c r="AY352"/>
      <c r="AZ352"/>
      <c r="BA352"/>
      <c r="BB352"/>
      <c r="BC352"/>
      <c r="BD352"/>
      <c r="BE352"/>
      <c r="BF352"/>
      <c r="BG352"/>
      <c r="BH352"/>
      <c r="BI352"/>
      <c r="BJ352"/>
      <c r="BK352"/>
      <c r="BL352"/>
      <c r="BM352"/>
      <c r="BN352"/>
      <c r="BO352"/>
      <c r="BP352"/>
      <c r="BQ352"/>
      <c r="BR352"/>
      <c r="BS352"/>
      <c r="BT352"/>
      <c r="BU352"/>
      <c r="BV352"/>
      <c r="BW352"/>
      <c r="BX352"/>
      <c r="BY352"/>
      <c r="BZ352"/>
      <c r="CA352"/>
      <c r="CB352"/>
      <c r="CC352"/>
      <c r="CD352"/>
      <c r="CE352"/>
      <c r="CF352"/>
      <c r="CG352"/>
      <c r="CH352"/>
      <c r="CI352"/>
      <c r="CJ352"/>
    </row>
    <row r="353" spans="2:16" ht="15.75" thickTop="1">
      <c r="B353" s="11">
        <f>B352-B325</f>
        <v>0</v>
      </c>
      <c r="I353" s="48"/>
      <c r="O353" s="288"/>
      <c r="P353" s="359"/>
    </row>
    <row r="354" spans="2:16">
      <c r="I354" s="11"/>
      <c r="N354" s="311"/>
      <c r="O354" s="288"/>
      <c r="P354" s="359"/>
    </row>
    <row r="355" spans="2:16">
      <c r="O355" s="288"/>
      <c r="P355" s="359"/>
    </row>
    <row r="356" spans="2:16">
      <c r="O356" s="312"/>
      <c r="P356" s="359"/>
    </row>
    <row r="357" spans="2:16">
      <c r="O357" s="288"/>
      <c r="P357" s="359"/>
    </row>
    <row r="358" spans="2:16">
      <c r="D358" s="11"/>
      <c r="O358" s="288"/>
      <c r="P358" s="359"/>
    </row>
    <row r="359" spans="2:16">
      <c r="D359" s="11"/>
      <c r="O359" s="288"/>
      <c r="P359" s="359"/>
    </row>
    <row r="360" spans="2:16">
      <c r="D360" s="11"/>
      <c r="O360" s="288"/>
      <c r="P360" s="359"/>
    </row>
    <row r="361" spans="2:16">
      <c r="D361" s="11"/>
      <c r="O361" s="288"/>
      <c r="P361" s="359"/>
    </row>
  </sheetData>
  <autoFilter ref="A32:N108" xr:uid="{00000000-0009-0000-0000-000009000000}"/>
  <mergeCells count="55">
    <mergeCell ref="F32:F33"/>
    <mergeCell ref="K32:K33"/>
    <mergeCell ref="L32:L33"/>
    <mergeCell ref="I32:I33"/>
    <mergeCell ref="J32:J33"/>
    <mergeCell ref="G32:G33"/>
    <mergeCell ref="H32:H33"/>
    <mergeCell ref="F321:F322"/>
    <mergeCell ref="A321:A322"/>
    <mergeCell ref="B321:B322"/>
    <mergeCell ref="C321:C322"/>
    <mergeCell ref="N122:N123"/>
    <mergeCell ref="G122:G123"/>
    <mergeCell ref="D212:D213"/>
    <mergeCell ref="E212:E213"/>
    <mergeCell ref="F212:F213"/>
    <mergeCell ref="F122:F123"/>
    <mergeCell ref="A212:A213"/>
    <mergeCell ref="E321:E322"/>
    <mergeCell ref="B212:B213"/>
    <mergeCell ref="C212:C213"/>
    <mergeCell ref="D321:D322"/>
    <mergeCell ref="J321:J322"/>
    <mergeCell ref="B32:B33"/>
    <mergeCell ref="C32:C33"/>
    <mergeCell ref="D122:D123"/>
    <mergeCell ref="E122:E123"/>
    <mergeCell ref="B122:B123"/>
    <mergeCell ref="C122:C123"/>
    <mergeCell ref="D32:D33"/>
    <mergeCell ref="E32:E33"/>
    <mergeCell ref="CK32:CK33"/>
    <mergeCell ref="N32:N33"/>
    <mergeCell ref="M321:M322"/>
    <mergeCell ref="N321:N322"/>
    <mergeCell ref="M212:M213"/>
    <mergeCell ref="N212:N213"/>
    <mergeCell ref="M32:M33"/>
    <mergeCell ref="M122:M123"/>
    <mergeCell ref="K321:K322"/>
    <mergeCell ref="L321:L322"/>
    <mergeCell ref="K212:K213"/>
    <mergeCell ref="L212:L213"/>
    <mergeCell ref="I122:I123"/>
    <mergeCell ref="J122:J123"/>
    <mergeCell ref="K122:K123"/>
    <mergeCell ref="L122:L123"/>
    <mergeCell ref="I212:I213"/>
    <mergeCell ref="J212:J213"/>
    <mergeCell ref="I321:I322"/>
    <mergeCell ref="G321:G322"/>
    <mergeCell ref="H321:H322"/>
    <mergeCell ref="G212:G213"/>
    <mergeCell ref="H212:H213"/>
    <mergeCell ref="H122:H123"/>
  </mergeCells>
  <phoneticPr fontId="194" type="noConversion"/>
  <printOptions horizontalCentered="1" verticalCentered="1"/>
  <pageMargins left="0.15748031496062992" right="0" top="0" bottom="0" header="0" footer="0"/>
  <pageSetup paperSize="8" scale="61" orientation="landscape" r:id="rId1"/>
  <rowBreaks count="2" manualBreakCount="2">
    <brk id="120" max="13" man="1"/>
    <brk id="210" max="13" man="1"/>
  </row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D12"/>
  <sheetViews>
    <sheetView workbookViewId="0">
      <selection activeCell="B11" sqref="B11"/>
    </sheetView>
  </sheetViews>
  <sheetFormatPr defaultRowHeight="15"/>
  <sheetData>
    <row r="1" spans="1:4">
      <c r="A1" t="s">
        <v>307</v>
      </c>
      <c r="B1">
        <v>854816.22700000007</v>
      </c>
      <c r="C1">
        <v>872559.05999999994</v>
      </c>
      <c r="D1">
        <v>1240241.466</v>
      </c>
    </row>
    <row r="2" spans="1:4">
      <c r="A2" t="s">
        <v>308</v>
      </c>
      <c r="B2">
        <v>900157.598</v>
      </c>
      <c r="C2">
        <v>-880566.8200000003</v>
      </c>
      <c r="D2">
        <v>1199381.324</v>
      </c>
    </row>
    <row r="3" spans="1:4">
      <c r="A3" t="s">
        <v>309</v>
      </c>
      <c r="B3">
        <v>0</v>
      </c>
      <c r="C3">
        <v>173000</v>
      </c>
      <c r="D3">
        <v>0</v>
      </c>
    </row>
    <row r="4" spans="1:4">
      <c r="A4" t="s">
        <v>310</v>
      </c>
      <c r="B4">
        <v>0</v>
      </c>
      <c r="C4">
        <v>63416.84</v>
      </c>
      <c r="D4">
        <v>73323.286999999997</v>
      </c>
    </row>
    <row r="5" spans="1:4">
      <c r="A5" t="s">
        <v>311</v>
      </c>
      <c r="B5">
        <v>0</v>
      </c>
      <c r="C5">
        <v>0</v>
      </c>
      <c r="D5">
        <v>63471.775000000009</v>
      </c>
    </row>
    <row r="6" spans="1:4">
      <c r="A6" t="s">
        <v>312</v>
      </c>
      <c r="D6">
        <v>61506.628999999994</v>
      </c>
    </row>
    <row r="7" spans="1:4">
      <c r="A7" t="s">
        <v>313</v>
      </c>
      <c r="D7">
        <v>45953.604000000007</v>
      </c>
    </row>
    <row r="8" spans="1:4">
      <c r="A8" t="s">
        <v>314</v>
      </c>
      <c r="B8">
        <v>0</v>
      </c>
      <c r="C8">
        <v>35500</v>
      </c>
      <c r="D8">
        <v>0</v>
      </c>
    </row>
    <row r="9" spans="1:4">
      <c r="A9" t="s">
        <v>315</v>
      </c>
      <c r="B9">
        <v>0</v>
      </c>
      <c r="C9">
        <v>4600</v>
      </c>
      <c r="D9">
        <v>5454.52</v>
      </c>
    </row>
    <row r="10" spans="1:4">
      <c r="A10" t="s">
        <v>316</v>
      </c>
      <c r="B10">
        <v>0</v>
      </c>
      <c r="C10">
        <v>0</v>
      </c>
      <c r="D10">
        <v>3083</v>
      </c>
    </row>
    <row r="11" spans="1:4">
      <c r="A11" t="s">
        <v>317</v>
      </c>
      <c r="B11">
        <v>1538.32</v>
      </c>
      <c r="C11">
        <v>0</v>
      </c>
      <c r="D11">
        <v>0</v>
      </c>
    </row>
    <row r="12" spans="1:4">
      <c r="A12" t="s">
        <v>318</v>
      </c>
      <c r="B12">
        <v>-13395</v>
      </c>
      <c r="C12">
        <v>0</v>
      </c>
      <c r="D12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"/>
  <sheetViews>
    <sheetView workbookViewId="0">
      <selection activeCell="A3" sqref="A1:XFD1048576"/>
    </sheetView>
  </sheetViews>
  <sheetFormatPr defaultRowHeight="1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pageSetUpPr fitToPage="1"/>
  </sheetPr>
  <dimension ref="A1:CB284"/>
  <sheetViews>
    <sheetView topLeftCell="A3" zoomScaleNormal="100" zoomScaleSheetLayoutView="100" workbookViewId="0">
      <selection activeCell="A3" sqref="A1:XFD1048576"/>
    </sheetView>
  </sheetViews>
  <sheetFormatPr defaultColWidth="9" defaultRowHeight="15"/>
  <cols>
    <col min="1" max="1" width="40.140625" customWidth="1"/>
    <col min="2" max="2" width="14.42578125" customWidth="1"/>
    <col min="3" max="3" width="14.7109375" customWidth="1"/>
    <col min="4" max="5" width="13.85546875" customWidth="1"/>
    <col min="6" max="6" width="14.7109375" style="334" customWidth="1"/>
    <col min="7" max="7" width="13.85546875" customWidth="1"/>
    <col min="8" max="8" width="16.7109375" customWidth="1"/>
    <col min="9" max="9" width="13.7109375" customWidth="1"/>
    <col min="10" max="10" width="15.28515625" customWidth="1"/>
    <col min="11" max="11" width="14.28515625" customWidth="1"/>
    <col min="12" max="12" width="15.85546875" customWidth="1"/>
    <col min="13" max="13" width="14.7109375" customWidth="1"/>
    <col min="14" max="14" width="14.85546875" style="175" bestFit="1" customWidth="1"/>
    <col min="15" max="15" width="16.42578125" style="292" customWidth="1"/>
    <col min="16" max="16" width="18.7109375" style="292" customWidth="1"/>
    <col min="17" max="18" width="19" style="257" customWidth="1"/>
    <col min="19" max="19" width="20.85546875" style="221" customWidth="1"/>
    <col min="20" max="20" width="19" style="221" customWidth="1"/>
    <col min="21" max="21" width="16.42578125" style="52" customWidth="1"/>
    <col min="22" max="22" width="15.85546875" style="52" customWidth="1"/>
    <col min="23" max="23" width="14" style="52" customWidth="1"/>
    <col min="24" max="24" width="14.42578125" style="52" customWidth="1"/>
    <col min="25" max="36" width="14" style="52" customWidth="1"/>
    <col min="37" max="37" width="15" style="52" bestFit="1" customWidth="1"/>
    <col min="38" max="46" width="14" style="52" customWidth="1"/>
    <col min="47" max="47" width="14.85546875" style="52" customWidth="1"/>
    <col min="48" max="48" width="16.85546875" style="52" bestFit="1" customWidth="1"/>
    <col min="49" max="51" width="14" style="52" customWidth="1"/>
    <col min="52" max="52" width="13.42578125" customWidth="1"/>
    <col min="53" max="53" width="12.140625" bestFit="1" customWidth="1"/>
    <col min="54" max="54" width="13.85546875" bestFit="1" customWidth="1"/>
    <col min="55" max="74" width="13.85546875" customWidth="1"/>
    <col min="75" max="75" width="15.42578125" customWidth="1"/>
    <col min="76" max="76" width="13.85546875" style="109" customWidth="1"/>
    <col min="77" max="77" width="13.7109375" bestFit="1" customWidth="1"/>
    <col min="78" max="78" width="12.42578125" bestFit="1" customWidth="1"/>
  </cols>
  <sheetData>
    <row r="1" spans="1:77" ht="23.25" hidden="1" customHeight="1">
      <c r="A1" s="273" t="s">
        <v>156</v>
      </c>
      <c r="B1" s="272">
        <v>0</v>
      </c>
      <c r="C1" s="272">
        <v>0</v>
      </c>
      <c r="D1" s="272">
        <v>0</v>
      </c>
      <c r="E1" s="272" t="s">
        <v>206</v>
      </c>
      <c r="F1" s="326">
        <v>0</v>
      </c>
      <c r="G1" s="272" t="s">
        <v>177</v>
      </c>
      <c r="H1" s="272" t="s">
        <v>207</v>
      </c>
      <c r="I1" s="272" t="s">
        <v>179</v>
      </c>
      <c r="J1" s="272">
        <v>0</v>
      </c>
      <c r="K1" s="272" t="s">
        <v>208</v>
      </c>
      <c r="L1" s="272" t="s">
        <v>209</v>
      </c>
      <c r="M1" s="272" t="s">
        <v>210</v>
      </c>
      <c r="N1" s="272">
        <v>0</v>
      </c>
      <c r="O1" s="272" t="s">
        <v>211</v>
      </c>
      <c r="P1" s="272" t="s">
        <v>212</v>
      </c>
      <c r="Q1" s="272" t="s">
        <v>187</v>
      </c>
      <c r="R1" s="272">
        <v>0</v>
      </c>
      <c r="S1" s="272">
        <v>0</v>
      </c>
      <c r="T1" s="272" t="s">
        <v>213</v>
      </c>
      <c r="U1" s="275" t="s">
        <v>157</v>
      </c>
      <c r="V1" s="272" t="s">
        <v>214</v>
      </c>
      <c r="W1" s="272" t="s">
        <v>191</v>
      </c>
      <c r="X1" s="272" t="s">
        <v>192</v>
      </c>
      <c r="Y1" s="272" t="s">
        <v>215</v>
      </c>
      <c r="Z1" s="272" t="s">
        <v>216</v>
      </c>
      <c r="AA1" s="272" t="s">
        <v>217</v>
      </c>
      <c r="AB1" s="272" t="s">
        <v>196</v>
      </c>
      <c r="AC1" s="272" t="s">
        <v>197</v>
      </c>
      <c r="AD1" s="272" t="s">
        <v>198</v>
      </c>
      <c r="AE1" s="272" t="s">
        <v>199</v>
      </c>
      <c r="AF1" s="272" t="s">
        <v>200</v>
      </c>
      <c r="AG1" s="272" t="s">
        <v>201</v>
      </c>
      <c r="AH1" s="272">
        <v>0</v>
      </c>
      <c r="AI1" s="272" t="s">
        <v>203</v>
      </c>
      <c r="AJ1" s="272" t="s">
        <v>204</v>
      </c>
      <c r="AK1" s="308"/>
      <c r="AL1" s="308"/>
      <c r="AM1" s="308"/>
      <c r="AN1" s="308"/>
      <c r="AO1" s="308"/>
      <c r="AP1" s="308"/>
      <c r="AQ1" s="308"/>
      <c r="AR1" s="308"/>
      <c r="AS1" s="308"/>
      <c r="AT1" s="308"/>
      <c r="AU1" s="272" t="s">
        <v>205</v>
      </c>
      <c r="AV1" s="275" t="s">
        <v>158</v>
      </c>
      <c r="AW1" s="275" t="s">
        <v>159</v>
      </c>
      <c r="AX1" s="275" t="s">
        <v>160</v>
      </c>
      <c r="AY1" s="275" t="s">
        <v>161</v>
      </c>
      <c r="AZ1" s="275" t="s">
        <v>162</v>
      </c>
      <c r="BA1" s="275" t="s">
        <v>163</v>
      </c>
      <c r="BB1" s="275" t="s">
        <v>164</v>
      </c>
      <c r="BC1" s="275" t="s">
        <v>165</v>
      </c>
      <c r="BD1" s="275" t="s">
        <v>166</v>
      </c>
      <c r="BE1" s="275" t="s">
        <v>167</v>
      </c>
      <c r="BF1" s="275" t="s">
        <v>168</v>
      </c>
      <c r="BG1" s="275" t="s">
        <v>169</v>
      </c>
      <c r="BH1" s="275" t="s">
        <v>170</v>
      </c>
      <c r="BI1" s="275"/>
      <c r="BJ1" s="275"/>
      <c r="BK1" s="275"/>
      <c r="BL1" s="275"/>
      <c r="BM1" s="275"/>
      <c r="BN1" s="275"/>
      <c r="BO1" s="275"/>
      <c r="BP1" s="289"/>
      <c r="BQ1" s="289"/>
      <c r="BR1" s="289"/>
      <c r="BS1" s="289"/>
      <c r="BT1" s="289"/>
      <c r="BU1" s="289"/>
      <c r="BV1" s="289"/>
      <c r="BW1" s="272"/>
      <c r="BX1" s="300"/>
      <c r="BY1" s="272"/>
    </row>
    <row r="2" spans="1:77" s="277" customFormat="1" ht="12" hidden="1" customHeight="1">
      <c r="A2" s="276" t="s">
        <v>171</v>
      </c>
      <c r="B2" s="274" t="s">
        <v>172</v>
      </c>
      <c r="C2" s="274" t="s">
        <v>173</v>
      </c>
      <c r="D2" s="274" t="s">
        <v>174</v>
      </c>
      <c r="E2" s="274" t="s">
        <v>175</v>
      </c>
      <c r="F2" s="327" t="s">
        <v>176</v>
      </c>
      <c r="G2" s="274" t="s">
        <v>177</v>
      </c>
      <c r="H2" s="274" t="s">
        <v>178</v>
      </c>
      <c r="I2" s="274" t="s">
        <v>179</v>
      </c>
      <c r="J2" s="274" t="s">
        <v>180</v>
      </c>
      <c r="K2" s="274" t="s">
        <v>181</v>
      </c>
      <c r="L2" s="274" t="s">
        <v>182</v>
      </c>
      <c r="M2" s="274" t="s">
        <v>183</v>
      </c>
      <c r="N2" s="274" t="s">
        <v>184</v>
      </c>
      <c r="O2" s="290" t="s">
        <v>185</v>
      </c>
      <c r="P2" s="290" t="s">
        <v>186</v>
      </c>
      <c r="Q2" s="274" t="s">
        <v>187</v>
      </c>
      <c r="R2" s="274" t="s">
        <v>188</v>
      </c>
      <c r="S2" s="274"/>
      <c r="T2" s="274" t="s">
        <v>189</v>
      </c>
      <c r="U2" s="274" t="s">
        <v>157</v>
      </c>
      <c r="V2" s="274" t="s">
        <v>190</v>
      </c>
      <c r="W2" s="274" t="s">
        <v>191</v>
      </c>
      <c r="X2" s="274" t="s">
        <v>192</v>
      </c>
      <c r="Y2" s="274" t="s">
        <v>193</v>
      </c>
      <c r="Z2" s="274" t="s">
        <v>194</v>
      </c>
      <c r="AA2" s="274" t="s">
        <v>195</v>
      </c>
      <c r="AB2" s="274" t="s">
        <v>196</v>
      </c>
      <c r="AC2" s="274" t="s">
        <v>197</v>
      </c>
      <c r="AD2" s="274" t="s">
        <v>198</v>
      </c>
      <c r="AE2" s="274" t="s">
        <v>199</v>
      </c>
      <c r="AF2" s="274" t="s">
        <v>200</v>
      </c>
      <c r="AG2" s="274" t="s">
        <v>201</v>
      </c>
      <c r="AH2" s="274" t="s">
        <v>202</v>
      </c>
      <c r="AI2" s="274" t="s">
        <v>203</v>
      </c>
      <c r="AJ2" s="274" t="s">
        <v>204</v>
      </c>
      <c r="AK2" s="274"/>
      <c r="AL2" s="274"/>
      <c r="AM2" s="274"/>
      <c r="AN2" s="274"/>
      <c r="AO2" s="274"/>
      <c r="AP2" s="274"/>
      <c r="AQ2" s="274"/>
      <c r="AR2" s="274"/>
      <c r="AS2" s="274"/>
      <c r="AT2" s="274"/>
      <c r="AU2" s="274" t="s">
        <v>205</v>
      </c>
      <c r="AV2" s="274" t="s">
        <v>158</v>
      </c>
      <c r="AW2" s="271"/>
      <c r="AX2" s="278"/>
      <c r="AY2" s="278"/>
      <c r="AZ2" s="278"/>
      <c r="BA2" s="278"/>
      <c r="BB2" s="278"/>
      <c r="BX2" s="301"/>
    </row>
    <row r="3" spans="1:77" s="91" customFormat="1" ht="30" customHeight="1">
      <c r="A3" s="426" t="s">
        <v>0</v>
      </c>
      <c r="B3" s="478" t="s">
        <v>8</v>
      </c>
      <c r="C3" s="478" t="s">
        <v>10</v>
      </c>
      <c r="D3" s="478" t="s">
        <v>68</v>
      </c>
      <c r="E3" s="478" t="s">
        <v>85</v>
      </c>
      <c r="F3" s="482" t="s">
        <v>94</v>
      </c>
      <c r="G3" s="478" t="s">
        <v>95</v>
      </c>
      <c r="H3" s="478" t="s">
        <v>131</v>
      </c>
      <c r="I3" s="478" t="s">
        <v>128</v>
      </c>
      <c r="J3" s="478" t="s">
        <v>129</v>
      </c>
      <c r="K3" s="478" t="s">
        <v>132</v>
      </c>
      <c r="L3" s="478" t="s">
        <v>135</v>
      </c>
      <c r="M3" s="478" t="s">
        <v>136</v>
      </c>
      <c r="N3" s="478" t="s">
        <v>137</v>
      </c>
      <c r="O3" s="478" t="s">
        <v>138</v>
      </c>
      <c r="P3" s="478" t="s">
        <v>139</v>
      </c>
      <c r="Q3" s="478" t="s">
        <v>140</v>
      </c>
      <c r="R3" s="478" t="s">
        <v>146</v>
      </c>
      <c r="S3" s="478" t="s">
        <v>148</v>
      </c>
      <c r="T3" s="478" t="s">
        <v>150</v>
      </c>
      <c r="U3" s="478" t="s">
        <v>151</v>
      </c>
      <c r="V3" s="478" t="s">
        <v>152</v>
      </c>
      <c r="W3" s="478" t="s">
        <v>153</v>
      </c>
      <c r="X3" s="478" t="s">
        <v>154</v>
      </c>
      <c r="Y3" s="478" t="s">
        <v>155</v>
      </c>
      <c r="Z3" s="478" t="s">
        <v>219</v>
      </c>
      <c r="AA3" s="478" t="s">
        <v>220</v>
      </c>
      <c r="AB3" s="478" t="s">
        <v>221</v>
      </c>
      <c r="AC3" s="478" t="s">
        <v>218</v>
      </c>
      <c r="AD3" s="478" t="s">
        <v>222</v>
      </c>
      <c r="AE3" s="478" t="s">
        <v>224</v>
      </c>
      <c r="AF3" s="478" t="s">
        <v>223</v>
      </c>
      <c r="AG3" s="478" t="s">
        <v>226</v>
      </c>
      <c r="AH3" s="478" t="s">
        <v>227</v>
      </c>
      <c r="AI3" s="478" t="s">
        <v>225</v>
      </c>
      <c r="AJ3" s="478" t="s">
        <v>228</v>
      </c>
      <c r="AK3" s="478" t="s">
        <v>71</v>
      </c>
      <c r="AL3" s="478" t="s">
        <v>73</v>
      </c>
      <c r="AM3" s="478" t="s">
        <v>232</v>
      </c>
      <c r="AN3" s="478" t="s">
        <v>233</v>
      </c>
      <c r="AO3" s="478" t="s">
        <v>234</v>
      </c>
      <c r="AP3" s="478" t="s">
        <v>235</v>
      </c>
      <c r="AQ3" s="478" t="s">
        <v>236</v>
      </c>
      <c r="AR3" s="478" t="s">
        <v>238</v>
      </c>
      <c r="AS3" s="480" t="s">
        <v>62</v>
      </c>
      <c r="AT3" s="480" t="s">
        <v>130</v>
      </c>
      <c r="AU3" s="481" t="s">
        <v>15</v>
      </c>
      <c r="AV3" s="302"/>
      <c r="AX3" s="420" t="s">
        <v>16</v>
      </c>
      <c r="AY3" s="420"/>
    </row>
    <row r="4" spans="1:77" s="91" customFormat="1" ht="25.15" customHeight="1">
      <c r="A4" s="427"/>
      <c r="B4" s="479"/>
      <c r="C4" s="479"/>
      <c r="D4" s="479"/>
      <c r="E4" s="479" t="s">
        <v>84</v>
      </c>
      <c r="F4" s="483"/>
      <c r="G4" s="479"/>
      <c r="H4" s="479"/>
      <c r="I4" s="479"/>
      <c r="J4" s="479"/>
      <c r="K4" s="479"/>
      <c r="L4" s="479"/>
      <c r="M4" s="479"/>
      <c r="N4" s="479"/>
      <c r="O4" s="479"/>
      <c r="P4" s="479"/>
      <c r="Q4" s="479"/>
      <c r="R4" s="479"/>
      <c r="S4" s="479"/>
      <c r="T4" s="479"/>
      <c r="U4" s="479"/>
      <c r="V4" s="479"/>
      <c r="W4" s="479"/>
      <c r="X4" s="479"/>
      <c r="Y4" s="479"/>
      <c r="Z4" s="479"/>
      <c r="AA4" s="479"/>
      <c r="AB4" s="479"/>
      <c r="AC4" s="479"/>
      <c r="AD4" s="479"/>
      <c r="AE4" s="479"/>
      <c r="AF4" s="479"/>
      <c r="AG4" s="479"/>
      <c r="AH4" s="479"/>
      <c r="AI4" s="479"/>
      <c r="AJ4" s="479"/>
      <c r="AK4" s="479"/>
      <c r="AL4" s="479"/>
      <c r="AM4" s="479"/>
      <c r="AN4" s="479"/>
      <c r="AO4" s="479"/>
      <c r="AP4" s="479"/>
      <c r="AQ4" s="479"/>
      <c r="AR4" s="479"/>
      <c r="AS4" s="479"/>
      <c r="AT4" s="479"/>
      <c r="AU4" s="450"/>
      <c r="AV4" s="302"/>
    </row>
    <row r="5" spans="1:77" s="321" customFormat="1" ht="17.45" customHeight="1">
      <c r="A5" s="315"/>
      <c r="B5" s="316"/>
      <c r="C5" s="316"/>
      <c r="D5" s="316"/>
      <c r="E5" s="316"/>
      <c r="F5" s="328"/>
      <c r="G5" s="316"/>
      <c r="H5" s="316"/>
      <c r="I5" s="316"/>
      <c r="J5" s="317" t="s">
        <v>201</v>
      </c>
      <c r="K5" s="316"/>
      <c r="L5" s="317" t="s">
        <v>204</v>
      </c>
      <c r="M5" s="317" t="s">
        <v>205</v>
      </c>
      <c r="N5" s="317" t="s">
        <v>158</v>
      </c>
      <c r="O5" s="317" t="s">
        <v>159</v>
      </c>
      <c r="P5" s="317" t="s">
        <v>160</v>
      </c>
      <c r="Q5" s="317" t="s">
        <v>239</v>
      </c>
      <c r="R5" s="317" t="s">
        <v>162</v>
      </c>
      <c r="S5" s="317" t="s">
        <v>164</v>
      </c>
      <c r="T5" s="317" t="s">
        <v>165</v>
      </c>
      <c r="U5" s="317" t="s">
        <v>166</v>
      </c>
      <c r="V5" s="317" t="s">
        <v>167</v>
      </c>
      <c r="W5" s="317" t="s">
        <v>168</v>
      </c>
      <c r="X5" s="317" t="s">
        <v>169</v>
      </c>
      <c r="Y5" s="317" t="s">
        <v>170</v>
      </c>
      <c r="Z5" s="317" t="s">
        <v>239</v>
      </c>
      <c r="AA5" s="317" t="s">
        <v>240</v>
      </c>
      <c r="AB5" s="316"/>
      <c r="AC5" s="317" t="s">
        <v>241</v>
      </c>
      <c r="AD5" s="317" t="s">
        <v>242</v>
      </c>
      <c r="AE5" s="316"/>
      <c r="AF5" s="317" t="s">
        <v>243</v>
      </c>
      <c r="AG5" s="317" t="s">
        <v>244</v>
      </c>
      <c r="AH5" s="317" t="s">
        <v>245</v>
      </c>
      <c r="AI5" s="317" t="s">
        <v>246</v>
      </c>
      <c r="AJ5" s="317" t="s">
        <v>247</v>
      </c>
      <c r="AK5" s="317" t="s">
        <v>157</v>
      </c>
      <c r="AL5" s="318" t="s">
        <v>214</v>
      </c>
      <c r="AM5" s="317" t="s">
        <v>248</v>
      </c>
      <c r="AN5" s="317" t="s">
        <v>249</v>
      </c>
      <c r="AO5" s="317" t="s">
        <v>250</v>
      </c>
      <c r="AP5" s="316"/>
      <c r="AQ5" s="316"/>
      <c r="AR5" s="316"/>
      <c r="AS5" s="316"/>
      <c r="AT5" s="316"/>
      <c r="AU5" s="319"/>
      <c r="AV5" s="320"/>
    </row>
    <row r="6" spans="1:77" s="91" customFormat="1" hidden="1">
      <c r="A6" s="20" t="s">
        <v>17</v>
      </c>
      <c r="B6" s="90">
        <v>99588109</v>
      </c>
      <c r="C6" s="90">
        <v>270610661</v>
      </c>
      <c r="D6" s="90">
        <v>420103550</v>
      </c>
      <c r="E6" s="90">
        <v>95970234.50056079</v>
      </c>
      <c r="F6" s="329">
        <v>467255000</v>
      </c>
      <c r="G6" s="90">
        <v>95970234.50056079</v>
      </c>
      <c r="H6" s="90">
        <v>95970234.50056079</v>
      </c>
      <c r="I6" s="90">
        <v>329870053</v>
      </c>
      <c r="J6" s="90">
        <v>409523809.83599997</v>
      </c>
      <c r="K6" s="90">
        <v>9050320</v>
      </c>
      <c r="L6" s="90">
        <v>51838240</v>
      </c>
      <c r="M6" s="90">
        <v>32000000</v>
      </c>
      <c r="N6" s="90">
        <v>264370000</v>
      </c>
      <c r="O6" s="90">
        <v>311000000</v>
      </c>
      <c r="P6" s="90">
        <v>39336927</v>
      </c>
      <c r="Q6" s="90">
        <v>107782440</v>
      </c>
      <c r="R6" s="90">
        <v>62970000</v>
      </c>
      <c r="S6" s="90">
        <v>112533424</v>
      </c>
      <c r="T6" s="90">
        <v>212502100</v>
      </c>
      <c r="U6" s="90">
        <v>74567997</v>
      </c>
      <c r="V6" s="90">
        <v>51936384.342874497</v>
      </c>
      <c r="W6" s="90">
        <v>35636958</v>
      </c>
      <c r="X6" s="90">
        <v>164582403</v>
      </c>
      <c r="Y6" s="90">
        <v>28594000</v>
      </c>
      <c r="Z6" s="90">
        <v>943050990</v>
      </c>
      <c r="AA6" s="90">
        <v>400057672</v>
      </c>
      <c r="AB6" s="90">
        <v>594816338</v>
      </c>
      <c r="AC6" s="90">
        <v>5000000</v>
      </c>
      <c r="AD6" s="90">
        <v>38500000</v>
      </c>
      <c r="AE6" s="90">
        <v>50105046</v>
      </c>
      <c r="AF6" s="90">
        <v>33235261</v>
      </c>
      <c r="AG6" s="90">
        <v>27692512</v>
      </c>
      <c r="AH6" s="90">
        <v>78095238</v>
      </c>
      <c r="AI6" s="90">
        <v>1610425545</v>
      </c>
      <c r="AJ6" s="90">
        <v>1000494581</v>
      </c>
      <c r="AK6" s="90">
        <v>30857015</v>
      </c>
      <c r="AL6" s="90">
        <v>206723720</v>
      </c>
      <c r="AM6" s="90">
        <v>1000000000</v>
      </c>
      <c r="AN6" s="90">
        <v>148256064</v>
      </c>
      <c r="AO6" s="90">
        <v>63583487</v>
      </c>
      <c r="AP6" s="90">
        <v>317540750</v>
      </c>
      <c r="AQ6" s="90">
        <v>1438741</v>
      </c>
      <c r="AR6" s="90">
        <v>6591715</v>
      </c>
      <c r="AS6" s="90">
        <v>130103216.35860059</v>
      </c>
      <c r="AT6" s="90">
        <v>2800000</v>
      </c>
      <c r="AU6" s="5">
        <f>SUM(B6:AT6)</f>
        <v>10532930971.039158</v>
      </c>
      <c r="AV6" s="302"/>
      <c r="AW6" s="74"/>
      <c r="AZ6" s="92"/>
    </row>
    <row r="7" spans="1:77" s="91" customFormat="1" hidden="1">
      <c r="A7" s="20" t="s">
        <v>18</v>
      </c>
      <c r="B7" s="89">
        <f>161285221-B6</f>
        <v>61697112</v>
      </c>
      <c r="C7" s="89">
        <f>314968838-C6</f>
        <v>44358177</v>
      </c>
      <c r="D7" s="89">
        <f>1314264936-D6</f>
        <v>894161386</v>
      </c>
      <c r="E7" s="89">
        <f>114399640-E6</f>
        <v>18429405.49943921</v>
      </c>
      <c r="F7" s="329">
        <f>344545654-F6</f>
        <v>-122709346</v>
      </c>
      <c r="G7" s="89">
        <f>123770955-G6</f>
        <v>27800720.49943921</v>
      </c>
      <c r="H7" s="89">
        <f>114399640-H6</f>
        <v>18429405.49943921</v>
      </c>
      <c r="I7" s="89">
        <f>2740570200-I6</f>
        <v>2410700147</v>
      </c>
      <c r="J7" s="89">
        <f>462262808-J6</f>
        <v>52738998.164000034</v>
      </c>
      <c r="K7" s="89">
        <v>0</v>
      </c>
      <c r="L7" s="89">
        <f>164342266-L6</f>
        <v>112504026</v>
      </c>
      <c r="M7" s="89">
        <f>97038376-M6</f>
        <v>65038376</v>
      </c>
      <c r="N7" s="89">
        <f>359370000-N6</f>
        <v>95000000</v>
      </c>
      <c r="O7" s="89">
        <f>331000000-O6</f>
        <v>20000000</v>
      </c>
      <c r="P7" s="89">
        <f>43476657-P6</f>
        <v>4139730</v>
      </c>
      <c r="Q7" s="89">
        <f>86400000-Q6</f>
        <v>-21382440</v>
      </c>
      <c r="R7" s="89">
        <f>46639513-R6</f>
        <v>-16330487</v>
      </c>
      <c r="S7" s="89">
        <f>110607762-S6</f>
        <v>-1925662</v>
      </c>
      <c r="T7" s="89">
        <f>240523551-T6</f>
        <v>28021451</v>
      </c>
      <c r="U7" s="89">
        <f>70928098-U6</f>
        <v>-3639899</v>
      </c>
      <c r="V7" s="89"/>
      <c r="W7" s="89">
        <f>69765684-W6</f>
        <v>34128726</v>
      </c>
      <c r="X7" s="89">
        <f>219009073-X6</f>
        <v>54426670</v>
      </c>
      <c r="Y7" s="89">
        <f>54152148-Y6</f>
        <v>25558148</v>
      </c>
      <c r="Z7" s="89">
        <f>1428771204-Z6</f>
        <v>485720214</v>
      </c>
      <c r="AA7" s="89">
        <f>925689793-AA6</f>
        <v>525632121</v>
      </c>
      <c r="AB7" s="89"/>
      <c r="AC7" s="89">
        <f>20567977-AC6</f>
        <v>15567977</v>
      </c>
      <c r="AD7" s="89">
        <f>77849902-AD6</f>
        <v>39349902</v>
      </c>
      <c r="AE7" s="89">
        <f>245658572-AE6</f>
        <v>195553526</v>
      </c>
      <c r="AF7" s="89">
        <f>33478660-AF6</f>
        <v>243399</v>
      </c>
      <c r="AG7" s="89"/>
      <c r="AH7" s="89">
        <f>110476190-AH6</f>
        <v>32380952</v>
      </c>
      <c r="AI7" s="89"/>
      <c r="AJ7" s="89">
        <v>22000000</v>
      </c>
      <c r="AK7" s="89">
        <f>-1913864+2850725</f>
        <v>936861</v>
      </c>
      <c r="AL7" s="90">
        <f>274663700-AL6</f>
        <v>67939980</v>
      </c>
      <c r="AM7" s="89"/>
      <c r="AN7" s="89">
        <f>168347427-AN6</f>
        <v>20091363</v>
      </c>
      <c r="AO7" s="89"/>
      <c r="AP7" s="89"/>
      <c r="AQ7" s="89"/>
      <c r="AR7" s="89"/>
      <c r="AS7" s="89">
        <f>139792183-AS6</f>
        <v>9688966.6413994133</v>
      </c>
      <c r="AT7" s="89">
        <f>3865380-AT6</f>
        <v>1065380</v>
      </c>
      <c r="AU7" s="5">
        <f>SUM(B7:AT7)</f>
        <v>5217315286.3037167</v>
      </c>
      <c r="AV7" s="302"/>
      <c r="AW7" s="74"/>
      <c r="AZ7" s="93"/>
    </row>
    <row r="8" spans="1:77" s="91" customFormat="1" ht="15.75" hidden="1" thickBot="1">
      <c r="A8" s="8" t="s">
        <v>19</v>
      </c>
      <c r="B8" s="110">
        <f t="shared" ref="B8:AT8" si="0">SUM(B6:B7)</f>
        <v>161285221</v>
      </c>
      <c r="C8" s="110">
        <f t="shared" si="0"/>
        <v>314968838</v>
      </c>
      <c r="D8" s="110">
        <f t="shared" si="0"/>
        <v>1314264936</v>
      </c>
      <c r="E8" s="110">
        <f t="shared" si="0"/>
        <v>114399640</v>
      </c>
      <c r="F8" s="330">
        <f t="shared" si="0"/>
        <v>344545654</v>
      </c>
      <c r="G8" s="110">
        <f t="shared" si="0"/>
        <v>123770955</v>
      </c>
      <c r="H8" s="110">
        <f t="shared" si="0"/>
        <v>114399640</v>
      </c>
      <c r="I8" s="110">
        <f t="shared" si="0"/>
        <v>2740570200</v>
      </c>
      <c r="J8" s="110">
        <f t="shared" si="0"/>
        <v>462262808</v>
      </c>
      <c r="K8" s="110">
        <f t="shared" si="0"/>
        <v>9050320</v>
      </c>
      <c r="L8" s="110">
        <f t="shared" si="0"/>
        <v>164342266</v>
      </c>
      <c r="M8" s="110">
        <f t="shared" si="0"/>
        <v>97038376</v>
      </c>
      <c r="N8" s="110">
        <f t="shared" si="0"/>
        <v>359370000</v>
      </c>
      <c r="O8" s="110">
        <f t="shared" si="0"/>
        <v>331000000</v>
      </c>
      <c r="P8" s="110">
        <f t="shared" si="0"/>
        <v>43476657</v>
      </c>
      <c r="Q8" s="110">
        <f t="shared" si="0"/>
        <v>86400000</v>
      </c>
      <c r="R8" s="110">
        <f t="shared" si="0"/>
        <v>46639513</v>
      </c>
      <c r="S8" s="110">
        <f t="shared" si="0"/>
        <v>110607762</v>
      </c>
      <c r="T8" s="110">
        <f t="shared" si="0"/>
        <v>240523551</v>
      </c>
      <c r="U8" s="110">
        <f t="shared" si="0"/>
        <v>70928098</v>
      </c>
      <c r="V8" s="110">
        <f t="shared" si="0"/>
        <v>51936384.342874497</v>
      </c>
      <c r="W8" s="110">
        <f t="shared" si="0"/>
        <v>69765684</v>
      </c>
      <c r="X8" s="110">
        <f t="shared" si="0"/>
        <v>219009073</v>
      </c>
      <c r="Y8" s="110">
        <f t="shared" si="0"/>
        <v>54152148</v>
      </c>
      <c r="Z8" s="110">
        <f t="shared" si="0"/>
        <v>1428771204</v>
      </c>
      <c r="AA8" s="110">
        <f t="shared" si="0"/>
        <v>925689793</v>
      </c>
      <c r="AB8" s="110">
        <f t="shared" si="0"/>
        <v>594816338</v>
      </c>
      <c r="AC8" s="110">
        <f t="shared" si="0"/>
        <v>20567977</v>
      </c>
      <c r="AD8" s="110">
        <f t="shared" si="0"/>
        <v>77849902</v>
      </c>
      <c r="AE8" s="110">
        <f t="shared" si="0"/>
        <v>245658572</v>
      </c>
      <c r="AF8" s="110">
        <f t="shared" si="0"/>
        <v>33478660</v>
      </c>
      <c r="AG8" s="110">
        <f t="shared" si="0"/>
        <v>27692512</v>
      </c>
      <c r="AH8" s="110">
        <f t="shared" si="0"/>
        <v>110476190</v>
      </c>
      <c r="AI8" s="110">
        <f t="shared" si="0"/>
        <v>1610425545</v>
      </c>
      <c r="AJ8" s="110">
        <f t="shared" si="0"/>
        <v>1022494581</v>
      </c>
      <c r="AK8" s="110">
        <f t="shared" si="0"/>
        <v>31793876</v>
      </c>
      <c r="AL8" s="110">
        <f t="shared" si="0"/>
        <v>274663700</v>
      </c>
      <c r="AM8" s="110">
        <f t="shared" si="0"/>
        <v>1000000000</v>
      </c>
      <c r="AN8" s="110">
        <f t="shared" si="0"/>
        <v>168347427</v>
      </c>
      <c r="AO8" s="110">
        <f t="shared" si="0"/>
        <v>63583487</v>
      </c>
      <c r="AP8" s="110">
        <f t="shared" si="0"/>
        <v>317540750</v>
      </c>
      <c r="AQ8" s="110">
        <f t="shared" si="0"/>
        <v>1438741</v>
      </c>
      <c r="AR8" s="110">
        <f t="shared" si="0"/>
        <v>6591715</v>
      </c>
      <c r="AS8" s="110">
        <f t="shared" si="0"/>
        <v>139792183</v>
      </c>
      <c r="AT8" s="110">
        <f t="shared" si="0"/>
        <v>3865380</v>
      </c>
      <c r="AU8" s="10">
        <f>SUM(AU6:AU7)</f>
        <v>15750246257.342875</v>
      </c>
      <c r="AV8" s="302"/>
      <c r="AW8" s="74"/>
      <c r="AZ8" s="94"/>
    </row>
    <row r="9" spans="1:77" s="91" customFormat="1" ht="15.6" hidden="1" customHeight="1" thickTop="1">
      <c r="A9" s="13"/>
      <c r="B9" s="205"/>
      <c r="C9" s="205"/>
      <c r="D9" s="205"/>
      <c r="E9" s="205"/>
      <c r="F9" s="189"/>
      <c r="G9" s="205"/>
      <c r="H9" s="205"/>
      <c r="I9" s="205"/>
      <c r="J9" s="205"/>
      <c r="K9" s="205"/>
      <c r="L9" s="205"/>
      <c r="M9" s="205"/>
      <c r="N9" s="205"/>
      <c r="O9" s="205"/>
      <c r="P9" s="205"/>
      <c r="Q9" s="205"/>
      <c r="R9" s="205"/>
      <c r="S9" s="205"/>
      <c r="T9" s="205"/>
      <c r="U9" s="205"/>
      <c r="V9" s="205"/>
      <c r="W9" s="205"/>
      <c r="X9" s="205"/>
      <c r="Y9" s="205"/>
      <c r="Z9" s="205"/>
      <c r="AA9" s="205"/>
      <c r="AB9" s="205"/>
      <c r="AC9" s="205"/>
      <c r="AD9" s="205"/>
      <c r="AE9" s="205"/>
      <c r="AF9" s="205"/>
      <c r="AG9" s="205"/>
      <c r="AH9" s="205"/>
      <c r="AI9" s="205"/>
      <c r="AJ9" s="205"/>
      <c r="AK9" s="205"/>
      <c r="AL9" s="205"/>
      <c r="AM9" s="205"/>
      <c r="AN9" s="205"/>
      <c r="AO9" s="205"/>
      <c r="AP9" s="205"/>
      <c r="AQ9" s="205"/>
      <c r="AR9" s="205"/>
      <c r="AS9" s="205"/>
      <c r="AT9" s="205"/>
      <c r="AU9" s="15"/>
      <c r="AV9" s="302"/>
      <c r="AW9" s="74"/>
      <c r="AY9" s="92"/>
      <c r="AZ9" s="17"/>
    </row>
    <row r="10" spans="1:77" s="91" customFormat="1" ht="15" hidden="1" customHeight="1">
      <c r="A10" s="20" t="s">
        <v>21</v>
      </c>
      <c r="B10" s="89">
        <v>92629183</v>
      </c>
      <c r="C10" s="89">
        <v>264427221.91120002</v>
      </c>
      <c r="D10" s="89">
        <v>385768894.21588492</v>
      </c>
      <c r="E10" s="89">
        <v>91302219</v>
      </c>
      <c r="F10" s="331">
        <v>408567772</v>
      </c>
      <c r="G10" s="89">
        <v>91302219</v>
      </c>
      <c r="H10" s="89">
        <v>91302219</v>
      </c>
      <c r="I10" s="89">
        <v>308424824</v>
      </c>
      <c r="J10" s="89">
        <v>381327168.14791769</v>
      </c>
      <c r="K10" s="89">
        <v>6335224</v>
      </c>
      <c r="L10" s="89">
        <v>47721580.594406053</v>
      </c>
      <c r="M10" s="89">
        <v>31612131.219047617</v>
      </c>
      <c r="N10" s="89">
        <v>150482575</v>
      </c>
      <c r="O10" s="89">
        <v>295519635</v>
      </c>
      <c r="P10" s="89">
        <v>36189973</v>
      </c>
      <c r="Q10" s="89">
        <v>82991132</v>
      </c>
      <c r="R10" s="89">
        <v>56673000</v>
      </c>
      <c r="S10" s="89">
        <v>104027350</v>
      </c>
      <c r="T10" s="89">
        <v>194848891.04903379</v>
      </c>
      <c r="U10" s="89">
        <f>64082041</f>
        <v>64082041</v>
      </c>
      <c r="V10" s="89">
        <v>41097260.930516586</v>
      </c>
      <c r="W10" s="89">
        <v>34286165.399999999</v>
      </c>
      <c r="X10" s="89">
        <v>138815982</v>
      </c>
      <c r="Y10" s="89">
        <v>22585376</v>
      </c>
      <c r="Z10" s="89">
        <v>868890600</v>
      </c>
      <c r="AA10" s="89">
        <v>353629976</v>
      </c>
      <c r="AB10" s="89">
        <v>515475161</v>
      </c>
      <c r="AC10" s="89">
        <v>12919682.817999998</v>
      </c>
      <c r="AD10" s="89">
        <v>33454552</v>
      </c>
      <c r="AE10" s="89">
        <v>8464412</v>
      </c>
      <c r="AF10" s="89">
        <v>30756410</v>
      </c>
      <c r="AG10" s="89">
        <v>24530229</v>
      </c>
      <c r="AH10" s="89">
        <v>69377455</v>
      </c>
      <c r="AI10" s="89">
        <v>1472155701</v>
      </c>
      <c r="AJ10" s="89">
        <v>946905944</v>
      </c>
      <c r="AK10" s="89">
        <v>27546588.472500004</v>
      </c>
      <c r="AL10" s="89">
        <v>187827866.32466066</v>
      </c>
      <c r="AM10" s="89">
        <v>933950000</v>
      </c>
      <c r="AN10" s="89">
        <v>136710623</v>
      </c>
      <c r="AO10" s="89">
        <v>56803402</v>
      </c>
      <c r="AP10" s="89">
        <v>280541761</v>
      </c>
      <c r="AQ10" s="89">
        <v>1225088</v>
      </c>
      <c r="AR10" s="89">
        <v>5836964</v>
      </c>
      <c r="AS10" s="89">
        <v>109630210.62099126</v>
      </c>
      <c r="AT10" s="89">
        <v>2520000</v>
      </c>
      <c r="AU10" s="5">
        <f>SUM(B10:AT10)</f>
        <v>9501472663.7041569</v>
      </c>
      <c r="AV10" s="302"/>
      <c r="AW10" s="74"/>
      <c r="AY10" s="92"/>
      <c r="AZ10" s="17"/>
    </row>
    <row r="11" spans="1:77" s="91" customFormat="1" ht="15" hidden="1" customHeight="1">
      <c r="A11" s="13" t="s">
        <v>22</v>
      </c>
      <c r="B11" s="89">
        <f>161137668-B10</f>
        <v>68508485</v>
      </c>
      <c r="C11" s="89">
        <f>343726655-C10</f>
        <v>79299433.088799983</v>
      </c>
      <c r="D11" s="89">
        <f>1229143943-D10</f>
        <v>843375048.78411508</v>
      </c>
      <c r="E11" s="89">
        <f>102995186-E10</f>
        <v>11692967</v>
      </c>
      <c r="F11" s="331">
        <f>+F15+F16-F10</f>
        <v>-141537521.80100003</v>
      </c>
      <c r="G11" s="89">
        <f>103944431-G10</f>
        <v>12642212</v>
      </c>
      <c r="H11" s="89">
        <f>104709520-H10</f>
        <v>13407301</v>
      </c>
      <c r="I11" s="89">
        <f>2562535488-I10</f>
        <v>2254110664</v>
      </c>
      <c r="J11" s="89">
        <f>436167960-J10</f>
        <v>54840791.852082312</v>
      </c>
      <c r="K11" s="89">
        <f>+K15+K16-K10</f>
        <v>-702284.74600000028</v>
      </c>
      <c r="L11" s="89">
        <f>149598934-L10</f>
        <v>101877353.40559395</v>
      </c>
      <c r="M11" s="89">
        <f>83769321-M10</f>
        <v>52157189.780952379</v>
      </c>
      <c r="N11" s="89">
        <f>+N15+N16-N10</f>
        <v>86268000.400000066</v>
      </c>
      <c r="O11" s="89">
        <f>307104567-O10</f>
        <v>11584932</v>
      </c>
      <c r="P11" s="89">
        <f>+P15+P16-P10</f>
        <v>-6741148.1600000039</v>
      </c>
      <c r="Q11" s="89">
        <f>75673392-Q10</f>
        <v>-7317740</v>
      </c>
      <c r="R11" s="89">
        <f>+R15+R16-R10</f>
        <v>-19013020.995999999</v>
      </c>
      <c r="S11" s="89">
        <f>106081455-S10</f>
        <v>2054105</v>
      </c>
      <c r="T11" s="89">
        <f>216125378-T10</f>
        <v>21276486.950966209</v>
      </c>
      <c r="U11" s="89">
        <f>+U15+U16-U10</f>
        <v>-13715297.050000004</v>
      </c>
      <c r="V11" s="89">
        <f>39097261-V10</f>
        <v>-1999999.9305165857</v>
      </c>
      <c r="W11" s="89">
        <f>66022879.2-W10</f>
        <v>31736713.800000004</v>
      </c>
      <c r="X11" s="89">
        <f>151423609-X10-10000000-10344000</f>
        <v>-7736373</v>
      </c>
      <c r="Y11" s="89">
        <f>48436462-Y10</f>
        <v>25851086</v>
      </c>
      <c r="Z11" s="89">
        <f>1301804961-Z10</f>
        <v>432914361</v>
      </c>
      <c r="AA11" s="89">
        <f>854163050-AA10</f>
        <v>500533074</v>
      </c>
      <c r="AB11" s="89"/>
      <c r="AC11" s="89">
        <f>18855223-AC10</f>
        <v>5935540.1820000019</v>
      </c>
      <c r="AD11" s="89">
        <f>67148211-AD10</f>
        <v>33693659</v>
      </c>
      <c r="AE11" s="89">
        <v>223659671</v>
      </c>
      <c r="AF11" s="89">
        <f>34534248-AF10</f>
        <v>3777838</v>
      </c>
      <c r="AG11" s="89"/>
      <c r="AH11" s="89">
        <f>98143716-AH10</f>
        <v>28766261</v>
      </c>
      <c r="AI11" s="89"/>
      <c r="AJ11" s="89">
        <f>967609739-AJ10</f>
        <v>20703795</v>
      </c>
      <c r="AK11" s="89">
        <f>+AK15+AK16-AK10</f>
        <v>-6113909.693500001</v>
      </c>
      <c r="AL11" s="89">
        <f>+AL15+AL16-AL10</f>
        <v>77666668.892339319</v>
      </c>
      <c r="AM11" s="89"/>
      <c r="AN11" s="89">
        <f>154145627-AN10</f>
        <v>17435004</v>
      </c>
      <c r="AO11" s="89"/>
      <c r="AP11" s="89"/>
      <c r="AQ11" s="89"/>
      <c r="AR11" s="89"/>
      <c r="AS11" s="89">
        <f>+AS15+AS16-AS10</f>
        <v>-24246839.606991261</v>
      </c>
      <c r="AT11" s="89">
        <f>+AT15+AT16-AT10</f>
        <v>-1059671.55</v>
      </c>
      <c r="AU11" s="5">
        <f>SUM(B11:AT11)</f>
        <v>4785584835.6028433</v>
      </c>
      <c r="AV11" s="302"/>
      <c r="AW11" s="74"/>
      <c r="AZ11" s="17"/>
    </row>
    <row r="12" spans="1:77" s="91" customFormat="1" ht="15.75" hidden="1" thickBot="1">
      <c r="A12" s="8" t="s">
        <v>23</v>
      </c>
      <c r="B12" s="313">
        <f t="shared" ref="B12:AK12" si="1">SUM(B10:B11)</f>
        <v>161137668</v>
      </c>
      <c r="C12" s="313">
        <f t="shared" si="1"/>
        <v>343726655</v>
      </c>
      <c r="D12" s="313">
        <f t="shared" si="1"/>
        <v>1229143943</v>
      </c>
      <c r="E12" s="313">
        <f t="shared" si="1"/>
        <v>102995186</v>
      </c>
      <c r="F12" s="332">
        <f t="shared" si="1"/>
        <v>267030250.19899997</v>
      </c>
      <c r="G12" s="313">
        <f t="shared" si="1"/>
        <v>103944431</v>
      </c>
      <c r="H12" s="313">
        <f t="shared" si="1"/>
        <v>104709520</v>
      </c>
      <c r="I12" s="313">
        <f t="shared" si="1"/>
        <v>2562535488</v>
      </c>
      <c r="J12" s="313">
        <f t="shared" si="1"/>
        <v>436167960</v>
      </c>
      <c r="K12" s="313">
        <f t="shared" si="1"/>
        <v>5632939.2539999997</v>
      </c>
      <c r="L12" s="313">
        <f t="shared" si="1"/>
        <v>149598934</v>
      </c>
      <c r="M12" s="313">
        <f t="shared" si="1"/>
        <v>83769321</v>
      </c>
      <c r="N12" s="313">
        <f t="shared" si="1"/>
        <v>236750575.40000007</v>
      </c>
      <c r="O12" s="313">
        <f t="shared" si="1"/>
        <v>307104567</v>
      </c>
      <c r="P12" s="313">
        <f t="shared" si="1"/>
        <v>29448824.839999996</v>
      </c>
      <c r="Q12" s="313">
        <f t="shared" si="1"/>
        <v>75673392</v>
      </c>
      <c r="R12" s="313">
        <f t="shared" si="1"/>
        <v>37659979.004000001</v>
      </c>
      <c r="S12" s="313">
        <f t="shared" si="1"/>
        <v>106081455</v>
      </c>
      <c r="T12" s="313">
        <f t="shared" si="1"/>
        <v>216125378</v>
      </c>
      <c r="U12" s="313">
        <f t="shared" si="1"/>
        <v>50366743.949999996</v>
      </c>
      <c r="V12" s="313">
        <f t="shared" si="1"/>
        <v>39097261</v>
      </c>
      <c r="W12" s="313">
        <f t="shared" si="1"/>
        <v>66022879.200000003</v>
      </c>
      <c r="X12" s="313">
        <f t="shared" si="1"/>
        <v>131079609</v>
      </c>
      <c r="Y12" s="313">
        <f t="shared" si="1"/>
        <v>48436462</v>
      </c>
      <c r="Z12" s="313">
        <f t="shared" si="1"/>
        <v>1301804961</v>
      </c>
      <c r="AA12" s="313">
        <f t="shared" si="1"/>
        <v>854163050</v>
      </c>
      <c r="AB12" s="110">
        <f t="shared" si="1"/>
        <v>515475161</v>
      </c>
      <c r="AC12" s="313">
        <f t="shared" si="1"/>
        <v>18855223</v>
      </c>
      <c r="AD12" s="313">
        <f t="shared" si="1"/>
        <v>67148211</v>
      </c>
      <c r="AE12" s="313">
        <f t="shared" si="1"/>
        <v>232124083</v>
      </c>
      <c r="AF12" s="313">
        <f t="shared" si="1"/>
        <v>34534248</v>
      </c>
      <c r="AG12" s="313">
        <f t="shared" si="1"/>
        <v>24530229</v>
      </c>
      <c r="AH12" s="313">
        <f t="shared" si="1"/>
        <v>98143716</v>
      </c>
      <c r="AI12" s="313">
        <f>SUM(AI10:AI11)</f>
        <v>1472155701</v>
      </c>
      <c r="AJ12" s="313">
        <f t="shared" si="1"/>
        <v>967609739</v>
      </c>
      <c r="AK12" s="313">
        <f t="shared" si="1"/>
        <v>21432678.779000003</v>
      </c>
      <c r="AL12" s="313">
        <f>SUM(AL10:AL11)</f>
        <v>265494535.21699998</v>
      </c>
      <c r="AM12" s="313">
        <f>SUM(AM10:AM11)</f>
        <v>933950000</v>
      </c>
      <c r="AN12" s="313">
        <f t="shared" ref="AN12:AT12" si="2">SUM(AN10:AN11)</f>
        <v>154145627</v>
      </c>
      <c r="AO12" s="313">
        <f t="shared" si="2"/>
        <v>56803402</v>
      </c>
      <c r="AP12" s="313">
        <f t="shared" si="2"/>
        <v>280541761</v>
      </c>
      <c r="AQ12" s="110">
        <f t="shared" si="2"/>
        <v>1225088</v>
      </c>
      <c r="AR12" s="110">
        <f t="shared" si="2"/>
        <v>5836964</v>
      </c>
      <c r="AS12" s="110">
        <f t="shared" si="2"/>
        <v>85383371.013999999</v>
      </c>
      <c r="AT12" s="110">
        <f t="shared" si="2"/>
        <v>1460328.45</v>
      </c>
      <c r="AU12" s="10">
        <f>SUM(AU10:AU11)</f>
        <v>14287057499.306999</v>
      </c>
      <c r="AV12" s="302"/>
      <c r="AW12" s="74"/>
      <c r="AZ12" s="17"/>
    </row>
    <row r="13" spans="1:77" s="91" customFormat="1" hidden="1">
      <c r="A13" s="20" t="s">
        <v>124</v>
      </c>
      <c r="B13" s="21">
        <f t="shared" ref="B13:AT13" si="3">B8-B12</f>
        <v>147553</v>
      </c>
      <c r="C13" s="21">
        <f t="shared" si="3"/>
        <v>-28757817</v>
      </c>
      <c r="D13" s="21">
        <f t="shared" si="3"/>
        <v>85120993</v>
      </c>
      <c r="E13" s="21">
        <f t="shared" si="3"/>
        <v>11404454</v>
      </c>
      <c r="F13" s="333">
        <f t="shared" si="3"/>
        <v>77515403.801000029</v>
      </c>
      <c r="G13" s="21">
        <f t="shared" si="3"/>
        <v>19826524</v>
      </c>
      <c r="H13" s="21">
        <f t="shared" si="3"/>
        <v>9690120</v>
      </c>
      <c r="I13" s="21">
        <f t="shared" si="3"/>
        <v>178034712</v>
      </c>
      <c r="J13" s="21">
        <f t="shared" si="3"/>
        <v>26094848</v>
      </c>
      <c r="K13" s="21">
        <f t="shared" si="3"/>
        <v>3417380.7460000003</v>
      </c>
      <c r="L13" s="21">
        <f t="shared" si="3"/>
        <v>14743332</v>
      </c>
      <c r="M13" s="21">
        <f t="shared" si="3"/>
        <v>13269055</v>
      </c>
      <c r="N13" s="21">
        <f t="shared" si="3"/>
        <v>122619424.59999993</v>
      </c>
      <c r="O13" s="21">
        <f t="shared" si="3"/>
        <v>23895433</v>
      </c>
      <c r="P13" s="21">
        <f t="shared" si="3"/>
        <v>14027832.160000004</v>
      </c>
      <c r="Q13" s="21">
        <f t="shared" si="3"/>
        <v>10726608</v>
      </c>
      <c r="R13" s="21">
        <f t="shared" si="3"/>
        <v>8979533.9959999993</v>
      </c>
      <c r="S13" s="21">
        <f t="shared" si="3"/>
        <v>4526307</v>
      </c>
      <c r="T13" s="21">
        <f t="shared" si="3"/>
        <v>24398173</v>
      </c>
      <c r="U13" s="21">
        <f t="shared" si="3"/>
        <v>20561354.050000004</v>
      </c>
      <c r="V13" s="21">
        <f t="shared" si="3"/>
        <v>12839123.342874497</v>
      </c>
      <c r="W13" s="21">
        <f t="shared" si="3"/>
        <v>3742804.799999997</v>
      </c>
      <c r="X13" s="21">
        <f t="shared" si="3"/>
        <v>87929464</v>
      </c>
      <c r="Y13" s="21">
        <f t="shared" si="3"/>
        <v>5715686</v>
      </c>
      <c r="Z13" s="21">
        <f t="shared" si="3"/>
        <v>126966243</v>
      </c>
      <c r="AA13" s="21">
        <f t="shared" si="3"/>
        <v>71526743</v>
      </c>
      <c r="AB13" s="21">
        <f t="shared" si="3"/>
        <v>79341177</v>
      </c>
      <c r="AC13" s="21">
        <f t="shared" si="3"/>
        <v>1712754</v>
      </c>
      <c r="AD13" s="21">
        <f t="shared" si="3"/>
        <v>10701691</v>
      </c>
      <c r="AE13" s="21">
        <f t="shared" si="3"/>
        <v>13534489</v>
      </c>
      <c r="AF13" s="21">
        <f t="shared" si="3"/>
        <v>-1055588</v>
      </c>
      <c r="AG13" s="21">
        <f t="shared" si="3"/>
        <v>3162283</v>
      </c>
      <c r="AH13" s="21">
        <f t="shared" si="3"/>
        <v>12332474</v>
      </c>
      <c r="AI13" s="21">
        <f t="shared" si="3"/>
        <v>138269844</v>
      </c>
      <c r="AJ13" s="21">
        <f t="shared" si="3"/>
        <v>54884842</v>
      </c>
      <c r="AK13" s="21">
        <f t="shared" si="3"/>
        <v>10361197.220999997</v>
      </c>
      <c r="AL13" s="21">
        <f t="shared" si="3"/>
        <v>9169164.7830000222</v>
      </c>
      <c r="AM13" s="21">
        <f t="shared" si="3"/>
        <v>66050000</v>
      </c>
      <c r="AN13" s="21">
        <f t="shared" si="3"/>
        <v>14201800</v>
      </c>
      <c r="AO13" s="21">
        <f t="shared" si="3"/>
        <v>6780085</v>
      </c>
      <c r="AP13" s="21">
        <f t="shared" si="3"/>
        <v>36998989</v>
      </c>
      <c r="AQ13" s="21">
        <f t="shared" si="3"/>
        <v>213653</v>
      </c>
      <c r="AR13" s="21">
        <f t="shared" si="3"/>
        <v>754751</v>
      </c>
      <c r="AS13" s="21">
        <f t="shared" si="3"/>
        <v>54408811.986000001</v>
      </c>
      <c r="AT13" s="21">
        <f t="shared" si="3"/>
        <v>2405051.5499999998</v>
      </c>
      <c r="AU13" s="5">
        <f>SUM(B13:AT13)</f>
        <v>1463188758.0358744</v>
      </c>
      <c r="AV13" s="302"/>
      <c r="AW13" s="74"/>
      <c r="AZ13" s="17"/>
    </row>
    <row r="14" spans="1:77" s="91" customFormat="1" hidden="1">
      <c r="A14" s="20" t="s">
        <v>125</v>
      </c>
      <c r="B14" s="173">
        <f t="shared" ref="B14:AT14" si="4">B13/B8</f>
        <v>9.1485753676091624E-4</v>
      </c>
      <c r="C14" s="173">
        <f t="shared" si="4"/>
        <v>-9.1303689541503155E-2</v>
      </c>
      <c r="D14" s="173">
        <f t="shared" si="4"/>
        <v>6.476699687284361E-2</v>
      </c>
      <c r="E14" s="173">
        <f t="shared" si="4"/>
        <v>9.9689596925305005E-2</v>
      </c>
      <c r="F14" s="190">
        <f t="shared" si="4"/>
        <v>0.22497861430288141</v>
      </c>
      <c r="G14" s="173">
        <f t="shared" si="4"/>
        <v>0.16018721031925462</v>
      </c>
      <c r="H14" s="173">
        <f t="shared" si="4"/>
        <v>8.4704112705249773E-2</v>
      </c>
      <c r="I14" s="173">
        <f t="shared" si="4"/>
        <v>6.4962653392348788E-2</v>
      </c>
      <c r="J14" s="173">
        <f t="shared" si="4"/>
        <v>5.6450243342960005E-2</v>
      </c>
      <c r="K14" s="173">
        <f t="shared" si="4"/>
        <v>0.37759778063096117</v>
      </c>
      <c r="L14" s="173">
        <f t="shared" si="4"/>
        <v>8.971113979893644E-2</v>
      </c>
      <c r="M14" s="173">
        <f t="shared" si="4"/>
        <v>0.13674028304018607</v>
      </c>
      <c r="N14" s="173">
        <f t="shared" si="4"/>
        <v>0.34120662437042582</v>
      </c>
      <c r="O14" s="173">
        <f t="shared" si="4"/>
        <v>7.2191640483383682E-2</v>
      </c>
      <c r="P14" s="173">
        <f t="shared" si="4"/>
        <v>0.32265204199117709</v>
      </c>
      <c r="Q14" s="173">
        <f t="shared" si="4"/>
        <v>0.12415055555555556</v>
      </c>
      <c r="R14" s="173">
        <f t="shared" si="4"/>
        <v>0.19253061231578467</v>
      </c>
      <c r="S14" s="173">
        <f t="shared" si="4"/>
        <v>4.0922146132926912E-2</v>
      </c>
      <c r="T14" s="173">
        <f t="shared" si="4"/>
        <v>0.10143777147211668</v>
      </c>
      <c r="U14" s="173">
        <f t="shared" si="4"/>
        <v>0.28989010885361688</v>
      </c>
      <c r="V14" s="173">
        <f t="shared" si="4"/>
        <v>0.24720864775863019</v>
      </c>
      <c r="W14" s="173">
        <f t="shared" si="4"/>
        <v>5.3648220520564192E-2</v>
      </c>
      <c r="X14" s="173">
        <f t="shared" si="4"/>
        <v>0.40148776849989226</v>
      </c>
      <c r="Y14" s="173">
        <f t="shared" si="4"/>
        <v>0.10554864785788368</v>
      </c>
      <c r="Z14" s="173">
        <f t="shared" si="4"/>
        <v>8.886394311737543E-2</v>
      </c>
      <c r="AA14" s="173">
        <f t="shared" si="4"/>
        <v>7.7268587750324261E-2</v>
      </c>
      <c r="AB14" s="173">
        <f t="shared" si="4"/>
        <v>0.13338768949550944</v>
      </c>
      <c r="AC14" s="173">
        <f t="shared" si="4"/>
        <v>8.3272846911487702E-2</v>
      </c>
      <c r="AD14" s="173">
        <f t="shared" si="4"/>
        <v>0.13746569648860957</v>
      </c>
      <c r="AE14" s="173">
        <f t="shared" si="4"/>
        <v>5.5094714952588747E-2</v>
      </c>
      <c r="AF14" s="173">
        <f t="shared" si="4"/>
        <v>-3.1530174744150451E-2</v>
      </c>
      <c r="AG14" s="173">
        <f t="shared" si="4"/>
        <v>0.11419271028933742</v>
      </c>
      <c r="AH14" s="173">
        <f t="shared" si="4"/>
        <v>0.11163015306737135</v>
      </c>
      <c r="AI14" s="173">
        <f t="shared" si="4"/>
        <v>8.5859196924251466E-2</v>
      </c>
      <c r="AJ14" s="173">
        <f t="shared" si="4"/>
        <v>5.3677391567515796E-2</v>
      </c>
      <c r="AK14" s="173">
        <f t="shared" si="4"/>
        <v>0.32588657076601785</v>
      </c>
      <c r="AL14" s="173">
        <f t="shared" si="4"/>
        <v>3.3383242062930127E-2</v>
      </c>
      <c r="AM14" s="173">
        <f t="shared" si="4"/>
        <v>6.6049999999999998E-2</v>
      </c>
      <c r="AN14" s="173">
        <f t="shared" si="4"/>
        <v>8.4360065687252822E-2</v>
      </c>
      <c r="AO14" s="173">
        <f t="shared" si="4"/>
        <v>0.10663279602768562</v>
      </c>
      <c r="AP14" s="173">
        <f t="shared" si="4"/>
        <v>0.11651729423703887</v>
      </c>
      <c r="AQ14" s="173">
        <f t="shared" si="4"/>
        <v>0.14849997324049291</v>
      </c>
      <c r="AR14" s="173">
        <f t="shared" si="4"/>
        <v>0.11449994424819641</v>
      </c>
      <c r="AS14" s="173">
        <f t="shared" si="4"/>
        <v>0.38921212058044763</v>
      </c>
      <c r="AT14" s="173">
        <f t="shared" si="4"/>
        <v>0.62220313397389126</v>
      </c>
      <c r="AU14" s="174">
        <f>AU13/AU8</f>
        <v>9.2899421007701738E-2</v>
      </c>
      <c r="AV14" s="302"/>
      <c r="AW14" s="74"/>
      <c r="AZ14" s="17"/>
    </row>
    <row r="15" spans="1:77" s="91" customFormat="1" hidden="1">
      <c r="A15" s="13" t="s">
        <v>25</v>
      </c>
      <c r="B15" s="89">
        <v>147218379.38449079</v>
      </c>
      <c r="C15" s="89">
        <v>339434694.46691799</v>
      </c>
      <c r="D15" s="89">
        <v>765169038.98900008</v>
      </c>
      <c r="E15" s="89">
        <v>60104836.098999992</v>
      </c>
      <c r="F15" s="331">
        <v>260536181.10499996</v>
      </c>
      <c r="G15" s="89">
        <v>83044722.129999995</v>
      </c>
      <c r="H15" s="89">
        <v>42320907.890999988</v>
      </c>
      <c r="I15" s="89">
        <v>589608481.5400002</v>
      </c>
      <c r="J15" s="89">
        <v>157289468.91000003</v>
      </c>
      <c r="K15" s="89">
        <v>5576458.2949999999</v>
      </c>
      <c r="L15" s="89">
        <v>49625217.441</v>
      </c>
      <c r="M15" s="89">
        <v>45605817.277999997</v>
      </c>
      <c r="N15" s="89">
        <v>212684388.64600006</v>
      </c>
      <c r="O15" s="89">
        <v>180953904.43699998</v>
      </c>
      <c r="P15" s="89">
        <v>23613590.371999998</v>
      </c>
      <c r="Q15" s="89">
        <v>51740577.520999998</v>
      </c>
      <c r="R15" s="89">
        <v>37465929.964000002</v>
      </c>
      <c r="S15" s="89">
        <v>78561198.162</v>
      </c>
      <c r="T15" s="89">
        <v>87994977.755999997</v>
      </c>
      <c r="U15" s="89">
        <v>48012449.948999994</v>
      </c>
      <c r="V15" s="89">
        <v>5562926.1270000003</v>
      </c>
      <c r="W15" s="89">
        <v>12479184.655000001</v>
      </c>
      <c r="X15" s="89">
        <v>82955285.203000039</v>
      </c>
      <c r="Y15" s="89">
        <v>10269346.389999999</v>
      </c>
      <c r="Z15" s="89">
        <v>32681023.748999994</v>
      </c>
      <c r="AA15" s="89">
        <v>47423662.781999998</v>
      </c>
      <c r="AB15" s="89">
        <v>16805916.114999998</v>
      </c>
      <c r="AC15" s="89">
        <v>12919682.817999998</v>
      </c>
      <c r="AD15" s="89">
        <v>39238906.958999999</v>
      </c>
      <c r="AE15" s="89">
        <v>19465324.897000004</v>
      </c>
      <c r="AF15" s="89">
        <v>16937734.958000001</v>
      </c>
      <c r="AG15" s="89">
        <v>124549.894</v>
      </c>
      <c r="AH15" s="89">
        <v>1251659.0720000002</v>
      </c>
      <c r="AI15" s="89">
        <v>1832666.15</v>
      </c>
      <c r="AJ15" s="89">
        <v>500359.87</v>
      </c>
      <c r="AK15" s="89">
        <v>21210869.997000001</v>
      </c>
      <c r="AL15" s="89">
        <v>259287399.00999999</v>
      </c>
      <c r="AM15" s="89">
        <v>0</v>
      </c>
      <c r="AN15" s="89">
        <v>0</v>
      </c>
      <c r="AO15" s="89">
        <v>0</v>
      </c>
      <c r="AP15" s="89">
        <v>0</v>
      </c>
      <c r="AQ15" s="89">
        <v>0</v>
      </c>
      <c r="AR15" s="89">
        <v>0</v>
      </c>
      <c r="AS15" s="89">
        <v>85209855.069999993</v>
      </c>
      <c r="AT15" s="89">
        <v>1175416.75</v>
      </c>
      <c r="AU15" s="5">
        <f>SUM(B15:AT15)</f>
        <v>3933892990.8024096</v>
      </c>
      <c r="AV15" s="302"/>
      <c r="AW15" s="74"/>
      <c r="AZ15" s="25"/>
    </row>
    <row r="16" spans="1:77" s="91" customFormat="1" hidden="1">
      <c r="A16" s="13" t="s">
        <v>257</v>
      </c>
      <c r="B16" s="89">
        <f>$N$174</f>
        <v>3812689.6479999996</v>
      </c>
      <c r="C16" s="89">
        <f>$N$175</f>
        <v>3564293.5380000002</v>
      </c>
      <c r="D16" s="89">
        <f>$N$176</f>
        <v>153887972.84299999</v>
      </c>
      <c r="E16" s="89">
        <f>$N$177</f>
        <v>15645697.066</v>
      </c>
      <c r="F16" s="331">
        <f>$N$178</f>
        <v>6494069.0940000005</v>
      </c>
      <c r="G16" s="89">
        <f>$N$179</f>
        <v>11285080.111</v>
      </c>
      <c r="H16" s="89">
        <f>$N$180</f>
        <v>15960259.778999999</v>
      </c>
      <c r="I16" s="89">
        <f>$N$181</f>
        <v>118518212.89</v>
      </c>
      <c r="J16" s="89">
        <f>$N$182</f>
        <v>51526216.011</v>
      </c>
      <c r="K16" s="89">
        <f>$N$183</f>
        <v>56480.959000000068</v>
      </c>
      <c r="L16" s="89">
        <f>$N$184</f>
        <v>50366119.890000001</v>
      </c>
      <c r="M16" s="89">
        <f>$N$185</f>
        <v>28864584.992999997</v>
      </c>
      <c r="N16" s="89">
        <f>$N$186</f>
        <v>24066186.754000001</v>
      </c>
      <c r="O16" s="89">
        <f>$N$187</f>
        <v>92635212.18599999</v>
      </c>
      <c r="P16" s="89">
        <f>$N$188</f>
        <v>5835234.4680000003</v>
      </c>
      <c r="Q16" s="89">
        <f>$N$189</f>
        <v>6196335.4809999997</v>
      </c>
      <c r="R16" s="89">
        <f>$N$190</f>
        <v>194049.04</v>
      </c>
      <c r="S16" s="89">
        <f>$N$191</f>
        <v>11718707.805</v>
      </c>
      <c r="T16" s="89">
        <f>$N$192</f>
        <v>47172597.289999999</v>
      </c>
      <c r="U16" s="89">
        <f>$N$193</f>
        <v>2354294.0010000002</v>
      </c>
      <c r="V16" s="89">
        <f>$N$194</f>
        <v>6719442.0640000012</v>
      </c>
      <c r="W16" s="89">
        <f>$N$195</f>
        <v>31798939.168000001</v>
      </c>
      <c r="X16" s="89">
        <f>$N$196</f>
        <v>29250948.522000004</v>
      </c>
      <c r="Y16" s="89">
        <f>$N$197</f>
        <v>10826700.973999999</v>
      </c>
      <c r="Z16" s="89">
        <f>$N$198</f>
        <v>94539611.203000009</v>
      </c>
      <c r="AA16" s="89">
        <f>$N$199</f>
        <v>91760849.333000019</v>
      </c>
      <c r="AB16" s="89">
        <f>$N$200</f>
        <v>-16805916.119999997</v>
      </c>
      <c r="AC16" s="89">
        <f>$N$201</f>
        <v>2902875.6230000001</v>
      </c>
      <c r="AD16" s="89">
        <f>$N$202</f>
        <v>26131416.241</v>
      </c>
      <c r="AE16" s="89">
        <f>$N$203</f>
        <v>67127971.908999994</v>
      </c>
      <c r="AF16" s="89">
        <f>$N$204</f>
        <v>16496458.074000001</v>
      </c>
      <c r="AG16" s="89">
        <f>$N$205</f>
        <v>9487334.3870000001</v>
      </c>
      <c r="AH16" s="89">
        <f>$N$206</f>
        <v>57116998.367000006</v>
      </c>
      <c r="AI16" s="89">
        <f>$N$207</f>
        <v>34355789.790000007</v>
      </c>
      <c r="AJ16" s="89">
        <f>$N$208</f>
        <v>40007415.116999999</v>
      </c>
      <c r="AK16" s="89">
        <f>$N$209</f>
        <v>221808.78200000001</v>
      </c>
      <c r="AL16" s="89">
        <f>$N$210</f>
        <v>6207136.2070000004</v>
      </c>
      <c r="AM16" s="89">
        <f>$N$211</f>
        <v>5627287.5329999998</v>
      </c>
      <c r="AN16" s="89">
        <f>$N$212</f>
        <v>1701374.0220000003</v>
      </c>
      <c r="AO16" s="89">
        <f>$N$213</f>
        <v>25396848.762999997</v>
      </c>
      <c r="AP16" s="89">
        <f>$N$214</f>
        <v>86959.698999999993</v>
      </c>
      <c r="AQ16" s="89">
        <f>$N$215</f>
        <v>186222.72200000001</v>
      </c>
      <c r="AR16" s="89">
        <f>$N$216</f>
        <v>1035681.801</v>
      </c>
      <c r="AS16" s="89">
        <f>$N$217</f>
        <v>173515.94400000002</v>
      </c>
      <c r="AT16" s="89">
        <f>$N$218</f>
        <v>284911.7</v>
      </c>
      <c r="AU16" s="5">
        <f>SUM(B16:AT16)</f>
        <v>1192792875.6719999</v>
      </c>
      <c r="AV16" s="302"/>
      <c r="AW16" s="74"/>
      <c r="AZ16" s="17"/>
    </row>
    <row r="17" spans="1:80" s="91" customFormat="1" hidden="1">
      <c r="A17" s="20"/>
      <c r="B17" s="89"/>
      <c r="C17" s="89"/>
      <c r="D17" s="89"/>
      <c r="E17" s="89"/>
      <c r="F17" s="331"/>
      <c r="G17" s="89"/>
      <c r="H17" s="89"/>
      <c r="I17" s="89"/>
      <c r="J17" s="89"/>
      <c r="K17" s="89"/>
      <c r="L17" s="89"/>
      <c r="M17" s="89"/>
      <c r="N17" s="89"/>
      <c r="O17" s="89"/>
      <c r="P17" s="89"/>
      <c r="Q17" s="89"/>
      <c r="R17" s="89"/>
      <c r="S17" s="89"/>
      <c r="T17" s="89"/>
      <c r="U17" s="89"/>
      <c r="V17" s="89"/>
      <c r="W17" s="89"/>
      <c r="X17" s="89"/>
      <c r="Y17" s="89"/>
      <c r="Z17" s="89"/>
      <c r="AA17" s="89"/>
      <c r="AB17" s="89"/>
      <c r="AC17" s="89"/>
      <c r="AD17" s="89"/>
      <c r="AE17" s="89"/>
      <c r="AF17" s="89"/>
      <c r="AG17" s="89"/>
      <c r="AH17" s="89"/>
      <c r="AI17" s="89"/>
      <c r="AJ17" s="89"/>
      <c r="AK17" s="89"/>
      <c r="AL17" s="89"/>
      <c r="AM17" s="89"/>
      <c r="AN17" s="89"/>
      <c r="AO17" s="89"/>
      <c r="AP17" s="89"/>
      <c r="AQ17" s="89"/>
      <c r="AR17" s="89"/>
      <c r="AS17" s="89"/>
      <c r="AT17" s="89"/>
      <c r="AU17" s="5">
        <f>SUM(B17:AJ17)</f>
        <v>0</v>
      </c>
      <c r="AV17" s="302"/>
      <c r="AW17" s="74"/>
      <c r="AZ17" s="17"/>
    </row>
    <row r="18" spans="1:80" s="91" customFormat="1" hidden="1">
      <c r="A18" s="20" t="s">
        <v>27</v>
      </c>
      <c r="B18" s="95">
        <f t="shared" ref="B18:K18" si="5">B15/B12</f>
        <v>0.91361865423353894</v>
      </c>
      <c r="C18" s="95">
        <f t="shared" si="5"/>
        <v>0.98751344863527679</v>
      </c>
      <c r="D18" s="95">
        <f>D15/D12</f>
        <v>0.62252191319548333</v>
      </c>
      <c r="E18" s="95">
        <f t="shared" si="5"/>
        <v>0.583569372834571</v>
      </c>
      <c r="F18" s="95">
        <f t="shared" si="5"/>
        <v>0.97568039917140315</v>
      </c>
      <c r="G18" s="95">
        <f t="shared" si="5"/>
        <v>0.79893382772954902</v>
      </c>
      <c r="H18" s="95">
        <f>H15/H12</f>
        <v>0.40417440449540776</v>
      </c>
      <c r="I18" s="95">
        <f t="shared" si="5"/>
        <v>0.23008792826521052</v>
      </c>
      <c r="J18" s="95">
        <f t="shared" si="5"/>
        <v>0.36061674248149733</v>
      </c>
      <c r="K18" s="95">
        <f t="shared" si="5"/>
        <v>0.98997309282895385</v>
      </c>
      <c r="L18" s="95">
        <f>L15/L12</f>
        <v>0.33172173166020019</v>
      </c>
      <c r="M18" s="95">
        <f t="shared" ref="M18:AR18" si="6">M15/M12</f>
        <v>0.5444214747544629</v>
      </c>
      <c r="N18" s="95">
        <f t="shared" si="6"/>
        <v>0.89834792708174338</v>
      </c>
      <c r="O18" s="95">
        <f t="shared" si="6"/>
        <v>0.58922570316904466</v>
      </c>
      <c r="P18" s="95">
        <f t="shared" si="6"/>
        <v>0.801851703770737</v>
      </c>
      <c r="Q18" s="95">
        <f t="shared" si="6"/>
        <v>0.68373540756571338</v>
      </c>
      <c r="R18" s="95">
        <f t="shared" si="6"/>
        <v>0.99484734072795455</v>
      </c>
      <c r="S18" s="95">
        <f t="shared" si="6"/>
        <v>0.74057428946463832</v>
      </c>
      <c r="T18" s="95">
        <f t="shared" si="6"/>
        <v>0.4071478258143289</v>
      </c>
      <c r="U18" s="95">
        <f t="shared" si="6"/>
        <v>0.95325697441674706</v>
      </c>
      <c r="V18" s="95">
        <f t="shared" si="6"/>
        <v>0.14228429267717757</v>
      </c>
      <c r="W18" s="95">
        <f t="shared" si="6"/>
        <v>0.18901303315169571</v>
      </c>
      <c r="X18" s="95">
        <f t="shared" si="6"/>
        <v>0.63286186032947378</v>
      </c>
      <c r="Y18" s="95">
        <f t="shared" si="6"/>
        <v>0.21201685602057391</v>
      </c>
      <c r="Z18" s="95">
        <f t="shared" si="6"/>
        <v>2.5104393306271934E-2</v>
      </c>
      <c r="AA18" s="95">
        <f t="shared" si="6"/>
        <v>5.5520620778433345E-2</v>
      </c>
      <c r="AB18" s="95">
        <f t="shared" si="6"/>
        <v>3.2602766120480436E-2</v>
      </c>
      <c r="AC18" s="95">
        <f t="shared" si="6"/>
        <v>0.68520445597487756</v>
      </c>
      <c r="AD18" s="95">
        <f t="shared" si="6"/>
        <v>0.58436265649728181</v>
      </c>
      <c r="AE18" s="95">
        <f t="shared" si="6"/>
        <v>8.3857412145382615E-2</v>
      </c>
      <c r="AF18" s="95">
        <f t="shared" si="6"/>
        <v>0.49046195990716235</v>
      </c>
      <c r="AG18" s="95">
        <f t="shared" si="6"/>
        <v>5.0774044547240065E-3</v>
      </c>
      <c r="AH18" s="95">
        <f t="shared" si="6"/>
        <v>1.2753328720506163E-2</v>
      </c>
      <c r="AI18" s="95">
        <f t="shared" si="6"/>
        <v>1.2448860869506628E-3</v>
      </c>
      <c r="AJ18" s="95">
        <f t="shared" si="6"/>
        <v>5.1710917101465846E-4</v>
      </c>
      <c r="AK18" s="95">
        <f t="shared" si="6"/>
        <v>0.98965090718303805</v>
      </c>
      <c r="AL18" s="95">
        <f t="shared" si="6"/>
        <v>0.97662047468537672</v>
      </c>
      <c r="AM18" s="95">
        <f t="shared" si="6"/>
        <v>0</v>
      </c>
      <c r="AN18" s="95">
        <f t="shared" si="6"/>
        <v>0</v>
      </c>
      <c r="AO18" s="95">
        <f t="shared" si="6"/>
        <v>0</v>
      </c>
      <c r="AP18" s="95">
        <f t="shared" si="6"/>
        <v>0</v>
      </c>
      <c r="AQ18" s="95">
        <f t="shared" si="6"/>
        <v>0</v>
      </c>
      <c r="AR18" s="95">
        <f t="shared" si="6"/>
        <v>0</v>
      </c>
      <c r="AS18" s="95">
        <f>AS15/AS12</f>
        <v>0.99796780166981747</v>
      </c>
      <c r="AT18" s="95">
        <f>AT15/AT12</f>
        <v>0.80489889106796486</v>
      </c>
      <c r="AU18" s="30">
        <f>AU15/AU12</f>
        <v>0.27534661990358933</v>
      </c>
      <c r="AV18" s="302"/>
      <c r="AW18" s="74"/>
      <c r="AZ18" s="17"/>
    </row>
    <row r="19" spans="1:80" s="91" customFormat="1" hidden="1">
      <c r="A19" s="20" t="s">
        <v>28</v>
      </c>
      <c r="B19" s="95">
        <f t="shared" ref="B19:K19" si="7">B16/B12</f>
        <v>2.3661070036088642E-2</v>
      </c>
      <c r="C19" s="95">
        <f t="shared" si="7"/>
        <v>1.0369558153702104E-2</v>
      </c>
      <c r="D19" s="95">
        <f>D16/D12</f>
        <v>0.12519930942132138</v>
      </c>
      <c r="E19" s="95">
        <f t="shared" si="7"/>
        <v>0.15190707132661521</v>
      </c>
      <c r="F19" s="95">
        <f t="shared" si="7"/>
        <v>2.4319600828596761E-2</v>
      </c>
      <c r="G19" s="95">
        <f>G16/G12</f>
        <v>0.10856839565555945</v>
      </c>
      <c r="H19" s="95">
        <f>H16/H12</f>
        <v>0.15242415187272371</v>
      </c>
      <c r="I19" s="95">
        <f t="shared" si="7"/>
        <v>4.6250369388055088E-2</v>
      </c>
      <c r="J19" s="95">
        <f>J16/J12</f>
        <v>0.11813388587965058</v>
      </c>
      <c r="K19" s="95">
        <f t="shared" si="7"/>
        <v>1.0026907171046172E-2</v>
      </c>
      <c r="L19" s="95">
        <f>L16/L12</f>
        <v>0.33667432342799986</v>
      </c>
      <c r="M19" s="95">
        <f>M16/M12</f>
        <v>0.344572268802322</v>
      </c>
      <c r="N19" s="95">
        <f>N16/N12</f>
        <v>0.10165207291825655</v>
      </c>
      <c r="O19" s="95">
        <f t="shared" ref="O19:AI19" si="8">O16/O12</f>
        <v>0.30164062062287728</v>
      </c>
      <c r="P19" s="95">
        <f t="shared" si="8"/>
        <v>0.19814829622926308</v>
      </c>
      <c r="Q19" s="95">
        <f t="shared" si="8"/>
        <v>8.1882618410973301E-2</v>
      </c>
      <c r="R19" s="95">
        <f t="shared" si="8"/>
        <v>5.152659272045515E-3</v>
      </c>
      <c r="S19" s="95">
        <f t="shared" si="8"/>
        <v>0.11046895807565987</v>
      </c>
      <c r="T19" s="95">
        <f t="shared" si="8"/>
        <v>0.21826496141512822</v>
      </c>
      <c r="U19" s="95">
        <f t="shared" si="8"/>
        <v>4.674302558325294E-2</v>
      </c>
      <c r="V19" s="95">
        <f t="shared" si="8"/>
        <v>0.17186477753518337</v>
      </c>
      <c r="W19" s="95">
        <f t="shared" si="8"/>
        <v>0.48163514759289688</v>
      </c>
      <c r="X19" s="95">
        <f t="shared" si="8"/>
        <v>0.22315407213337052</v>
      </c>
      <c r="Y19" s="95">
        <f t="shared" si="8"/>
        <v>0.22352377789277836</v>
      </c>
      <c r="Z19" s="95">
        <f t="shared" si="8"/>
        <v>7.2621947246519991E-2</v>
      </c>
      <c r="AA19" s="95">
        <f t="shared" si="8"/>
        <v>0.10742779066947467</v>
      </c>
      <c r="AB19" s="95">
        <f t="shared" si="8"/>
        <v>-3.2602766130180226E-2</v>
      </c>
      <c r="AC19" s="95">
        <f t="shared" si="8"/>
        <v>0.1539560483055544</v>
      </c>
      <c r="AD19" s="95">
        <f t="shared" si="8"/>
        <v>0.38916027473911408</v>
      </c>
      <c r="AE19" s="95">
        <f t="shared" si="8"/>
        <v>0.28919003595589859</v>
      </c>
      <c r="AF19" s="95">
        <f t="shared" si="8"/>
        <v>0.47768401020343632</v>
      </c>
      <c r="AG19" s="95">
        <f t="shared" si="8"/>
        <v>0.38676093839156578</v>
      </c>
      <c r="AH19" s="95">
        <f t="shared" si="8"/>
        <v>0.5819730564002692</v>
      </c>
      <c r="AI19" s="95">
        <f t="shared" si="8"/>
        <v>2.333706262636686E-2</v>
      </c>
      <c r="AJ19" s="95">
        <f t="shared" ref="AJ19:AU19" si="9">AJ16/AJ12</f>
        <v>4.1346643697847275E-2</v>
      </c>
      <c r="AK19" s="95">
        <f t="shared" si="9"/>
        <v>1.0349092816961869E-2</v>
      </c>
      <c r="AL19" s="95">
        <f t="shared" si="9"/>
        <v>2.3379525314623308E-2</v>
      </c>
      <c r="AM19" s="95">
        <f t="shared" si="9"/>
        <v>6.0252556700037471E-3</v>
      </c>
      <c r="AN19" s="95">
        <f t="shared" si="9"/>
        <v>1.1037445921187244E-2</v>
      </c>
      <c r="AO19" s="95">
        <f t="shared" si="9"/>
        <v>0.44710084024544861</v>
      </c>
      <c r="AP19" s="95">
        <f t="shared" si="9"/>
        <v>3.0997060362788554E-4</v>
      </c>
      <c r="AQ19" s="95">
        <f t="shared" si="9"/>
        <v>0.15200762883972418</v>
      </c>
      <c r="AR19" s="95">
        <f t="shared" si="9"/>
        <v>0.17743501604601294</v>
      </c>
      <c r="AS19" s="95">
        <f t="shared" si="9"/>
        <v>2.0321983301824571E-3</v>
      </c>
      <c r="AT19" s="95">
        <f t="shared" si="9"/>
        <v>0.19510110893203514</v>
      </c>
      <c r="AU19" s="30">
        <f t="shared" si="9"/>
        <v>8.3487651374669486E-2</v>
      </c>
      <c r="AV19" s="302"/>
      <c r="AW19" s="74"/>
      <c r="AZ19" s="17"/>
    </row>
    <row r="20" spans="1:80" s="91" customFormat="1" hidden="1">
      <c r="A20" s="31" t="s">
        <v>29</v>
      </c>
      <c r="B20" s="117">
        <f t="shared" ref="B20:K20" si="10">SUM(B18:B19)</f>
        <v>0.93727972426962758</v>
      </c>
      <c r="C20" s="117">
        <f t="shared" si="10"/>
        <v>0.9978830067889789</v>
      </c>
      <c r="D20" s="117">
        <f>SUM(D18:D19)</f>
        <v>0.74772122261680474</v>
      </c>
      <c r="E20" s="117">
        <f t="shared" si="10"/>
        <v>0.73547644416118618</v>
      </c>
      <c r="F20" s="117">
        <f t="shared" si="10"/>
        <v>0.99999999999999989</v>
      </c>
      <c r="G20" s="117">
        <f t="shared" si="10"/>
        <v>0.90750222338510844</v>
      </c>
      <c r="H20" s="117">
        <f>SUM(H18:H19)</f>
        <v>0.55659855636813149</v>
      </c>
      <c r="I20" s="117">
        <f t="shared" si="10"/>
        <v>0.27633829765326562</v>
      </c>
      <c r="J20" s="117">
        <f t="shared" si="10"/>
        <v>0.4787506283611479</v>
      </c>
      <c r="K20" s="117">
        <f t="shared" si="10"/>
        <v>1</v>
      </c>
      <c r="L20" s="117">
        <f>SUM(L18:L19)</f>
        <v>0.66839605508819999</v>
      </c>
      <c r="M20" s="117">
        <f t="shared" ref="M20:AT20" si="11">SUM(M18:M19)</f>
        <v>0.88899374355678495</v>
      </c>
      <c r="N20" s="117">
        <f t="shared" si="11"/>
        <v>0.99999999999999989</v>
      </c>
      <c r="O20" s="117">
        <f>SUM(O18:O19)</f>
        <v>0.89086632379192188</v>
      </c>
      <c r="P20" s="117">
        <f t="shared" si="11"/>
        <v>1</v>
      </c>
      <c r="Q20" s="117">
        <f t="shared" si="11"/>
        <v>0.76561802597668671</v>
      </c>
      <c r="R20" s="117">
        <f t="shared" si="11"/>
        <v>1</v>
      </c>
      <c r="S20" s="117">
        <f t="shared" si="11"/>
        <v>0.85104324754029825</v>
      </c>
      <c r="T20" s="117">
        <f t="shared" si="11"/>
        <v>0.62541278722945715</v>
      </c>
      <c r="U20" s="117">
        <f t="shared" si="11"/>
        <v>1</v>
      </c>
      <c r="V20" s="117">
        <f t="shared" si="11"/>
        <v>0.31414907021236094</v>
      </c>
      <c r="W20" s="117">
        <f t="shared" si="11"/>
        <v>0.67064818074459254</v>
      </c>
      <c r="X20" s="117">
        <f t="shared" si="11"/>
        <v>0.85601593246284424</v>
      </c>
      <c r="Y20" s="117">
        <f t="shared" si="11"/>
        <v>0.43554063391335229</v>
      </c>
      <c r="Z20" s="117">
        <f t="shared" si="11"/>
        <v>9.7726340552791918E-2</v>
      </c>
      <c r="AA20" s="117">
        <f t="shared" si="11"/>
        <v>0.162948411447908</v>
      </c>
      <c r="AB20" s="117">
        <f t="shared" si="11"/>
        <v>-9.6997895826511638E-12</v>
      </c>
      <c r="AC20" s="117">
        <f t="shared" si="11"/>
        <v>0.83916050428043198</v>
      </c>
      <c r="AD20" s="117">
        <f t="shared" si="11"/>
        <v>0.97352293123639588</v>
      </c>
      <c r="AE20" s="117">
        <f t="shared" si="11"/>
        <v>0.37304744810128121</v>
      </c>
      <c r="AF20" s="117">
        <f t="shared" si="11"/>
        <v>0.96814597011059866</v>
      </c>
      <c r="AG20" s="117">
        <f t="shared" si="11"/>
        <v>0.39183834284628977</v>
      </c>
      <c r="AH20" s="117">
        <f t="shared" si="11"/>
        <v>0.59472638512077536</v>
      </c>
      <c r="AI20" s="117">
        <f t="shared" si="11"/>
        <v>2.4581948713317522E-2</v>
      </c>
      <c r="AJ20" s="117">
        <f t="shared" si="11"/>
        <v>4.1863752868861931E-2</v>
      </c>
      <c r="AK20" s="117">
        <f t="shared" si="11"/>
        <v>0.99999999999999989</v>
      </c>
      <c r="AL20" s="117">
        <f t="shared" si="11"/>
        <v>1</v>
      </c>
      <c r="AM20" s="117">
        <f t="shared" si="11"/>
        <v>6.0252556700037471E-3</v>
      </c>
      <c r="AN20" s="117">
        <f t="shared" si="11"/>
        <v>1.1037445921187244E-2</v>
      </c>
      <c r="AO20" s="117">
        <f t="shared" si="11"/>
        <v>0.44710084024544861</v>
      </c>
      <c r="AP20" s="117">
        <f t="shared" si="11"/>
        <v>3.0997060362788554E-4</v>
      </c>
      <c r="AQ20" s="117">
        <f t="shared" si="11"/>
        <v>0.15200762883972418</v>
      </c>
      <c r="AR20" s="117">
        <f t="shared" si="11"/>
        <v>0.17743501604601294</v>
      </c>
      <c r="AS20" s="117">
        <f t="shared" si="11"/>
        <v>0.99999999999999989</v>
      </c>
      <c r="AT20" s="117">
        <f t="shared" si="11"/>
        <v>1</v>
      </c>
      <c r="AU20" s="174">
        <f>SUM(AU18:AU19)</f>
        <v>0.35883427127825884</v>
      </c>
      <c r="AW20" s="74"/>
      <c r="AZ20" s="96"/>
    </row>
    <row r="21" spans="1:80" s="91" customFormat="1" hidden="1">
      <c r="A21" s="20"/>
      <c r="B21" s="89"/>
      <c r="C21" s="89"/>
      <c r="D21" s="89"/>
      <c r="E21" s="89"/>
      <c r="F21" s="331"/>
      <c r="G21" s="89"/>
      <c r="H21" s="89"/>
      <c r="I21" s="89"/>
      <c r="J21" s="89"/>
      <c r="K21" s="89"/>
      <c r="L21" s="89"/>
      <c r="M21" s="89"/>
      <c r="N21" s="89"/>
      <c r="O21" s="89"/>
      <c r="P21" s="89"/>
      <c r="Q21" s="89"/>
      <c r="R21" s="89"/>
      <c r="S21" s="89"/>
      <c r="T21" s="89"/>
      <c r="U21" s="89"/>
      <c r="V21" s="89"/>
      <c r="W21" s="89"/>
      <c r="X21" s="89"/>
      <c r="Y21" s="89"/>
      <c r="Z21" s="89"/>
      <c r="AA21" s="89"/>
      <c r="AB21" s="89"/>
      <c r="AC21" s="89"/>
      <c r="AD21" s="89"/>
      <c r="AE21" s="89"/>
      <c r="AF21" s="89"/>
      <c r="AG21" s="89"/>
      <c r="AH21" s="89"/>
      <c r="AI21" s="89"/>
      <c r="AJ21" s="89"/>
      <c r="AK21" s="89"/>
      <c r="AL21" s="89"/>
      <c r="AM21" s="89"/>
      <c r="AN21" s="89"/>
      <c r="AO21" s="89"/>
      <c r="AP21" s="89"/>
      <c r="AQ21" s="89"/>
      <c r="AR21" s="89"/>
      <c r="AS21" s="89"/>
      <c r="AT21" s="89"/>
      <c r="AU21" s="24"/>
      <c r="AV21" s="302"/>
      <c r="AW21" s="74"/>
      <c r="AZ21" s="96"/>
    </row>
    <row r="22" spans="1:80" s="91" customFormat="1" hidden="1">
      <c r="A22" s="31" t="s">
        <v>30</v>
      </c>
      <c r="B22" s="90">
        <f t="shared" ref="B22:N22" si="12">B20*B8</f>
        <v>151169367.46764594</v>
      </c>
      <c r="C22" s="90">
        <f t="shared" si="12"/>
        <v>314302051.10827082</v>
      </c>
      <c r="D22" s="90">
        <f t="shared" si="12"/>
        <v>982703784.78831661</v>
      </c>
      <c r="E22" s="90">
        <f t="shared" si="12"/>
        <v>84138240.440519795</v>
      </c>
      <c r="F22" s="329">
        <f t="shared" si="12"/>
        <v>344545653.99999994</v>
      </c>
      <c r="G22" s="90">
        <f t="shared" si="12"/>
        <v>112322416.85299821</v>
      </c>
      <c r="H22" s="90">
        <f t="shared" si="12"/>
        <v>63674674.47303395</v>
      </c>
      <c r="I22" s="90">
        <f t="shared" si="12"/>
        <v>757324503.66726971</v>
      </c>
      <c r="J22" s="90">
        <f t="shared" si="12"/>
        <v>221308609.79798865</v>
      </c>
      <c r="K22" s="90">
        <f t="shared" si="12"/>
        <v>9050320</v>
      </c>
      <c r="L22" s="90">
        <f t="shared" si="12"/>
        <v>109845722.27865562</v>
      </c>
      <c r="M22" s="90">
        <f t="shared" si="12"/>
        <v>86266509.14891088</v>
      </c>
      <c r="N22" s="90">
        <f t="shared" si="12"/>
        <v>359369999.99999994</v>
      </c>
      <c r="O22" s="90">
        <f t="shared" ref="O22:AJ22" si="13">O20*O8</f>
        <v>294876753.17512614</v>
      </c>
      <c r="P22" s="90">
        <f t="shared" si="13"/>
        <v>43476657</v>
      </c>
      <c r="Q22" s="90">
        <f t="shared" si="13"/>
        <v>66149397.44438573</v>
      </c>
      <c r="R22" s="90">
        <f t="shared" si="13"/>
        <v>46639513</v>
      </c>
      <c r="S22" s="90">
        <f t="shared" si="13"/>
        <v>94131988.975644395</v>
      </c>
      <c r="T22" s="90">
        <f t="shared" si="13"/>
        <v>150426504.42523649</v>
      </c>
      <c r="U22" s="90">
        <f>U20*U8</f>
        <v>70928098</v>
      </c>
      <c r="V22" s="90">
        <f t="shared" si="13"/>
        <v>16315766.851505844</v>
      </c>
      <c r="W22" s="90">
        <f t="shared" si="13"/>
        <v>46788229.053002127</v>
      </c>
      <c r="X22" s="90">
        <f t="shared" si="13"/>
        <v>187475255.84191811</v>
      </c>
      <c r="Y22" s="90">
        <f t="shared" si="13"/>
        <v>23585460.867689673</v>
      </c>
      <c r="Z22" s="90">
        <f t="shared" si="13"/>
        <v>139628581.25412655</v>
      </c>
      <c r="AA22" s="90">
        <f t="shared" si="13"/>
        <v>150839681.26289278</v>
      </c>
      <c r="AB22" s="90">
        <f t="shared" si="13"/>
        <v>-5.7695933189231136E-3</v>
      </c>
      <c r="AC22" s="90">
        <f t="shared" si="13"/>
        <v>17259833.951348327</v>
      </c>
      <c r="AD22" s="90">
        <f t="shared" si="13"/>
        <v>75788664.791506156</v>
      </c>
      <c r="AE22" s="90">
        <f t="shared" si="13"/>
        <v>91642303.388804853</v>
      </c>
      <c r="AF22" s="90">
        <f t="shared" si="13"/>
        <v>32412229.763702895</v>
      </c>
      <c r="AG22" s="90">
        <f t="shared" si="13"/>
        <v>10850988.011330994</v>
      </c>
      <c r="AH22" s="90">
        <f t="shared" si="13"/>
        <v>65703105.120615952</v>
      </c>
      <c r="AI22" s="90">
        <f t="shared" si="13"/>
        <v>39587398.153806418</v>
      </c>
      <c r="AJ22" s="90">
        <f t="shared" si="13"/>
        <v>42805460.448734529</v>
      </c>
      <c r="AK22" s="90">
        <f>AK20*AK8</f>
        <v>31793875.999999996</v>
      </c>
      <c r="AL22" s="90">
        <f>AL20*AL8</f>
        <v>274663700</v>
      </c>
      <c r="AM22" s="90">
        <f>AM20*AM8</f>
        <v>6025255.6700037476</v>
      </c>
      <c r="AN22" s="90">
        <f t="shared" ref="AN22:AT22" si="14">AN20*AN8</f>
        <v>1858125.6214835173</v>
      </c>
      <c r="AO22" s="90">
        <f t="shared" si="14"/>
        <v>28428230.463435557</v>
      </c>
      <c r="AP22" s="90">
        <f t="shared" si="14"/>
        <v>98428.297953951493</v>
      </c>
      <c r="AQ22" s="90">
        <f t="shared" si="14"/>
        <v>218699.60792449361</v>
      </c>
      <c r="AR22" s="90">
        <f t="shared" si="14"/>
        <v>1169601.0567957442</v>
      </c>
      <c r="AS22" s="90">
        <f t="shared" si="14"/>
        <v>139792182.99999997</v>
      </c>
      <c r="AT22" s="90">
        <f t="shared" si="14"/>
        <v>3865380</v>
      </c>
      <c r="AU22" s="5">
        <f>SUM(B22:AT22)</f>
        <v>5791247204.5168152</v>
      </c>
      <c r="AV22" s="302"/>
      <c r="AW22" s="74"/>
      <c r="AX22" s="74"/>
      <c r="AZ22" s="36"/>
    </row>
    <row r="23" spans="1:80" s="91" customFormat="1" hidden="1">
      <c r="A23" s="97">
        <v>2018</v>
      </c>
      <c r="B23" s="90">
        <v>66186476.099252895</v>
      </c>
      <c r="C23" s="90">
        <v>39636967.412194602</v>
      </c>
      <c r="D23" s="90">
        <v>361206519.14877415</v>
      </c>
      <c r="E23" s="90">
        <v>59228680.202407792</v>
      </c>
      <c r="F23" s="329">
        <v>143473947.75670981</v>
      </c>
      <c r="G23" s="90">
        <v>57753874.210645124</v>
      </c>
      <c r="H23" s="90">
        <v>26574071.128825869</v>
      </c>
      <c r="I23" s="90">
        <v>464162037.86725187</v>
      </c>
      <c r="J23" s="90">
        <v>115180042.97825581</v>
      </c>
      <c r="K23" s="90">
        <v>2789764.3586859358</v>
      </c>
      <c r="L23" s="90">
        <v>48522934.368454933</v>
      </c>
      <c r="M23" s="90">
        <v>41315141.50837715</v>
      </c>
      <c r="N23" s="90">
        <v>249152904.35663888</v>
      </c>
      <c r="O23" s="90">
        <v>193206418.53707191</v>
      </c>
      <c r="P23" s="90">
        <v>30617859.01930197</v>
      </c>
      <c r="Q23" s="90">
        <v>62277001.69595705</v>
      </c>
      <c r="R23" s="90">
        <v>45749450.158991322</v>
      </c>
      <c r="S23" s="90">
        <v>85828099.56345892</v>
      </c>
      <c r="T23" s="90">
        <v>95967277.31900537</v>
      </c>
      <c r="U23" s="90">
        <v>54157640.207551748</v>
      </c>
      <c r="V23" s="90">
        <v>8003883.4360005949</v>
      </c>
      <c r="W23" s="90">
        <v>13095951.613201752</v>
      </c>
      <c r="X23" s="90">
        <v>116736148.96943516</v>
      </c>
      <c r="Y23" s="90">
        <v>13001408.109196853</v>
      </c>
      <c r="Z23" s="90">
        <v>35470370.839214921</v>
      </c>
      <c r="AA23" s="90">
        <v>53649864.032680206</v>
      </c>
      <c r="AB23" s="90">
        <v>19392657.952454641</v>
      </c>
      <c r="AC23" s="90">
        <v>16279747.436850049</v>
      </c>
      <c r="AD23" s="90">
        <v>45156721.548895635</v>
      </c>
      <c r="AE23" s="90">
        <v>20600292.119250149</v>
      </c>
      <c r="AF23" s="90">
        <v>18302852.708685897</v>
      </c>
      <c r="AG23" s="90">
        <v>140606.08379129801</v>
      </c>
      <c r="AH23" s="90">
        <v>1408939.159309017</v>
      </c>
      <c r="AI23" s="90">
        <v>2004796.3550404385</v>
      </c>
      <c r="AJ23" s="90">
        <v>528676.94162965822</v>
      </c>
      <c r="AK23" s="90">
        <v>0</v>
      </c>
      <c r="AL23" s="90">
        <v>9690893.7890000008</v>
      </c>
      <c r="AM23" s="90">
        <v>0</v>
      </c>
      <c r="AN23" s="90">
        <v>0</v>
      </c>
      <c r="AO23" s="90">
        <v>0</v>
      </c>
      <c r="AP23" s="90">
        <v>0</v>
      </c>
      <c r="AQ23" s="90">
        <v>0</v>
      </c>
      <c r="AR23" s="90">
        <v>0</v>
      </c>
      <c r="AS23" s="90">
        <v>5806551.6628766358</v>
      </c>
      <c r="AT23" s="90">
        <v>1766283.6333333331</v>
      </c>
      <c r="AU23" s="5">
        <f t="shared" ref="AU23:AU29" si="15">SUM(B23:AT23)</f>
        <v>2624023754.2886596</v>
      </c>
      <c r="AW23" s="74"/>
      <c r="AX23" s="74"/>
      <c r="AZ23" s="36"/>
    </row>
    <row r="24" spans="1:80" s="91" customFormat="1" hidden="1">
      <c r="A24" s="97">
        <v>2017</v>
      </c>
      <c r="B24" s="90">
        <v>39798225.547687635</v>
      </c>
      <c r="C24" s="90">
        <v>134881511.81240761</v>
      </c>
      <c r="D24" s="90">
        <v>355833205.19270289</v>
      </c>
      <c r="E24" s="90">
        <v>6716378.4967506686</v>
      </c>
      <c r="F24" s="329">
        <v>196722369.68267912</v>
      </c>
      <c r="G24" s="90">
        <v>34146370.295255989</v>
      </c>
      <c r="H24" s="90">
        <v>19823390.034003701</v>
      </c>
      <c r="I24" s="90">
        <v>203157390.94981733</v>
      </c>
      <c r="J24" s="90">
        <v>53739949.971520096</v>
      </c>
      <c r="K24" s="90">
        <v>5648517.6857142868</v>
      </c>
      <c r="L24" s="90">
        <v>5376482.4117276398</v>
      </c>
      <c r="M24" s="90">
        <v>10619318.136884341</v>
      </c>
      <c r="N24" s="90">
        <v>100763651.83596042</v>
      </c>
      <c r="O24" s="90">
        <v>3751302.1559125842</v>
      </c>
      <c r="P24" s="90">
        <v>2318240.870185575</v>
      </c>
      <c r="Q24" s="90">
        <v>4919643.9917115001</v>
      </c>
      <c r="R24" s="90">
        <v>0</v>
      </c>
      <c r="S24" s="90">
        <v>0</v>
      </c>
      <c r="T24" s="90">
        <v>0</v>
      </c>
      <c r="U24" s="90">
        <v>0</v>
      </c>
      <c r="V24" s="90">
        <v>0</v>
      </c>
      <c r="W24" s="90">
        <v>0</v>
      </c>
      <c r="X24" s="90">
        <v>0</v>
      </c>
      <c r="Y24" s="90">
        <v>0</v>
      </c>
      <c r="Z24" s="90">
        <v>0</v>
      </c>
      <c r="AA24" s="90">
        <v>0</v>
      </c>
      <c r="AB24" s="90">
        <v>0</v>
      </c>
      <c r="AC24" s="90">
        <v>0</v>
      </c>
      <c r="AD24" s="90">
        <v>0</v>
      </c>
      <c r="AE24" s="90">
        <v>0</v>
      </c>
      <c r="AF24" s="90">
        <v>0</v>
      </c>
      <c r="AG24" s="90">
        <v>0</v>
      </c>
      <c r="AH24" s="90">
        <v>0</v>
      </c>
      <c r="AI24" s="90">
        <v>0</v>
      </c>
      <c r="AJ24" s="90">
        <v>0</v>
      </c>
      <c r="AK24" s="90">
        <v>12985911.045659875</v>
      </c>
      <c r="AL24" s="90">
        <v>195606026.43808943</v>
      </c>
      <c r="AM24" s="90">
        <v>0</v>
      </c>
      <c r="AN24" s="90">
        <v>0</v>
      </c>
      <c r="AO24" s="90">
        <v>0</v>
      </c>
      <c r="AP24" s="90">
        <v>0</v>
      </c>
      <c r="AQ24" s="90">
        <v>0</v>
      </c>
      <c r="AR24" s="90">
        <v>0</v>
      </c>
      <c r="AS24" s="90">
        <v>77406632.27190496</v>
      </c>
      <c r="AT24" s="90">
        <v>1177072</v>
      </c>
      <c r="AU24" s="5">
        <f t="shared" si="15"/>
        <v>1465391590.8265758</v>
      </c>
      <c r="AV24" s="302"/>
      <c r="AW24" s="74"/>
      <c r="AZ24" s="36"/>
    </row>
    <row r="25" spans="1:80" s="91" customFormat="1" hidden="1">
      <c r="A25" s="97">
        <v>2016</v>
      </c>
      <c r="B25" s="90">
        <v>32352499.286976684</v>
      </c>
      <c r="C25" s="90">
        <v>93806619.96119526</v>
      </c>
      <c r="D25" s="90">
        <v>90457299.680075496</v>
      </c>
      <c r="E25" s="90">
        <v>87188.457747739638</v>
      </c>
      <c r="F25" s="329">
        <v>0</v>
      </c>
      <c r="G25" s="90">
        <v>0</v>
      </c>
      <c r="H25" s="90">
        <v>0</v>
      </c>
      <c r="I25" s="90">
        <v>0</v>
      </c>
      <c r="J25" s="90">
        <v>0</v>
      </c>
      <c r="K25" s="90">
        <v>0</v>
      </c>
      <c r="L25" s="90">
        <v>0</v>
      </c>
      <c r="M25" s="90">
        <v>0</v>
      </c>
      <c r="N25" s="90">
        <v>0</v>
      </c>
      <c r="O25" s="90">
        <v>0</v>
      </c>
      <c r="P25" s="90">
        <v>0</v>
      </c>
      <c r="Q25" s="90">
        <v>0</v>
      </c>
      <c r="R25" s="90">
        <v>0</v>
      </c>
      <c r="S25" s="90">
        <v>0</v>
      </c>
      <c r="T25" s="90">
        <v>0</v>
      </c>
      <c r="U25" s="90">
        <v>0</v>
      </c>
      <c r="V25" s="90">
        <v>0</v>
      </c>
      <c r="W25" s="90">
        <v>0</v>
      </c>
      <c r="X25" s="90">
        <v>0</v>
      </c>
      <c r="Y25" s="90">
        <v>0</v>
      </c>
      <c r="Z25" s="90">
        <v>0</v>
      </c>
      <c r="AA25" s="90">
        <v>0</v>
      </c>
      <c r="AB25" s="90">
        <v>0</v>
      </c>
      <c r="AC25" s="90">
        <v>0</v>
      </c>
      <c r="AD25" s="90">
        <v>0</v>
      </c>
      <c r="AE25" s="90">
        <v>0</v>
      </c>
      <c r="AF25" s="90">
        <v>0</v>
      </c>
      <c r="AG25" s="90">
        <v>0</v>
      </c>
      <c r="AH25" s="90">
        <v>0</v>
      </c>
      <c r="AI25" s="90">
        <v>0</v>
      </c>
      <c r="AJ25" s="90">
        <v>0</v>
      </c>
      <c r="AK25" s="90">
        <v>15957239.954340121</v>
      </c>
      <c r="AL25" s="90">
        <v>70335211.773396149</v>
      </c>
      <c r="AM25" s="90">
        <v>0</v>
      </c>
      <c r="AN25" s="90">
        <v>0</v>
      </c>
      <c r="AO25" s="90">
        <v>0</v>
      </c>
      <c r="AP25" s="90">
        <v>0</v>
      </c>
      <c r="AQ25" s="90">
        <v>0</v>
      </c>
      <c r="AR25" s="90">
        <v>0</v>
      </c>
      <c r="AS25" s="90">
        <v>46578999.065218404</v>
      </c>
      <c r="AT25" s="90">
        <v>0</v>
      </c>
      <c r="AU25" s="5">
        <f t="shared" si="15"/>
        <v>349575058.17894983</v>
      </c>
      <c r="AV25" s="302"/>
      <c r="AW25" s="74"/>
      <c r="AZ25" s="36"/>
    </row>
    <row r="26" spans="1:80" s="91" customFormat="1" hidden="1">
      <c r="A26" s="97">
        <v>2015</v>
      </c>
      <c r="B26" s="89">
        <v>12993657.690067064</v>
      </c>
      <c r="C26" s="89">
        <v>45897167.35341195</v>
      </c>
      <c r="D26" s="89">
        <v>0</v>
      </c>
      <c r="E26" s="89">
        <v>0</v>
      </c>
      <c r="F26" s="331">
        <v>0</v>
      </c>
      <c r="G26" s="89">
        <v>0</v>
      </c>
      <c r="H26" s="89">
        <v>0</v>
      </c>
      <c r="I26" s="89">
        <v>0</v>
      </c>
      <c r="J26" s="89">
        <v>0</v>
      </c>
      <c r="K26" s="89">
        <v>0</v>
      </c>
      <c r="L26" s="89">
        <v>0</v>
      </c>
      <c r="M26" s="89">
        <v>0</v>
      </c>
      <c r="N26" s="89">
        <v>0</v>
      </c>
      <c r="O26" s="89">
        <v>0</v>
      </c>
      <c r="P26" s="89">
        <v>0</v>
      </c>
      <c r="Q26" s="89">
        <v>0</v>
      </c>
      <c r="R26" s="89">
        <v>0</v>
      </c>
      <c r="S26" s="89">
        <v>0</v>
      </c>
      <c r="T26" s="89">
        <v>0</v>
      </c>
      <c r="U26" s="89">
        <v>0</v>
      </c>
      <c r="V26" s="89">
        <v>0</v>
      </c>
      <c r="W26" s="89">
        <v>0</v>
      </c>
      <c r="X26" s="89">
        <v>0</v>
      </c>
      <c r="Y26" s="89">
        <v>0</v>
      </c>
      <c r="Z26" s="90">
        <v>0</v>
      </c>
      <c r="AA26" s="90">
        <v>0</v>
      </c>
      <c r="AB26" s="90">
        <v>0</v>
      </c>
      <c r="AC26" s="90">
        <v>0</v>
      </c>
      <c r="AD26" s="90">
        <v>0</v>
      </c>
      <c r="AE26" s="90">
        <v>0</v>
      </c>
      <c r="AF26" s="90">
        <v>0</v>
      </c>
      <c r="AG26" s="90">
        <v>0</v>
      </c>
      <c r="AH26" s="90">
        <v>0</v>
      </c>
      <c r="AI26" s="90">
        <v>0</v>
      </c>
      <c r="AJ26" s="90">
        <v>0</v>
      </c>
      <c r="AK26" s="90">
        <v>0</v>
      </c>
      <c r="AL26" s="90">
        <v>0</v>
      </c>
      <c r="AM26" s="90">
        <v>0</v>
      </c>
      <c r="AN26" s="90">
        <v>0</v>
      </c>
      <c r="AO26" s="90">
        <v>0</v>
      </c>
      <c r="AP26" s="90">
        <v>0</v>
      </c>
      <c r="AQ26" s="90">
        <v>0</v>
      </c>
      <c r="AR26" s="90">
        <v>0</v>
      </c>
      <c r="AS26" s="89">
        <v>0</v>
      </c>
      <c r="AT26" s="89">
        <v>0</v>
      </c>
      <c r="AU26" s="5">
        <f t="shared" si="15"/>
        <v>58890825.04347901</v>
      </c>
      <c r="AV26" s="302"/>
      <c r="AW26" s="74"/>
      <c r="AZ26" s="17"/>
    </row>
    <row r="27" spans="1:80" s="91" customFormat="1" hidden="1">
      <c r="A27" s="97">
        <v>2014</v>
      </c>
      <c r="B27" s="89">
        <v>0</v>
      </c>
      <c r="C27" s="89">
        <v>0</v>
      </c>
      <c r="D27" s="89">
        <v>0</v>
      </c>
      <c r="E27" s="89">
        <v>0</v>
      </c>
      <c r="F27" s="331">
        <v>0</v>
      </c>
      <c r="G27" s="89">
        <v>0</v>
      </c>
      <c r="H27" s="89">
        <v>0</v>
      </c>
      <c r="I27" s="89">
        <v>0</v>
      </c>
      <c r="J27" s="89">
        <v>0</v>
      </c>
      <c r="K27" s="89">
        <v>0</v>
      </c>
      <c r="L27" s="89">
        <v>0</v>
      </c>
      <c r="M27" s="89">
        <v>0</v>
      </c>
      <c r="N27" s="89">
        <v>0</v>
      </c>
      <c r="O27" s="89">
        <v>0</v>
      </c>
      <c r="P27" s="89">
        <v>0</v>
      </c>
      <c r="Q27" s="89">
        <v>0</v>
      </c>
      <c r="R27" s="89">
        <v>0</v>
      </c>
      <c r="S27" s="89">
        <v>0</v>
      </c>
      <c r="T27" s="89">
        <v>0</v>
      </c>
      <c r="U27" s="89">
        <v>0</v>
      </c>
      <c r="V27" s="89">
        <v>0</v>
      </c>
      <c r="W27" s="89">
        <v>0</v>
      </c>
      <c r="X27" s="89">
        <v>0</v>
      </c>
      <c r="Y27" s="89">
        <v>0</v>
      </c>
      <c r="Z27" s="90">
        <v>0</v>
      </c>
      <c r="AA27" s="90">
        <v>0</v>
      </c>
      <c r="AB27" s="90">
        <v>0</v>
      </c>
      <c r="AC27" s="90">
        <v>0</v>
      </c>
      <c r="AD27" s="90">
        <v>0</v>
      </c>
      <c r="AE27" s="90">
        <v>0</v>
      </c>
      <c r="AF27" s="90">
        <v>0</v>
      </c>
      <c r="AG27" s="90">
        <v>0</v>
      </c>
      <c r="AH27" s="90">
        <v>0</v>
      </c>
      <c r="AI27" s="90">
        <v>0</v>
      </c>
      <c r="AJ27" s="90">
        <v>0</v>
      </c>
      <c r="AK27" s="90">
        <v>0</v>
      </c>
      <c r="AL27" s="90">
        <v>0</v>
      </c>
      <c r="AM27" s="90">
        <v>0</v>
      </c>
      <c r="AN27" s="90">
        <v>0</v>
      </c>
      <c r="AO27" s="90">
        <v>0</v>
      </c>
      <c r="AP27" s="90">
        <v>0</v>
      </c>
      <c r="AQ27" s="90">
        <v>0</v>
      </c>
      <c r="AR27" s="90">
        <v>0</v>
      </c>
      <c r="AS27" s="89">
        <v>0</v>
      </c>
      <c r="AT27" s="89">
        <v>0</v>
      </c>
      <c r="AU27" s="5">
        <f t="shared" si="15"/>
        <v>0</v>
      </c>
      <c r="AV27" s="302"/>
      <c r="AW27" s="74"/>
      <c r="AZ27" s="17"/>
    </row>
    <row r="28" spans="1:80" s="91" customFormat="1" hidden="1">
      <c r="A28" s="97">
        <v>2013</v>
      </c>
      <c r="B28" s="89">
        <v>0</v>
      </c>
      <c r="C28" s="89">
        <v>0</v>
      </c>
      <c r="D28" s="89">
        <v>0</v>
      </c>
      <c r="E28" s="89">
        <v>0</v>
      </c>
      <c r="F28" s="331">
        <v>0</v>
      </c>
      <c r="G28" s="89">
        <v>0</v>
      </c>
      <c r="H28" s="89">
        <v>0</v>
      </c>
      <c r="I28" s="89">
        <v>0</v>
      </c>
      <c r="J28" s="89">
        <v>0</v>
      </c>
      <c r="K28" s="89">
        <v>0</v>
      </c>
      <c r="L28" s="89">
        <v>0</v>
      </c>
      <c r="M28" s="89">
        <v>0</v>
      </c>
      <c r="N28" s="89">
        <v>0</v>
      </c>
      <c r="O28" s="89">
        <v>0</v>
      </c>
      <c r="P28" s="89">
        <v>0</v>
      </c>
      <c r="Q28" s="89">
        <v>0</v>
      </c>
      <c r="R28" s="89">
        <v>0</v>
      </c>
      <c r="S28" s="89">
        <v>0</v>
      </c>
      <c r="T28" s="89">
        <v>0</v>
      </c>
      <c r="U28" s="89">
        <v>0</v>
      </c>
      <c r="V28" s="89">
        <v>0</v>
      </c>
      <c r="W28" s="89">
        <v>0</v>
      </c>
      <c r="X28" s="89">
        <v>0</v>
      </c>
      <c r="Y28" s="89">
        <v>0</v>
      </c>
      <c r="Z28" s="90">
        <v>0</v>
      </c>
      <c r="AA28" s="90">
        <v>0</v>
      </c>
      <c r="AB28" s="90">
        <v>0</v>
      </c>
      <c r="AC28" s="90">
        <v>0</v>
      </c>
      <c r="AD28" s="90">
        <v>0</v>
      </c>
      <c r="AE28" s="90">
        <v>0</v>
      </c>
      <c r="AF28" s="90">
        <v>0</v>
      </c>
      <c r="AG28" s="90">
        <v>0</v>
      </c>
      <c r="AH28" s="90">
        <v>0</v>
      </c>
      <c r="AI28" s="90">
        <v>0</v>
      </c>
      <c r="AJ28" s="90">
        <v>0</v>
      </c>
      <c r="AK28" s="90">
        <v>0</v>
      </c>
      <c r="AL28" s="90">
        <v>0</v>
      </c>
      <c r="AM28" s="90">
        <v>0</v>
      </c>
      <c r="AN28" s="90">
        <v>0</v>
      </c>
      <c r="AO28" s="90">
        <v>0</v>
      </c>
      <c r="AP28" s="90">
        <v>0</v>
      </c>
      <c r="AQ28" s="90">
        <v>0</v>
      </c>
      <c r="AR28" s="90">
        <v>0</v>
      </c>
      <c r="AS28" s="89">
        <v>0</v>
      </c>
      <c r="AT28" s="89">
        <v>0</v>
      </c>
      <c r="AU28" s="5">
        <f t="shared" si="15"/>
        <v>0</v>
      </c>
      <c r="AV28" s="302"/>
      <c r="AW28" s="74"/>
      <c r="AZ28" s="17"/>
    </row>
    <row r="29" spans="1:80" s="91" customFormat="1" hidden="1">
      <c r="A29" s="97">
        <v>2012</v>
      </c>
      <c r="B29" s="89">
        <v>0</v>
      </c>
      <c r="C29" s="89">
        <v>0</v>
      </c>
      <c r="D29" s="89">
        <v>0</v>
      </c>
      <c r="E29" s="89">
        <v>0</v>
      </c>
      <c r="F29" s="331">
        <v>0</v>
      </c>
      <c r="G29" s="89">
        <v>0</v>
      </c>
      <c r="H29" s="89">
        <v>0</v>
      </c>
      <c r="I29" s="89">
        <v>0</v>
      </c>
      <c r="J29" s="89">
        <v>0</v>
      </c>
      <c r="K29" s="89">
        <v>0</v>
      </c>
      <c r="L29" s="89">
        <v>0</v>
      </c>
      <c r="M29" s="89">
        <v>0</v>
      </c>
      <c r="N29" s="89">
        <v>0</v>
      </c>
      <c r="O29" s="89">
        <v>0</v>
      </c>
      <c r="P29" s="89">
        <v>0</v>
      </c>
      <c r="Q29" s="89">
        <v>0</v>
      </c>
      <c r="R29" s="89">
        <v>0</v>
      </c>
      <c r="S29" s="89">
        <v>0</v>
      </c>
      <c r="T29" s="89">
        <v>0</v>
      </c>
      <c r="U29" s="89">
        <v>0</v>
      </c>
      <c r="V29" s="89">
        <v>0</v>
      </c>
      <c r="W29" s="89">
        <v>0</v>
      </c>
      <c r="X29" s="89">
        <v>0</v>
      </c>
      <c r="Y29" s="89">
        <v>0</v>
      </c>
      <c r="Z29" s="90">
        <v>0</v>
      </c>
      <c r="AA29" s="90">
        <v>0</v>
      </c>
      <c r="AB29" s="90">
        <v>0</v>
      </c>
      <c r="AC29" s="90">
        <v>0</v>
      </c>
      <c r="AD29" s="90">
        <v>0</v>
      </c>
      <c r="AE29" s="90">
        <v>0</v>
      </c>
      <c r="AF29" s="90">
        <v>0</v>
      </c>
      <c r="AG29" s="90">
        <v>0</v>
      </c>
      <c r="AH29" s="90">
        <v>0</v>
      </c>
      <c r="AI29" s="90">
        <v>0</v>
      </c>
      <c r="AJ29" s="90">
        <v>0</v>
      </c>
      <c r="AK29" s="90">
        <v>3.7252902984619141E-9</v>
      </c>
      <c r="AL29" s="90">
        <v>0</v>
      </c>
      <c r="AM29" s="90">
        <v>0</v>
      </c>
      <c r="AN29" s="90">
        <v>0</v>
      </c>
      <c r="AO29" s="90">
        <v>0</v>
      </c>
      <c r="AP29" s="90">
        <v>0</v>
      </c>
      <c r="AQ29" s="90">
        <v>0</v>
      </c>
      <c r="AR29" s="90">
        <v>0</v>
      </c>
      <c r="AS29" s="89">
        <v>0</v>
      </c>
      <c r="AT29" s="89">
        <v>0</v>
      </c>
      <c r="AU29" s="5">
        <f t="shared" si="15"/>
        <v>3.7252902984619141E-9</v>
      </c>
      <c r="AV29" s="302"/>
      <c r="AW29" s="74"/>
      <c r="AZ29" s="17"/>
    </row>
    <row r="30" spans="1:80" ht="15.75" thickBot="1">
      <c r="A30" s="38" t="s">
        <v>255</v>
      </c>
      <c r="B30" s="39">
        <f t="shared" ref="B30:AJ30" si="16">B22-B23-B24-B25-B26-B27-B28-B29</f>
        <v>-161491.15633833408</v>
      </c>
      <c r="C30" s="39">
        <f t="shared" si="16"/>
        <v>79784.569061391056</v>
      </c>
      <c r="D30" s="39">
        <f t="shared" si="16"/>
        <v>175206760.76676407</v>
      </c>
      <c r="E30" s="39">
        <f t="shared" si="16"/>
        <v>18105993.283613596</v>
      </c>
      <c r="F30" s="39">
        <f t="shared" si="16"/>
        <v>4349336.5606110096</v>
      </c>
      <c r="G30" s="39">
        <f t="shared" si="16"/>
        <v>20422172.347097099</v>
      </c>
      <c r="H30" s="39">
        <f t="shared" si="16"/>
        <v>17277213.310204376</v>
      </c>
      <c r="I30" s="39">
        <f t="shared" si="16"/>
        <v>90005074.850200504</v>
      </c>
      <c r="J30" s="39">
        <f t="shared" si="16"/>
        <v>52388616.848212749</v>
      </c>
      <c r="K30" s="39">
        <f t="shared" si="16"/>
        <v>612037.9555997774</v>
      </c>
      <c r="L30" s="39">
        <f t="shared" si="16"/>
        <v>55946305.498473048</v>
      </c>
      <c r="M30" s="39">
        <f t="shared" si="16"/>
        <v>34332049.503649391</v>
      </c>
      <c r="N30" s="39">
        <f t="shared" si="16"/>
        <v>9453443.8074006438</v>
      </c>
      <c r="O30" s="39">
        <f t="shared" si="16"/>
        <v>97919032.482141644</v>
      </c>
      <c r="P30" s="39">
        <f t="shared" si="16"/>
        <v>10540557.110512456</v>
      </c>
      <c r="Q30" s="39">
        <f t="shared" si="16"/>
        <v>-1047248.2432828201</v>
      </c>
      <c r="R30" s="39">
        <f t="shared" si="16"/>
        <v>890062.84100867808</v>
      </c>
      <c r="S30" s="39">
        <f t="shared" si="16"/>
        <v>8303889.4121854752</v>
      </c>
      <c r="T30" s="39">
        <f t="shared" si="16"/>
        <v>54459227.106231123</v>
      </c>
      <c r="U30" s="39">
        <f t="shared" si="16"/>
        <v>16770457.792448252</v>
      </c>
      <c r="V30" s="39">
        <f t="shared" si="16"/>
        <v>8311883.4155052491</v>
      </c>
      <c r="W30" s="39">
        <f t="shared" si="16"/>
        <v>33692277.439800374</v>
      </c>
      <c r="X30" s="39">
        <f t="shared" si="16"/>
        <v>70739106.872482955</v>
      </c>
      <c r="Y30" s="39">
        <f t="shared" si="16"/>
        <v>10584052.75849282</v>
      </c>
      <c r="Z30" s="39">
        <f t="shared" si="16"/>
        <v>104158210.41491163</v>
      </c>
      <c r="AA30" s="39">
        <f t="shared" si="16"/>
        <v>97189817.230212569</v>
      </c>
      <c r="AB30" s="39">
        <f t="shared" si="16"/>
        <v>-19392657.958224233</v>
      </c>
      <c r="AC30" s="39">
        <f t="shared" si="16"/>
        <v>980086.5144982785</v>
      </c>
      <c r="AD30" s="39">
        <f t="shared" si="16"/>
        <v>30631943.242610522</v>
      </c>
      <c r="AE30" s="39">
        <f t="shared" si="16"/>
        <v>71042011.269554704</v>
      </c>
      <c r="AF30" s="39">
        <f t="shared" si="16"/>
        <v>14109377.055016998</v>
      </c>
      <c r="AG30" s="39">
        <f t="shared" si="16"/>
        <v>10710381.927539695</v>
      </c>
      <c r="AH30" s="39">
        <f t="shared" si="16"/>
        <v>64294165.961306937</v>
      </c>
      <c r="AI30" s="39">
        <f t="shared" si="16"/>
        <v>37582601.79876598</v>
      </c>
      <c r="AJ30" s="39">
        <f t="shared" si="16"/>
        <v>42276783.507104874</v>
      </c>
      <c r="AK30" s="39">
        <f>AK22-AK23-AK24-AK25-AK26-AK27-AK28-AK29</f>
        <v>2850724.9999999981</v>
      </c>
      <c r="AL30" s="39">
        <f>AL22-AL23-AL24-AL25-AL26-AL27-AL28-AL29</f>
        <v>-968432.00048558414</v>
      </c>
      <c r="AM30" s="39">
        <f>AM22-AM23-AM24-AM25-AM26-AM27-AM28-AM29</f>
        <v>6025255.6700037476</v>
      </c>
      <c r="AN30" s="39">
        <f t="shared" ref="AN30:AS30" si="17">AN22-AN23-AN24-AN25-AN26-AN27-AN28-AN29</f>
        <v>1858125.6214835173</v>
      </c>
      <c r="AO30" s="39">
        <f t="shared" si="17"/>
        <v>28428230.463435557</v>
      </c>
      <c r="AP30" s="39">
        <f t="shared" si="17"/>
        <v>98428.297953951493</v>
      </c>
      <c r="AQ30" s="39">
        <f t="shared" si="17"/>
        <v>218699.60792449361</v>
      </c>
      <c r="AR30" s="39">
        <f t="shared" si="17"/>
        <v>1169601.0567957442</v>
      </c>
      <c r="AS30" s="39">
        <f t="shared" si="17"/>
        <v>9999999.9999999702</v>
      </c>
      <c r="AT30" s="39">
        <f>AT22-AT23-AT24-AT25-AT26-AT27-AT28-AT29</f>
        <v>922024.36666666716</v>
      </c>
      <c r="AU30" s="40">
        <f>SUM(B30:AT30)</f>
        <v>1293365976.1791515</v>
      </c>
      <c r="AV30" s="302"/>
      <c r="AW30" s="74"/>
      <c r="AX30" s="91"/>
      <c r="AY30" s="91"/>
      <c r="AZ30" s="16"/>
      <c r="BX30"/>
    </row>
    <row r="31" spans="1:80" ht="15.75" hidden="1" thickTop="1">
      <c r="B31" s="41">
        <f t="shared" ref="B31:H31" si="18">B30/B8</f>
        <v>-1.0012768394838489E-3</v>
      </c>
      <c r="C31" s="41">
        <f t="shared" si="18"/>
        <v>2.5330940536216176E-4</v>
      </c>
      <c r="D31" s="41">
        <f t="shared" si="18"/>
        <v>0.1333115994861816</v>
      </c>
      <c r="E31" s="41">
        <f t="shared" si="18"/>
        <v>0.15826967011096885</v>
      </c>
      <c r="F31" s="41">
        <f t="shared" si="18"/>
        <v>1.2623396958044375E-2</v>
      </c>
      <c r="G31" s="41">
        <f t="shared" si="18"/>
        <v>0.16499971537827351</v>
      </c>
      <c r="H31" s="41">
        <f t="shared" si="18"/>
        <v>0.1510250671261236</v>
      </c>
      <c r="I31" s="41">
        <f>I30/I8</f>
        <v>3.2841733027017699E-2</v>
      </c>
      <c r="J31" s="41">
        <f t="shared" ref="J31:AR31" si="19">J30/J8</f>
        <v>0.11333080650566366</v>
      </c>
      <c r="K31" s="41">
        <f t="shared" si="19"/>
        <v>6.7626112181644119E-2</v>
      </c>
      <c r="L31" s="41">
        <f t="shared" si="19"/>
        <v>0.34042554517577994</v>
      </c>
      <c r="M31" s="41">
        <f t="shared" si="19"/>
        <v>0.35379868170556966</v>
      </c>
      <c r="N31" s="41">
        <f t="shared" si="19"/>
        <v>2.6305600933301733E-2</v>
      </c>
      <c r="O31" s="41">
        <f t="shared" si="19"/>
        <v>0.29582789269529197</v>
      </c>
      <c r="P31" s="41">
        <f t="shared" si="19"/>
        <v>0.24244175697575956</v>
      </c>
      <c r="Q31" s="41">
        <f t="shared" si="19"/>
        <v>-1.2120928741699307E-2</v>
      </c>
      <c r="R31" s="41">
        <f t="shared" si="19"/>
        <v>1.9083879392322943E-2</v>
      </c>
      <c r="S31" s="41">
        <f t="shared" si="19"/>
        <v>7.5075105598696373E-2</v>
      </c>
      <c r="T31" s="41">
        <f t="shared" si="19"/>
        <v>0.22641952058254422</v>
      </c>
      <c r="U31" s="41">
        <f t="shared" si="19"/>
        <v>0.23644307778347945</v>
      </c>
      <c r="V31" s="41">
        <f t="shared" si="19"/>
        <v>0.16003970088929789</v>
      </c>
      <c r="W31" s="41">
        <f t="shared" si="19"/>
        <v>0.4829348113293116</v>
      </c>
      <c r="X31" s="41">
        <f t="shared" si="19"/>
        <v>0.32299623893884505</v>
      </c>
      <c r="Y31" s="41">
        <f t="shared" si="19"/>
        <v>0.19545028497286607</v>
      </c>
      <c r="Z31" s="41">
        <f t="shared" si="19"/>
        <v>7.2900552673030791E-2</v>
      </c>
      <c r="AA31" s="41">
        <f t="shared" si="19"/>
        <v>0.1049917779856222</v>
      </c>
      <c r="AB31" s="41">
        <f t="shared" si="19"/>
        <v>-3.2602766130180226E-2</v>
      </c>
      <c r="AC31" s="41">
        <f t="shared" si="19"/>
        <v>4.7651089579606128E-2</v>
      </c>
      <c r="AD31" s="41">
        <f t="shared" si="19"/>
        <v>0.39347439695698683</v>
      </c>
      <c r="AE31" s="41">
        <f t="shared" si="19"/>
        <v>0.28919003595589859</v>
      </c>
      <c r="AF31" s="41">
        <f t="shared" si="19"/>
        <v>0.42144390053296632</v>
      </c>
      <c r="AG31" s="41">
        <f t="shared" si="19"/>
        <v>0.38676093839156572</v>
      </c>
      <c r="AH31" s="41">
        <f t="shared" si="19"/>
        <v>0.58197305646861042</v>
      </c>
      <c r="AI31" s="41">
        <f t="shared" si="19"/>
        <v>2.333706262636686E-2</v>
      </c>
      <c r="AJ31" s="41">
        <f t="shared" si="19"/>
        <v>4.1346706664946983E-2</v>
      </c>
      <c r="AK31" s="41">
        <f t="shared" si="19"/>
        <v>8.9662707371696307E-2</v>
      </c>
      <c r="AL31" s="41">
        <f t="shared" si="19"/>
        <v>-3.5258827449189106E-3</v>
      </c>
      <c r="AM31" s="41">
        <f t="shared" si="19"/>
        <v>6.025255670003748E-3</v>
      </c>
      <c r="AN31" s="41">
        <f t="shared" si="19"/>
        <v>1.1037445921187244E-2</v>
      </c>
      <c r="AO31" s="41">
        <f t="shared" si="19"/>
        <v>0.44710084024544861</v>
      </c>
      <c r="AP31" s="41">
        <f t="shared" si="19"/>
        <v>3.0997060362788554E-4</v>
      </c>
      <c r="AQ31" s="41">
        <f t="shared" si="19"/>
        <v>0.15200762883972418</v>
      </c>
      <c r="AR31" s="41">
        <f t="shared" si="19"/>
        <v>0.17743501604601294</v>
      </c>
      <c r="AS31" s="41"/>
      <c r="AT31" s="41"/>
      <c r="AU31" s="41">
        <f>M30/M8</f>
        <v>0.35379868170556966</v>
      </c>
      <c r="AV31" s="302"/>
      <c r="AW31" s="74"/>
      <c r="AX31" s="91"/>
      <c r="AY31" s="91"/>
      <c r="AZ31" s="41"/>
      <c r="BA31" s="41"/>
      <c r="BB31" s="41"/>
      <c r="BC31" s="41"/>
      <c r="BD31" s="41"/>
      <c r="BE31" s="41"/>
      <c r="BF31" s="41"/>
      <c r="BG31" s="41"/>
      <c r="BH31" s="41"/>
      <c r="BI31" s="41"/>
      <c r="BJ31" s="41"/>
      <c r="BK31" s="41"/>
      <c r="BL31" s="41"/>
      <c r="BM31" s="41"/>
      <c r="BN31" s="41"/>
      <c r="BO31" s="41"/>
      <c r="BP31" s="41"/>
      <c r="BQ31" s="41"/>
      <c r="BR31" s="41"/>
      <c r="BS31" s="41"/>
      <c r="BT31" s="41"/>
      <c r="BU31" s="41"/>
      <c r="BV31" s="41"/>
      <c r="BW31" s="41">
        <f>AU30/AU8</f>
        <v>8.211719074399712E-2</v>
      </c>
      <c r="BY31" s="270"/>
      <c r="BZ31" s="91"/>
      <c r="CB31" s="16"/>
    </row>
    <row r="32" spans="1:80" ht="16.5" thickTop="1" thickBot="1">
      <c r="A32" s="38" t="s">
        <v>256</v>
      </c>
      <c r="B32" s="39">
        <v>-2369833.257753551</v>
      </c>
      <c r="C32" s="39">
        <v>-181388.28202629834</v>
      </c>
      <c r="D32" s="39">
        <v>146661426.38513485</v>
      </c>
      <c r="E32" s="39">
        <v>14313690.706258256</v>
      </c>
      <c r="F32" s="39">
        <v>4349336.5606110692</v>
      </c>
      <c r="G32" s="39">
        <v>19317505.81379427</v>
      </c>
      <c r="H32" s="39">
        <v>14072951.107444648</v>
      </c>
      <c r="I32" s="39">
        <v>72241871.586438864</v>
      </c>
      <c r="J32" s="39">
        <v>40000631.151441753</v>
      </c>
      <c r="K32" s="39">
        <v>612037.95559977554</v>
      </c>
      <c r="L32" s="39">
        <v>49348282.544887334</v>
      </c>
      <c r="M32" s="39">
        <v>32751920.513264097</v>
      </c>
      <c r="N32" s="39">
        <v>9453443.8074006438</v>
      </c>
      <c r="O32" s="39">
        <v>91925192.401958138</v>
      </c>
      <c r="P32" s="39">
        <v>8137654.8331521731</v>
      </c>
      <c r="Q32" s="39">
        <v>-975048.26713267993</v>
      </c>
      <c r="R32" s="39">
        <v>890062.84100867808</v>
      </c>
      <c r="S32" s="39">
        <v>7636332.0815490633</v>
      </c>
      <c r="T32" s="39">
        <v>43097107.540259182</v>
      </c>
      <c r="U32" s="39">
        <v>16770457.792448267</v>
      </c>
      <c r="V32" s="39">
        <v>5001874.4567399193</v>
      </c>
      <c r="W32" s="39">
        <v>31937763.824458167</v>
      </c>
      <c r="X32" s="39">
        <v>80045082.344693869</v>
      </c>
      <c r="Y32" s="39">
        <v>8228360.9000660479</v>
      </c>
      <c r="Z32" s="39">
        <v>85975231.511976764</v>
      </c>
      <c r="AA32" s="39">
        <v>76262702.902413994</v>
      </c>
      <c r="AB32" s="39">
        <v>-19392657.958224233</v>
      </c>
      <c r="AC32" s="39">
        <v>-9121.7095025274903</v>
      </c>
      <c r="AD32" s="39">
        <v>29414384.073398732</v>
      </c>
      <c r="AE32" s="39">
        <v>41090794.922426365</v>
      </c>
      <c r="AF32" s="39">
        <v>13789671.735604703</v>
      </c>
      <c r="AG32" s="39">
        <v>8775618.0935687646</v>
      </c>
      <c r="AH32" s="39">
        <v>50225229.556998923</v>
      </c>
      <c r="AI32" s="39">
        <v>26864227.845833369</v>
      </c>
      <c r="AJ32" s="39">
        <v>32744379.518636089</v>
      </c>
      <c r="AK32" s="39">
        <v>2850724.9999999981</v>
      </c>
      <c r="AL32" s="39">
        <v>-968432.00048558414</v>
      </c>
      <c r="AM32" s="39">
        <v>1940546.2133947213</v>
      </c>
      <c r="AN32" s="39">
        <v>1255016.679523173</v>
      </c>
      <c r="AO32" s="39">
        <v>17740857.372564983</v>
      </c>
      <c r="AP32" s="39">
        <v>65849.244835822319</v>
      </c>
      <c r="AQ32" s="39">
        <v>94022.933040508113</v>
      </c>
      <c r="AR32" s="39">
        <v>92919.248808113261</v>
      </c>
      <c r="AS32" s="39">
        <v>9999999.9999999702</v>
      </c>
      <c r="AT32" s="39">
        <v>922024.36666666716</v>
      </c>
      <c r="AU32" s="40">
        <v>1073000706.8931761</v>
      </c>
      <c r="AV32" s="302"/>
      <c r="AW32" s="74"/>
      <c r="AX32" s="91"/>
      <c r="AY32" s="91"/>
      <c r="AZ32" s="16"/>
      <c r="BX32"/>
    </row>
    <row r="33" spans="1:80" ht="16.5" thickTop="1" thickBot="1">
      <c r="A33" s="38" t="s">
        <v>252</v>
      </c>
      <c r="B33" s="39">
        <f>+B30-B32</f>
        <v>2208342.1014152169</v>
      </c>
      <c r="C33" s="39">
        <f t="shared" ref="C33:AT33" si="20">+C30-C32</f>
        <v>261172.8510876894</v>
      </c>
      <c r="D33" s="39">
        <f t="shared" si="20"/>
        <v>28545334.381629229</v>
      </c>
      <c r="E33" s="39">
        <f t="shared" si="20"/>
        <v>3792302.5773553401</v>
      </c>
      <c r="F33" s="39">
        <f t="shared" si="20"/>
        <v>-5.9604644775390625E-8</v>
      </c>
      <c r="G33" s="39">
        <f t="shared" si="20"/>
        <v>1104666.5333028287</v>
      </c>
      <c r="H33" s="39">
        <f t="shared" si="20"/>
        <v>3204262.2027597278</v>
      </c>
      <c r="I33" s="39">
        <f t="shared" si="20"/>
        <v>17763203.26376164</v>
      </c>
      <c r="J33" s="39">
        <f t="shared" si="20"/>
        <v>12387985.696770996</v>
      </c>
      <c r="K33" s="39">
        <f t="shared" si="20"/>
        <v>1.862645149230957E-9</v>
      </c>
      <c r="L33" s="39">
        <f t="shared" si="20"/>
        <v>6598022.9535857141</v>
      </c>
      <c r="M33" s="39">
        <f t="shared" si="20"/>
        <v>1580128.990385294</v>
      </c>
      <c r="N33" s="39">
        <f t="shared" si="20"/>
        <v>0</v>
      </c>
      <c r="O33" s="39">
        <f t="shared" si="20"/>
        <v>5993840.080183506</v>
      </c>
      <c r="P33" s="39">
        <f t="shared" si="20"/>
        <v>2402902.2773602828</v>
      </c>
      <c r="Q33" s="39">
        <f t="shared" si="20"/>
        <v>-72199.976150140166</v>
      </c>
      <c r="R33" s="39">
        <f t="shared" si="20"/>
        <v>0</v>
      </c>
      <c r="S33" s="39">
        <f t="shared" si="20"/>
        <v>667557.33063641191</v>
      </c>
      <c r="T33" s="39">
        <f t="shared" si="20"/>
        <v>11362119.565971941</v>
      </c>
      <c r="U33" s="39">
        <f t="shared" si="20"/>
        <v>-1.4901161193847656E-8</v>
      </c>
      <c r="V33" s="39">
        <f t="shared" si="20"/>
        <v>3310008.9587653298</v>
      </c>
      <c r="W33" s="39">
        <f t="shared" si="20"/>
        <v>1754513.6153422073</v>
      </c>
      <c r="X33" s="39">
        <f t="shared" si="20"/>
        <v>-9305975.4722109139</v>
      </c>
      <c r="Y33" s="39">
        <f t="shared" si="20"/>
        <v>2355691.8584267721</v>
      </c>
      <c r="Z33" s="39">
        <f t="shared" si="20"/>
        <v>18182978.902934864</v>
      </c>
      <c r="AA33" s="39">
        <f t="shared" si="20"/>
        <v>20927114.327798575</v>
      </c>
      <c r="AB33" s="39">
        <f t="shared" si="20"/>
        <v>0</v>
      </c>
      <c r="AC33" s="39">
        <f t="shared" si="20"/>
        <v>989208.22400080599</v>
      </c>
      <c r="AD33" s="39">
        <f t="shared" si="20"/>
        <v>1217559.16921179</v>
      </c>
      <c r="AE33" s="39">
        <f t="shared" si="20"/>
        <v>29951216.347128339</v>
      </c>
      <c r="AF33" s="39">
        <f t="shared" si="20"/>
        <v>319705.31941229478</v>
      </c>
      <c r="AG33" s="39">
        <f t="shared" si="20"/>
        <v>1934763.8339709304</v>
      </c>
      <c r="AH33" s="39">
        <f t="shared" si="20"/>
        <v>14068936.404308014</v>
      </c>
      <c r="AI33" s="39">
        <f t="shared" si="20"/>
        <v>10718373.952932611</v>
      </c>
      <c r="AJ33" s="39">
        <f t="shared" si="20"/>
        <v>9532403.9884687848</v>
      </c>
      <c r="AK33" s="39">
        <f t="shared" si="20"/>
        <v>0</v>
      </c>
      <c r="AL33" s="39">
        <f t="shared" si="20"/>
        <v>0</v>
      </c>
      <c r="AM33" s="39">
        <f t="shared" si="20"/>
        <v>4084709.4566090265</v>
      </c>
      <c r="AN33" s="39">
        <f t="shared" si="20"/>
        <v>603108.94196034432</v>
      </c>
      <c r="AO33" s="39">
        <f t="shared" si="20"/>
        <v>10687373.090870574</v>
      </c>
      <c r="AP33" s="39">
        <f t="shared" si="20"/>
        <v>32579.053118129174</v>
      </c>
      <c r="AQ33" s="39">
        <f t="shared" si="20"/>
        <v>124676.6748839855</v>
      </c>
      <c r="AR33" s="39">
        <f t="shared" si="20"/>
        <v>1076681.8079876311</v>
      </c>
      <c r="AS33" s="39">
        <f t="shared" si="20"/>
        <v>0</v>
      </c>
      <c r="AT33" s="39">
        <f t="shared" si="20"/>
        <v>0</v>
      </c>
      <c r="AU33" s="40">
        <f>SUM(B33:AT33)</f>
        <v>220365269.28597575</v>
      </c>
      <c r="AV33" s="302"/>
      <c r="AW33" s="74"/>
      <c r="AX33" s="91"/>
      <c r="AY33" s="91"/>
      <c r="AZ33" s="16"/>
      <c r="BX33"/>
    </row>
    <row r="34" spans="1:80" ht="15.75" thickTop="1">
      <c r="A34" s="13" t="s">
        <v>257</v>
      </c>
      <c r="B34" s="89">
        <f>$N$174</f>
        <v>3812689.6479999996</v>
      </c>
      <c r="C34" s="89">
        <f>$N$175</f>
        <v>3564293.5380000002</v>
      </c>
      <c r="D34" s="89">
        <f>$N$176</f>
        <v>153887972.84299999</v>
      </c>
      <c r="E34" s="89">
        <f>$N$177</f>
        <v>15645697.066</v>
      </c>
      <c r="F34" s="331">
        <f>$N$178</f>
        <v>6494069.0940000005</v>
      </c>
      <c r="G34" s="89">
        <f>$N$179</f>
        <v>11285080.111</v>
      </c>
      <c r="H34" s="89">
        <f>$N$180</f>
        <v>15960259.778999999</v>
      </c>
      <c r="I34" s="89">
        <f>$N$181</f>
        <v>118518212.89</v>
      </c>
      <c r="J34" s="89">
        <f>$N$182</f>
        <v>51526216.011</v>
      </c>
      <c r="K34" s="89">
        <f>$N$183</f>
        <v>56480.959000000068</v>
      </c>
      <c r="L34" s="89">
        <f>$N$184</f>
        <v>50366119.890000001</v>
      </c>
      <c r="M34" s="89">
        <f>$N$185</f>
        <v>28864584.992999997</v>
      </c>
      <c r="N34" s="89">
        <f>$N$186</f>
        <v>24066186.754000001</v>
      </c>
      <c r="O34" s="89">
        <f>$N$187</f>
        <v>92635212.18599999</v>
      </c>
      <c r="P34" s="89">
        <f>$N$188</f>
        <v>5835234.4680000003</v>
      </c>
      <c r="Q34" s="89">
        <f>$N$189</f>
        <v>6196335.4809999997</v>
      </c>
      <c r="R34" s="89">
        <f>$N$190</f>
        <v>194049.04</v>
      </c>
      <c r="S34" s="89">
        <f>$N$191</f>
        <v>11718707.805</v>
      </c>
      <c r="T34" s="89">
        <f>$N$192</f>
        <v>47172597.289999999</v>
      </c>
      <c r="U34" s="89">
        <f>$N$193</f>
        <v>2354294.0010000002</v>
      </c>
      <c r="V34" s="89">
        <f>$N$194</f>
        <v>6719442.0640000012</v>
      </c>
      <c r="W34" s="89">
        <f>$N$195</f>
        <v>31798939.168000001</v>
      </c>
      <c r="X34" s="89">
        <f>$N$196</f>
        <v>29250948.522000004</v>
      </c>
      <c r="Y34" s="89">
        <f>$N$197</f>
        <v>10826700.973999999</v>
      </c>
      <c r="Z34" s="89">
        <f>$N$198</f>
        <v>94539611.203000009</v>
      </c>
      <c r="AA34" s="89">
        <f>$N$199</f>
        <v>91760849.333000019</v>
      </c>
      <c r="AB34" s="89">
        <f>$N$200</f>
        <v>-16805916.119999997</v>
      </c>
      <c r="AC34" s="89">
        <f>$N$201</f>
        <v>2902875.6230000001</v>
      </c>
      <c r="AD34" s="89">
        <f>$N$202</f>
        <v>26131416.241</v>
      </c>
      <c r="AE34" s="89">
        <f>$N$203</f>
        <v>67127971.908999994</v>
      </c>
      <c r="AF34" s="89">
        <f>$N$204</f>
        <v>16496458.074000001</v>
      </c>
      <c r="AG34" s="89">
        <f>$N$205</f>
        <v>9487334.3870000001</v>
      </c>
      <c r="AH34" s="89">
        <f>$N$206</f>
        <v>57116998.367000006</v>
      </c>
      <c r="AI34" s="89">
        <f>$N$207</f>
        <v>34355789.790000007</v>
      </c>
      <c r="AJ34" s="89">
        <f>$N$208</f>
        <v>40007415.116999999</v>
      </c>
      <c r="AK34" s="89">
        <f>$N$209</f>
        <v>221808.78200000001</v>
      </c>
      <c r="AL34" s="89">
        <f>$N$210</f>
        <v>6207136.2070000004</v>
      </c>
      <c r="AM34" s="89">
        <f>$N$211</f>
        <v>5627287.5329999998</v>
      </c>
      <c r="AN34" s="89">
        <f>$N$212</f>
        <v>1701374.0220000003</v>
      </c>
      <c r="AO34" s="89">
        <f>$N$213</f>
        <v>25396848.762999997</v>
      </c>
      <c r="AP34" s="89">
        <f>$N$214</f>
        <v>86959.698999999993</v>
      </c>
      <c r="AQ34" s="89">
        <f>$N$215</f>
        <v>186222.72200000001</v>
      </c>
      <c r="AR34" s="89">
        <f>$N$216</f>
        <v>1035681.801</v>
      </c>
      <c r="AS34" s="89">
        <f>$N$217</f>
        <v>173515.94400000002</v>
      </c>
      <c r="AT34" s="323"/>
      <c r="AU34" s="41"/>
      <c r="AV34" s="302"/>
      <c r="AW34" s="74"/>
      <c r="AX34" s="91"/>
      <c r="AY34" s="91"/>
      <c r="AZ34" s="41"/>
      <c r="BA34" s="41"/>
      <c r="BB34" s="41"/>
      <c r="BC34" s="41"/>
      <c r="BD34" s="41"/>
      <c r="BE34" s="41"/>
      <c r="BF34" s="41"/>
      <c r="BG34" s="41"/>
      <c r="BH34" s="41"/>
      <c r="BI34" s="41"/>
      <c r="BJ34" s="41"/>
      <c r="BK34" s="41"/>
      <c r="BL34" s="41"/>
      <c r="BM34" s="41"/>
      <c r="BN34" s="41"/>
      <c r="BO34" s="41"/>
      <c r="BP34" s="41"/>
      <c r="BQ34" s="41"/>
      <c r="BR34" s="41"/>
      <c r="BS34" s="41"/>
      <c r="BT34" s="41"/>
      <c r="BU34" s="41"/>
      <c r="BV34" s="41"/>
      <c r="BW34" s="41"/>
      <c r="BY34" s="270"/>
      <c r="BZ34" s="91"/>
      <c r="CB34" s="16"/>
    </row>
    <row r="35" spans="1:80" s="91" customFormat="1">
      <c r="A35" s="13" t="s">
        <v>258</v>
      </c>
      <c r="B35" s="354">
        <v>1606367.8649999998</v>
      </c>
      <c r="C35" s="354">
        <v>3279274.642</v>
      </c>
      <c r="D35" s="354">
        <v>127191434.044</v>
      </c>
      <c r="E35" s="354">
        <v>12231447.604</v>
      </c>
      <c r="F35" s="354">
        <v>4291042.34</v>
      </c>
      <c r="G35" s="354">
        <v>10357367.027999999</v>
      </c>
      <c r="H35" s="354">
        <v>13027411.763</v>
      </c>
      <c r="I35" s="354">
        <v>101908954.443</v>
      </c>
      <c r="J35" s="354">
        <v>39804492.002999999</v>
      </c>
      <c r="K35" s="354">
        <v>-9.9999993108212948E-4</v>
      </c>
      <c r="L35" s="354">
        <v>44360013.096000001</v>
      </c>
      <c r="M35" s="354">
        <v>27500523.287999999</v>
      </c>
      <c r="N35" s="354">
        <v>21119138.034000002</v>
      </c>
      <c r="O35" s="354">
        <v>87074077.253999993</v>
      </c>
      <c r="P35" s="354">
        <v>4177495.798</v>
      </c>
      <c r="Q35" s="354">
        <v>6259571.79</v>
      </c>
      <c r="R35" s="354">
        <v>194049.04</v>
      </c>
      <c r="S35" s="354">
        <v>11078468.353</v>
      </c>
      <c r="T35" s="354">
        <v>36963025.811999999</v>
      </c>
      <c r="U35" s="354">
        <v>2352903.23</v>
      </c>
      <c r="V35" s="354">
        <v>4227695.9440000001</v>
      </c>
      <c r="W35" s="354">
        <v>30138552.086000003</v>
      </c>
      <c r="X35" s="354">
        <v>38383886.546000004</v>
      </c>
      <c r="Y35" s="354">
        <v>8719649.2060000002</v>
      </c>
      <c r="Z35" s="354">
        <v>77972443.503000006</v>
      </c>
      <c r="AA35" s="354">
        <v>72450743.575000003</v>
      </c>
      <c r="AB35" s="354">
        <v>-16805916.119999997</v>
      </c>
      <c r="AC35" s="354">
        <v>1996041.584</v>
      </c>
      <c r="AD35" s="354">
        <v>25081229.691</v>
      </c>
      <c r="AE35" s="354">
        <v>38826909.288999997</v>
      </c>
      <c r="AF35" s="354">
        <v>16166672.390000001</v>
      </c>
      <c r="AG35" s="354">
        <v>7773506.4790000003</v>
      </c>
      <c r="AH35" s="354">
        <v>44618579.487000003</v>
      </c>
      <c r="AI35" s="354">
        <v>24557686.817000002</v>
      </c>
      <c r="AJ35" s="354">
        <v>30986685.710000005</v>
      </c>
      <c r="AK35" s="354">
        <v>189479.75</v>
      </c>
      <c r="AL35" s="354">
        <v>6276678.1900000004</v>
      </c>
      <c r="AM35" s="354">
        <v>1812373.1359999999</v>
      </c>
      <c r="AN35" s="354">
        <v>1149143.3900000001</v>
      </c>
      <c r="AO35" s="354">
        <v>15849100.146999998</v>
      </c>
      <c r="AP35" s="354">
        <v>58176.668999999994</v>
      </c>
      <c r="AQ35" s="354">
        <v>80060.53</v>
      </c>
      <c r="AR35" s="354">
        <v>82280</v>
      </c>
      <c r="AS35" s="354">
        <v>171518.274</v>
      </c>
      <c r="AT35" s="354">
        <v>284911.7</v>
      </c>
      <c r="AU35" s="355">
        <v>985825145.39900029</v>
      </c>
      <c r="AV35" s="302"/>
      <c r="AW35" s="74"/>
      <c r="AZ35" s="17"/>
    </row>
    <row r="36" spans="1:80" s="91" customFormat="1">
      <c r="A36" s="13" t="s">
        <v>253</v>
      </c>
      <c r="B36" s="354">
        <f>+B16-B35</f>
        <v>2206321.7829999998</v>
      </c>
      <c r="C36" s="354">
        <f t="shared" ref="C36:AU36" si="21">+C16-C35</f>
        <v>285018.89600000018</v>
      </c>
      <c r="D36" s="354">
        <f t="shared" si="21"/>
        <v>26696538.798999995</v>
      </c>
      <c r="E36" s="354">
        <f t="shared" si="21"/>
        <v>3414249.4619999994</v>
      </c>
      <c r="F36" s="354">
        <f t="shared" si="21"/>
        <v>2203026.7540000007</v>
      </c>
      <c r="G36" s="354">
        <f t="shared" si="21"/>
        <v>927713.08300000057</v>
      </c>
      <c r="H36" s="354">
        <f t="shared" si="21"/>
        <v>2932848.0159999989</v>
      </c>
      <c r="I36" s="354">
        <f t="shared" si="21"/>
        <v>16609258.446999997</v>
      </c>
      <c r="J36" s="354">
        <f t="shared" si="21"/>
        <v>11721724.008000001</v>
      </c>
      <c r="K36" s="354">
        <f t="shared" si="21"/>
        <v>56480.959999999999</v>
      </c>
      <c r="L36" s="354">
        <f t="shared" si="21"/>
        <v>6006106.7939999998</v>
      </c>
      <c r="M36" s="354">
        <f t="shared" si="21"/>
        <v>1364061.7049999982</v>
      </c>
      <c r="N36" s="354">
        <f t="shared" si="21"/>
        <v>2947048.7199999988</v>
      </c>
      <c r="O36" s="354">
        <f t="shared" si="21"/>
        <v>5561134.9319999963</v>
      </c>
      <c r="P36" s="354">
        <f t="shared" si="21"/>
        <v>1657738.6700000004</v>
      </c>
      <c r="Q36" s="354">
        <f t="shared" si="21"/>
        <v>-63236.309000000358</v>
      </c>
      <c r="R36" s="354">
        <f t="shared" si="21"/>
        <v>0</v>
      </c>
      <c r="S36" s="354">
        <f t="shared" si="21"/>
        <v>640239.45199999958</v>
      </c>
      <c r="T36" s="354">
        <f t="shared" si="21"/>
        <v>10209571.478</v>
      </c>
      <c r="U36" s="354">
        <f t="shared" si="21"/>
        <v>1390.7710000001825</v>
      </c>
      <c r="V36" s="354">
        <f t="shared" si="21"/>
        <v>2491746.120000001</v>
      </c>
      <c r="W36" s="354">
        <f t="shared" si="21"/>
        <v>1660387.0819999985</v>
      </c>
      <c r="X36" s="354">
        <f t="shared" si="21"/>
        <v>-9132938.0240000002</v>
      </c>
      <c r="Y36" s="354">
        <f t="shared" si="21"/>
        <v>2107051.7679999992</v>
      </c>
      <c r="Z36" s="354">
        <f t="shared" si="21"/>
        <v>16567167.700000003</v>
      </c>
      <c r="AA36" s="354">
        <f t="shared" si="21"/>
        <v>19310105.758000016</v>
      </c>
      <c r="AB36" s="354">
        <f t="shared" si="21"/>
        <v>0</v>
      </c>
      <c r="AC36" s="354">
        <f t="shared" si="21"/>
        <v>906834.03900000011</v>
      </c>
      <c r="AD36" s="354">
        <f t="shared" si="21"/>
        <v>1050186.5500000007</v>
      </c>
      <c r="AE36" s="354">
        <f t="shared" si="21"/>
        <v>28301062.619999997</v>
      </c>
      <c r="AF36" s="354">
        <f t="shared" si="21"/>
        <v>329785.68400000036</v>
      </c>
      <c r="AG36" s="354">
        <f t="shared" si="21"/>
        <v>1713827.9079999998</v>
      </c>
      <c r="AH36" s="354">
        <f t="shared" si="21"/>
        <v>12498418.880000003</v>
      </c>
      <c r="AI36" s="354">
        <f t="shared" si="21"/>
        <v>9798102.9730000049</v>
      </c>
      <c r="AJ36" s="354">
        <f t="shared" si="21"/>
        <v>9020729.4069999941</v>
      </c>
      <c r="AK36" s="354">
        <f t="shared" si="21"/>
        <v>32329.032000000007</v>
      </c>
      <c r="AL36" s="354">
        <f t="shared" si="21"/>
        <v>-69541.983000000007</v>
      </c>
      <c r="AM36" s="354">
        <f t="shared" si="21"/>
        <v>3814914.3969999999</v>
      </c>
      <c r="AN36" s="354">
        <f t="shared" si="21"/>
        <v>552230.63200000022</v>
      </c>
      <c r="AO36" s="354">
        <f t="shared" si="21"/>
        <v>9547748.6159999985</v>
      </c>
      <c r="AP36" s="354">
        <f t="shared" si="21"/>
        <v>28783.03</v>
      </c>
      <c r="AQ36" s="354">
        <f t="shared" si="21"/>
        <v>106162.19200000001</v>
      </c>
      <c r="AR36" s="354">
        <f t="shared" si="21"/>
        <v>953401.80099999998</v>
      </c>
      <c r="AS36" s="354">
        <f t="shared" si="21"/>
        <v>1997.6700000000128</v>
      </c>
      <c r="AT36" s="354">
        <f t="shared" si="21"/>
        <v>0</v>
      </c>
      <c r="AU36" s="354">
        <f t="shared" si="21"/>
        <v>206967730.27299964</v>
      </c>
      <c r="AV36" s="302"/>
      <c r="AW36" s="74"/>
      <c r="AZ36" s="17"/>
    </row>
    <row r="37" spans="1:80" s="91" customFormat="1">
      <c r="A3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353"/>
      <c r="AV37" s="302"/>
      <c r="AW37" s="74"/>
      <c r="AZ37" s="17"/>
    </row>
    <row r="38" spans="1:80" s="91" customFormat="1">
      <c r="A38" t="s">
        <v>254</v>
      </c>
      <c r="B38" s="17">
        <f>+B33-B36</f>
        <v>2020.3184152171016</v>
      </c>
      <c r="C38" s="356">
        <f t="shared" ref="C38:AU38" si="22">+C33-C36</f>
        <v>-23846.044912310783</v>
      </c>
      <c r="D38" s="17">
        <f t="shared" si="22"/>
        <v>1848795.5826292336</v>
      </c>
      <c r="E38" s="17">
        <f t="shared" si="22"/>
        <v>378053.11535534076</v>
      </c>
      <c r="F38" s="356">
        <f t="shared" si="22"/>
        <v>-2203026.7540000603</v>
      </c>
      <c r="G38" s="17">
        <f t="shared" si="22"/>
        <v>176953.4503028281</v>
      </c>
      <c r="H38" s="17">
        <f t="shared" si="22"/>
        <v>271414.18675972894</v>
      </c>
      <c r="I38" s="17">
        <f t="shared" si="22"/>
        <v>1153944.8167616427</v>
      </c>
      <c r="J38" s="17">
        <f t="shared" si="22"/>
        <v>666261.68877099454</v>
      </c>
      <c r="K38" s="356">
        <f t="shared" si="22"/>
        <v>-56480.959999998136</v>
      </c>
      <c r="L38" s="17">
        <f t="shared" si="22"/>
        <v>591916.15958571434</v>
      </c>
      <c r="M38" s="17">
        <f t="shared" si="22"/>
        <v>216067.28538529575</v>
      </c>
      <c r="N38" s="356">
        <f t="shared" si="22"/>
        <v>-2947048.7199999988</v>
      </c>
      <c r="O38" s="17">
        <f t="shared" si="22"/>
        <v>432705.14818350971</v>
      </c>
      <c r="P38" s="17">
        <f t="shared" si="22"/>
        <v>745163.60736028245</v>
      </c>
      <c r="Q38" s="356">
        <f t="shared" si="22"/>
        <v>-8963.6671501398087</v>
      </c>
      <c r="R38" s="17">
        <f t="shared" si="22"/>
        <v>0</v>
      </c>
      <c r="S38" s="17">
        <f t="shared" si="22"/>
        <v>27317.878636412323</v>
      </c>
      <c r="T38" s="17">
        <f t="shared" si="22"/>
        <v>1152548.0879719406</v>
      </c>
      <c r="U38" s="356">
        <f t="shared" si="22"/>
        <v>-1390.7710000150837</v>
      </c>
      <c r="V38" s="17">
        <f t="shared" si="22"/>
        <v>818262.83876532875</v>
      </c>
      <c r="W38" s="17">
        <f t="shared" si="22"/>
        <v>94126.533342208713</v>
      </c>
      <c r="X38" s="356">
        <f t="shared" si="22"/>
        <v>-173037.44821091369</v>
      </c>
      <c r="Y38" s="17">
        <f t="shared" si="22"/>
        <v>248640.09042677283</v>
      </c>
      <c r="Z38" s="17">
        <f t="shared" si="22"/>
        <v>1615811.2029348612</v>
      </c>
      <c r="AA38" s="17">
        <f t="shared" si="22"/>
        <v>1617008.569798559</v>
      </c>
      <c r="AB38" s="17">
        <f t="shared" si="22"/>
        <v>0</v>
      </c>
      <c r="AC38" s="17">
        <f t="shared" si="22"/>
        <v>82374.185000805883</v>
      </c>
      <c r="AD38" s="17">
        <f t="shared" si="22"/>
        <v>167372.61921178922</v>
      </c>
      <c r="AE38" s="17">
        <f t="shared" si="22"/>
        <v>1650153.7271283418</v>
      </c>
      <c r="AF38" s="356">
        <f t="shared" si="22"/>
        <v>-10080.364587705582</v>
      </c>
      <c r="AG38" s="17">
        <f t="shared" si="22"/>
        <v>220935.92597093061</v>
      </c>
      <c r="AH38" s="17">
        <f t="shared" si="22"/>
        <v>1570517.5243080109</v>
      </c>
      <c r="AI38" s="17">
        <f t="shared" si="22"/>
        <v>920270.97993260622</v>
      </c>
      <c r="AJ38" s="17">
        <f t="shared" si="22"/>
        <v>511674.58146879077</v>
      </c>
      <c r="AK38" s="356">
        <f t="shared" si="22"/>
        <v>-32329.032000000007</v>
      </c>
      <c r="AL38" s="17">
        <f t="shared" si="22"/>
        <v>69541.983000000007</v>
      </c>
      <c r="AM38" s="17">
        <f t="shared" si="22"/>
        <v>269795.05960902665</v>
      </c>
      <c r="AN38" s="17">
        <f t="shared" si="22"/>
        <v>50878.309960344108</v>
      </c>
      <c r="AO38" s="17">
        <f t="shared" si="22"/>
        <v>1139624.4748705756</v>
      </c>
      <c r="AP38" s="17">
        <f t="shared" si="22"/>
        <v>3796.0231181291747</v>
      </c>
      <c r="AQ38" s="17">
        <f t="shared" si="22"/>
        <v>18514.482883985489</v>
      </c>
      <c r="AR38" s="17">
        <f t="shared" si="22"/>
        <v>123280.00698763109</v>
      </c>
      <c r="AS38" s="356">
        <f t="shared" si="22"/>
        <v>-1997.6700000000128</v>
      </c>
      <c r="AT38" s="17">
        <f t="shared" si="22"/>
        <v>0</v>
      </c>
      <c r="AU38" s="17">
        <f t="shared" si="22"/>
        <v>13397539.01297611</v>
      </c>
      <c r="AW38" s="74"/>
      <c r="AZ38" s="17"/>
    </row>
    <row r="39" spans="1:80" s="91" customFormat="1">
      <c r="A39" s="357" t="s">
        <v>259</v>
      </c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302">
        <f>+C38+F38+K38+N38+Q38+U38+X38+AF38+AK38+AS38</f>
        <v>-5458201.4318611417</v>
      </c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17"/>
      <c r="AP39" s="17"/>
      <c r="AQ39" s="17"/>
      <c r="AR39" s="17"/>
      <c r="AS39" s="17"/>
      <c r="AT39" s="17"/>
      <c r="AU39" s="353"/>
      <c r="AV39" s="302"/>
      <c r="AW39" s="74"/>
      <c r="AZ39" s="17"/>
    </row>
    <row r="40" spans="1:80">
      <c r="B40" s="108"/>
      <c r="C40" s="108"/>
      <c r="D40" s="108"/>
      <c r="E40" s="108"/>
      <c r="F40" s="335"/>
      <c r="G40" s="108"/>
      <c r="H40" s="108"/>
      <c r="I40" s="108"/>
      <c r="J40" s="322"/>
      <c r="K40" s="108"/>
      <c r="L40" s="108"/>
      <c r="M40" s="108"/>
      <c r="N40" s="187"/>
      <c r="O40" s="291"/>
      <c r="P40" s="291"/>
      <c r="Q40" s="256"/>
      <c r="R40" s="256"/>
      <c r="S40" s="207"/>
      <c r="T40" s="207"/>
      <c r="U40" s="108"/>
      <c r="V40" s="108"/>
      <c r="W40" s="108"/>
      <c r="X40" s="108"/>
      <c r="Y40" s="108"/>
      <c r="Z40" s="108"/>
      <c r="AA40" s="108"/>
      <c r="AB40" s="108"/>
      <c r="AC40" s="108"/>
      <c r="AD40" s="108"/>
      <c r="AE40" s="108"/>
      <c r="AF40" s="108"/>
      <c r="AG40" s="108"/>
      <c r="AH40" s="108"/>
      <c r="AI40" s="108"/>
      <c r="AJ40" s="108"/>
      <c r="AK40" s="108"/>
      <c r="AL40" s="108"/>
      <c r="AM40" s="108"/>
      <c r="AN40" s="108"/>
      <c r="AO40" s="108"/>
      <c r="AP40" s="108"/>
      <c r="AQ40" s="108"/>
      <c r="AR40" s="108"/>
      <c r="AS40" s="108"/>
      <c r="AT40" s="108"/>
      <c r="AU40" s="108"/>
      <c r="AV40" s="302"/>
      <c r="AW40" s="74"/>
      <c r="AX40" s="91"/>
      <c r="AY40" s="91"/>
      <c r="AZ40" s="12"/>
      <c r="BY40" s="25"/>
      <c r="BZ40" s="91"/>
    </row>
    <row r="41" spans="1:80">
      <c r="A41" s="421" t="s">
        <v>149</v>
      </c>
      <c r="B41" s="421"/>
      <c r="C41" s="421"/>
      <c r="D41" s="421"/>
      <c r="E41" s="421"/>
      <c r="F41" s="421"/>
      <c r="G41" s="421"/>
      <c r="H41" s="421"/>
      <c r="I41" s="421"/>
      <c r="J41" s="421"/>
      <c r="K41" s="421"/>
      <c r="L41" s="421"/>
      <c r="M41" s="421"/>
      <c r="N41" s="421"/>
      <c r="O41" s="288"/>
      <c r="P41" s="288"/>
      <c r="AC41" s="12"/>
      <c r="AF41" s="221"/>
      <c r="AV41" s="302"/>
      <c r="AW41" s="74"/>
      <c r="AX41" s="91"/>
      <c r="AY41" s="91"/>
      <c r="BZ41" s="91"/>
    </row>
    <row r="42" spans="1:80">
      <c r="A42" s="79" t="s">
        <v>33</v>
      </c>
      <c r="B42" s="437">
        <v>43101</v>
      </c>
      <c r="C42" s="437">
        <v>43132</v>
      </c>
      <c r="D42" s="437">
        <v>43160</v>
      </c>
      <c r="E42" s="437">
        <v>42826</v>
      </c>
      <c r="F42" s="476">
        <v>42856</v>
      </c>
      <c r="G42" s="437">
        <v>42887</v>
      </c>
      <c r="H42" s="437">
        <v>42917</v>
      </c>
      <c r="I42" s="437">
        <v>42948</v>
      </c>
      <c r="J42" s="437">
        <v>42979</v>
      </c>
      <c r="K42" s="437">
        <v>43009</v>
      </c>
      <c r="L42" s="437">
        <v>43040</v>
      </c>
      <c r="M42" s="437">
        <v>43070</v>
      </c>
      <c r="N42" s="469" t="s">
        <v>15</v>
      </c>
      <c r="O42" s="297"/>
      <c r="P42" s="288"/>
      <c r="Q42" s="288"/>
      <c r="R42" s="198"/>
      <c r="S42" s="208"/>
      <c r="T42" s="43"/>
      <c r="U42" s="43"/>
      <c r="V42" s="43"/>
      <c r="W42" s="43"/>
      <c r="X42" s="43"/>
      <c r="Y42" s="43"/>
      <c r="Z42" s="43"/>
      <c r="AA42" s="43"/>
      <c r="AB42" s="43"/>
      <c r="AC42" s="43"/>
      <c r="AD42" s="43"/>
      <c r="AE42" s="43"/>
      <c r="AF42" s="246"/>
      <c r="AG42" s="43"/>
      <c r="AH42" s="43"/>
      <c r="AI42" s="43"/>
      <c r="AJ42" s="43"/>
      <c r="AK42" s="43"/>
      <c r="AL42" s="43"/>
      <c r="AM42" s="43"/>
      <c r="AN42" s="43"/>
      <c r="AO42" s="43"/>
      <c r="AP42" s="43"/>
      <c r="AQ42" s="43"/>
      <c r="AR42" s="43"/>
      <c r="AS42" s="43"/>
      <c r="AT42" s="43"/>
      <c r="AU42" s="43"/>
      <c r="AV42" s="302"/>
      <c r="AW42" s="74"/>
      <c r="AX42" s="91"/>
      <c r="AY42" s="91"/>
      <c r="AZ42" s="434"/>
    </row>
    <row r="43" spans="1:80" ht="15.75" thickBot="1">
      <c r="A43" s="80" t="s">
        <v>34</v>
      </c>
      <c r="B43" s="438"/>
      <c r="C43" s="438"/>
      <c r="D43" s="438"/>
      <c r="E43" s="438"/>
      <c r="F43" s="477"/>
      <c r="G43" s="438"/>
      <c r="H43" s="438"/>
      <c r="I43" s="438"/>
      <c r="J43" s="438"/>
      <c r="K43" s="438"/>
      <c r="L43" s="438"/>
      <c r="M43" s="438"/>
      <c r="N43" s="470"/>
      <c r="O43" s="297"/>
      <c r="P43" s="288"/>
      <c r="Q43" s="288"/>
      <c r="R43" s="198"/>
      <c r="S43" s="208"/>
      <c r="T43" s="43"/>
      <c r="U43" s="43"/>
      <c r="V43" s="43"/>
      <c r="W43" s="43"/>
      <c r="X43" s="43"/>
      <c r="Y43" s="43"/>
      <c r="Z43" s="43"/>
      <c r="AA43" s="43"/>
      <c r="AB43" s="43"/>
      <c r="AC43" s="43"/>
      <c r="AD43" s="43"/>
      <c r="AE43" s="43"/>
      <c r="AF43" s="43"/>
      <c r="AG43" s="43"/>
      <c r="AH43" s="43"/>
      <c r="AI43" s="43"/>
      <c r="AJ43" s="43"/>
      <c r="AK43" s="43"/>
      <c r="AL43" s="43"/>
      <c r="AM43" s="43"/>
      <c r="AN43" s="43"/>
      <c r="AO43" s="43"/>
      <c r="AP43" s="43"/>
      <c r="AQ43" s="43"/>
      <c r="AR43" s="43"/>
      <c r="AS43" s="43"/>
      <c r="AT43" s="43"/>
      <c r="AU43" s="43"/>
      <c r="AV43" s="302"/>
      <c r="AW43" s="74"/>
      <c r="AX43" s="91"/>
      <c r="AY43" s="91"/>
      <c r="AZ43" s="434"/>
    </row>
    <row r="44" spans="1:80" ht="18.75" thickTop="1">
      <c r="A44" s="81" t="s">
        <v>35</v>
      </c>
      <c r="B44" s="82"/>
      <c r="C44" s="82"/>
      <c r="D44" s="82"/>
      <c r="E44" s="82"/>
      <c r="F44" s="336"/>
      <c r="G44" s="82"/>
      <c r="H44" s="82"/>
      <c r="I44" s="82"/>
      <c r="J44" s="82"/>
      <c r="K44" s="82"/>
      <c r="L44" s="82"/>
      <c r="M44" s="82"/>
      <c r="N44" s="283"/>
      <c r="O44" s="297"/>
      <c r="P44" s="288"/>
      <c r="Q44" s="288"/>
      <c r="R44" s="198"/>
      <c r="S44" s="208"/>
      <c r="T44" s="43"/>
      <c r="U44" s="281"/>
      <c r="V44" s="43"/>
      <c r="W44" s="43"/>
      <c r="X44" s="43"/>
      <c r="Y44" s="43"/>
      <c r="Z44" s="43"/>
      <c r="AA44" s="43"/>
      <c r="AB44" s="43"/>
      <c r="AC44" s="43"/>
      <c r="AD44" s="43"/>
      <c r="AE44" s="43"/>
      <c r="AF44" s="43"/>
      <c r="AG44" s="43"/>
      <c r="AH44" s="43"/>
      <c r="AI44" s="43"/>
      <c r="AJ44" s="43"/>
      <c r="AK44" s="43"/>
      <c r="AL44" s="43"/>
      <c r="AM44" s="43"/>
      <c r="AN44" s="43"/>
      <c r="AO44" s="43"/>
      <c r="AP44" s="43"/>
      <c r="AQ44" s="43"/>
      <c r="AR44" s="43"/>
      <c r="AS44" s="43"/>
      <c r="AT44" s="43"/>
      <c r="AU44" s="43"/>
      <c r="AV44" s="43"/>
      <c r="AW44" s="43"/>
      <c r="AX44" s="43"/>
      <c r="AY44" s="43"/>
      <c r="AZ44" s="43"/>
    </row>
    <row r="45" spans="1:80" ht="15" customHeight="1">
      <c r="A45" s="304" t="s">
        <v>8</v>
      </c>
      <c r="B45" s="305">
        <v>0</v>
      </c>
      <c r="C45" s="305">
        <v>0</v>
      </c>
      <c r="D45" s="305">
        <v>0</v>
      </c>
      <c r="E45" s="305">
        <v>4583109.75</v>
      </c>
      <c r="F45" s="337">
        <v>0</v>
      </c>
      <c r="G45" s="305">
        <v>0</v>
      </c>
      <c r="H45" s="305">
        <v>0</v>
      </c>
      <c r="I45" s="305">
        <v>0</v>
      </c>
      <c r="J45" s="305">
        <v>0</v>
      </c>
      <c r="K45" s="305">
        <v>0</v>
      </c>
      <c r="L45" s="305">
        <v>0</v>
      </c>
      <c r="M45" s="306">
        <v>0</v>
      </c>
      <c r="N45" s="307">
        <f t="shared" ref="N45:N89" si="23">SUM(B45:M45)</f>
        <v>4583109.75</v>
      </c>
      <c r="O45" s="286">
        <v>2208342.1014152169</v>
      </c>
      <c r="P45" s="324">
        <f>+F45+O45</f>
        <v>2208342.1014152169</v>
      </c>
      <c r="Q45" s="288">
        <v>2208342.1</v>
      </c>
      <c r="R45" s="324">
        <f>+P45-Q45</f>
        <v>1.4152168296277523E-3</v>
      </c>
      <c r="S45" s="293"/>
      <c r="T45" s="12"/>
      <c r="U45" s="28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</row>
    <row r="46" spans="1:80" ht="15" customHeight="1">
      <c r="A46" s="47" t="s">
        <v>10</v>
      </c>
      <c r="B46" s="48">
        <v>2557230.98</v>
      </c>
      <c r="C46" s="48">
        <v>1849502.84</v>
      </c>
      <c r="D46" s="48">
        <v>726341.65</v>
      </c>
      <c r="E46" s="48">
        <v>440000</v>
      </c>
      <c r="F46" s="263">
        <v>0</v>
      </c>
      <c r="G46" s="48">
        <v>0</v>
      </c>
      <c r="H46" s="48">
        <v>0</v>
      </c>
      <c r="I46" s="48">
        <v>0</v>
      </c>
      <c r="J46" s="48">
        <v>0</v>
      </c>
      <c r="K46" s="48">
        <v>0</v>
      </c>
      <c r="L46" s="48">
        <v>0</v>
      </c>
      <c r="M46" s="49">
        <v>0</v>
      </c>
      <c r="N46" s="260">
        <f t="shared" si="23"/>
        <v>5573075.4700000007</v>
      </c>
      <c r="O46" s="286">
        <v>261172.8510876894</v>
      </c>
      <c r="P46" s="324">
        <f t="shared" ref="P46:P90" si="24">+F46+O46</f>
        <v>261172.8510876894</v>
      </c>
      <c r="Q46" s="288">
        <v>261172.85</v>
      </c>
      <c r="R46" s="324">
        <f t="shared" ref="R46:R90" si="25">+P46-Q46</f>
        <v>1.0876893938984722E-3</v>
      </c>
      <c r="S46" s="293"/>
      <c r="T46" s="12"/>
      <c r="U46" s="28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</row>
    <row r="47" spans="1:80">
      <c r="A47" s="47" t="s">
        <v>68</v>
      </c>
      <c r="B47" s="48">
        <v>0</v>
      </c>
      <c r="C47" s="48">
        <v>179948517.94999999</v>
      </c>
      <c r="D47" s="48">
        <v>64133420.25</v>
      </c>
      <c r="E47" s="48">
        <v>0</v>
      </c>
      <c r="F47" s="263">
        <v>0</v>
      </c>
      <c r="G47" s="48">
        <v>0</v>
      </c>
      <c r="H47" s="48">
        <v>0</v>
      </c>
      <c r="I47" s="48">
        <v>0</v>
      </c>
      <c r="J47" s="48">
        <v>0</v>
      </c>
      <c r="K47" s="48">
        <v>0</v>
      </c>
      <c r="L47" s="48">
        <v>0</v>
      </c>
      <c r="M47" s="49">
        <v>0</v>
      </c>
      <c r="N47" s="260">
        <f t="shared" si="23"/>
        <v>244081938.19999999</v>
      </c>
      <c r="O47" s="286">
        <v>28545334.381629229</v>
      </c>
      <c r="P47" s="324">
        <f t="shared" si="24"/>
        <v>28545334.381629229</v>
      </c>
      <c r="Q47" s="288">
        <v>28545334</v>
      </c>
      <c r="R47" s="324">
        <f t="shared" si="25"/>
        <v>0.38162922859191895</v>
      </c>
      <c r="S47" s="293"/>
      <c r="T47" s="12"/>
      <c r="U47" s="12"/>
      <c r="V47" s="12"/>
      <c r="W47" s="12"/>
      <c r="X47" s="12"/>
      <c r="Y47" s="223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</row>
    <row r="48" spans="1:80">
      <c r="A48" s="47" t="s">
        <v>85</v>
      </c>
      <c r="B48" s="48">
        <v>17405481.640000001</v>
      </c>
      <c r="C48" s="48">
        <v>1899677.92</v>
      </c>
      <c r="D48" s="48">
        <v>10213010.17</v>
      </c>
      <c r="E48" s="48">
        <v>2113382.7799999998</v>
      </c>
      <c r="F48" s="263">
        <v>3498515.21</v>
      </c>
      <c r="G48" s="48">
        <v>0</v>
      </c>
      <c r="H48" s="48">
        <v>0</v>
      </c>
      <c r="I48" s="48">
        <v>0</v>
      </c>
      <c r="J48" s="48">
        <v>0</v>
      </c>
      <c r="K48" s="48">
        <v>0</v>
      </c>
      <c r="L48" s="48">
        <v>0</v>
      </c>
      <c r="M48" s="49">
        <v>0</v>
      </c>
      <c r="N48" s="260">
        <f>SUM(B48:M48)</f>
        <v>35130067.720000006</v>
      </c>
      <c r="O48" s="286">
        <v>293787.36735533923</v>
      </c>
      <c r="P48" s="324">
        <f t="shared" si="24"/>
        <v>3792302.5773553392</v>
      </c>
      <c r="Q48" s="288">
        <v>3792302.58</v>
      </c>
      <c r="R48" s="324">
        <f t="shared" si="25"/>
        <v>-2.6446608826518059E-3</v>
      </c>
      <c r="S48" s="293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</row>
    <row r="49" spans="1:76" ht="15" customHeight="1">
      <c r="A49" s="47" t="s">
        <v>94</v>
      </c>
      <c r="B49" s="48">
        <v>0</v>
      </c>
      <c r="C49" s="48">
        <v>0</v>
      </c>
      <c r="D49" s="48">
        <v>0</v>
      </c>
      <c r="E49" s="48">
        <v>16934976.780000001</v>
      </c>
      <c r="F49" s="263">
        <v>0</v>
      </c>
      <c r="G49" s="48">
        <v>0</v>
      </c>
      <c r="H49" s="48">
        <v>0</v>
      </c>
      <c r="I49" s="48">
        <v>0</v>
      </c>
      <c r="J49" s="48">
        <v>0</v>
      </c>
      <c r="K49" s="48">
        <v>0</v>
      </c>
      <c r="L49" s="48">
        <v>0</v>
      </c>
      <c r="M49" s="49">
        <v>0</v>
      </c>
      <c r="N49" s="260">
        <f t="shared" si="23"/>
        <v>16934976.780000001</v>
      </c>
      <c r="O49" s="286">
        <v>-5.9604644775390625E-8</v>
      </c>
      <c r="P49" s="324">
        <f t="shared" si="24"/>
        <v>-5.9604644775390625E-8</v>
      </c>
      <c r="Q49" s="288"/>
      <c r="R49" s="324">
        <f t="shared" si="25"/>
        <v>-5.9604644775390625E-8</v>
      </c>
      <c r="S49" s="293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</row>
    <row r="50" spans="1:76">
      <c r="A50" s="47" t="s">
        <v>95</v>
      </c>
      <c r="B50" s="48">
        <v>4015117</v>
      </c>
      <c r="C50" s="48">
        <v>5916532.6900000004</v>
      </c>
      <c r="D50" s="48">
        <v>0</v>
      </c>
      <c r="E50" s="48">
        <v>0</v>
      </c>
      <c r="F50" s="263">
        <v>2347798.34</v>
      </c>
      <c r="G50" s="48">
        <v>0</v>
      </c>
      <c r="H50" s="48">
        <v>0</v>
      </c>
      <c r="I50" s="48">
        <v>0</v>
      </c>
      <c r="J50" s="48">
        <v>0</v>
      </c>
      <c r="K50" s="48">
        <v>0</v>
      </c>
      <c r="L50" s="48">
        <v>0</v>
      </c>
      <c r="M50" s="49">
        <v>0</v>
      </c>
      <c r="N50" s="260">
        <f t="shared" si="23"/>
        <v>12279448.030000001</v>
      </c>
      <c r="O50" s="286">
        <v>-1243131.8066971712</v>
      </c>
      <c r="P50" s="324">
        <f t="shared" si="24"/>
        <v>1104666.5333028287</v>
      </c>
      <c r="Q50" s="288">
        <v>1104666</v>
      </c>
      <c r="R50" s="324">
        <f t="shared" si="25"/>
        <v>0.53330282866954803</v>
      </c>
      <c r="S50" s="293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</row>
    <row r="51" spans="1:76">
      <c r="A51" s="47" t="s">
        <v>131</v>
      </c>
      <c r="B51" s="48">
        <v>3425194</v>
      </c>
      <c r="C51" s="48">
        <v>0</v>
      </c>
      <c r="D51" s="48">
        <v>3829449</v>
      </c>
      <c r="E51" s="48">
        <v>1513092.67</v>
      </c>
      <c r="F51" s="263">
        <v>5774580</v>
      </c>
      <c r="G51" s="48">
        <v>0</v>
      </c>
      <c r="H51" s="48">
        <v>0</v>
      </c>
      <c r="I51" s="48">
        <v>0</v>
      </c>
      <c r="J51" s="48">
        <v>0</v>
      </c>
      <c r="K51" s="48">
        <v>0</v>
      </c>
      <c r="L51" s="48">
        <v>0</v>
      </c>
      <c r="M51" s="49">
        <v>0</v>
      </c>
      <c r="N51" s="260">
        <f t="shared" si="23"/>
        <v>14542315.67</v>
      </c>
      <c r="O51" s="286">
        <v>-2570317.7972402722</v>
      </c>
      <c r="P51" s="324">
        <f t="shared" si="24"/>
        <v>3204262.2027597278</v>
      </c>
      <c r="Q51" s="288">
        <v>3204262</v>
      </c>
      <c r="R51" s="324">
        <f t="shared" si="25"/>
        <v>0.20275972783565521</v>
      </c>
      <c r="S51" s="293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</row>
    <row r="52" spans="1:76">
      <c r="A52" s="47" t="s">
        <v>128</v>
      </c>
      <c r="B52" s="48">
        <v>0</v>
      </c>
      <c r="C52" s="48">
        <v>0</v>
      </c>
      <c r="D52" s="48">
        <v>0</v>
      </c>
      <c r="E52" s="48">
        <v>0</v>
      </c>
      <c r="F52" s="263">
        <v>0</v>
      </c>
      <c r="G52" s="48">
        <v>0</v>
      </c>
      <c r="H52" s="48">
        <v>0</v>
      </c>
      <c r="I52" s="48">
        <v>0</v>
      </c>
      <c r="J52" s="48">
        <v>0</v>
      </c>
      <c r="K52" s="48">
        <v>0</v>
      </c>
      <c r="L52" s="48">
        <v>0</v>
      </c>
      <c r="M52" s="49">
        <v>0</v>
      </c>
      <c r="N52" s="260">
        <f t="shared" si="23"/>
        <v>0</v>
      </c>
      <c r="O52" s="286">
        <v>17763203.26376164</v>
      </c>
      <c r="P52" s="324">
        <f t="shared" si="24"/>
        <v>17763203.26376164</v>
      </c>
      <c r="Q52" s="288">
        <v>17763203</v>
      </c>
      <c r="R52" s="324">
        <f t="shared" si="25"/>
        <v>0.26376163959503174</v>
      </c>
      <c r="S52" s="293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</row>
    <row r="53" spans="1:76" ht="15" customHeight="1">
      <c r="A53" s="47" t="s">
        <v>129</v>
      </c>
      <c r="B53" s="48">
        <v>6957536.9199999999</v>
      </c>
      <c r="C53" s="48">
        <v>8723893.0899999999</v>
      </c>
      <c r="D53" s="48">
        <v>8643111</v>
      </c>
      <c r="E53" s="48">
        <v>6172362.54</v>
      </c>
      <c r="F53" s="263">
        <v>9398674.1999999993</v>
      </c>
      <c r="G53" s="48">
        <v>0</v>
      </c>
      <c r="H53" s="48">
        <v>0</v>
      </c>
      <c r="I53" s="48">
        <v>0</v>
      </c>
      <c r="J53" s="48">
        <v>0</v>
      </c>
      <c r="K53" s="48">
        <v>0</v>
      </c>
      <c r="L53" s="48">
        <v>0</v>
      </c>
      <c r="M53" s="49">
        <v>0</v>
      </c>
      <c r="N53" s="260">
        <f t="shared" si="23"/>
        <v>39895577.75</v>
      </c>
      <c r="O53" s="286">
        <v>2989311.4967709929</v>
      </c>
      <c r="P53" s="324">
        <f t="shared" si="24"/>
        <v>12387985.696770992</v>
      </c>
      <c r="Q53" s="288">
        <v>12387989</v>
      </c>
      <c r="R53" s="325">
        <f t="shared" si="25"/>
        <v>-3.3032290078699589</v>
      </c>
      <c r="S53" s="293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</row>
    <row r="54" spans="1:76">
      <c r="A54" s="47" t="s">
        <v>132</v>
      </c>
      <c r="B54" s="48">
        <v>0</v>
      </c>
      <c r="C54" s="48">
        <v>0</v>
      </c>
      <c r="D54" s="48">
        <v>0</v>
      </c>
      <c r="E54" s="48">
        <v>1991284.16</v>
      </c>
      <c r="F54" s="263">
        <v>0</v>
      </c>
      <c r="G54" s="48">
        <v>0</v>
      </c>
      <c r="H54" s="48">
        <v>0</v>
      </c>
      <c r="I54" s="48">
        <v>0</v>
      </c>
      <c r="J54" s="48">
        <v>0</v>
      </c>
      <c r="K54" s="48">
        <v>0</v>
      </c>
      <c r="L54" s="48">
        <v>0</v>
      </c>
      <c r="M54" s="49">
        <v>0</v>
      </c>
      <c r="N54" s="260">
        <f>SUM(B54:M54)</f>
        <v>1991284.16</v>
      </c>
      <c r="O54" s="286">
        <v>1.862645149230957E-9</v>
      </c>
      <c r="P54" s="324">
        <f t="shared" si="24"/>
        <v>1.862645149230957E-9</v>
      </c>
      <c r="Q54" s="288"/>
      <c r="R54" s="324">
        <f t="shared" si="25"/>
        <v>1.862645149230957E-9</v>
      </c>
      <c r="S54" s="293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</row>
    <row r="55" spans="1:76" s="113" customFormat="1">
      <c r="A55" s="47" t="s">
        <v>135</v>
      </c>
      <c r="B55" s="48">
        <v>0</v>
      </c>
      <c r="C55" s="48">
        <v>0</v>
      </c>
      <c r="D55" s="48">
        <v>0</v>
      </c>
      <c r="E55" s="48">
        <v>0</v>
      </c>
      <c r="F55" s="263">
        <v>0</v>
      </c>
      <c r="G55" s="48">
        <v>0</v>
      </c>
      <c r="H55" s="48">
        <v>0</v>
      </c>
      <c r="I55" s="48">
        <v>0</v>
      </c>
      <c r="J55" s="48">
        <v>0</v>
      </c>
      <c r="K55" s="48">
        <v>0</v>
      </c>
      <c r="L55" s="48">
        <v>0</v>
      </c>
      <c r="M55" s="49">
        <v>0</v>
      </c>
      <c r="N55" s="260">
        <f>SUM(B55:M55)</f>
        <v>0</v>
      </c>
      <c r="O55" s="286">
        <v>6598022.9535857141</v>
      </c>
      <c r="P55" s="324">
        <f t="shared" si="24"/>
        <v>6598022.9535857141</v>
      </c>
      <c r="Q55" s="288">
        <v>6598022</v>
      </c>
      <c r="R55" s="324">
        <f t="shared" si="25"/>
        <v>0.95358571410179138</v>
      </c>
      <c r="S55" s="293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BX55" s="303"/>
    </row>
    <row r="56" spans="1:76">
      <c r="A56" s="47" t="s">
        <v>136</v>
      </c>
      <c r="B56" s="48">
        <v>0</v>
      </c>
      <c r="C56" s="48">
        <v>9740366.7599999998</v>
      </c>
      <c r="D56" s="48">
        <v>19085006.850000001</v>
      </c>
      <c r="E56" s="48">
        <v>0</v>
      </c>
      <c r="F56" s="263">
        <v>9900212.0199999996</v>
      </c>
      <c r="G56" s="48">
        <v>0</v>
      </c>
      <c r="H56" s="48">
        <v>0</v>
      </c>
      <c r="I56" s="48">
        <v>0</v>
      </c>
      <c r="J56" s="48">
        <v>0</v>
      </c>
      <c r="K56" s="48">
        <v>0</v>
      </c>
      <c r="L56" s="48">
        <v>0</v>
      </c>
      <c r="M56" s="49">
        <v>0</v>
      </c>
      <c r="N56" s="260">
        <f t="shared" si="23"/>
        <v>38725585.629999995</v>
      </c>
      <c r="O56" s="286">
        <v>-8320083.0296147019</v>
      </c>
      <c r="P56" s="324">
        <f t="shared" si="24"/>
        <v>1580128.9903852977</v>
      </c>
      <c r="Q56" s="288">
        <v>1580128</v>
      </c>
      <c r="R56" s="324">
        <f t="shared" si="25"/>
        <v>0.99038529768586159</v>
      </c>
      <c r="S56" s="293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</row>
    <row r="57" spans="1:76">
      <c r="A57" s="47" t="s">
        <v>137</v>
      </c>
      <c r="B57" s="48">
        <v>32724390.510000002</v>
      </c>
      <c r="C57" s="48">
        <v>0</v>
      </c>
      <c r="D57" s="48">
        <v>2039662.21</v>
      </c>
      <c r="E57" s="48">
        <v>619108.11</v>
      </c>
      <c r="F57" s="263">
        <v>0</v>
      </c>
      <c r="G57" s="48">
        <v>0</v>
      </c>
      <c r="H57" s="48">
        <v>0</v>
      </c>
      <c r="I57" s="48">
        <v>0</v>
      </c>
      <c r="J57" s="48">
        <v>0</v>
      </c>
      <c r="K57" s="48">
        <v>0</v>
      </c>
      <c r="L57" s="48">
        <v>0</v>
      </c>
      <c r="M57" s="49">
        <v>0</v>
      </c>
      <c r="N57" s="260">
        <f t="shared" si="23"/>
        <v>35383160.829999998</v>
      </c>
      <c r="O57" s="286">
        <v>0</v>
      </c>
      <c r="P57" s="324">
        <f t="shared" si="24"/>
        <v>0</v>
      </c>
      <c r="Q57" s="288"/>
      <c r="R57" s="324">
        <f t="shared" si="25"/>
        <v>0</v>
      </c>
      <c r="S57" s="293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</row>
    <row r="58" spans="1:76" ht="15" customHeight="1">
      <c r="A58" s="47" t="s">
        <v>138</v>
      </c>
      <c r="B58" s="48">
        <v>0</v>
      </c>
      <c r="C58" s="48">
        <v>42595714.82</v>
      </c>
      <c r="D58" s="48">
        <v>0</v>
      </c>
      <c r="E58" s="48">
        <v>0</v>
      </c>
      <c r="F58" s="263">
        <v>57817326.859999999</v>
      </c>
      <c r="G58" s="48">
        <v>0</v>
      </c>
      <c r="H58" s="48">
        <v>0</v>
      </c>
      <c r="I58" s="48">
        <v>0</v>
      </c>
      <c r="J58" s="48">
        <v>0</v>
      </c>
      <c r="K58" s="48">
        <v>0</v>
      </c>
      <c r="L58" s="48">
        <v>0</v>
      </c>
      <c r="M58" s="49">
        <v>0</v>
      </c>
      <c r="N58" s="260">
        <f t="shared" si="23"/>
        <v>100413041.68000001</v>
      </c>
      <c r="O58" s="286">
        <v>-51823486.779816508</v>
      </c>
      <c r="P58" s="324">
        <f t="shared" si="24"/>
        <v>5993840.0801834911</v>
      </c>
      <c r="Q58" s="288">
        <v>5993840</v>
      </c>
      <c r="R58" s="324">
        <f t="shared" si="25"/>
        <v>8.0183491110801697E-2</v>
      </c>
      <c r="S58" s="293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2"/>
    </row>
    <row r="59" spans="1:76">
      <c r="A59" s="47" t="s">
        <v>139</v>
      </c>
      <c r="B59" s="48">
        <v>4505534.51</v>
      </c>
      <c r="C59" s="48">
        <v>3150407.65</v>
      </c>
      <c r="D59" s="48">
        <v>1067786.52</v>
      </c>
      <c r="E59" s="48">
        <v>0</v>
      </c>
      <c r="F59" s="263">
        <v>0</v>
      </c>
      <c r="G59" s="48">
        <v>0</v>
      </c>
      <c r="H59" s="48">
        <v>0</v>
      </c>
      <c r="I59" s="48">
        <v>0</v>
      </c>
      <c r="J59" s="48">
        <v>0</v>
      </c>
      <c r="K59" s="48">
        <v>0</v>
      </c>
      <c r="L59" s="48">
        <v>0</v>
      </c>
      <c r="M59" s="49">
        <v>0</v>
      </c>
      <c r="N59" s="260">
        <f t="shared" si="23"/>
        <v>8723728.6799999997</v>
      </c>
      <c r="O59" s="286">
        <v>2402902.2773602828</v>
      </c>
      <c r="P59" s="324">
        <f t="shared" si="24"/>
        <v>2402902.2773602828</v>
      </c>
      <c r="Q59" s="288">
        <v>2402902</v>
      </c>
      <c r="R59" s="324">
        <f t="shared" si="25"/>
        <v>0.27736028283834457</v>
      </c>
      <c r="S59" s="293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2"/>
    </row>
    <row r="60" spans="1:76" ht="15" customHeight="1">
      <c r="A60" s="47" t="s">
        <v>140</v>
      </c>
      <c r="B60" s="48">
        <v>21432600</v>
      </c>
      <c r="C60" s="48">
        <v>0</v>
      </c>
      <c r="D60" s="48">
        <v>0</v>
      </c>
      <c r="E60" s="48">
        <v>0</v>
      </c>
      <c r="F60" s="263">
        <v>0</v>
      </c>
      <c r="G60" s="48">
        <v>0</v>
      </c>
      <c r="H60" s="48">
        <v>0</v>
      </c>
      <c r="I60" s="48">
        <v>0</v>
      </c>
      <c r="J60" s="48">
        <v>0</v>
      </c>
      <c r="K60" s="48">
        <v>0</v>
      </c>
      <c r="L60" s="48">
        <v>0</v>
      </c>
      <c r="M60" s="49">
        <v>0</v>
      </c>
      <c r="N60" s="260">
        <f t="shared" si="23"/>
        <v>21432600</v>
      </c>
      <c r="O60" s="286">
        <v>-72199.976150140166</v>
      </c>
      <c r="P60" s="324">
        <f t="shared" si="24"/>
        <v>-72199.976150140166</v>
      </c>
      <c r="Q60" s="288">
        <v>-72199</v>
      </c>
      <c r="R60" s="324">
        <f t="shared" si="25"/>
        <v>-0.97615014016628265</v>
      </c>
      <c r="S60" s="293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</row>
    <row r="61" spans="1:76">
      <c r="A61" s="47" t="s">
        <v>146</v>
      </c>
      <c r="B61" s="48">
        <v>0</v>
      </c>
      <c r="C61" s="48">
        <v>1226927.69</v>
      </c>
      <c r="D61" s="48">
        <v>0</v>
      </c>
      <c r="E61" s="48">
        <v>0</v>
      </c>
      <c r="F61" s="263">
        <v>0</v>
      </c>
      <c r="G61" s="48">
        <v>0</v>
      </c>
      <c r="H61" s="48">
        <v>0</v>
      </c>
      <c r="I61" s="48">
        <v>0</v>
      </c>
      <c r="J61" s="48">
        <v>0</v>
      </c>
      <c r="K61" s="48">
        <v>0</v>
      </c>
      <c r="L61" s="48">
        <v>0</v>
      </c>
      <c r="M61" s="49">
        <v>0</v>
      </c>
      <c r="N61" s="260">
        <f t="shared" si="23"/>
        <v>1226927.69</v>
      </c>
      <c r="O61" s="286">
        <v>0</v>
      </c>
      <c r="P61" s="324">
        <f t="shared" si="24"/>
        <v>0</v>
      </c>
      <c r="Q61" s="288"/>
      <c r="R61" s="324">
        <f t="shared" si="25"/>
        <v>0</v>
      </c>
      <c r="S61" s="293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</row>
    <row r="62" spans="1:76">
      <c r="A62" s="47" t="s">
        <v>148</v>
      </c>
      <c r="B62" s="48">
        <v>0</v>
      </c>
      <c r="C62" s="48">
        <v>0</v>
      </c>
      <c r="D62" s="48">
        <v>0</v>
      </c>
      <c r="E62" s="48">
        <v>0</v>
      </c>
      <c r="F62" s="263">
        <v>0</v>
      </c>
      <c r="G62" s="48">
        <v>0</v>
      </c>
      <c r="H62" s="48">
        <v>0</v>
      </c>
      <c r="I62" s="48">
        <v>0</v>
      </c>
      <c r="J62" s="48">
        <v>0</v>
      </c>
      <c r="K62" s="48">
        <v>0</v>
      </c>
      <c r="L62" s="48">
        <v>0</v>
      </c>
      <c r="M62" s="49">
        <v>0</v>
      </c>
      <c r="N62" s="260">
        <f t="shared" si="23"/>
        <v>0</v>
      </c>
      <c r="O62" s="286">
        <v>667557.33063641191</v>
      </c>
      <c r="P62" s="324">
        <f t="shared" si="24"/>
        <v>667557.33063641191</v>
      </c>
      <c r="Q62" s="288">
        <v>667557</v>
      </c>
      <c r="R62" s="324">
        <f t="shared" si="25"/>
        <v>0.3306364119052887</v>
      </c>
      <c r="S62" s="293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</row>
    <row r="63" spans="1:76" ht="15" customHeight="1">
      <c r="A63" s="47" t="s">
        <v>150</v>
      </c>
      <c r="B63" s="48">
        <v>10405492.140000001</v>
      </c>
      <c r="C63" s="48">
        <v>8329448.8099999996</v>
      </c>
      <c r="D63" s="48">
        <v>8749158.3699999992</v>
      </c>
      <c r="E63" s="48">
        <v>0</v>
      </c>
      <c r="F63" s="263">
        <v>11730726.800000001</v>
      </c>
      <c r="G63" s="48">
        <v>0</v>
      </c>
      <c r="H63" s="48">
        <v>0</v>
      </c>
      <c r="I63" s="48">
        <v>0</v>
      </c>
      <c r="J63" s="48">
        <v>0</v>
      </c>
      <c r="K63" s="48">
        <v>0</v>
      </c>
      <c r="L63" s="48">
        <v>0</v>
      </c>
      <c r="M63" s="49">
        <v>0</v>
      </c>
      <c r="N63" s="260">
        <f t="shared" si="23"/>
        <v>39214826.120000005</v>
      </c>
      <c r="O63" s="286">
        <v>-368607.23402806371</v>
      </c>
      <c r="P63" s="324">
        <f t="shared" si="24"/>
        <v>11362119.565971937</v>
      </c>
      <c r="Q63" s="288">
        <v>11362119</v>
      </c>
      <c r="R63" s="324">
        <f t="shared" si="25"/>
        <v>0.56597193703055382</v>
      </c>
      <c r="S63" s="293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</row>
    <row r="64" spans="1:76">
      <c r="A64" s="47" t="s">
        <v>151</v>
      </c>
      <c r="B64" s="48">
        <v>0</v>
      </c>
      <c r="C64" s="48">
        <v>0</v>
      </c>
      <c r="D64" s="48">
        <v>19116412.920000002</v>
      </c>
      <c r="E64" s="48">
        <v>0</v>
      </c>
      <c r="F64" s="263">
        <v>0</v>
      </c>
      <c r="G64" s="48">
        <v>0</v>
      </c>
      <c r="H64" s="48">
        <v>0</v>
      </c>
      <c r="I64" s="48">
        <v>0</v>
      </c>
      <c r="J64" s="48">
        <v>0</v>
      </c>
      <c r="K64" s="48">
        <v>0</v>
      </c>
      <c r="L64" s="48">
        <v>0</v>
      </c>
      <c r="M64" s="49">
        <v>0</v>
      </c>
      <c r="N64" s="260">
        <f t="shared" si="23"/>
        <v>19116412.920000002</v>
      </c>
      <c r="O64" s="286">
        <v>0</v>
      </c>
      <c r="P64" s="324">
        <f t="shared" si="24"/>
        <v>0</v>
      </c>
      <c r="Q64" s="288">
        <v>0</v>
      </c>
      <c r="R64" s="325">
        <f t="shared" si="25"/>
        <v>0</v>
      </c>
      <c r="S64" s="293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</row>
    <row r="65" spans="1:51">
      <c r="A65" s="47" t="s">
        <v>152</v>
      </c>
      <c r="B65" s="48">
        <v>0</v>
      </c>
      <c r="C65" s="48">
        <v>0</v>
      </c>
      <c r="D65" s="48">
        <v>0</v>
      </c>
      <c r="E65" s="48">
        <v>0</v>
      </c>
      <c r="F65" s="263">
        <v>0</v>
      </c>
      <c r="G65" s="48">
        <v>0</v>
      </c>
      <c r="H65" s="48">
        <v>0</v>
      </c>
      <c r="I65" s="48">
        <v>0</v>
      </c>
      <c r="J65" s="48">
        <v>0</v>
      </c>
      <c r="K65" s="48">
        <v>0</v>
      </c>
      <c r="L65" s="48">
        <v>0</v>
      </c>
      <c r="M65" s="49">
        <v>0</v>
      </c>
      <c r="N65" s="260">
        <f t="shared" si="23"/>
        <v>0</v>
      </c>
      <c r="O65" s="286">
        <v>3310008.9587653298</v>
      </c>
      <c r="P65" s="324">
        <f t="shared" si="24"/>
        <v>3310008.9587653298</v>
      </c>
      <c r="Q65" s="288">
        <v>3310008</v>
      </c>
      <c r="R65" s="324">
        <f t="shared" si="25"/>
        <v>0.95876532979309559</v>
      </c>
      <c r="S65" s="293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</row>
    <row r="66" spans="1:51">
      <c r="A66" s="47" t="s">
        <v>153</v>
      </c>
      <c r="B66" s="48">
        <v>0</v>
      </c>
      <c r="C66" s="48">
        <v>0</v>
      </c>
      <c r="D66" s="48">
        <v>0</v>
      </c>
      <c r="E66" s="48">
        <v>0</v>
      </c>
      <c r="F66" s="263">
        <v>0</v>
      </c>
      <c r="G66" s="48">
        <v>0</v>
      </c>
      <c r="H66" s="48">
        <v>0</v>
      </c>
      <c r="I66" s="48">
        <v>0</v>
      </c>
      <c r="J66" s="48">
        <v>0</v>
      </c>
      <c r="K66" s="48">
        <v>0</v>
      </c>
      <c r="L66" s="48">
        <v>0</v>
      </c>
      <c r="M66" s="49">
        <v>0</v>
      </c>
      <c r="N66" s="260">
        <f t="shared" si="23"/>
        <v>0</v>
      </c>
      <c r="O66" s="286">
        <v>1754513.6153422073</v>
      </c>
      <c r="P66" s="324">
        <f t="shared" si="24"/>
        <v>1754513.6153422073</v>
      </c>
      <c r="Q66" s="288">
        <v>1754513</v>
      </c>
      <c r="R66" s="324">
        <f t="shared" si="25"/>
        <v>0.61534220725297928</v>
      </c>
      <c r="S66" s="293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</row>
    <row r="67" spans="1:51" ht="15" customHeight="1">
      <c r="A67" s="47" t="s">
        <v>154</v>
      </c>
      <c r="B67" s="48">
        <v>24194467.399999999</v>
      </c>
      <c r="C67" s="48">
        <v>53447729.080000006</v>
      </c>
      <c r="D67" s="48">
        <v>0</v>
      </c>
      <c r="E67" s="48">
        <v>30747647.609999999</v>
      </c>
      <c r="F67" s="263">
        <v>2018302.61</v>
      </c>
      <c r="G67" s="48">
        <v>0</v>
      </c>
      <c r="H67" s="48">
        <v>0</v>
      </c>
      <c r="I67" s="48">
        <v>0</v>
      </c>
      <c r="J67" s="48">
        <v>0</v>
      </c>
      <c r="K67" s="48">
        <v>0</v>
      </c>
      <c r="L67" s="48">
        <v>0</v>
      </c>
      <c r="M67" s="49">
        <v>0</v>
      </c>
      <c r="N67" s="260">
        <f t="shared" si="23"/>
        <v>110408146.7</v>
      </c>
      <c r="O67" s="286">
        <v>-11324278.082210913</v>
      </c>
      <c r="P67" s="324">
        <f t="shared" si="24"/>
        <v>-9305975.4722109139</v>
      </c>
      <c r="Q67" s="288">
        <v>-9305975</v>
      </c>
      <c r="R67" s="324">
        <f t="shared" si="25"/>
        <v>-0.47221091389656067</v>
      </c>
      <c r="S67" s="293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</row>
    <row r="68" spans="1:51">
      <c r="A68" s="47" t="s">
        <v>155</v>
      </c>
      <c r="B68" s="48">
        <v>0</v>
      </c>
      <c r="C68" s="48">
        <v>0</v>
      </c>
      <c r="D68" s="48">
        <v>0</v>
      </c>
      <c r="E68" s="48">
        <v>20204000</v>
      </c>
      <c r="F68" s="263">
        <v>0</v>
      </c>
      <c r="G68" s="48">
        <v>0</v>
      </c>
      <c r="H68" s="48">
        <v>0</v>
      </c>
      <c r="I68" s="48">
        <v>0</v>
      </c>
      <c r="J68" s="48">
        <v>0</v>
      </c>
      <c r="K68" s="48">
        <v>0</v>
      </c>
      <c r="L68" s="48">
        <v>0</v>
      </c>
      <c r="M68" s="49">
        <v>0</v>
      </c>
      <c r="N68" s="260">
        <f t="shared" si="23"/>
        <v>20204000</v>
      </c>
      <c r="O68" s="286">
        <v>2355691.8584267721</v>
      </c>
      <c r="P68" s="324">
        <f t="shared" si="24"/>
        <v>2355691.8584267721</v>
      </c>
      <c r="Q68" s="288">
        <v>2355691</v>
      </c>
      <c r="R68" s="324">
        <f t="shared" si="25"/>
        <v>0.8584267720580101</v>
      </c>
      <c r="S68" s="293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</row>
    <row r="69" spans="1:51" ht="15" customHeight="1">
      <c r="A69" s="47" t="s">
        <v>219</v>
      </c>
      <c r="B69" s="48">
        <v>0</v>
      </c>
      <c r="C69" s="48">
        <v>18101215.899999999</v>
      </c>
      <c r="D69" s="48">
        <v>25863589.699999999</v>
      </c>
      <c r="E69" s="48">
        <v>9108844</v>
      </c>
      <c r="F69" s="263">
        <v>4897147.5</v>
      </c>
      <c r="G69" s="48">
        <v>0</v>
      </c>
      <c r="H69" s="48">
        <v>0</v>
      </c>
      <c r="I69" s="48">
        <v>0</v>
      </c>
      <c r="J69" s="48">
        <v>0</v>
      </c>
      <c r="K69" s="48">
        <v>0</v>
      </c>
      <c r="L69" s="48">
        <v>0</v>
      </c>
      <c r="M69" s="49">
        <v>0</v>
      </c>
      <c r="N69" s="260">
        <f t="shared" si="23"/>
        <v>57970797.099999994</v>
      </c>
      <c r="O69" s="286">
        <v>13285831.402934864</v>
      </c>
      <c r="P69" s="324">
        <f t="shared" si="24"/>
        <v>18182978.902934864</v>
      </c>
      <c r="Q69" s="288">
        <v>18182978</v>
      </c>
      <c r="R69" s="324">
        <f t="shared" si="25"/>
        <v>0.90293486416339874</v>
      </c>
      <c r="S69" s="293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</row>
    <row r="70" spans="1:51">
      <c r="A70" s="47" t="s">
        <v>220</v>
      </c>
      <c r="B70" s="48">
        <v>0</v>
      </c>
      <c r="C70" s="48">
        <v>69830383.75</v>
      </c>
      <c r="D70" s="48">
        <v>4448510</v>
      </c>
      <c r="E70" s="48">
        <v>22465025.75</v>
      </c>
      <c r="F70" s="263">
        <v>39628486.299999997</v>
      </c>
      <c r="G70" s="48">
        <v>0</v>
      </c>
      <c r="H70" s="48">
        <v>0</v>
      </c>
      <c r="I70" s="48">
        <v>0</v>
      </c>
      <c r="J70" s="48">
        <v>0</v>
      </c>
      <c r="K70" s="48">
        <v>0</v>
      </c>
      <c r="L70" s="48">
        <v>0</v>
      </c>
      <c r="M70" s="49">
        <v>0</v>
      </c>
      <c r="N70" s="260">
        <f t="shared" si="23"/>
        <v>136372405.80000001</v>
      </c>
      <c r="O70" s="286">
        <v>-18701371.972201437</v>
      </c>
      <c r="P70" s="324">
        <f t="shared" si="24"/>
        <v>20927114.32779856</v>
      </c>
      <c r="Q70" s="288">
        <v>20927114</v>
      </c>
      <c r="R70" s="325">
        <f t="shared" si="25"/>
        <v>0.32779856026172638</v>
      </c>
      <c r="S70" s="293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</row>
    <row r="71" spans="1:51">
      <c r="A71" s="47" t="s">
        <v>221</v>
      </c>
      <c r="B71" s="48">
        <v>0</v>
      </c>
      <c r="C71" s="48">
        <v>0</v>
      </c>
      <c r="D71" s="48">
        <v>0</v>
      </c>
      <c r="E71" s="48">
        <v>0</v>
      </c>
      <c r="F71" s="263">
        <v>0</v>
      </c>
      <c r="G71" s="48">
        <v>0</v>
      </c>
      <c r="H71" s="48">
        <v>0</v>
      </c>
      <c r="I71" s="48">
        <v>0</v>
      </c>
      <c r="J71" s="48">
        <v>0</v>
      </c>
      <c r="K71" s="48">
        <v>0</v>
      </c>
      <c r="L71" s="48">
        <v>0</v>
      </c>
      <c r="M71" s="49">
        <v>0</v>
      </c>
      <c r="N71" s="260">
        <f t="shared" si="23"/>
        <v>0</v>
      </c>
      <c r="O71" s="286">
        <v>0</v>
      </c>
      <c r="P71" s="324">
        <f t="shared" si="24"/>
        <v>0</v>
      </c>
      <c r="Q71" s="288"/>
      <c r="R71" s="324">
        <f t="shared" si="25"/>
        <v>0</v>
      </c>
      <c r="S71" s="293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</row>
    <row r="72" spans="1:51">
      <c r="A72" s="47" t="s">
        <v>218</v>
      </c>
      <c r="B72" s="48">
        <v>0</v>
      </c>
      <c r="C72" s="48">
        <v>0</v>
      </c>
      <c r="D72" s="48">
        <v>0</v>
      </c>
      <c r="E72" s="48">
        <v>0</v>
      </c>
      <c r="F72" s="263">
        <v>0</v>
      </c>
      <c r="G72" s="48">
        <v>0</v>
      </c>
      <c r="H72" s="48">
        <v>0</v>
      </c>
      <c r="I72" s="48">
        <v>0</v>
      </c>
      <c r="J72" s="48">
        <v>0</v>
      </c>
      <c r="K72" s="48">
        <v>0</v>
      </c>
      <c r="L72" s="48">
        <v>0</v>
      </c>
      <c r="M72" s="49">
        <v>0</v>
      </c>
      <c r="N72" s="260">
        <f t="shared" si="23"/>
        <v>0</v>
      </c>
      <c r="O72" s="286">
        <v>989208.22400080599</v>
      </c>
      <c r="P72" s="324">
        <f t="shared" si="24"/>
        <v>989208.22400080599</v>
      </c>
      <c r="Q72" s="288">
        <v>989208</v>
      </c>
      <c r="R72" s="324">
        <f t="shared" si="25"/>
        <v>0.22400080598890781</v>
      </c>
      <c r="S72" s="293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</row>
    <row r="73" spans="1:51">
      <c r="A73" s="47" t="s">
        <v>222</v>
      </c>
      <c r="B73" s="48">
        <v>0</v>
      </c>
      <c r="C73" s="48">
        <v>0</v>
      </c>
      <c r="D73" s="48">
        <v>47855181.899999999</v>
      </c>
      <c r="E73" s="48">
        <v>0</v>
      </c>
      <c r="F73" s="263">
        <v>0</v>
      </c>
      <c r="G73" s="48">
        <v>0</v>
      </c>
      <c r="H73" s="48">
        <v>0</v>
      </c>
      <c r="I73" s="48">
        <v>0</v>
      </c>
      <c r="J73" s="48">
        <v>0</v>
      </c>
      <c r="K73" s="48">
        <v>0</v>
      </c>
      <c r="L73" s="48">
        <v>0</v>
      </c>
      <c r="M73" s="49">
        <v>0</v>
      </c>
      <c r="N73" s="260">
        <f t="shared" si="23"/>
        <v>47855181.899999999</v>
      </c>
      <c r="O73" s="286">
        <v>1217559.16921179</v>
      </c>
      <c r="P73" s="324">
        <f t="shared" si="24"/>
        <v>1217559.16921179</v>
      </c>
      <c r="Q73" s="288">
        <v>1217559</v>
      </c>
      <c r="R73" s="324">
        <f t="shared" si="25"/>
        <v>0.16921178996562958</v>
      </c>
      <c r="S73" s="293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</row>
    <row r="74" spans="1:51">
      <c r="A74" s="47" t="s">
        <v>224</v>
      </c>
      <c r="B74" s="48">
        <v>7328770.1600000001</v>
      </c>
      <c r="C74" s="48">
        <v>8768016.8099999987</v>
      </c>
      <c r="D74" s="48">
        <v>15650900.68</v>
      </c>
      <c r="E74" s="48">
        <v>7583517.3300000001</v>
      </c>
      <c r="F74" s="263">
        <v>18231859.57</v>
      </c>
      <c r="G74" s="48">
        <v>0</v>
      </c>
      <c r="H74" s="48">
        <v>0</v>
      </c>
      <c r="I74" s="48">
        <v>0</v>
      </c>
      <c r="J74" s="48">
        <v>0</v>
      </c>
      <c r="K74" s="48">
        <v>0</v>
      </c>
      <c r="L74" s="48">
        <v>0</v>
      </c>
      <c r="M74" s="49">
        <v>0</v>
      </c>
      <c r="N74" s="260">
        <f t="shared" si="23"/>
        <v>57563064.549999997</v>
      </c>
      <c r="O74" s="286">
        <v>11719356.777128354</v>
      </c>
      <c r="P74" s="324">
        <f t="shared" si="24"/>
        <v>29951216.347128354</v>
      </c>
      <c r="Q74" s="288">
        <v>29951216</v>
      </c>
      <c r="R74" s="324">
        <f t="shared" si="25"/>
        <v>0.34712835401296616</v>
      </c>
      <c r="S74" s="293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</row>
    <row r="75" spans="1:51">
      <c r="A75" s="47" t="s">
        <v>223</v>
      </c>
      <c r="B75" s="48">
        <v>0</v>
      </c>
      <c r="C75" s="48">
        <v>6953538.7400000002</v>
      </c>
      <c r="D75" s="48">
        <v>2651758.2799999998</v>
      </c>
      <c r="E75" s="48">
        <v>1904763.72</v>
      </c>
      <c r="F75" s="263">
        <v>0</v>
      </c>
      <c r="G75" s="48">
        <v>0</v>
      </c>
      <c r="H75" s="48">
        <v>0</v>
      </c>
      <c r="I75" s="48">
        <v>0</v>
      </c>
      <c r="J75" s="48">
        <v>0</v>
      </c>
      <c r="K75" s="48">
        <v>0</v>
      </c>
      <c r="L75" s="48">
        <v>0</v>
      </c>
      <c r="M75" s="49">
        <v>0</v>
      </c>
      <c r="N75" s="260">
        <f t="shared" si="23"/>
        <v>11510060.74</v>
      </c>
      <c r="O75" s="286">
        <v>319705.31941229478</v>
      </c>
      <c r="P75" s="324">
        <f t="shared" si="24"/>
        <v>319705.31941229478</v>
      </c>
      <c r="Q75" s="288">
        <v>319705</v>
      </c>
      <c r="R75" s="324">
        <f t="shared" si="25"/>
        <v>0.31941229477524757</v>
      </c>
      <c r="S75" s="293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</row>
    <row r="76" spans="1:51">
      <c r="A76" s="47" t="s">
        <v>226</v>
      </c>
      <c r="B76" s="48">
        <v>0</v>
      </c>
      <c r="C76" s="48">
        <v>1738465.67</v>
      </c>
      <c r="D76" s="48">
        <v>3744391.54</v>
      </c>
      <c r="E76" s="48">
        <v>0</v>
      </c>
      <c r="F76" s="263">
        <v>1896917.55</v>
      </c>
      <c r="G76" s="48">
        <v>0</v>
      </c>
      <c r="H76" s="48">
        <v>0</v>
      </c>
      <c r="I76" s="48">
        <v>0</v>
      </c>
      <c r="J76" s="48">
        <v>0</v>
      </c>
      <c r="K76" s="48">
        <v>0</v>
      </c>
      <c r="L76" s="48">
        <v>0</v>
      </c>
      <c r="M76" s="49">
        <v>0</v>
      </c>
      <c r="N76" s="260">
        <f t="shared" si="23"/>
        <v>7379774.7599999998</v>
      </c>
      <c r="O76" s="286">
        <v>37846.283970930614</v>
      </c>
      <c r="P76" s="324">
        <f t="shared" si="24"/>
        <v>1934763.8339709307</v>
      </c>
      <c r="Q76" s="288">
        <v>1934763</v>
      </c>
      <c r="R76" s="324">
        <f t="shared" si="25"/>
        <v>0.83397093066014349</v>
      </c>
      <c r="S76" s="293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</row>
    <row r="77" spans="1:51">
      <c r="A77" s="47" t="s">
        <v>227</v>
      </c>
      <c r="B77" s="48">
        <v>0</v>
      </c>
      <c r="C77" s="48">
        <v>4125990.87</v>
      </c>
      <c r="D77" s="48">
        <v>42540740.200000003</v>
      </c>
      <c r="E77" s="48">
        <v>20465525.620000001</v>
      </c>
      <c r="F77" s="263">
        <v>26659780.630000003</v>
      </c>
      <c r="G77" s="48">
        <v>0</v>
      </c>
      <c r="H77" s="48">
        <v>0</v>
      </c>
      <c r="I77" s="48">
        <v>0</v>
      </c>
      <c r="J77" s="48">
        <v>0</v>
      </c>
      <c r="K77" s="48">
        <v>0</v>
      </c>
      <c r="L77" s="48">
        <v>0</v>
      </c>
      <c r="M77" s="49">
        <v>0</v>
      </c>
      <c r="N77" s="260">
        <f t="shared" si="23"/>
        <v>93792037.319999993</v>
      </c>
      <c r="O77" s="286">
        <v>-12590844.225691989</v>
      </c>
      <c r="P77" s="324">
        <f t="shared" si="24"/>
        <v>14068936.404308014</v>
      </c>
      <c r="Q77" s="288">
        <v>14068936</v>
      </c>
      <c r="R77" s="324">
        <f t="shared" si="25"/>
        <v>0.4043080136179924</v>
      </c>
      <c r="S77" s="293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</row>
    <row r="78" spans="1:51">
      <c r="A78" s="47" t="s">
        <v>225</v>
      </c>
      <c r="B78" s="48">
        <v>0</v>
      </c>
      <c r="C78" s="48">
        <v>0</v>
      </c>
      <c r="D78" s="48">
        <v>21619523.77</v>
      </c>
      <c r="E78" s="48">
        <v>24408793.920000002</v>
      </c>
      <c r="F78" s="263">
        <v>58512265.609999999</v>
      </c>
      <c r="G78" s="48">
        <v>0</v>
      </c>
      <c r="H78" s="48">
        <v>0</v>
      </c>
      <c r="I78" s="48">
        <v>0</v>
      </c>
      <c r="J78" s="48">
        <v>0</v>
      </c>
      <c r="K78" s="48">
        <v>0</v>
      </c>
      <c r="L78" s="48">
        <v>0</v>
      </c>
      <c r="M78" s="49">
        <v>0</v>
      </c>
      <c r="N78" s="260">
        <f t="shared" si="23"/>
        <v>104540583.3</v>
      </c>
      <c r="O78" s="286">
        <v>-47793891.657067388</v>
      </c>
      <c r="P78" s="324">
        <f t="shared" si="24"/>
        <v>10718373.952932611</v>
      </c>
      <c r="Q78" s="288">
        <v>10718373</v>
      </c>
      <c r="R78" s="324">
        <f t="shared" si="25"/>
        <v>0.95293261110782623</v>
      </c>
      <c r="S78" s="293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</row>
    <row r="79" spans="1:51">
      <c r="A79" s="226" t="s">
        <v>228</v>
      </c>
      <c r="B79" s="48">
        <v>0</v>
      </c>
      <c r="C79" s="48">
        <v>0</v>
      </c>
      <c r="D79" s="48">
        <v>0</v>
      </c>
      <c r="E79" s="48">
        <v>9063098.3300000001</v>
      </c>
      <c r="F79" s="263">
        <v>20887437.309999999</v>
      </c>
      <c r="G79" s="48">
        <v>0</v>
      </c>
      <c r="H79" s="48">
        <v>0</v>
      </c>
      <c r="I79" s="48">
        <v>0</v>
      </c>
      <c r="J79" s="48">
        <v>0</v>
      </c>
      <c r="K79" s="48">
        <v>0</v>
      </c>
      <c r="L79" s="48">
        <v>0</v>
      </c>
      <c r="M79" s="49">
        <v>0</v>
      </c>
      <c r="N79" s="260">
        <f t="shared" si="23"/>
        <v>29950535.640000001</v>
      </c>
      <c r="O79" s="286">
        <v>-11355033.321531214</v>
      </c>
      <c r="P79" s="324">
        <f t="shared" si="24"/>
        <v>9532403.9884687848</v>
      </c>
      <c r="Q79" s="288">
        <v>9532403</v>
      </c>
      <c r="R79" s="324">
        <f t="shared" si="25"/>
        <v>0.98846878483891487</v>
      </c>
      <c r="S79" s="293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</row>
    <row r="80" spans="1:51">
      <c r="A80" s="226" t="s">
        <v>71</v>
      </c>
      <c r="B80" s="48">
        <v>2850725</v>
      </c>
      <c r="C80" s="48">
        <v>0</v>
      </c>
      <c r="D80" s="48">
        <v>0</v>
      </c>
      <c r="E80" s="48">
        <v>0</v>
      </c>
      <c r="F80" s="263">
        <v>0</v>
      </c>
      <c r="G80" s="48">
        <v>0</v>
      </c>
      <c r="H80" s="48">
        <v>0</v>
      </c>
      <c r="I80" s="48">
        <v>0</v>
      </c>
      <c r="J80" s="48">
        <v>0</v>
      </c>
      <c r="K80" s="48">
        <v>0</v>
      </c>
      <c r="L80" s="48">
        <v>0</v>
      </c>
      <c r="M80" s="49">
        <v>0</v>
      </c>
      <c r="N80" s="260">
        <f t="shared" si="23"/>
        <v>2850725</v>
      </c>
      <c r="O80" s="286">
        <v>0</v>
      </c>
      <c r="P80" s="324">
        <f t="shared" si="24"/>
        <v>0</v>
      </c>
      <c r="Q80" s="288"/>
      <c r="R80" s="324">
        <f t="shared" si="25"/>
        <v>0</v>
      </c>
      <c r="S80" s="293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</row>
    <row r="81" spans="1:76">
      <c r="A81" s="226" t="s">
        <v>73</v>
      </c>
      <c r="B81" s="48">
        <v>0</v>
      </c>
      <c r="C81" s="48">
        <v>4976388.72</v>
      </c>
      <c r="D81" s="48">
        <v>0</v>
      </c>
      <c r="E81" s="48">
        <v>0</v>
      </c>
      <c r="F81" s="263">
        <v>0</v>
      </c>
      <c r="G81" s="48">
        <v>0</v>
      </c>
      <c r="H81" s="48">
        <v>0</v>
      </c>
      <c r="I81" s="48">
        <v>0</v>
      </c>
      <c r="J81" s="48">
        <v>0</v>
      </c>
      <c r="K81" s="48">
        <v>0</v>
      </c>
      <c r="L81" s="48">
        <v>0</v>
      </c>
      <c r="M81" s="49">
        <v>0</v>
      </c>
      <c r="N81" s="260">
        <f t="shared" si="23"/>
        <v>4976388.72</v>
      </c>
      <c r="O81" s="286">
        <v>0</v>
      </c>
      <c r="P81" s="324">
        <f t="shared" si="24"/>
        <v>0</v>
      </c>
      <c r="Q81" s="288">
        <v>0</v>
      </c>
      <c r="R81" s="325">
        <f t="shared" si="25"/>
        <v>0</v>
      </c>
      <c r="S81" s="293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</row>
    <row r="82" spans="1:76">
      <c r="A82" s="226" t="s">
        <v>232</v>
      </c>
      <c r="B82" s="48">
        <v>0</v>
      </c>
      <c r="C82" s="48">
        <v>0</v>
      </c>
      <c r="D82" s="48">
        <v>0</v>
      </c>
      <c r="E82" s="48">
        <v>0</v>
      </c>
      <c r="F82" s="263">
        <v>0</v>
      </c>
      <c r="G82" s="48">
        <v>0</v>
      </c>
      <c r="H82" s="48">
        <v>0</v>
      </c>
      <c r="I82" s="48">
        <v>0</v>
      </c>
      <c r="J82" s="48">
        <v>0</v>
      </c>
      <c r="K82" s="48">
        <v>0</v>
      </c>
      <c r="L82" s="48">
        <v>0</v>
      </c>
      <c r="M82" s="49">
        <v>0</v>
      </c>
      <c r="N82" s="260">
        <f>SUM(B82:M82)</f>
        <v>0</v>
      </c>
      <c r="O82" s="286">
        <v>4084709.4566090265</v>
      </c>
      <c r="P82" s="324">
        <f t="shared" si="24"/>
        <v>4084709.4566090265</v>
      </c>
      <c r="Q82" s="288">
        <v>4084709</v>
      </c>
      <c r="R82" s="324">
        <f t="shared" si="25"/>
        <v>0.4566090265288949</v>
      </c>
      <c r="S82" s="293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</row>
    <row r="83" spans="1:76">
      <c r="A83" s="226" t="s">
        <v>233</v>
      </c>
      <c r="B83" s="48">
        <v>0</v>
      </c>
      <c r="C83" s="48">
        <v>0</v>
      </c>
      <c r="D83" s="48">
        <v>0</v>
      </c>
      <c r="E83" s="48">
        <v>0</v>
      </c>
      <c r="F83" s="263">
        <v>0</v>
      </c>
      <c r="G83" s="48">
        <v>0</v>
      </c>
      <c r="H83" s="48">
        <v>0</v>
      </c>
      <c r="I83" s="48">
        <v>0</v>
      </c>
      <c r="J83" s="48">
        <v>0</v>
      </c>
      <c r="K83" s="48">
        <v>0</v>
      </c>
      <c r="L83" s="48">
        <v>0</v>
      </c>
      <c r="M83" s="49">
        <v>0</v>
      </c>
      <c r="N83" s="260">
        <f t="shared" si="23"/>
        <v>0</v>
      </c>
      <c r="O83" s="286">
        <v>603108.94196034444</v>
      </c>
      <c r="P83" s="324">
        <f t="shared" si="24"/>
        <v>603108.94196034444</v>
      </c>
      <c r="Q83" s="288">
        <v>603108</v>
      </c>
      <c r="R83" s="324">
        <f t="shared" si="25"/>
        <v>0.94196034444030374</v>
      </c>
      <c r="S83" s="293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</row>
    <row r="84" spans="1:76">
      <c r="A84" s="226" t="s">
        <v>234</v>
      </c>
      <c r="B84" s="48">
        <v>0</v>
      </c>
      <c r="C84" s="48">
        <v>0</v>
      </c>
      <c r="D84" s="48">
        <v>0</v>
      </c>
      <c r="E84" s="48">
        <v>16067195</v>
      </c>
      <c r="F84" s="263">
        <v>0</v>
      </c>
      <c r="G84" s="48">
        <v>0</v>
      </c>
      <c r="H84" s="48">
        <v>0</v>
      </c>
      <c r="I84" s="48">
        <v>0</v>
      </c>
      <c r="J84" s="48">
        <v>0</v>
      </c>
      <c r="K84" s="48">
        <v>0</v>
      </c>
      <c r="L84" s="48">
        <v>0</v>
      </c>
      <c r="M84" s="49">
        <v>0</v>
      </c>
      <c r="N84" s="260">
        <f t="shared" si="23"/>
        <v>16067195</v>
      </c>
      <c r="O84" s="286">
        <v>10687373.090870574</v>
      </c>
      <c r="P84" s="324">
        <f t="shared" si="24"/>
        <v>10687373.090870574</v>
      </c>
      <c r="Q84" s="288">
        <v>10687373</v>
      </c>
      <c r="R84" s="324">
        <f t="shared" si="25"/>
        <v>9.0870574116706848E-2</v>
      </c>
      <c r="S84" s="293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</row>
    <row r="85" spans="1:76">
      <c r="A85" s="226" t="s">
        <v>235</v>
      </c>
      <c r="B85" s="48">
        <v>0</v>
      </c>
      <c r="C85" s="48">
        <v>0</v>
      </c>
      <c r="D85" s="48">
        <v>0</v>
      </c>
      <c r="E85" s="48">
        <v>0</v>
      </c>
      <c r="F85" s="263">
        <v>0</v>
      </c>
      <c r="G85" s="48">
        <v>0</v>
      </c>
      <c r="H85" s="48">
        <v>0</v>
      </c>
      <c r="I85" s="48">
        <v>0</v>
      </c>
      <c r="J85" s="48">
        <v>0</v>
      </c>
      <c r="K85" s="48">
        <v>0</v>
      </c>
      <c r="L85" s="48">
        <v>0</v>
      </c>
      <c r="M85" s="49">
        <v>0</v>
      </c>
      <c r="N85" s="260">
        <f t="shared" si="23"/>
        <v>0</v>
      </c>
      <c r="O85" s="286">
        <v>32579.053118129174</v>
      </c>
      <c r="P85" s="324">
        <f t="shared" si="24"/>
        <v>32579.053118129174</v>
      </c>
      <c r="Q85" s="288">
        <v>32579</v>
      </c>
      <c r="R85" s="324">
        <f t="shared" si="25"/>
        <v>5.311812917352654E-2</v>
      </c>
      <c r="S85" s="293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</row>
    <row r="86" spans="1:76">
      <c r="A86" s="226" t="s">
        <v>236</v>
      </c>
      <c r="B86" s="48">
        <v>0</v>
      </c>
      <c r="C86" s="48">
        <v>0</v>
      </c>
      <c r="D86" s="48">
        <v>0</v>
      </c>
      <c r="E86" s="48">
        <v>0</v>
      </c>
      <c r="F86" s="263">
        <v>0</v>
      </c>
      <c r="G86" s="48">
        <v>0</v>
      </c>
      <c r="H86" s="48">
        <v>0</v>
      </c>
      <c r="I86" s="48">
        <v>0</v>
      </c>
      <c r="J86" s="48">
        <v>0</v>
      </c>
      <c r="K86" s="48">
        <v>0</v>
      </c>
      <c r="L86" s="48">
        <v>0</v>
      </c>
      <c r="M86" s="49">
        <v>0</v>
      </c>
      <c r="N86" s="260">
        <f t="shared" si="23"/>
        <v>0</v>
      </c>
      <c r="O86" s="286">
        <v>124676.6748839855</v>
      </c>
      <c r="P86" s="324">
        <f t="shared" si="24"/>
        <v>124676.6748839855</v>
      </c>
      <c r="Q86" s="288">
        <v>124676</v>
      </c>
      <c r="R86" s="324">
        <f t="shared" si="25"/>
        <v>0.6748839854990365</v>
      </c>
      <c r="S86" s="293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</row>
    <row r="87" spans="1:76">
      <c r="A87" s="226" t="s">
        <v>237</v>
      </c>
      <c r="B87" s="48">
        <v>0</v>
      </c>
      <c r="C87" s="48">
        <v>0</v>
      </c>
      <c r="D87" s="48">
        <v>0</v>
      </c>
      <c r="E87" s="48">
        <v>0</v>
      </c>
      <c r="F87" s="263">
        <v>0</v>
      </c>
      <c r="G87" s="48">
        <v>0</v>
      </c>
      <c r="H87" s="48">
        <v>0</v>
      </c>
      <c r="I87" s="48">
        <v>0</v>
      </c>
      <c r="J87" s="48">
        <v>0</v>
      </c>
      <c r="K87" s="48">
        <v>0</v>
      </c>
      <c r="L87" s="48">
        <v>0</v>
      </c>
      <c r="M87" s="49">
        <v>0</v>
      </c>
      <c r="N87" s="260">
        <f t="shared" si="23"/>
        <v>0</v>
      </c>
      <c r="O87" s="286">
        <v>1076681.8079876311</v>
      </c>
      <c r="P87" s="324">
        <f t="shared" si="24"/>
        <v>1076681.8079876311</v>
      </c>
      <c r="Q87" s="288">
        <v>1076681</v>
      </c>
      <c r="R87" s="324">
        <f t="shared" si="25"/>
        <v>0.80798763106577098</v>
      </c>
      <c r="S87" s="293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</row>
    <row r="88" spans="1:76">
      <c r="A88" s="226" t="s">
        <v>62</v>
      </c>
      <c r="B88" s="48">
        <v>0</v>
      </c>
      <c r="C88" s="48">
        <v>0</v>
      </c>
      <c r="D88" s="48">
        <v>0</v>
      </c>
      <c r="E88" s="48">
        <v>0</v>
      </c>
      <c r="F88" s="263">
        <v>0</v>
      </c>
      <c r="G88" s="48">
        <v>0</v>
      </c>
      <c r="H88" s="48">
        <v>0</v>
      </c>
      <c r="I88" s="48">
        <v>0</v>
      </c>
      <c r="J88" s="48">
        <v>0</v>
      </c>
      <c r="K88" s="48">
        <v>0</v>
      </c>
      <c r="L88" s="48">
        <v>0</v>
      </c>
      <c r="M88" s="48">
        <v>0</v>
      </c>
      <c r="N88" s="260">
        <f t="shared" si="23"/>
        <v>0</v>
      </c>
      <c r="O88" s="286">
        <v>0</v>
      </c>
      <c r="P88" s="324">
        <f t="shared" si="24"/>
        <v>0</v>
      </c>
      <c r="Q88" s="288">
        <v>0</v>
      </c>
      <c r="R88" s="325">
        <f t="shared" si="25"/>
        <v>0</v>
      </c>
      <c r="S88" s="293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</row>
    <row r="89" spans="1:76">
      <c r="A89" s="226" t="s">
        <v>130</v>
      </c>
      <c r="B89" s="48">
        <v>0</v>
      </c>
      <c r="C89" s="48">
        <v>0</v>
      </c>
      <c r="D89" s="48">
        <v>2839376</v>
      </c>
      <c r="E89" s="48">
        <v>0</v>
      </c>
      <c r="F89" s="263">
        <v>0</v>
      </c>
      <c r="G89" s="48">
        <v>0</v>
      </c>
      <c r="H89" s="48">
        <v>0</v>
      </c>
      <c r="I89" s="48">
        <v>0</v>
      </c>
      <c r="J89" s="48">
        <v>0</v>
      </c>
      <c r="K89" s="48">
        <v>0</v>
      </c>
      <c r="L89" s="48">
        <v>0</v>
      </c>
      <c r="M89" s="48">
        <v>0</v>
      </c>
      <c r="N89" s="260">
        <f t="shared" si="23"/>
        <v>2839376</v>
      </c>
      <c r="O89" s="286">
        <v>0</v>
      </c>
      <c r="P89" s="324">
        <f t="shared" si="24"/>
        <v>0</v>
      </c>
      <c r="Q89" s="288"/>
      <c r="R89" s="324">
        <f t="shared" si="25"/>
        <v>0</v>
      </c>
      <c r="S89" s="293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</row>
    <row r="90" spans="1:76" ht="15.75" thickBot="1">
      <c r="A90" s="85" t="s">
        <v>37</v>
      </c>
      <c r="B90" s="261">
        <f>SUM(B45:B89)</f>
        <v>137802540.25999999</v>
      </c>
      <c r="C90" s="261">
        <f t="shared" ref="C90:M90" si="26">SUM(C45:C89)</f>
        <v>431322719.75999999</v>
      </c>
      <c r="D90" s="261">
        <f t="shared" si="26"/>
        <v>304817331.00999999</v>
      </c>
      <c r="E90" s="261">
        <f t="shared" si="26"/>
        <v>196385728.07000002</v>
      </c>
      <c r="F90" s="261">
        <f>SUM(F45:F89)</f>
        <v>273200030.50999999</v>
      </c>
      <c r="G90" s="261">
        <f t="shared" si="26"/>
        <v>0</v>
      </c>
      <c r="H90" s="261">
        <f t="shared" si="26"/>
        <v>0</v>
      </c>
      <c r="I90" s="261">
        <f t="shared" si="26"/>
        <v>0</v>
      </c>
      <c r="J90" s="261">
        <f t="shared" si="26"/>
        <v>0</v>
      </c>
      <c r="K90" s="261">
        <f t="shared" si="26"/>
        <v>0</v>
      </c>
      <c r="L90" s="261">
        <f t="shared" si="26"/>
        <v>0</v>
      </c>
      <c r="M90" s="261">
        <f t="shared" si="26"/>
        <v>0</v>
      </c>
      <c r="N90" s="261">
        <f>SUM(N45:N87)</f>
        <v>1340688973.6099999</v>
      </c>
      <c r="O90" s="67">
        <f>SUM(O45:O89)</f>
        <v>-52834761.224024303</v>
      </c>
      <c r="P90" s="324">
        <f t="shared" si="24"/>
        <v>220365269.28597569</v>
      </c>
      <c r="Q90" s="324">
        <f>SUM(Q45:Q89)</f>
        <v>220365258.53</v>
      </c>
      <c r="R90" s="324">
        <f t="shared" si="25"/>
        <v>10.755975693464279</v>
      </c>
      <c r="S90" s="293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2"/>
      <c r="AT90" s="12"/>
      <c r="AU90" s="12"/>
      <c r="AV90" s="12"/>
      <c r="AW90" s="12"/>
      <c r="AX90" s="12"/>
      <c r="AY90" s="12"/>
      <c r="AZ90" s="12"/>
    </row>
    <row r="91" spans="1:76" ht="15.75" thickTop="1">
      <c r="A91" s="81" t="s">
        <v>38</v>
      </c>
      <c r="B91" s="84"/>
      <c r="C91" s="84"/>
      <c r="D91" s="84"/>
      <c r="E91" s="84"/>
      <c r="F91" s="338"/>
      <c r="G91" s="84"/>
      <c r="H91" s="84"/>
      <c r="I91" s="84"/>
      <c r="J91" s="84"/>
      <c r="K91" s="84"/>
      <c r="L91" s="84"/>
      <c r="M91" s="84"/>
      <c r="N91" s="262"/>
      <c r="O91" s="297"/>
      <c r="P91" s="288"/>
      <c r="Q91" s="288"/>
      <c r="R91" s="198"/>
      <c r="S91" s="293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2"/>
      <c r="AT91" s="12"/>
      <c r="AU91" s="12"/>
      <c r="AV91" s="12"/>
      <c r="AW91" s="12"/>
      <c r="AX91" s="12"/>
      <c r="AY91" s="12"/>
      <c r="AZ91" s="12"/>
    </row>
    <row r="92" spans="1:76" ht="15.75" customHeight="1">
      <c r="A92" s="47"/>
      <c r="B92" s="48"/>
      <c r="C92" s="49"/>
      <c r="D92" s="49">
        <v>0</v>
      </c>
      <c r="E92" s="49"/>
      <c r="F92" s="339"/>
      <c r="G92" s="49"/>
      <c r="H92" s="49"/>
      <c r="I92" s="49"/>
      <c r="J92" s="49"/>
      <c r="K92" s="49"/>
      <c r="L92" s="49"/>
      <c r="M92" s="49"/>
      <c r="N92" s="260">
        <f>SUM(B92:M92)</f>
        <v>0</v>
      </c>
      <c r="O92" s="297"/>
      <c r="P92" s="288"/>
      <c r="Q92" s="288"/>
      <c r="R92" s="198"/>
      <c r="S92" s="293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</row>
    <row r="93" spans="1:76" ht="15.75" customHeight="1">
      <c r="A93" s="47"/>
      <c r="B93" s="48">
        <v>0</v>
      </c>
      <c r="C93" s="49">
        <v>0</v>
      </c>
      <c r="D93" s="49">
        <v>0</v>
      </c>
      <c r="E93" s="49">
        <v>0</v>
      </c>
      <c r="F93" s="339">
        <v>0</v>
      </c>
      <c r="G93" s="49">
        <v>0</v>
      </c>
      <c r="H93" s="49">
        <v>0</v>
      </c>
      <c r="I93" s="49">
        <v>0</v>
      </c>
      <c r="J93" s="49">
        <v>0</v>
      </c>
      <c r="K93" s="49">
        <v>0</v>
      </c>
      <c r="L93" s="49">
        <v>0</v>
      </c>
      <c r="M93" s="49">
        <v>0</v>
      </c>
      <c r="N93" s="260">
        <f>SUM(B93:M93)</f>
        <v>0</v>
      </c>
      <c r="O93" s="297"/>
      <c r="P93" s="288"/>
      <c r="Q93" s="288"/>
      <c r="R93" s="198"/>
      <c r="S93" s="293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</row>
    <row r="94" spans="1:76" ht="15.75" customHeight="1" thickBot="1">
      <c r="A94" s="85" t="s">
        <v>37</v>
      </c>
      <c r="B94" s="86">
        <f t="shared" ref="B94:N94" si="27">SUM(B92:B93)</f>
        <v>0</v>
      </c>
      <c r="C94" s="86">
        <f t="shared" si="27"/>
        <v>0</v>
      </c>
      <c r="D94" s="86">
        <f t="shared" si="27"/>
        <v>0</v>
      </c>
      <c r="E94" s="86">
        <f t="shared" si="27"/>
        <v>0</v>
      </c>
      <c r="F94" s="340">
        <f t="shared" si="27"/>
        <v>0</v>
      </c>
      <c r="G94" s="86">
        <f t="shared" si="27"/>
        <v>0</v>
      </c>
      <c r="H94" s="86">
        <f t="shared" si="27"/>
        <v>0</v>
      </c>
      <c r="I94" s="86">
        <f t="shared" si="27"/>
        <v>0</v>
      </c>
      <c r="J94" s="86">
        <f t="shared" si="27"/>
        <v>0</v>
      </c>
      <c r="K94" s="86">
        <f t="shared" si="27"/>
        <v>0</v>
      </c>
      <c r="L94" s="86">
        <f t="shared" si="27"/>
        <v>0</v>
      </c>
      <c r="M94" s="86">
        <f t="shared" si="27"/>
        <v>0</v>
      </c>
      <c r="N94" s="261">
        <f t="shared" si="27"/>
        <v>0</v>
      </c>
      <c r="O94" s="297"/>
      <c r="P94" s="288"/>
      <c r="Q94" s="288"/>
      <c r="R94" s="198"/>
      <c r="S94" s="293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</row>
    <row r="95" spans="1:76" ht="15.75" thickTop="1">
      <c r="A95" s="81" t="s">
        <v>48</v>
      </c>
      <c r="B95" s="84"/>
      <c r="C95" s="66"/>
      <c r="D95" s="66"/>
      <c r="E95" s="66"/>
      <c r="F95" s="341"/>
      <c r="G95" s="66"/>
      <c r="H95" s="66"/>
      <c r="I95" s="66"/>
      <c r="J95" s="66"/>
      <c r="K95" s="66"/>
      <c r="L95" s="66"/>
      <c r="M95" s="66"/>
      <c r="N95" s="262"/>
      <c r="O95" s="297"/>
      <c r="P95" s="288"/>
      <c r="Q95" s="288"/>
      <c r="R95" s="198"/>
      <c r="S95" s="293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</row>
    <row r="96" spans="1:76" s="113" customFormat="1">
      <c r="A96" s="47" t="s">
        <v>49</v>
      </c>
      <c r="B96" s="48">
        <v>0</v>
      </c>
      <c r="C96" s="49">
        <v>0</v>
      </c>
      <c r="D96" s="49">
        <v>0</v>
      </c>
      <c r="E96" s="49">
        <v>2015180</v>
      </c>
      <c r="F96" s="339">
        <v>0</v>
      </c>
      <c r="G96" s="49">
        <v>0</v>
      </c>
      <c r="H96" s="49">
        <v>0</v>
      </c>
      <c r="I96" s="49">
        <v>0</v>
      </c>
      <c r="J96" s="49">
        <v>0</v>
      </c>
      <c r="K96" s="49">
        <v>0</v>
      </c>
      <c r="L96" s="49">
        <v>0</v>
      </c>
      <c r="M96" s="49">
        <v>0</v>
      </c>
      <c r="N96" s="260">
        <f>SUM(B96:M96)</f>
        <v>2015180</v>
      </c>
      <c r="O96" s="297"/>
      <c r="P96" s="288"/>
      <c r="Q96" s="288"/>
      <c r="R96" s="198"/>
      <c r="S96" s="293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BX96" s="303"/>
    </row>
    <row r="97" spans="1:76" s="113" customFormat="1">
      <c r="A97" s="47" t="s">
        <v>251</v>
      </c>
      <c r="B97" s="48">
        <v>0</v>
      </c>
      <c r="C97" s="49">
        <v>0</v>
      </c>
      <c r="D97" s="49">
        <v>0</v>
      </c>
      <c r="E97" s="49">
        <v>0</v>
      </c>
      <c r="F97" s="339">
        <v>1040364</v>
      </c>
      <c r="G97" s="49">
        <v>0</v>
      </c>
      <c r="H97" s="49">
        <v>0</v>
      </c>
      <c r="I97" s="49">
        <v>0</v>
      </c>
      <c r="J97" s="49">
        <v>0</v>
      </c>
      <c r="K97" s="49">
        <v>0</v>
      </c>
      <c r="L97" s="49">
        <v>0</v>
      </c>
      <c r="M97" s="49">
        <v>0</v>
      </c>
      <c r="N97" s="260">
        <f>SUM(B97:M97)</f>
        <v>1040364</v>
      </c>
      <c r="O97" s="297"/>
      <c r="P97" s="288"/>
      <c r="Q97" s="288"/>
      <c r="R97" s="198"/>
      <c r="S97" s="293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BX97" s="303"/>
    </row>
    <row r="98" spans="1:76" s="113" customFormat="1">
      <c r="A98" s="47" t="s">
        <v>133</v>
      </c>
      <c r="B98" s="48">
        <v>0</v>
      </c>
      <c r="C98" s="49">
        <v>0</v>
      </c>
      <c r="D98" s="49">
        <v>0</v>
      </c>
      <c r="E98" s="49">
        <v>0</v>
      </c>
      <c r="F98" s="339">
        <v>0</v>
      </c>
      <c r="G98" s="49">
        <v>0</v>
      </c>
      <c r="H98" s="49">
        <v>0</v>
      </c>
      <c r="I98" s="49">
        <v>0</v>
      </c>
      <c r="J98" s="49">
        <v>0</v>
      </c>
      <c r="K98" s="49">
        <v>0</v>
      </c>
      <c r="L98" s="49">
        <v>0</v>
      </c>
      <c r="M98" s="49">
        <v>0</v>
      </c>
      <c r="N98" s="260">
        <f>SUM(B98:M98)</f>
        <v>0</v>
      </c>
      <c r="O98" s="297"/>
      <c r="P98" s="288"/>
      <c r="Q98" s="288"/>
      <c r="R98" s="198"/>
      <c r="S98" s="293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BX98" s="303"/>
    </row>
    <row r="99" spans="1:76" s="113" customFormat="1">
      <c r="A99" s="47" t="s">
        <v>134</v>
      </c>
      <c r="B99" s="48">
        <v>0</v>
      </c>
      <c r="C99" s="49">
        <v>0</v>
      </c>
      <c r="D99" s="49">
        <v>0</v>
      </c>
      <c r="E99" s="49">
        <v>0</v>
      </c>
      <c r="F99" s="339">
        <v>0</v>
      </c>
      <c r="G99" s="49">
        <v>0</v>
      </c>
      <c r="H99" s="49">
        <v>0</v>
      </c>
      <c r="I99" s="49">
        <v>0</v>
      </c>
      <c r="J99" s="49">
        <v>0</v>
      </c>
      <c r="K99" s="49">
        <v>0</v>
      </c>
      <c r="L99" s="49">
        <v>0</v>
      </c>
      <c r="M99" s="49">
        <v>0</v>
      </c>
      <c r="N99" s="260">
        <f>SUM(B99:M99)</f>
        <v>0</v>
      </c>
      <c r="O99" s="297"/>
      <c r="P99" s="288"/>
      <c r="Q99" s="288"/>
      <c r="R99" s="198"/>
      <c r="S99" s="293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BX99" s="303"/>
    </row>
    <row r="100" spans="1:76" s="113" customFormat="1">
      <c r="A100" s="47"/>
      <c r="B100" s="48"/>
      <c r="C100" s="49"/>
      <c r="D100" s="49"/>
      <c r="E100" s="49"/>
      <c r="F100" s="339"/>
      <c r="G100" s="49"/>
      <c r="H100" s="49"/>
      <c r="I100" s="49"/>
      <c r="J100" s="49"/>
      <c r="K100" s="49"/>
      <c r="L100" s="49"/>
      <c r="M100" s="49"/>
      <c r="N100" s="284"/>
      <c r="O100" s="297"/>
      <c r="P100" s="288"/>
      <c r="Q100" s="288"/>
      <c r="R100" s="198"/>
      <c r="S100" s="293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BX100" s="303"/>
    </row>
    <row r="101" spans="1:76" ht="15.75" thickBot="1">
      <c r="A101" s="85" t="s">
        <v>37</v>
      </c>
      <c r="B101" s="237">
        <f t="shared" ref="B101:M101" si="28">SUM(B96:B100)</f>
        <v>0</v>
      </c>
      <c r="C101" s="237">
        <f t="shared" si="28"/>
        <v>0</v>
      </c>
      <c r="D101" s="237">
        <f t="shared" si="28"/>
        <v>0</v>
      </c>
      <c r="E101" s="237">
        <f t="shared" si="28"/>
        <v>2015180</v>
      </c>
      <c r="F101" s="237">
        <f t="shared" si="28"/>
        <v>1040364</v>
      </c>
      <c r="G101" s="237">
        <f t="shared" si="28"/>
        <v>0</v>
      </c>
      <c r="H101" s="237">
        <f t="shared" si="28"/>
        <v>0</v>
      </c>
      <c r="I101" s="237">
        <f t="shared" si="28"/>
        <v>0</v>
      </c>
      <c r="J101" s="237">
        <f t="shared" si="28"/>
        <v>0</v>
      </c>
      <c r="K101" s="237">
        <f t="shared" si="28"/>
        <v>0</v>
      </c>
      <c r="L101" s="237">
        <f t="shared" si="28"/>
        <v>0</v>
      </c>
      <c r="M101" s="237">
        <f t="shared" si="28"/>
        <v>0</v>
      </c>
      <c r="N101" s="237">
        <f>SUM(N96:N100)</f>
        <v>3055544</v>
      </c>
      <c r="O101" s="297"/>
      <c r="P101" s="288"/>
      <c r="Q101" s="288"/>
      <c r="R101" s="198"/>
      <c r="S101" s="293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6"/>
      <c r="AK101" s="16"/>
      <c r="AL101" s="16"/>
      <c r="AM101" s="16"/>
      <c r="AN101" s="16"/>
      <c r="AO101" s="16"/>
      <c r="AP101" s="16"/>
      <c r="AQ101" s="16"/>
      <c r="AR101" s="16"/>
      <c r="AS101" s="16"/>
      <c r="AT101" s="16"/>
      <c r="AU101" s="16"/>
      <c r="AV101" s="16"/>
      <c r="AW101" s="16"/>
      <c r="AX101" s="16"/>
      <c r="AY101" s="16"/>
      <c r="AZ101" s="17"/>
    </row>
    <row r="102" spans="1:76" ht="16.5" thickTop="1" thickBot="1">
      <c r="A102" s="80" t="s">
        <v>51</v>
      </c>
      <c r="B102" s="68">
        <f t="shared" ref="B102:N102" si="29">B90+B94</f>
        <v>137802540.25999999</v>
      </c>
      <c r="C102" s="68">
        <f t="shared" si="29"/>
        <v>431322719.75999999</v>
      </c>
      <c r="D102" s="68">
        <f t="shared" si="29"/>
        <v>304817331.00999999</v>
      </c>
      <c r="E102" s="68">
        <f t="shared" si="29"/>
        <v>196385728.07000002</v>
      </c>
      <c r="F102" s="342">
        <f t="shared" si="29"/>
        <v>273200030.50999999</v>
      </c>
      <c r="G102" s="68">
        <f t="shared" si="29"/>
        <v>0</v>
      </c>
      <c r="H102" s="68">
        <f t="shared" si="29"/>
        <v>0</v>
      </c>
      <c r="I102" s="68">
        <f t="shared" si="29"/>
        <v>0</v>
      </c>
      <c r="J102" s="68">
        <f t="shared" si="29"/>
        <v>0</v>
      </c>
      <c r="K102" s="68">
        <f t="shared" si="29"/>
        <v>0</v>
      </c>
      <c r="L102" s="68">
        <f t="shared" si="29"/>
        <v>0</v>
      </c>
      <c r="M102" s="68">
        <f t="shared" si="29"/>
        <v>0</v>
      </c>
      <c r="N102" s="247">
        <f t="shared" si="29"/>
        <v>1340688973.6099999</v>
      </c>
      <c r="O102" s="297"/>
      <c r="P102" s="288"/>
      <c r="Q102" s="288"/>
      <c r="R102" s="198"/>
      <c r="S102" s="293"/>
      <c r="T102" s="12"/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  <c r="AE102" s="16"/>
      <c r="AF102" s="16"/>
      <c r="AG102" s="16"/>
      <c r="AH102" s="16"/>
      <c r="AI102" s="16"/>
      <c r="AJ102" s="17"/>
      <c r="AK102" s="17"/>
      <c r="AL102" s="17"/>
      <c r="AM102" s="17"/>
      <c r="AN102" s="17"/>
      <c r="AO102" s="17"/>
      <c r="AP102" s="17"/>
      <c r="AQ102" s="17"/>
      <c r="AR102" s="17"/>
      <c r="AS102" s="17"/>
      <c r="AT102" s="17"/>
      <c r="AU102" s="17"/>
      <c r="AV102" s="17"/>
      <c r="AW102" s="17"/>
      <c r="AX102" s="17"/>
      <c r="AY102" s="17"/>
      <c r="AZ102" s="17"/>
    </row>
    <row r="103" spans="1:76" ht="16.5" thickTop="1" thickBot="1">
      <c r="A103" s="80" t="s">
        <v>52</v>
      </c>
      <c r="B103" s="68">
        <f t="shared" ref="B103:L103" si="30">B90+B154</f>
        <v>191918048.44793755</v>
      </c>
      <c r="C103" s="68">
        <f t="shared" si="30"/>
        <v>317551292.94415843</v>
      </c>
      <c r="D103" s="68">
        <f t="shared" si="30"/>
        <v>274994821.56343496</v>
      </c>
      <c r="E103" s="68">
        <f t="shared" si="30"/>
        <v>288536543.93764484</v>
      </c>
      <c r="F103" s="342">
        <f t="shared" si="30"/>
        <v>220365269.28597569</v>
      </c>
      <c r="G103" s="68">
        <f t="shared" si="30"/>
        <v>0</v>
      </c>
      <c r="H103" s="68">
        <f t="shared" si="30"/>
        <v>0</v>
      </c>
      <c r="I103" s="68">
        <f t="shared" si="30"/>
        <v>0</v>
      </c>
      <c r="J103" s="68">
        <f t="shared" si="30"/>
        <v>0</v>
      </c>
      <c r="K103" s="68">
        <f t="shared" si="30"/>
        <v>0</v>
      </c>
      <c r="L103" s="68">
        <f t="shared" si="30"/>
        <v>0</v>
      </c>
      <c r="M103" s="68">
        <f>M90+M154+M94+M168</f>
        <v>0</v>
      </c>
      <c r="N103" s="247">
        <f>SUM(B103:M103)</f>
        <v>1293365976.1791515</v>
      </c>
      <c r="O103" s="297">
        <f>+N103-AU30</f>
        <v>0</v>
      </c>
      <c r="P103" s="288"/>
      <c r="Q103" s="288"/>
      <c r="R103" s="198"/>
      <c r="S103" s="293"/>
      <c r="T103" s="12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17"/>
      <c r="AH103" s="17"/>
      <c r="AI103" s="17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</row>
    <row r="104" spans="1:76" ht="16.5" thickTop="1" thickBot="1">
      <c r="A104" s="80" t="s">
        <v>53</v>
      </c>
      <c r="B104" s="68">
        <f t="shared" ref="B104:N104" si="31">B103+B101+B168+B94</f>
        <v>191918048.44793755</v>
      </c>
      <c r="C104" s="68">
        <f t="shared" si="31"/>
        <v>317551292.94415843</v>
      </c>
      <c r="D104" s="68">
        <f t="shared" si="31"/>
        <v>274994821.56343496</v>
      </c>
      <c r="E104" s="68">
        <f t="shared" si="31"/>
        <v>290551723.93764484</v>
      </c>
      <c r="F104" s="342">
        <f t="shared" si="31"/>
        <v>221405633.28597569</v>
      </c>
      <c r="G104" s="68">
        <f t="shared" si="31"/>
        <v>0</v>
      </c>
      <c r="H104" s="68">
        <f t="shared" si="31"/>
        <v>0</v>
      </c>
      <c r="I104" s="68">
        <f t="shared" si="31"/>
        <v>0</v>
      </c>
      <c r="J104" s="68">
        <f t="shared" si="31"/>
        <v>0</v>
      </c>
      <c r="K104" s="68">
        <f t="shared" si="31"/>
        <v>0</v>
      </c>
      <c r="L104" s="68">
        <f t="shared" si="31"/>
        <v>0</v>
      </c>
      <c r="M104" s="68">
        <f t="shared" si="31"/>
        <v>0</v>
      </c>
      <c r="N104" s="247">
        <f t="shared" si="31"/>
        <v>1296421520.1791515</v>
      </c>
      <c r="O104" s="297"/>
      <c r="P104" s="288"/>
      <c r="Q104" s="288"/>
      <c r="R104" s="198"/>
      <c r="S104" s="293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</row>
    <row r="105" spans="1:76" ht="15.75" thickTop="1">
      <c r="A105" s="248"/>
      <c r="B105" s="58"/>
      <c r="C105" s="175"/>
      <c r="D105" s="11"/>
      <c r="E105" s="11"/>
      <c r="G105" s="11"/>
      <c r="J105" s="109"/>
      <c r="K105" s="11"/>
      <c r="M105" s="11"/>
      <c r="O105" s="297">
        <f>+N103-O104</f>
        <v>1293365976.1791515</v>
      </c>
      <c r="P105" s="288"/>
      <c r="Q105" s="288"/>
      <c r="R105" s="198"/>
      <c r="S105" s="293"/>
      <c r="T105" s="12"/>
      <c r="U105" s="191"/>
      <c r="V105" s="191"/>
      <c r="W105" s="191"/>
      <c r="X105" s="191"/>
      <c r="Y105" s="191"/>
      <c r="Z105" s="191"/>
      <c r="AA105" s="191"/>
      <c r="AB105" s="191"/>
      <c r="AC105" s="191"/>
      <c r="AD105" s="191"/>
      <c r="AE105" s="191"/>
      <c r="AF105" s="191"/>
      <c r="AG105" s="191"/>
      <c r="AH105" s="191"/>
      <c r="AI105" s="191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</row>
    <row r="106" spans="1:76">
      <c r="A106" s="42" t="s">
        <v>77</v>
      </c>
      <c r="B106" s="437">
        <v>43101</v>
      </c>
      <c r="C106" s="437">
        <v>43132</v>
      </c>
      <c r="D106" s="437">
        <v>43160</v>
      </c>
      <c r="E106" s="432">
        <v>42826</v>
      </c>
      <c r="F106" s="474">
        <v>42856</v>
      </c>
      <c r="G106" s="437">
        <v>42887</v>
      </c>
      <c r="H106" s="437">
        <v>42917</v>
      </c>
      <c r="I106" s="437">
        <v>42948</v>
      </c>
      <c r="J106" s="437">
        <v>42979</v>
      </c>
      <c r="K106" s="437">
        <v>43009</v>
      </c>
      <c r="L106" s="437">
        <v>43040</v>
      </c>
      <c r="M106" s="437">
        <v>43070</v>
      </c>
      <c r="N106" s="469" t="s">
        <v>15</v>
      </c>
      <c r="O106" s="297"/>
      <c r="P106" s="288"/>
      <c r="Q106" s="288"/>
      <c r="R106" s="198"/>
      <c r="S106" s="294"/>
      <c r="U106" s="191"/>
      <c r="V106" s="191"/>
      <c r="W106" s="191"/>
      <c r="X106" s="191"/>
      <c r="Y106" s="191"/>
      <c r="Z106" s="191"/>
      <c r="AA106" s="191"/>
      <c r="AB106" s="191"/>
      <c r="AC106" s="191"/>
      <c r="AD106" s="191"/>
      <c r="AE106" s="191"/>
      <c r="AF106" s="191"/>
      <c r="AG106" s="191"/>
      <c r="AH106" s="191"/>
      <c r="AI106" s="191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</row>
    <row r="107" spans="1:76" ht="15.75" thickBot="1">
      <c r="A107" s="44" t="s">
        <v>34</v>
      </c>
      <c r="B107" s="438"/>
      <c r="C107" s="438"/>
      <c r="D107" s="438"/>
      <c r="E107" s="433"/>
      <c r="F107" s="475"/>
      <c r="G107" s="438"/>
      <c r="H107" s="438"/>
      <c r="I107" s="438"/>
      <c r="J107" s="438"/>
      <c r="K107" s="438"/>
      <c r="L107" s="438"/>
      <c r="M107" s="438"/>
      <c r="N107" s="470"/>
      <c r="O107" s="297"/>
      <c r="P107" s="288"/>
      <c r="Q107" s="288"/>
      <c r="R107" s="198"/>
      <c r="S107" s="294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</row>
    <row r="108" spans="1:76" ht="15.75" thickTop="1">
      <c r="A108" s="45" t="s">
        <v>35</v>
      </c>
      <c r="B108" s="46"/>
      <c r="C108" s="46"/>
      <c r="D108" s="46"/>
      <c r="E108" s="46"/>
      <c r="F108" s="343"/>
      <c r="G108" s="82"/>
      <c r="H108" s="82"/>
      <c r="I108" s="82"/>
      <c r="J108" s="82"/>
      <c r="K108" s="82"/>
      <c r="L108" s="82"/>
      <c r="M108" s="82"/>
      <c r="N108" s="259"/>
      <c r="O108" s="297"/>
      <c r="P108" s="288"/>
      <c r="Q108" s="288"/>
      <c r="R108" s="198"/>
      <c r="S108" s="293"/>
      <c r="T108" s="12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</row>
    <row r="109" spans="1:76" ht="15" customHeight="1">
      <c r="A109" s="182" t="s">
        <v>8</v>
      </c>
      <c r="B109" s="73">
        <v>-2247526.1295526624</v>
      </c>
      <c r="C109" s="73">
        <v>1414798.0062719584</v>
      </c>
      <c r="D109" s="73">
        <v>-2667222.5659224391</v>
      </c>
      <c r="E109" s="73">
        <v>-3452992.3185504079</v>
      </c>
      <c r="F109" s="344">
        <f>$B$30-B109-D109-E109-C109-($N45)</f>
        <v>2208342.1014152169</v>
      </c>
      <c r="G109" s="73">
        <v>0</v>
      </c>
      <c r="H109" s="73">
        <v>0</v>
      </c>
      <c r="I109" s="73">
        <v>0</v>
      </c>
      <c r="J109" s="73">
        <v>0</v>
      </c>
      <c r="K109" s="73">
        <v>0</v>
      </c>
      <c r="L109" s="73">
        <v>0</v>
      </c>
      <c r="M109" s="73">
        <v>0</v>
      </c>
      <c r="N109" s="286">
        <f t="shared" ref="N109:N153" si="32">SUM(B109:M109)</f>
        <v>-4744600.9063383341</v>
      </c>
      <c r="O109" s="297"/>
      <c r="P109" s="288"/>
      <c r="Q109" s="288"/>
      <c r="R109" s="198"/>
      <c r="S109" s="293"/>
      <c r="T109" s="12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</row>
    <row r="110" spans="1:76" ht="15" customHeight="1">
      <c r="A110" s="182" t="s">
        <v>10</v>
      </c>
      <c r="B110" s="73">
        <v>-1810659.5192094329</v>
      </c>
      <c r="C110" s="73">
        <v>-1849502.8400000003</v>
      </c>
      <c r="D110" s="73">
        <v>-1979754.1200491432</v>
      </c>
      <c r="E110" s="73">
        <v>-114547.27276772261</v>
      </c>
      <c r="F110" s="344">
        <f>$C$30-B110-C110-D110-E110-($N46)</f>
        <v>261172.8510876894</v>
      </c>
      <c r="G110" s="73">
        <v>0</v>
      </c>
      <c r="H110" s="73">
        <v>0</v>
      </c>
      <c r="I110" s="73">
        <v>0</v>
      </c>
      <c r="J110" s="73">
        <v>0</v>
      </c>
      <c r="K110" s="73">
        <v>0</v>
      </c>
      <c r="L110" s="73">
        <v>0</v>
      </c>
      <c r="M110" s="73">
        <v>0</v>
      </c>
      <c r="N110" s="286">
        <f t="shared" si="32"/>
        <v>-5493290.9009386096</v>
      </c>
      <c r="O110" s="297"/>
      <c r="P110" s="288"/>
      <c r="Q110" s="288"/>
      <c r="R110" s="198"/>
      <c r="S110" s="293"/>
      <c r="T110" s="12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</row>
    <row r="111" spans="1:76">
      <c r="A111" s="182" t="s">
        <v>68</v>
      </c>
      <c r="B111" s="73">
        <v>16032355.579042464</v>
      </c>
      <c r="C111" s="73">
        <v>-122794135.55203778</v>
      </c>
      <c r="D111" s="73">
        <v>-18929910.014145255</v>
      </c>
      <c r="E111" s="73">
        <v>28271178.172275424</v>
      </c>
      <c r="F111" s="344">
        <f>$D$30-B111-C111-D111-E111-($N47)</f>
        <v>28545334.381629229</v>
      </c>
      <c r="G111" s="73">
        <v>0</v>
      </c>
      <c r="H111" s="73">
        <v>0</v>
      </c>
      <c r="I111" s="73">
        <v>0</v>
      </c>
      <c r="J111" s="73">
        <v>0</v>
      </c>
      <c r="K111" s="73">
        <v>0</v>
      </c>
      <c r="L111" s="73">
        <v>0</v>
      </c>
      <c r="M111" s="73">
        <v>0</v>
      </c>
      <c r="N111" s="286">
        <f t="shared" si="32"/>
        <v>-68875177.433235914</v>
      </c>
      <c r="O111" s="297"/>
      <c r="P111" s="288"/>
      <c r="Q111" s="288"/>
      <c r="R111" s="198"/>
      <c r="S111" s="293"/>
      <c r="T111" s="12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</row>
    <row r="112" spans="1:76">
      <c r="A112" s="182" t="s">
        <v>85</v>
      </c>
      <c r="B112" s="73">
        <v>-15572718.45079994</v>
      </c>
      <c r="C112" s="73">
        <v>1732301.5530316234</v>
      </c>
      <c r="D112" s="73">
        <v>-4266841.3508661389</v>
      </c>
      <c r="E112" s="73">
        <v>789396.44489270449</v>
      </c>
      <c r="F112" s="344">
        <f>$E$30-B112-C112-D112-E112-($N48)</f>
        <v>293787.36735533923</v>
      </c>
      <c r="G112" s="73">
        <v>0</v>
      </c>
      <c r="H112" s="73">
        <v>0</v>
      </c>
      <c r="I112" s="73">
        <v>0</v>
      </c>
      <c r="J112" s="73">
        <v>0</v>
      </c>
      <c r="K112" s="73">
        <v>0</v>
      </c>
      <c r="L112" s="73">
        <v>0</v>
      </c>
      <c r="M112" s="73">
        <v>0</v>
      </c>
      <c r="N112" s="286">
        <f t="shared" si="32"/>
        <v>-17024074.436386414</v>
      </c>
      <c r="O112" s="297"/>
      <c r="P112" s="288"/>
      <c r="Q112" s="288"/>
      <c r="R112" s="198"/>
      <c r="S112" s="293"/>
      <c r="T112" s="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</row>
    <row r="113" spans="1:51" ht="15" customHeight="1">
      <c r="A113" s="182" t="s">
        <v>94</v>
      </c>
      <c r="B113" s="73">
        <v>736538.30927157402</v>
      </c>
      <c r="C113" s="73">
        <v>2982420.6547222137</v>
      </c>
      <c r="D113" s="73">
        <v>630377.59661728144</v>
      </c>
      <c r="E113" s="73">
        <v>-16934976.780000001</v>
      </c>
      <c r="F113" s="344">
        <f>$F$30-B113-C113-D113-E113-($N49)</f>
        <v>-5.9604644775390625E-8</v>
      </c>
      <c r="G113" s="73">
        <v>0</v>
      </c>
      <c r="H113" s="73">
        <v>0</v>
      </c>
      <c r="I113" s="73">
        <v>0</v>
      </c>
      <c r="J113" s="73">
        <v>0</v>
      </c>
      <c r="K113" s="73">
        <v>0</v>
      </c>
      <c r="L113" s="73">
        <v>0</v>
      </c>
      <c r="M113" s="73">
        <v>0</v>
      </c>
      <c r="N113" s="286">
        <f t="shared" si="32"/>
        <v>-12585640.219388992</v>
      </c>
      <c r="O113" s="297"/>
      <c r="P113" s="288"/>
      <c r="Q113" s="288"/>
      <c r="R113" s="198"/>
      <c r="S113" s="293"/>
      <c r="T113" s="12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</row>
    <row r="114" spans="1:51" ht="15" customHeight="1">
      <c r="A114" s="182" t="s">
        <v>95</v>
      </c>
      <c r="B114" s="73">
        <v>84200.3529881984</v>
      </c>
      <c r="C114" s="73">
        <v>-1164572.8796028681</v>
      </c>
      <c r="D114" s="73">
        <v>9274426.1197753102</v>
      </c>
      <c r="E114" s="73">
        <v>1191802.5306336284</v>
      </c>
      <c r="F114" s="344">
        <f>$G$30-B114-C114-D114-E114-($N50)</f>
        <v>-1243131.8066971712</v>
      </c>
      <c r="G114" s="73">
        <v>0</v>
      </c>
      <c r="H114" s="73">
        <v>0</v>
      </c>
      <c r="I114" s="73">
        <v>0</v>
      </c>
      <c r="J114" s="73">
        <v>0</v>
      </c>
      <c r="K114" s="73">
        <v>0</v>
      </c>
      <c r="L114" s="73">
        <v>0</v>
      </c>
      <c r="M114" s="73">
        <v>0</v>
      </c>
      <c r="N114" s="286">
        <f t="shared" si="32"/>
        <v>8142724.3170970976</v>
      </c>
      <c r="O114" s="297"/>
      <c r="P114" s="288"/>
      <c r="Q114" s="288"/>
      <c r="R114" s="198"/>
      <c r="S114" s="293"/>
      <c r="T114" s="12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</row>
    <row r="115" spans="1:51">
      <c r="A115" s="182" t="s">
        <v>131</v>
      </c>
      <c r="B115" s="73">
        <v>-873663.22308016568</v>
      </c>
      <c r="C115" s="73">
        <v>4803669.6592240557</v>
      </c>
      <c r="D115" s="73">
        <v>-871575.84019053727</v>
      </c>
      <c r="E115" s="73">
        <v>2246784.841491295</v>
      </c>
      <c r="F115" s="344">
        <f>$H$30-B115-C115-D115-E115-($N51)</f>
        <v>-2570317.7972402722</v>
      </c>
      <c r="G115" s="73">
        <v>0</v>
      </c>
      <c r="H115" s="73">
        <v>0</v>
      </c>
      <c r="I115" s="73">
        <v>0</v>
      </c>
      <c r="J115" s="73">
        <v>0</v>
      </c>
      <c r="K115" s="73">
        <v>0</v>
      </c>
      <c r="L115" s="73">
        <v>0</v>
      </c>
      <c r="M115" s="73">
        <v>0</v>
      </c>
      <c r="N115" s="286">
        <f t="shared" si="32"/>
        <v>2734897.6402043756</v>
      </c>
      <c r="O115" s="297"/>
      <c r="P115" s="288"/>
      <c r="Q115" s="288"/>
      <c r="R115" s="198"/>
      <c r="S115" s="293"/>
      <c r="T115" s="12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</row>
    <row r="116" spans="1:51">
      <c r="A116" s="182" t="s">
        <v>128</v>
      </c>
      <c r="B116" s="73">
        <v>23141920.671205729</v>
      </c>
      <c r="C116" s="73">
        <v>26487480.706793666</v>
      </c>
      <c r="D116" s="73">
        <v>-8528008.0394501686</v>
      </c>
      <c r="E116" s="73">
        <v>31140478.247889638</v>
      </c>
      <c r="F116" s="344">
        <f>$I$30-B116-C116-D116-E116-($N52)</f>
        <v>17763203.26376164</v>
      </c>
      <c r="G116" s="73">
        <v>0</v>
      </c>
      <c r="H116" s="73">
        <v>0</v>
      </c>
      <c r="I116" s="73">
        <v>0</v>
      </c>
      <c r="J116" s="73">
        <v>0</v>
      </c>
      <c r="K116" s="73">
        <v>0</v>
      </c>
      <c r="L116" s="73">
        <v>0</v>
      </c>
      <c r="M116" s="73">
        <v>0</v>
      </c>
      <c r="N116" s="286">
        <f t="shared" si="32"/>
        <v>90005074.850200504</v>
      </c>
      <c r="O116" s="297"/>
      <c r="P116" s="288"/>
      <c r="Q116" s="288"/>
      <c r="R116" s="198"/>
      <c r="S116" s="293"/>
      <c r="T116" s="12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</row>
    <row r="117" spans="1:51" ht="15" customHeight="1">
      <c r="A117" s="182" t="s">
        <v>129</v>
      </c>
      <c r="B117" s="73">
        <v>411943.37151457556</v>
      </c>
      <c r="C117" s="73">
        <v>4497805.7179209646</v>
      </c>
      <c r="D117" s="73">
        <v>3554523.8542144597</v>
      </c>
      <c r="E117" s="73">
        <v>1039454.6577917561</v>
      </c>
      <c r="F117" s="344">
        <f>$J$30-B117-C117-D117-E117-($N53)</f>
        <v>2989311.4967709929</v>
      </c>
      <c r="G117" s="73">
        <v>0</v>
      </c>
      <c r="H117" s="73">
        <v>0</v>
      </c>
      <c r="I117" s="73">
        <v>0</v>
      </c>
      <c r="J117" s="73">
        <v>0</v>
      </c>
      <c r="K117" s="73">
        <v>0</v>
      </c>
      <c r="L117" s="73">
        <v>0</v>
      </c>
      <c r="M117" s="73">
        <v>0</v>
      </c>
      <c r="N117" s="286">
        <f t="shared" si="32"/>
        <v>12493039.098212749</v>
      </c>
      <c r="O117" s="297"/>
      <c r="P117" s="288"/>
      <c r="Q117" s="288"/>
      <c r="R117" s="198"/>
      <c r="S117" s="293"/>
      <c r="T117" s="12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</row>
    <row r="118" spans="1:51">
      <c r="A118" s="235" t="s">
        <v>132</v>
      </c>
      <c r="B118" s="73">
        <v>612037.9555997774</v>
      </c>
      <c r="C118" s="73">
        <v>0</v>
      </c>
      <c r="D118" s="73">
        <v>-1.862645149230957E-9</v>
      </c>
      <c r="E118" s="73">
        <v>-1991284.16</v>
      </c>
      <c r="F118" s="344">
        <f>$K$30-B118-C118-D118-E118-($N54)</f>
        <v>1.862645149230957E-9</v>
      </c>
      <c r="G118" s="73">
        <v>0</v>
      </c>
      <c r="H118" s="73">
        <v>0</v>
      </c>
      <c r="I118" s="73">
        <v>0</v>
      </c>
      <c r="J118" s="73">
        <v>0</v>
      </c>
      <c r="K118" s="73">
        <v>0</v>
      </c>
      <c r="L118" s="73">
        <v>0</v>
      </c>
      <c r="M118" s="73">
        <v>0</v>
      </c>
      <c r="N118" s="286">
        <f t="shared" si="32"/>
        <v>-1379246.2044002225</v>
      </c>
      <c r="O118" s="297"/>
      <c r="P118" s="288"/>
      <c r="Q118" s="288"/>
      <c r="R118" s="198"/>
      <c r="S118" s="293"/>
      <c r="T118" s="12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</row>
    <row r="119" spans="1:51">
      <c r="A119" s="235" t="s">
        <v>135</v>
      </c>
      <c r="B119" s="73">
        <v>8851859.3286853917</v>
      </c>
      <c r="C119" s="73">
        <v>11715557.175984032</v>
      </c>
      <c r="D119" s="73">
        <v>17225630.867201883</v>
      </c>
      <c r="E119" s="73">
        <v>11555235.17301603</v>
      </c>
      <c r="F119" s="344">
        <f>$L30-B119-C119-D119-E119-($N55)</f>
        <v>6598022.9535857141</v>
      </c>
      <c r="G119" s="73">
        <v>0</v>
      </c>
      <c r="H119" s="73">
        <v>0</v>
      </c>
      <c r="I119" s="73">
        <v>0</v>
      </c>
      <c r="J119" s="73">
        <v>0</v>
      </c>
      <c r="K119" s="73">
        <v>0</v>
      </c>
      <c r="L119" s="73">
        <v>0</v>
      </c>
      <c r="M119" s="73">
        <v>0</v>
      </c>
      <c r="N119" s="286">
        <f t="shared" si="32"/>
        <v>55946305.498473048</v>
      </c>
      <c r="O119" s="297"/>
      <c r="P119" s="288"/>
      <c r="Q119" s="288"/>
      <c r="R119" s="198"/>
      <c r="S119" s="293"/>
      <c r="T119" s="12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</row>
    <row r="120" spans="1:51">
      <c r="A120" s="235" t="s">
        <v>136</v>
      </c>
      <c r="B120" s="73">
        <v>8678228.606067827</v>
      </c>
      <c r="C120" s="73">
        <v>-6180677.5480779801</v>
      </c>
      <c r="D120" s="73">
        <v>-5110539.6237053648</v>
      </c>
      <c r="E120" s="73">
        <v>6539535.468979612</v>
      </c>
      <c r="F120" s="344">
        <f>$M$30-B120-C120-D120-E120-($N56)</f>
        <v>-8320083.0296147019</v>
      </c>
      <c r="G120" s="73">
        <v>0</v>
      </c>
      <c r="H120" s="73">
        <v>0</v>
      </c>
      <c r="I120" s="73">
        <v>0</v>
      </c>
      <c r="J120" s="73">
        <v>0</v>
      </c>
      <c r="K120" s="73">
        <v>0</v>
      </c>
      <c r="L120" s="73">
        <v>0</v>
      </c>
      <c r="M120" s="73">
        <v>0</v>
      </c>
      <c r="N120" s="286">
        <f t="shared" si="32"/>
        <v>-4393536.1263506077</v>
      </c>
      <c r="O120" s="297"/>
      <c r="P120" s="288"/>
      <c r="Q120" s="288"/>
      <c r="R120" s="198"/>
      <c r="S120" s="293"/>
      <c r="T120" s="12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</row>
    <row r="121" spans="1:51">
      <c r="A121" s="235" t="s">
        <v>137</v>
      </c>
      <c r="B121" s="73">
        <v>-32724390.510000002</v>
      </c>
      <c r="C121" s="73">
        <v>1453443.8074007072</v>
      </c>
      <c r="D121" s="73">
        <v>5960337.7900000066</v>
      </c>
      <c r="E121" s="73">
        <v>-619108.11000005901</v>
      </c>
      <c r="F121" s="344">
        <f>$N$30-B121-C121-D121-E121-($N57)</f>
        <v>0</v>
      </c>
      <c r="G121" s="73">
        <v>0</v>
      </c>
      <c r="H121" s="73">
        <v>0</v>
      </c>
      <c r="I121" s="73">
        <v>0</v>
      </c>
      <c r="J121" s="73">
        <v>0</v>
      </c>
      <c r="K121" s="73">
        <v>0</v>
      </c>
      <c r="L121" s="73">
        <v>0</v>
      </c>
      <c r="M121" s="73">
        <v>0</v>
      </c>
      <c r="N121" s="286">
        <f t="shared" si="32"/>
        <v>-25929717.022599347</v>
      </c>
      <c r="O121" s="297"/>
      <c r="P121" s="288"/>
      <c r="Q121" s="288"/>
      <c r="R121" s="198"/>
      <c r="S121" s="293"/>
      <c r="T121" s="12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</row>
    <row r="122" spans="1:51" ht="15" customHeight="1">
      <c r="A122" s="235" t="s">
        <v>138</v>
      </c>
      <c r="B122" s="73">
        <v>27691232.099723749</v>
      </c>
      <c r="C122" s="73">
        <v>-2667145.3413706124</v>
      </c>
      <c r="D122" s="73">
        <v>16552419.059319913</v>
      </c>
      <c r="E122" s="73">
        <v>7752971.7642850876</v>
      </c>
      <c r="F122" s="344">
        <f>$O$30-B122-C122-D122-E122-($N58)</f>
        <v>-51823486.779816508</v>
      </c>
      <c r="G122" s="73">
        <v>0</v>
      </c>
      <c r="H122" s="73">
        <v>0</v>
      </c>
      <c r="I122" s="73">
        <v>0</v>
      </c>
      <c r="J122" s="73">
        <v>0</v>
      </c>
      <c r="K122" s="73">
        <v>0</v>
      </c>
      <c r="L122" s="73">
        <v>0</v>
      </c>
      <c r="M122" s="73">
        <v>0</v>
      </c>
      <c r="N122" s="286">
        <f t="shared" si="32"/>
        <v>-2494009.1978583708</v>
      </c>
      <c r="O122" s="297"/>
      <c r="P122" s="288"/>
      <c r="Q122" s="288"/>
      <c r="R122" s="198"/>
      <c r="S122" s="293"/>
      <c r="T122" s="1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</row>
    <row r="123" spans="1:51">
      <c r="A123" s="235" t="s">
        <v>139</v>
      </c>
      <c r="B123" s="73">
        <v>-2905114.3543222588</v>
      </c>
      <c r="C123" s="73">
        <v>-983047.85959260352</v>
      </c>
      <c r="D123" s="73">
        <v>2740755.7029337846</v>
      </c>
      <c r="E123" s="73">
        <v>561332.66413325071</v>
      </c>
      <c r="F123" s="344">
        <f>$P$30-B123-C123-D123-E123-($N59)</f>
        <v>2402902.2773602828</v>
      </c>
      <c r="G123" s="73">
        <v>0</v>
      </c>
      <c r="H123" s="73">
        <v>0</v>
      </c>
      <c r="I123" s="73">
        <v>0</v>
      </c>
      <c r="J123" s="73">
        <v>0</v>
      </c>
      <c r="K123" s="73">
        <v>0</v>
      </c>
      <c r="L123" s="73">
        <v>0</v>
      </c>
      <c r="M123" s="73">
        <v>0</v>
      </c>
      <c r="N123" s="286">
        <f t="shared" si="32"/>
        <v>1816828.4305124558</v>
      </c>
      <c r="O123" s="297"/>
      <c r="P123" s="288"/>
      <c r="Q123" s="288"/>
      <c r="R123" s="198"/>
      <c r="S123" s="293"/>
      <c r="T123" s="12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</row>
    <row r="124" spans="1:51" ht="15" customHeight="1">
      <c r="A124" s="235" t="s">
        <v>140</v>
      </c>
      <c r="B124" s="73">
        <v>-20392073.789689738</v>
      </c>
      <c r="C124" s="73">
        <v>2483779.6755495071</v>
      </c>
      <c r="D124" s="73">
        <v>-7121630.4637992978</v>
      </c>
      <c r="E124" s="73">
        <v>2622276.3108068481</v>
      </c>
      <c r="F124" s="344">
        <f>$Q$30-B124-C124-D124-E124-($N60)</f>
        <v>-72199.976150140166</v>
      </c>
      <c r="G124" s="73">
        <v>0</v>
      </c>
      <c r="H124" s="73">
        <v>0</v>
      </c>
      <c r="I124" s="73">
        <v>0</v>
      </c>
      <c r="J124" s="73">
        <v>0</v>
      </c>
      <c r="K124" s="73">
        <v>0</v>
      </c>
      <c r="L124" s="73">
        <v>0</v>
      </c>
      <c r="M124" s="73">
        <v>0</v>
      </c>
      <c r="N124" s="286">
        <f t="shared" si="32"/>
        <v>-22479848.243282821</v>
      </c>
      <c r="O124" s="297"/>
      <c r="P124" s="288"/>
      <c r="Q124" s="288"/>
      <c r="R124" s="198"/>
      <c r="S124" s="293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</row>
    <row r="125" spans="1:51">
      <c r="A125" s="235" t="s">
        <v>146</v>
      </c>
      <c r="B125" s="73">
        <v>155408.98450176418</v>
      </c>
      <c r="C125" s="73">
        <v>-1168185.9138301113</v>
      </c>
      <c r="D125" s="73">
        <v>675912.08033702523</v>
      </c>
      <c r="E125" s="73">
        <v>0</v>
      </c>
      <c r="F125" s="344">
        <f>$R$30-B125-C125-D125-E125-($N61)</f>
        <v>0</v>
      </c>
      <c r="G125" s="73">
        <v>0</v>
      </c>
      <c r="H125" s="73">
        <v>0</v>
      </c>
      <c r="I125" s="73">
        <v>0</v>
      </c>
      <c r="J125" s="73">
        <v>0</v>
      </c>
      <c r="K125" s="73">
        <v>0</v>
      </c>
      <c r="L125" s="73">
        <v>0</v>
      </c>
      <c r="M125" s="73">
        <v>0</v>
      </c>
      <c r="N125" s="286">
        <f t="shared" si="32"/>
        <v>-336864.84899132187</v>
      </c>
      <c r="O125" s="297"/>
      <c r="P125" s="288"/>
      <c r="Q125" s="288"/>
      <c r="R125" s="198"/>
      <c r="S125" s="293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</row>
    <row r="126" spans="1:51">
      <c r="A126" s="235" t="s">
        <v>148</v>
      </c>
      <c r="B126" s="73">
        <v>3709021.8958755583</v>
      </c>
      <c r="C126" s="73">
        <v>3870779.0526534915</v>
      </c>
      <c r="D126" s="73">
        <v>-3143368.5003890544</v>
      </c>
      <c r="E126" s="73">
        <v>3199899.633409068</v>
      </c>
      <c r="F126" s="344">
        <f>$S$30-B126-C126-D126-E126-($N62)</f>
        <v>667557.33063641191</v>
      </c>
      <c r="G126" s="73">
        <v>0</v>
      </c>
      <c r="H126" s="73">
        <v>0</v>
      </c>
      <c r="I126" s="73">
        <v>0</v>
      </c>
      <c r="J126" s="73">
        <v>0</v>
      </c>
      <c r="K126" s="73">
        <v>0</v>
      </c>
      <c r="L126" s="73">
        <v>0</v>
      </c>
      <c r="M126" s="73">
        <v>0</v>
      </c>
      <c r="N126" s="286">
        <f t="shared" si="32"/>
        <v>8303889.4121854752</v>
      </c>
      <c r="O126" s="297"/>
      <c r="P126" s="288"/>
      <c r="Q126" s="288"/>
      <c r="R126" s="198"/>
      <c r="S126" s="293"/>
      <c r="T126" s="12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</row>
    <row r="127" spans="1:51" ht="15" customHeight="1">
      <c r="A127" s="235" t="s">
        <v>150</v>
      </c>
      <c r="B127" s="73">
        <v>-2736196.9770202339</v>
      </c>
      <c r="C127" s="73">
        <v>4170247.5212631561</v>
      </c>
      <c r="D127" s="73">
        <v>5140850.7824011482</v>
      </c>
      <c r="E127" s="73">
        <v>9038106.8936151192</v>
      </c>
      <c r="F127" s="344">
        <f>$T$30-B127-C127-D127-E127-($N63)</f>
        <v>-368607.23402806371</v>
      </c>
      <c r="G127" s="73">
        <v>0</v>
      </c>
      <c r="H127" s="73">
        <v>0</v>
      </c>
      <c r="I127" s="73">
        <v>0</v>
      </c>
      <c r="J127" s="73">
        <v>0</v>
      </c>
      <c r="K127" s="73">
        <v>0</v>
      </c>
      <c r="L127" s="73">
        <v>0</v>
      </c>
      <c r="M127" s="73">
        <v>0</v>
      </c>
      <c r="N127" s="286">
        <f t="shared" si="32"/>
        <v>15244400.986231126</v>
      </c>
      <c r="O127" s="297"/>
      <c r="P127" s="288"/>
      <c r="Q127" s="288"/>
      <c r="R127" s="198"/>
      <c r="S127" s="293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</row>
    <row r="128" spans="1:51">
      <c r="A128" s="235" t="s">
        <v>151</v>
      </c>
      <c r="B128" s="73">
        <v>1676720.0101948157</v>
      </c>
      <c r="C128" s="73">
        <v>292922.55488147587</v>
      </c>
      <c r="D128" s="73">
        <v>-4315598.2921340764</v>
      </c>
      <c r="E128" s="73">
        <v>0.59950605034828186</v>
      </c>
      <c r="F128" s="344">
        <f>$U$30-B128-C128-D128-E128-($N64)</f>
        <v>0</v>
      </c>
      <c r="G128" s="73">
        <v>0</v>
      </c>
      <c r="H128" s="73">
        <v>0</v>
      </c>
      <c r="I128" s="73">
        <v>0</v>
      </c>
      <c r="J128" s="73">
        <v>0</v>
      </c>
      <c r="K128" s="73">
        <v>0</v>
      </c>
      <c r="L128" s="73">
        <v>0</v>
      </c>
      <c r="M128" s="73">
        <v>0</v>
      </c>
      <c r="N128" s="286">
        <f t="shared" si="32"/>
        <v>-2345955.1275517344</v>
      </c>
      <c r="O128" s="297"/>
      <c r="P128" s="288"/>
      <c r="Q128" s="288"/>
      <c r="R128" s="198"/>
      <c r="S128" s="293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</row>
    <row r="129" spans="1:51">
      <c r="A129" s="235" t="s">
        <v>152</v>
      </c>
      <c r="B129" s="73">
        <v>1181966.1229642499</v>
      </c>
      <c r="C129" s="73">
        <v>1010497.7503481116</v>
      </c>
      <c r="D129" s="73">
        <v>668531.29569198936</v>
      </c>
      <c r="E129" s="73">
        <v>2140879.2877355684</v>
      </c>
      <c r="F129" s="344">
        <f>$V$30-B129-C129-D129-E129-($N65)</f>
        <v>3310008.9587653298</v>
      </c>
      <c r="G129" s="73">
        <v>0</v>
      </c>
      <c r="H129" s="73">
        <v>0</v>
      </c>
      <c r="I129" s="73">
        <v>0</v>
      </c>
      <c r="J129" s="73">
        <v>0</v>
      </c>
      <c r="K129" s="73">
        <v>0</v>
      </c>
      <c r="L129" s="73">
        <v>0</v>
      </c>
      <c r="M129" s="73">
        <v>0</v>
      </c>
      <c r="N129" s="286">
        <f t="shared" si="32"/>
        <v>8311883.4155052491</v>
      </c>
      <c r="O129" s="297"/>
      <c r="P129" s="288"/>
      <c r="Q129" s="288"/>
      <c r="R129" s="198"/>
      <c r="S129" s="293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</row>
    <row r="130" spans="1:51">
      <c r="A130" s="235" t="s">
        <v>153</v>
      </c>
      <c r="B130" s="73">
        <v>2195358.4374971576</v>
      </c>
      <c r="C130" s="73">
        <v>9448808.4268411882</v>
      </c>
      <c r="D130" s="73">
        <v>13527634.180906668</v>
      </c>
      <c r="E130" s="73">
        <v>6765962.7792131528</v>
      </c>
      <c r="F130" s="344">
        <f>$W$30-B130-C130-D130-E130-($N66)</f>
        <v>1754513.6153422073</v>
      </c>
      <c r="G130" s="73">
        <v>0</v>
      </c>
      <c r="H130" s="73">
        <v>0</v>
      </c>
      <c r="I130" s="73">
        <v>0</v>
      </c>
      <c r="J130" s="73">
        <v>0</v>
      </c>
      <c r="K130" s="73">
        <v>0</v>
      </c>
      <c r="L130" s="73">
        <v>0</v>
      </c>
      <c r="M130" s="73">
        <v>0</v>
      </c>
      <c r="N130" s="286">
        <f t="shared" si="32"/>
        <v>33692277.439800374</v>
      </c>
      <c r="O130" s="297"/>
      <c r="P130" s="288"/>
      <c r="Q130" s="288"/>
      <c r="R130" s="198"/>
      <c r="S130" s="293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</row>
    <row r="131" spans="1:51" ht="15" customHeight="1">
      <c r="A131" s="235" t="s">
        <v>154</v>
      </c>
      <c r="B131" s="73">
        <v>-14331658.697010718</v>
      </c>
      <c r="C131" s="73">
        <v>-31075386.000633083</v>
      </c>
      <c r="D131" s="73">
        <v>33229636.419480637</v>
      </c>
      <c r="E131" s="73">
        <v>-16167353.467142954</v>
      </c>
      <c r="F131" s="344">
        <f>$X$30-B131-C131-D131-E131-($N67)</f>
        <v>-11324278.082210913</v>
      </c>
      <c r="G131" s="73">
        <v>0</v>
      </c>
      <c r="H131" s="73">
        <v>0</v>
      </c>
      <c r="I131" s="73">
        <v>0</v>
      </c>
      <c r="J131" s="73">
        <v>0</v>
      </c>
      <c r="K131" s="73">
        <v>0</v>
      </c>
      <c r="L131" s="73">
        <v>0</v>
      </c>
      <c r="M131" s="73">
        <v>0</v>
      </c>
      <c r="N131" s="286">
        <f t="shared" si="32"/>
        <v>-39669039.827517033</v>
      </c>
      <c r="O131" s="297"/>
      <c r="P131" s="288"/>
      <c r="Q131" s="288"/>
      <c r="R131" s="198"/>
      <c r="S131" s="293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</row>
    <row r="132" spans="1:51">
      <c r="A132" s="235" t="s">
        <v>155</v>
      </c>
      <c r="B132" s="73">
        <v>828033.47217181697</v>
      </c>
      <c r="C132" s="73">
        <v>4219761.6412456408</v>
      </c>
      <c r="D132" s="73">
        <v>-104202.411156293</v>
      </c>
      <c r="E132" s="73">
        <v>-16919231.802195117</v>
      </c>
      <c r="F132" s="344">
        <f>$Y$30-B132-C132-D132-E132-($N68)</f>
        <v>2355691.8584267721</v>
      </c>
      <c r="G132" s="73">
        <v>0</v>
      </c>
      <c r="H132" s="73">
        <v>0</v>
      </c>
      <c r="I132" s="73">
        <v>0</v>
      </c>
      <c r="J132" s="73">
        <v>0</v>
      </c>
      <c r="K132" s="73">
        <v>0</v>
      </c>
      <c r="L132" s="73">
        <v>0</v>
      </c>
      <c r="M132" s="73">
        <v>0</v>
      </c>
      <c r="N132" s="286">
        <f t="shared" si="32"/>
        <v>-9619947.24150718</v>
      </c>
      <c r="O132" s="297"/>
      <c r="P132" s="288"/>
      <c r="Q132" s="288"/>
      <c r="R132" s="198"/>
      <c r="S132" s="293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</row>
    <row r="133" spans="1:51" ht="15" customHeight="1">
      <c r="A133" s="235" t="s">
        <v>219</v>
      </c>
      <c r="B133" s="73">
        <v>22016916.264474839</v>
      </c>
      <c r="C133" s="73">
        <v>10952505.847892769</v>
      </c>
      <c r="D133" s="73">
        <v>-12079855.173793383</v>
      </c>
      <c r="E133" s="73">
        <v>12012014.973402545</v>
      </c>
      <c r="F133" s="344">
        <f>$Z$30-B133-C133-D133-E133-($N69)</f>
        <v>13285831.402934864</v>
      </c>
      <c r="G133" s="73">
        <v>0</v>
      </c>
      <c r="H133" s="73">
        <v>0</v>
      </c>
      <c r="I133" s="73">
        <v>0</v>
      </c>
      <c r="J133" s="73">
        <v>0</v>
      </c>
      <c r="K133" s="73">
        <v>0</v>
      </c>
      <c r="L133" s="73">
        <v>0</v>
      </c>
      <c r="M133" s="73">
        <v>0</v>
      </c>
      <c r="N133" s="286">
        <f t="shared" si="32"/>
        <v>46187413.314911634</v>
      </c>
      <c r="O133" s="297"/>
      <c r="P133" s="288"/>
      <c r="Q133" s="288"/>
      <c r="R133" s="198"/>
      <c r="S133" s="293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</row>
    <row r="134" spans="1:51">
      <c r="A134" s="235" t="s">
        <v>220</v>
      </c>
      <c r="B134" s="73">
        <v>5198008.3084596768</v>
      </c>
      <c r="C134" s="73">
        <v>-34537313.536386102</v>
      </c>
      <c r="D134" s="73">
        <v>11657359.108436942</v>
      </c>
      <c r="E134" s="73">
        <v>-2799270.4780965149</v>
      </c>
      <c r="F134" s="344">
        <f>$AA$30-B134-C134-D134-E134-($N70)</f>
        <v>-18701371.972201437</v>
      </c>
      <c r="G134" s="73">
        <v>0</v>
      </c>
      <c r="H134" s="73">
        <v>0</v>
      </c>
      <c r="I134" s="73">
        <v>0</v>
      </c>
      <c r="J134" s="73">
        <v>0</v>
      </c>
      <c r="K134" s="73">
        <v>0</v>
      </c>
      <c r="L134" s="73">
        <v>0</v>
      </c>
      <c r="M134" s="73">
        <v>0</v>
      </c>
      <c r="N134" s="286">
        <f t="shared" si="32"/>
        <v>-39182588.569787435</v>
      </c>
      <c r="O134" s="297"/>
      <c r="P134" s="288"/>
      <c r="Q134" s="288"/>
      <c r="R134" s="198"/>
      <c r="S134" s="293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</row>
    <row r="135" spans="1:51">
      <c r="A135" s="235" t="s">
        <v>221</v>
      </c>
      <c r="B135" s="73">
        <v>1421.2929877303541</v>
      </c>
      <c r="C135" s="73">
        <v>-19394079.251211964</v>
      </c>
      <c r="D135" s="73">
        <v>0</v>
      </c>
      <c r="E135" s="73">
        <v>0</v>
      </c>
      <c r="F135" s="344">
        <f>$AB$30-B135-C135-D135-E135-($N71)</f>
        <v>0</v>
      </c>
      <c r="G135" s="73">
        <v>0</v>
      </c>
      <c r="H135" s="73">
        <v>0</v>
      </c>
      <c r="I135" s="73">
        <v>0</v>
      </c>
      <c r="J135" s="73">
        <v>0</v>
      </c>
      <c r="K135" s="73">
        <v>0</v>
      </c>
      <c r="L135" s="73">
        <v>0</v>
      </c>
      <c r="M135" s="73">
        <v>0</v>
      </c>
      <c r="N135" s="286">
        <f t="shared" si="32"/>
        <v>-19392657.958224233</v>
      </c>
      <c r="O135" s="297"/>
      <c r="P135" s="288"/>
      <c r="Q135" s="288"/>
      <c r="R135" s="198"/>
      <c r="S135" s="293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</row>
    <row r="136" spans="1:51">
      <c r="A136" s="235" t="s">
        <v>218</v>
      </c>
      <c r="B136" s="73">
        <v>709444.06456542015</v>
      </c>
      <c r="C136" s="73">
        <v>726556.84165370092</v>
      </c>
      <c r="D136" s="73">
        <v>-1698120.7986800242</v>
      </c>
      <c r="E136" s="73">
        <v>252998.18295837566</v>
      </c>
      <c r="F136" s="344">
        <f>$AC$30-B136-C136-D136-E136-($N72)</f>
        <v>989208.22400080599</v>
      </c>
      <c r="G136" s="73">
        <v>0</v>
      </c>
      <c r="H136" s="73">
        <v>0</v>
      </c>
      <c r="I136" s="73">
        <v>0</v>
      </c>
      <c r="J136" s="73">
        <v>0</v>
      </c>
      <c r="K136" s="73">
        <v>0</v>
      </c>
      <c r="L136" s="73">
        <v>0</v>
      </c>
      <c r="M136" s="73">
        <v>0</v>
      </c>
      <c r="N136" s="286">
        <f t="shared" si="32"/>
        <v>980086.5144982785</v>
      </c>
      <c r="O136" s="297"/>
      <c r="P136" s="288"/>
      <c r="Q136" s="288"/>
      <c r="R136" s="198"/>
      <c r="S136" s="293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</row>
    <row r="137" spans="1:51">
      <c r="A137" s="235" t="s">
        <v>222</v>
      </c>
      <c r="B137" s="73">
        <v>11735816.601844743</v>
      </c>
      <c r="C137" s="73">
        <v>5963909.2817217708</v>
      </c>
      <c r="D137" s="73">
        <v>-39524727.085171819</v>
      </c>
      <c r="E137" s="73">
        <v>3384203.3750040382</v>
      </c>
      <c r="F137" s="344">
        <f>$AD$30-B137-C137-D137-E137-($N73)</f>
        <v>1217559.16921179</v>
      </c>
      <c r="G137" s="73">
        <v>0</v>
      </c>
      <c r="H137" s="73">
        <v>0</v>
      </c>
      <c r="I137" s="73">
        <v>0</v>
      </c>
      <c r="J137" s="73">
        <v>0</v>
      </c>
      <c r="K137" s="73">
        <v>0</v>
      </c>
      <c r="L137" s="73">
        <v>0</v>
      </c>
      <c r="M137" s="73">
        <v>0</v>
      </c>
      <c r="N137" s="286">
        <f t="shared" si="32"/>
        <v>-17223238.657389477</v>
      </c>
      <c r="O137" s="297"/>
      <c r="P137" s="288"/>
      <c r="Q137" s="288"/>
      <c r="R137" s="198"/>
      <c r="S137" s="293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</row>
    <row r="138" spans="1:51">
      <c r="A138" s="235" t="s">
        <v>224</v>
      </c>
      <c r="B138" s="73">
        <v>-1341443.6781546399</v>
      </c>
      <c r="C138" s="73">
        <v>-842838.35401934385</v>
      </c>
      <c r="D138" s="73">
        <v>-5547999.2177428603</v>
      </c>
      <c r="E138" s="73">
        <v>9491871.1923432127</v>
      </c>
      <c r="F138" s="344">
        <f>$AE$30-B138-C138-D138-E138-($N74)</f>
        <v>11719356.777128354</v>
      </c>
      <c r="G138" s="73">
        <v>0</v>
      </c>
      <c r="H138" s="73">
        <v>0</v>
      </c>
      <c r="I138" s="73">
        <v>0</v>
      </c>
      <c r="J138" s="73">
        <v>0</v>
      </c>
      <c r="K138" s="73">
        <v>0</v>
      </c>
      <c r="L138" s="73">
        <v>0</v>
      </c>
      <c r="M138" s="73">
        <v>0</v>
      </c>
      <c r="N138" s="286">
        <f t="shared" si="32"/>
        <v>13478946.719554722</v>
      </c>
      <c r="O138" s="297"/>
      <c r="P138" s="288"/>
      <c r="Q138" s="288"/>
      <c r="R138" s="198"/>
      <c r="S138" s="293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</row>
    <row r="139" spans="1:51">
      <c r="A139" s="235" t="s">
        <v>223</v>
      </c>
      <c r="B139" s="73">
        <v>8685747.8178965896</v>
      </c>
      <c r="C139" s="73">
        <v>-706878.26658248715</v>
      </c>
      <c r="D139" s="73">
        <v>-4272957.0485306699</v>
      </c>
      <c r="E139" s="73">
        <v>-1426301.5071787294</v>
      </c>
      <c r="F139" s="344">
        <f>$AF$30-B139-C139-D139-E139-($N75)</f>
        <v>319705.31941229478</v>
      </c>
      <c r="G139" s="73">
        <v>0</v>
      </c>
      <c r="H139" s="73">
        <v>0</v>
      </c>
      <c r="I139" s="73">
        <v>0</v>
      </c>
      <c r="J139" s="73">
        <v>0</v>
      </c>
      <c r="K139" s="73">
        <v>0</v>
      </c>
      <c r="L139" s="73">
        <v>0</v>
      </c>
      <c r="M139" s="73">
        <v>0</v>
      </c>
      <c r="N139" s="286">
        <f t="shared" si="32"/>
        <v>2599316.315016998</v>
      </c>
      <c r="O139" s="297"/>
      <c r="P139" s="288"/>
      <c r="Q139" s="288"/>
      <c r="R139" s="198"/>
      <c r="S139" s="294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</row>
    <row r="140" spans="1:51">
      <c r="A140" s="235" t="s">
        <v>226</v>
      </c>
      <c r="B140" s="73">
        <v>548682.19944177067</v>
      </c>
      <c r="C140" s="73">
        <v>-17164.899831314106</v>
      </c>
      <c r="D140" s="73">
        <v>-529560.85269534867</v>
      </c>
      <c r="E140" s="73">
        <v>3290804.436653656</v>
      </c>
      <c r="F140" s="344">
        <f>$AG$30-B140-C140-D140-E140-($N76)</f>
        <v>37846.283970930614</v>
      </c>
      <c r="G140" s="73">
        <v>0</v>
      </c>
      <c r="H140" s="73">
        <v>0</v>
      </c>
      <c r="I140" s="73">
        <v>0</v>
      </c>
      <c r="J140" s="73">
        <v>0</v>
      </c>
      <c r="K140" s="73">
        <v>0</v>
      </c>
      <c r="L140" s="73">
        <v>0</v>
      </c>
      <c r="M140" s="73">
        <v>0</v>
      </c>
      <c r="N140" s="286">
        <f t="shared" si="32"/>
        <v>3330607.1675396943</v>
      </c>
      <c r="O140" s="297"/>
      <c r="P140" s="288"/>
      <c r="Q140" s="288"/>
      <c r="R140" s="198"/>
      <c r="S140" s="293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</row>
    <row r="141" spans="1:51">
      <c r="A141" s="235" t="s">
        <v>227</v>
      </c>
      <c r="B141" s="73">
        <v>2717124.5302838045</v>
      </c>
      <c r="C141" s="73">
        <v>6369311.0926116845</v>
      </c>
      <c r="D141" s="73">
        <v>-25932000.172915269</v>
      </c>
      <c r="E141" s="73">
        <v>-61462.582981288433</v>
      </c>
      <c r="F141" s="344">
        <f>$AH$30-B141-C141-D141-E141-($N77)</f>
        <v>-12590844.225691989</v>
      </c>
      <c r="G141" s="73">
        <v>0</v>
      </c>
      <c r="H141" s="73">
        <v>0</v>
      </c>
      <c r="I141" s="73">
        <v>0</v>
      </c>
      <c r="J141" s="73">
        <v>0</v>
      </c>
      <c r="K141" s="73">
        <v>0</v>
      </c>
      <c r="L141" s="73">
        <v>0</v>
      </c>
      <c r="M141" s="73">
        <v>0</v>
      </c>
      <c r="N141" s="286">
        <f t="shared" si="32"/>
        <v>-29497871.358693056</v>
      </c>
      <c r="O141" s="297"/>
      <c r="P141" s="288"/>
      <c r="Q141" s="288"/>
      <c r="R141" s="198"/>
      <c r="S141" s="293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</row>
    <row r="142" spans="1:51">
      <c r="A142" s="235" t="s">
        <v>225</v>
      </c>
      <c r="B142" s="73">
        <v>1383810.0725224693</v>
      </c>
      <c r="C142" s="73">
        <v>9170862.5080433283</v>
      </c>
      <c r="D142" s="73">
        <v>-17451892.695015013</v>
      </c>
      <c r="E142" s="73">
        <v>-12266869.729717411</v>
      </c>
      <c r="F142" s="344">
        <f>$AI$30-B142-C142-D142-E142-($N78)</f>
        <v>-47793891.657067388</v>
      </c>
      <c r="G142" s="73">
        <v>0</v>
      </c>
      <c r="H142" s="73">
        <v>0</v>
      </c>
      <c r="I142" s="73">
        <v>0</v>
      </c>
      <c r="J142" s="73">
        <v>0</v>
      </c>
      <c r="K142" s="73">
        <v>0</v>
      </c>
      <c r="L142" s="73">
        <v>0</v>
      </c>
      <c r="M142" s="73">
        <v>0</v>
      </c>
      <c r="N142" s="286">
        <f t="shared" si="32"/>
        <v>-66957981.501234017</v>
      </c>
      <c r="O142" s="297"/>
      <c r="P142" s="288"/>
      <c r="Q142" s="288"/>
      <c r="R142" s="198"/>
      <c r="S142" s="293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</row>
    <row r="143" spans="1:51">
      <c r="A143" s="235" t="s">
        <v>228</v>
      </c>
      <c r="B143" s="73">
        <v>67157.166995668784</v>
      </c>
      <c r="C143" s="73">
        <v>818470.67176528228</v>
      </c>
      <c r="D143" s="73">
        <v>2625396.8033349407</v>
      </c>
      <c r="E143" s="73">
        <v>20170256.546540193</v>
      </c>
      <c r="F143" s="344">
        <f>$AJ$30-B143-C143-D143-E143-($N79)</f>
        <v>-11355033.321531214</v>
      </c>
      <c r="G143" s="73">
        <v>0</v>
      </c>
      <c r="H143" s="73">
        <v>0</v>
      </c>
      <c r="I143" s="73">
        <v>0</v>
      </c>
      <c r="J143" s="73">
        <v>0</v>
      </c>
      <c r="K143" s="73">
        <v>0</v>
      </c>
      <c r="L143" s="73">
        <v>0</v>
      </c>
      <c r="M143" s="73">
        <v>0</v>
      </c>
      <c r="N143" s="286">
        <f t="shared" si="32"/>
        <v>12326247.867104873</v>
      </c>
      <c r="O143" s="297"/>
      <c r="P143" s="288"/>
      <c r="Q143" s="288"/>
      <c r="R143" s="198"/>
      <c r="S143" s="293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</row>
    <row r="144" spans="1:51">
      <c r="A144" s="235" t="s">
        <v>71</v>
      </c>
      <c r="B144" s="73">
        <v>0</v>
      </c>
      <c r="C144" s="73">
        <v>0</v>
      </c>
      <c r="D144" s="73">
        <v>0</v>
      </c>
      <c r="E144" s="73">
        <v>0</v>
      </c>
      <c r="F144" s="344">
        <f>$AK$30-C144-D144-E144-($N80)</f>
        <v>0</v>
      </c>
      <c r="G144" s="73">
        <v>0</v>
      </c>
      <c r="H144" s="73">
        <v>0</v>
      </c>
      <c r="I144" s="73">
        <v>0</v>
      </c>
      <c r="J144" s="73">
        <v>0</v>
      </c>
      <c r="K144" s="73">
        <v>0</v>
      </c>
      <c r="L144" s="73">
        <v>0</v>
      </c>
      <c r="M144" s="73">
        <v>0</v>
      </c>
      <c r="N144" s="286">
        <f t="shared" si="32"/>
        <v>0</v>
      </c>
      <c r="O144" s="297"/>
      <c r="P144" s="288"/>
      <c r="Q144" s="288"/>
      <c r="R144" s="198"/>
      <c r="S144" s="293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</row>
    <row r="145" spans="1:51">
      <c r="A145" s="235" t="s">
        <v>73</v>
      </c>
      <c r="B145" s="73">
        <v>0</v>
      </c>
      <c r="C145" s="73">
        <v>-4976388.7204855839</v>
      </c>
      <c r="D145" s="73">
        <v>-968432</v>
      </c>
      <c r="E145" s="73">
        <v>0</v>
      </c>
      <c r="F145" s="344">
        <f>$AL$30-B145-C145-D145-E145-($N81)</f>
        <v>0</v>
      </c>
      <c r="G145" s="73">
        <v>0</v>
      </c>
      <c r="H145" s="73">
        <v>0</v>
      </c>
      <c r="I145" s="73">
        <v>0</v>
      </c>
      <c r="J145" s="73">
        <v>0</v>
      </c>
      <c r="K145" s="73">
        <v>0</v>
      </c>
      <c r="L145" s="73">
        <v>0</v>
      </c>
      <c r="M145" s="73">
        <v>0</v>
      </c>
      <c r="N145" s="286">
        <f t="shared" si="32"/>
        <v>-5944820.7204855839</v>
      </c>
      <c r="O145" s="297"/>
      <c r="P145" s="288"/>
      <c r="Q145" s="288"/>
      <c r="R145" s="198"/>
      <c r="S145" s="293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</row>
    <row r="146" spans="1:51">
      <c r="A146" s="235" t="s">
        <v>232</v>
      </c>
      <c r="B146" s="73">
        <v>0</v>
      </c>
      <c r="C146" s="73">
        <v>0</v>
      </c>
      <c r="D146" s="73">
        <v>1890030.8153541409</v>
      </c>
      <c r="E146" s="73">
        <v>50515.39804058033</v>
      </c>
      <c r="F146" s="344">
        <f>$AM$30-B146-C146-D146-E146-($N82)</f>
        <v>4084709.4566090265</v>
      </c>
      <c r="G146" s="73">
        <v>0</v>
      </c>
      <c r="H146" s="73">
        <v>0</v>
      </c>
      <c r="I146" s="73">
        <v>0</v>
      </c>
      <c r="J146" s="73">
        <v>0</v>
      </c>
      <c r="K146" s="73">
        <v>0</v>
      </c>
      <c r="L146" s="73">
        <v>0</v>
      </c>
      <c r="M146" s="73">
        <v>0</v>
      </c>
      <c r="N146" s="286">
        <f t="shared" si="32"/>
        <v>6025255.6700037476</v>
      </c>
      <c r="O146" s="297"/>
      <c r="P146" s="288"/>
      <c r="Q146" s="288"/>
      <c r="R146" s="198"/>
      <c r="S146" s="293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</row>
    <row r="147" spans="1:51">
      <c r="A147" s="235" t="s">
        <v>233</v>
      </c>
      <c r="B147" s="73">
        <v>0</v>
      </c>
      <c r="C147" s="73">
        <v>0</v>
      </c>
      <c r="D147" s="73">
        <v>683164.0326713213</v>
      </c>
      <c r="E147" s="73">
        <v>571852.64685185172</v>
      </c>
      <c r="F147" s="344">
        <f>$AN$30-B147-C147-D147-E147-($N83)</f>
        <v>603108.94196034444</v>
      </c>
      <c r="G147" s="73">
        <v>0</v>
      </c>
      <c r="H147" s="73">
        <v>0</v>
      </c>
      <c r="I147" s="73">
        <v>0</v>
      </c>
      <c r="J147" s="73">
        <v>0</v>
      </c>
      <c r="K147" s="73">
        <v>0</v>
      </c>
      <c r="L147" s="73">
        <v>0</v>
      </c>
      <c r="M147" s="73">
        <v>0</v>
      </c>
      <c r="N147" s="286">
        <f t="shared" si="32"/>
        <v>1858125.6214835173</v>
      </c>
      <c r="O147" s="297"/>
      <c r="P147" s="288"/>
      <c r="Q147" s="288"/>
      <c r="R147" s="198"/>
      <c r="S147" s="293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</row>
    <row r="148" spans="1:51">
      <c r="A148" s="235" t="s">
        <v>234</v>
      </c>
      <c r="B148" s="73">
        <v>0</v>
      </c>
      <c r="C148" s="73">
        <v>0</v>
      </c>
      <c r="D148" s="73">
        <v>950756.80663370562</v>
      </c>
      <c r="E148" s="73">
        <v>722905.56593127549</v>
      </c>
      <c r="F148" s="344">
        <f>$AO$30-B148-C148-D148-E148-($N84)</f>
        <v>10687373.090870574</v>
      </c>
      <c r="G148" s="73">
        <v>0</v>
      </c>
      <c r="H148" s="73">
        <v>0</v>
      </c>
      <c r="I148" s="73">
        <v>0</v>
      </c>
      <c r="J148" s="73">
        <v>0</v>
      </c>
      <c r="K148" s="73">
        <v>0</v>
      </c>
      <c r="L148" s="73">
        <v>0</v>
      </c>
      <c r="M148" s="73">
        <v>0</v>
      </c>
      <c r="N148" s="286">
        <f t="shared" si="32"/>
        <v>12361035.463435555</v>
      </c>
      <c r="O148" s="297"/>
      <c r="P148" s="288"/>
      <c r="Q148" s="288"/>
      <c r="R148" s="198"/>
      <c r="S148" s="293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</row>
    <row r="149" spans="1:51">
      <c r="A149" s="235" t="s">
        <v>235</v>
      </c>
      <c r="B149" s="73">
        <v>0</v>
      </c>
      <c r="C149" s="73">
        <v>0</v>
      </c>
      <c r="D149" s="73">
        <v>33502.387547517392</v>
      </c>
      <c r="E149" s="73">
        <v>32346.857288304927</v>
      </c>
      <c r="F149" s="344">
        <f>$AP$30-B149-C149-D149-E149-($N85)</f>
        <v>32579.053118129174</v>
      </c>
      <c r="G149" s="73">
        <v>0</v>
      </c>
      <c r="H149" s="73">
        <v>0</v>
      </c>
      <c r="I149" s="73">
        <v>0</v>
      </c>
      <c r="J149" s="73">
        <v>0</v>
      </c>
      <c r="K149" s="73">
        <v>0</v>
      </c>
      <c r="L149" s="73">
        <v>0</v>
      </c>
      <c r="M149" s="73">
        <v>0</v>
      </c>
      <c r="N149" s="286">
        <f t="shared" si="32"/>
        <v>98428.297953951493</v>
      </c>
      <c r="O149" s="297"/>
      <c r="P149" s="288"/>
      <c r="Q149" s="288"/>
      <c r="R149" s="198"/>
      <c r="S149" s="293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</row>
    <row r="150" spans="1:51">
      <c r="A150" s="235" t="s">
        <v>236</v>
      </c>
      <c r="B150" s="73">
        <v>0</v>
      </c>
      <c r="C150" s="73">
        <v>0</v>
      </c>
      <c r="D150" s="73">
        <v>117792.7502618016</v>
      </c>
      <c r="E150" s="73">
        <v>-23769.817221293488</v>
      </c>
      <c r="F150" s="344">
        <f>$AQ$30-B150-C150-D150-E150-($N86)</f>
        <v>124676.6748839855</v>
      </c>
      <c r="G150" s="73">
        <v>0</v>
      </c>
      <c r="H150" s="73">
        <v>0</v>
      </c>
      <c r="I150" s="73">
        <v>0</v>
      </c>
      <c r="J150" s="73">
        <v>0</v>
      </c>
      <c r="K150" s="73">
        <v>0</v>
      </c>
      <c r="L150" s="73">
        <v>0</v>
      </c>
      <c r="M150" s="73">
        <v>0</v>
      </c>
      <c r="N150" s="286">
        <f t="shared" si="32"/>
        <v>218699.60792449361</v>
      </c>
      <c r="O150" s="297"/>
      <c r="P150" s="288"/>
      <c r="Q150" s="288"/>
      <c r="R150" s="198"/>
      <c r="S150" s="293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</row>
    <row r="151" spans="1:51">
      <c r="A151" s="235" t="s">
        <v>237</v>
      </c>
      <c r="B151" s="73">
        <v>0</v>
      </c>
      <c r="C151" s="73">
        <v>0</v>
      </c>
      <c r="D151" s="73">
        <v>0</v>
      </c>
      <c r="E151" s="73">
        <v>92919.248808113261</v>
      </c>
      <c r="F151" s="344">
        <f>$AR$30-B151-C151-D151-E151-($N87)</f>
        <v>1076681.8079876311</v>
      </c>
      <c r="G151" s="73">
        <v>0</v>
      </c>
      <c r="H151" s="73">
        <v>0</v>
      </c>
      <c r="I151" s="73">
        <v>0</v>
      </c>
      <c r="J151" s="73">
        <v>0</v>
      </c>
      <c r="K151" s="73">
        <v>0</v>
      </c>
      <c r="L151" s="73">
        <v>0</v>
      </c>
      <c r="M151" s="73">
        <v>0</v>
      </c>
      <c r="N151" s="286">
        <f t="shared" si="32"/>
        <v>1169601.0567957442</v>
      </c>
      <c r="O151" s="297"/>
      <c r="P151" s="288"/>
      <c r="Q151" s="288"/>
      <c r="R151" s="198"/>
      <c r="S151" s="293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</row>
    <row r="152" spans="1:51">
      <c r="A152" s="235" t="s">
        <v>62</v>
      </c>
      <c r="B152" s="73">
        <v>0</v>
      </c>
      <c r="C152" s="73">
        <v>0</v>
      </c>
      <c r="D152" s="73">
        <v>10000000</v>
      </c>
      <c r="E152" s="73">
        <v>-2.9802322387695313E-8</v>
      </c>
      <c r="F152" s="344">
        <f>$AS$30-B152-C152-D152-E152-($N88)</f>
        <v>0</v>
      </c>
      <c r="G152" s="73"/>
      <c r="H152" s="73"/>
      <c r="I152" s="73"/>
      <c r="J152" s="73"/>
      <c r="K152" s="73"/>
      <c r="L152" s="73"/>
      <c r="M152" s="73"/>
      <c r="N152" s="286">
        <f t="shared" si="32"/>
        <v>9999999.9999999702</v>
      </c>
      <c r="O152" s="297"/>
      <c r="P152" s="288"/>
      <c r="Q152" s="288"/>
      <c r="R152" s="198"/>
      <c r="S152" s="293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</row>
    <row r="153" spans="1:51">
      <c r="A153" s="235" t="s">
        <v>130</v>
      </c>
      <c r="B153" s="73">
        <v>0</v>
      </c>
      <c r="C153" s="73">
        <v>0</v>
      </c>
      <c r="D153" s="73">
        <v>-1917351.6333333328</v>
      </c>
      <c r="E153" s="73">
        <v>0</v>
      </c>
      <c r="F153" s="344">
        <f>$AT$30-B153-C153-D153-E153-($N89)</f>
        <v>0</v>
      </c>
      <c r="G153" s="73"/>
      <c r="H153" s="73"/>
      <c r="I153" s="73"/>
      <c r="J153" s="73"/>
      <c r="K153" s="73"/>
      <c r="L153" s="73"/>
      <c r="M153" s="73"/>
      <c r="N153" s="286">
        <f t="shared" si="32"/>
        <v>-1917351.6333333328</v>
      </c>
      <c r="O153" s="297"/>
      <c r="P153" s="288"/>
      <c r="Q153" s="288"/>
      <c r="R153" s="198"/>
      <c r="S153" s="293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</row>
    <row r="154" spans="1:51" ht="15.75" thickBot="1">
      <c r="A154" s="50" t="s">
        <v>37</v>
      </c>
      <c r="B154" s="67">
        <f>SUM(B109:B153)</f>
        <v>54115508.187937565</v>
      </c>
      <c r="C154" s="67">
        <f>SUM(C109:C153)</f>
        <v>-113771426.81584157</v>
      </c>
      <c r="D154" s="67">
        <f>SUM(D109:D153)</f>
        <v>-29822509.44656501</v>
      </c>
      <c r="E154" s="67">
        <f>SUM(E109:E153)</f>
        <v>92150815.867644846</v>
      </c>
      <c r="F154" s="340">
        <f>SUM(F109:F153)</f>
        <v>-52834761.224024303</v>
      </c>
      <c r="G154" s="67">
        <f t="shared" ref="G154:N154" si="33">SUM(G109:G153)</f>
        <v>0</v>
      </c>
      <c r="H154" s="67">
        <f t="shared" si="33"/>
        <v>0</v>
      </c>
      <c r="I154" s="67">
        <f t="shared" si="33"/>
        <v>0</v>
      </c>
      <c r="J154" s="67">
        <f t="shared" si="33"/>
        <v>0</v>
      </c>
      <c r="K154" s="67">
        <f t="shared" si="33"/>
        <v>0</v>
      </c>
      <c r="L154" s="67">
        <f t="shared" si="33"/>
        <v>0</v>
      </c>
      <c r="M154" s="67">
        <f t="shared" si="33"/>
        <v>0</v>
      </c>
      <c r="N154" s="67">
        <f t="shared" si="33"/>
        <v>-50162373.43084842</v>
      </c>
      <c r="O154" s="297"/>
      <c r="P154" s="288"/>
      <c r="Q154" s="288"/>
      <c r="R154" s="198"/>
      <c r="S154" s="293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</row>
    <row r="155" spans="1:51" ht="15.75" thickTop="1">
      <c r="A155" s="45" t="s">
        <v>54</v>
      </c>
      <c r="B155" s="84"/>
      <c r="C155" s="84"/>
      <c r="D155" s="84"/>
      <c r="E155" s="84"/>
      <c r="F155" s="338"/>
      <c r="G155" s="84"/>
      <c r="H155" s="84"/>
      <c r="I155" s="84"/>
      <c r="J155" s="84"/>
      <c r="K155" s="84"/>
      <c r="L155" s="84"/>
      <c r="M155" s="84"/>
      <c r="N155" s="262"/>
      <c r="O155" s="297"/>
      <c r="P155" s="288"/>
      <c r="Q155" s="288"/>
      <c r="R155" s="198"/>
      <c r="S155" s="293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</row>
    <row r="156" spans="1:51" ht="15.75" hidden="1" customHeight="1">
      <c r="A156" s="47" t="e">
        <f>#REF!</f>
        <v>#REF!</v>
      </c>
      <c r="B156" s="48">
        <v>0</v>
      </c>
      <c r="C156" s="48">
        <v>0</v>
      </c>
      <c r="D156" s="48">
        <v>0</v>
      </c>
      <c r="E156" s="48">
        <v>0</v>
      </c>
      <c r="F156" s="263">
        <v>0</v>
      </c>
      <c r="G156" s="48">
        <v>0</v>
      </c>
      <c r="H156" s="48">
        <v>0</v>
      </c>
      <c r="I156" s="48">
        <v>0</v>
      </c>
      <c r="J156" s="48">
        <v>0</v>
      </c>
      <c r="K156" s="48">
        <v>0</v>
      </c>
      <c r="L156" s="48">
        <v>0</v>
      </c>
      <c r="M156" s="48">
        <v>0</v>
      </c>
      <c r="N156" s="263">
        <f t="shared" ref="N156:N167" si="34">SUM(B156:M156)</f>
        <v>0</v>
      </c>
      <c r="O156" s="297"/>
      <c r="P156" s="288"/>
      <c r="Q156" s="288"/>
      <c r="R156" s="198"/>
      <c r="S156" s="293"/>
      <c r="T156" s="12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</row>
    <row r="157" spans="1:51" ht="15.75" hidden="1" customHeight="1">
      <c r="A157" s="47" t="e">
        <f>#REF!</f>
        <v>#REF!</v>
      </c>
      <c r="B157" s="48">
        <v>0</v>
      </c>
      <c r="C157" s="48">
        <v>0</v>
      </c>
      <c r="D157" s="48">
        <v>0</v>
      </c>
      <c r="E157" s="48">
        <v>0</v>
      </c>
      <c r="F157" s="263">
        <v>0</v>
      </c>
      <c r="G157" s="48">
        <v>0</v>
      </c>
      <c r="H157" s="48">
        <v>0</v>
      </c>
      <c r="I157" s="48">
        <v>0</v>
      </c>
      <c r="J157" s="48">
        <v>0</v>
      </c>
      <c r="K157" s="48">
        <v>0</v>
      </c>
      <c r="L157" s="48">
        <v>0</v>
      </c>
      <c r="M157" s="48">
        <v>0</v>
      </c>
      <c r="N157" s="263">
        <f t="shared" si="34"/>
        <v>0</v>
      </c>
      <c r="O157" s="297"/>
      <c r="P157" s="288"/>
      <c r="Q157" s="288"/>
      <c r="R157" s="198"/>
      <c r="S157" s="293"/>
      <c r="T157" s="12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</row>
    <row r="158" spans="1:51" ht="15.75" hidden="1" customHeight="1">
      <c r="A158" s="47" t="e">
        <f>#REF!</f>
        <v>#REF!</v>
      </c>
      <c r="B158" s="48">
        <v>0</v>
      </c>
      <c r="C158" s="48">
        <v>0</v>
      </c>
      <c r="D158" s="48">
        <v>0</v>
      </c>
      <c r="E158" s="48">
        <v>0</v>
      </c>
      <c r="F158" s="263">
        <v>0</v>
      </c>
      <c r="G158" s="48">
        <v>0</v>
      </c>
      <c r="H158" s="48">
        <v>0</v>
      </c>
      <c r="I158" s="48">
        <v>0</v>
      </c>
      <c r="J158" s="48">
        <v>0</v>
      </c>
      <c r="K158" s="48">
        <v>0</v>
      </c>
      <c r="L158" s="48">
        <v>0</v>
      </c>
      <c r="M158" s="48">
        <v>0</v>
      </c>
      <c r="N158" s="263">
        <f t="shared" si="34"/>
        <v>0</v>
      </c>
      <c r="O158" s="297"/>
      <c r="P158" s="288"/>
      <c r="Q158" s="288"/>
      <c r="R158" s="198"/>
      <c r="S158" s="293"/>
      <c r="T158" s="12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</row>
    <row r="159" spans="1:51" ht="15.75" hidden="1" customHeight="1">
      <c r="A159" s="47" t="e">
        <f>#REF!</f>
        <v>#REF!</v>
      </c>
      <c r="B159" s="48">
        <v>0</v>
      </c>
      <c r="C159" s="48">
        <v>0</v>
      </c>
      <c r="D159" s="48">
        <v>0</v>
      </c>
      <c r="E159" s="48">
        <v>0</v>
      </c>
      <c r="F159" s="263">
        <v>0</v>
      </c>
      <c r="G159" s="48">
        <v>0</v>
      </c>
      <c r="H159" s="48">
        <v>0</v>
      </c>
      <c r="I159" s="48">
        <v>0</v>
      </c>
      <c r="J159" s="48">
        <v>0</v>
      </c>
      <c r="K159" s="48">
        <v>0</v>
      </c>
      <c r="L159" s="48">
        <v>0</v>
      </c>
      <c r="M159" s="48">
        <v>0</v>
      </c>
      <c r="N159" s="263">
        <f t="shared" si="34"/>
        <v>0</v>
      </c>
      <c r="O159" s="297"/>
      <c r="P159" s="288"/>
      <c r="Q159" s="288"/>
      <c r="R159" s="198"/>
      <c r="S159" s="293"/>
      <c r="T159" s="12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</row>
    <row r="160" spans="1:51" ht="15.75" hidden="1" customHeight="1">
      <c r="A160" s="47" t="e">
        <f>#REF!</f>
        <v>#REF!</v>
      </c>
      <c r="B160" s="48">
        <v>0</v>
      </c>
      <c r="C160" s="48">
        <v>0</v>
      </c>
      <c r="D160" s="48">
        <v>0</v>
      </c>
      <c r="E160" s="48">
        <v>0</v>
      </c>
      <c r="F160" s="263">
        <v>0</v>
      </c>
      <c r="G160" s="48">
        <v>0</v>
      </c>
      <c r="H160" s="48">
        <v>0</v>
      </c>
      <c r="I160" s="48">
        <v>0</v>
      </c>
      <c r="J160" s="48">
        <v>0</v>
      </c>
      <c r="K160" s="48">
        <v>0</v>
      </c>
      <c r="L160" s="48">
        <v>0</v>
      </c>
      <c r="M160" s="48">
        <v>0</v>
      </c>
      <c r="N160" s="263">
        <f t="shared" si="34"/>
        <v>0</v>
      </c>
      <c r="O160" s="297"/>
      <c r="P160" s="288"/>
      <c r="Q160" s="288"/>
      <c r="R160" s="198"/>
      <c r="S160" s="293"/>
      <c r="T160" s="12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</row>
    <row r="161" spans="1:51" ht="15.75" hidden="1" customHeight="1">
      <c r="A161" s="47" t="e">
        <f>#REF!</f>
        <v>#REF!</v>
      </c>
      <c r="B161" s="48">
        <v>0</v>
      </c>
      <c r="C161" s="48">
        <v>0</v>
      </c>
      <c r="D161" s="48">
        <v>0</v>
      </c>
      <c r="E161" s="48">
        <v>0</v>
      </c>
      <c r="F161" s="263">
        <v>0</v>
      </c>
      <c r="G161" s="48">
        <v>0</v>
      </c>
      <c r="H161" s="48">
        <v>0</v>
      </c>
      <c r="I161" s="48">
        <v>0</v>
      </c>
      <c r="J161" s="48">
        <v>0</v>
      </c>
      <c r="K161" s="48">
        <v>0</v>
      </c>
      <c r="L161" s="48">
        <v>0</v>
      </c>
      <c r="M161" s="48">
        <v>0</v>
      </c>
      <c r="N161" s="263">
        <f t="shared" si="34"/>
        <v>0</v>
      </c>
      <c r="O161" s="297"/>
      <c r="P161" s="288"/>
      <c r="Q161" s="288"/>
      <c r="R161" s="198"/>
      <c r="S161" s="293"/>
      <c r="T161" s="12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</row>
    <row r="162" spans="1:51" ht="15.75" hidden="1" customHeight="1">
      <c r="A162" s="47" t="e">
        <f>#REF!</f>
        <v>#REF!</v>
      </c>
      <c r="B162" s="48">
        <v>0</v>
      </c>
      <c r="C162" s="48">
        <v>0</v>
      </c>
      <c r="D162" s="48">
        <v>0</v>
      </c>
      <c r="E162" s="48">
        <v>0</v>
      </c>
      <c r="F162" s="263">
        <v>0</v>
      </c>
      <c r="G162" s="48">
        <v>0</v>
      </c>
      <c r="H162" s="48">
        <v>0</v>
      </c>
      <c r="I162" s="48">
        <v>0</v>
      </c>
      <c r="J162" s="48">
        <v>0</v>
      </c>
      <c r="K162" s="48">
        <v>0</v>
      </c>
      <c r="L162" s="48">
        <v>0</v>
      </c>
      <c r="M162" s="48">
        <v>0</v>
      </c>
      <c r="N162" s="263">
        <f>SUM(B162:M162)</f>
        <v>0</v>
      </c>
      <c r="O162" s="297"/>
      <c r="P162" s="288"/>
      <c r="Q162" s="288"/>
      <c r="R162" s="198"/>
      <c r="S162" s="293"/>
      <c r="T162" s="1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</row>
    <row r="163" spans="1:51" ht="15.75" hidden="1" customHeight="1">
      <c r="A163" s="47" t="e">
        <f>#REF!</f>
        <v>#REF!</v>
      </c>
      <c r="B163" s="48">
        <v>0</v>
      </c>
      <c r="C163" s="48">
        <v>0</v>
      </c>
      <c r="D163" s="48">
        <v>0</v>
      </c>
      <c r="E163" s="48">
        <v>0</v>
      </c>
      <c r="F163" s="263">
        <v>0</v>
      </c>
      <c r="G163" s="48">
        <v>0</v>
      </c>
      <c r="H163" s="48">
        <v>0</v>
      </c>
      <c r="I163" s="48">
        <v>0</v>
      </c>
      <c r="J163" s="48">
        <v>0</v>
      </c>
      <c r="K163" s="48">
        <v>0</v>
      </c>
      <c r="L163" s="48">
        <v>0</v>
      </c>
      <c r="M163" s="48">
        <v>0</v>
      </c>
      <c r="N163" s="263">
        <f>SUM(B163:M163)</f>
        <v>0</v>
      </c>
      <c r="O163" s="297"/>
      <c r="P163" s="288"/>
      <c r="Q163" s="288"/>
      <c r="R163" s="198"/>
      <c r="S163" s="293"/>
      <c r="T163" s="12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</row>
    <row r="164" spans="1:51" ht="15.75" customHeight="1">
      <c r="A164" s="47" t="s">
        <v>142</v>
      </c>
      <c r="B164" s="48">
        <v>0</v>
      </c>
      <c r="C164" s="48">
        <v>0</v>
      </c>
      <c r="D164" s="48">
        <v>0</v>
      </c>
      <c r="E164" s="48">
        <v>0</v>
      </c>
      <c r="F164" s="263">
        <v>0</v>
      </c>
      <c r="G164" s="48">
        <v>0</v>
      </c>
      <c r="H164" s="48">
        <v>0</v>
      </c>
      <c r="I164" s="48">
        <v>0</v>
      </c>
      <c r="J164" s="48">
        <v>0</v>
      </c>
      <c r="K164" s="48">
        <v>0</v>
      </c>
      <c r="L164" s="48">
        <v>0</v>
      </c>
      <c r="M164" s="48">
        <v>0</v>
      </c>
      <c r="N164" s="263">
        <f t="shared" si="34"/>
        <v>0</v>
      </c>
      <c r="O164" s="297"/>
      <c r="P164" s="288"/>
      <c r="Q164" s="288"/>
      <c r="R164" s="198"/>
      <c r="S164" s="293"/>
      <c r="T164" s="12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</row>
    <row r="165" spans="1:51" ht="15.75" customHeight="1">
      <c r="A165" s="47" t="s">
        <v>36</v>
      </c>
      <c r="B165" s="48">
        <v>0</v>
      </c>
      <c r="C165" s="48">
        <v>0</v>
      </c>
      <c r="D165" s="48">
        <v>0</v>
      </c>
      <c r="E165" s="48">
        <v>0</v>
      </c>
      <c r="F165" s="263">
        <v>0</v>
      </c>
      <c r="G165" s="48">
        <v>0</v>
      </c>
      <c r="H165" s="48">
        <v>0</v>
      </c>
      <c r="I165" s="48">
        <v>0</v>
      </c>
      <c r="J165" s="48">
        <v>0</v>
      </c>
      <c r="K165" s="48">
        <v>0</v>
      </c>
      <c r="L165" s="48">
        <v>0</v>
      </c>
      <c r="M165" s="48">
        <v>0</v>
      </c>
      <c r="N165" s="263">
        <f t="shared" si="34"/>
        <v>0</v>
      </c>
      <c r="O165" s="297"/>
      <c r="P165" s="288"/>
      <c r="Q165" s="288"/>
      <c r="R165" s="198"/>
      <c r="S165" s="293"/>
      <c r="T165" s="12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</row>
    <row r="166" spans="1:51">
      <c r="A166" s="47" t="s">
        <v>141</v>
      </c>
      <c r="B166" s="48">
        <v>0</v>
      </c>
      <c r="C166" s="48">
        <v>0</v>
      </c>
      <c r="D166" s="48">
        <v>0</v>
      </c>
      <c r="E166" s="48">
        <v>0</v>
      </c>
      <c r="F166" s="263">
        <v>0</v>
      </c>
      <c r="G166" s="48">
        <v>0</v>
      </c>
      <c r="H166" s="48">
        <v>0</v>
      </c>
      <c r="I166" s="48">
        <v>0</v>
      </c>
      <c r="J166" s="48">
        <v>0</v>
      </c>
      <c r="K166" s="48">
        <v>0</v>
      </c>
      <c r="L166" s="48">
        <v>0</v>
      </c>
      <c r="M166" s="48">
        <v>0</v>
      </c>
      <c r="N166" s="263">
        <f t="shared" si="34"/>
        <v>0</v>
      </c>
      <c r="O166" s="297"/>
      <c r="P166" s="288"/>
      <c r="Q166" s="288"/>
      <c r="R166" s="198"/>
      <c r="S166" s="293"/>
      <c r="T166" s="12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</row>
    <row r="167" spans="1:51">
      <c r="A167" s="47" t="s">
        <v>143</v>
      </c>
      <c r="B167" s="48">
        <v>0</v>
      </c>
      <c r="C167" s="48">
        <v>0</v>
      </c>
      <c r="D167" s="48">
        <v>0</v>
      </c>
      <c r="E167" s="48">
        <v>0</v>
      </c>
      <c r="F167" s="263">
        <v>0</v>
      </c>
      <c r="G167" s="48">
        <v>0</v>
      </c>
      <c r="H167" s="48">
        <v>0</v>
      </c>
      <c r="I167" s="48">
        <v>0</v>
      </c>
      <c r="J167" s="48">
        <v>0</v>
      </c>
      <c r="K167" s="48">
        <v>0</v>
      </c>
      <c r="L167" s="48">
        <v>0</v>
      </c>
      <c r="M167" s="48">
        <v>0</v>
      </c>
      <c r="N167" s="263">
        <f t="shared" si="34"/>
        <v>0</v>
      </c>
      <c r="O167" s="297"/>
      <c r="P167" s="288"/>
      <c r="Q167" s="288"/>
      <c r="R167" s="198"/>
      <c r="S167" s="293"/>
      <c r="T167" s="12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</row>
    <row r="168" spans="1:51" ht="15.75" thickBot="1">
      <c r="A168" s="85" t="s">
        <v>37</v>
      </c>
      <c r="B168" s="237">
        <f t="shared" ref="B168:N168" si="35">SUM(B156:B167)</f>
        <v>0</v>
      </c>
      <c r="C168" s="237">
        <f t="shared" si="35"/>
        <v>0</v>
      </c>
      <c r="D168" s="237">
        <f t="shared" si="35"/>
        <v>0</v>
      </c>
      <c r="E168" s="237">
        <f t="shared" si="35"/>
        <v>0</v>
      </c>
      <c r="F168" s="237">
        <f t="shared" si="35"/>
        <v>0</v>
      </c>
      <c r="G168" s="237">
        <f t="shared" si="35"/>
        <v>0</v>
      </c>
      <c r="H168" s="237">
        <f t="shared" si="35"/>
        <v>0</v>
      </c>
      <c r="I168" s="237">
        <f t="shared" si="35"/>
        <v>0</v>
      </c>
      <c r="J168" s="237">
        <f t="shared" si="35"/>
        <v>0</v>
      </c>
      <c r="K168" s="237">
        <f t="shared" si="35"/>
        <v>0</v>
      </c>
      <c r="L168" s="237">
        <f t="shared" si="35"/>
        <v>0</v>
      </c>
      <c r="M168" s="237">
        <f t="shared" si="35"/>
        <v>0</v>
      </c>
      <c r="N168" s="237">
        <f t="shared" si="35"/>
        <v>0</v>
      </c>
      <c r="O168" s="297"/>
      <c r="P168" s="288"/>
      <c r="Q168" s="288"/>
      <c r="R168" s="198"/>
      <c r="S168" s="293"/>
      <c r="T168" s="12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</row>
    <row r="169" spans="1:51" ht="16.5" thickTop="1" thickBot="1">
      <c r="A169" s="80" t="s">
        <v>15</v>
      </c>
      <c r="B169" s="68">
        <f t="shared" ref="B169:M169" si="36">B154+B168</f>
        <v>54115508.187937565</v>
      </c>
      <c r="C169" s="68">
        <f t="shared" si="36"/>
        <v>-113771426.81584157</v>
      </c>
      <c r="D169" s="68">
        <f t="shared" si="36"/>
        <v>-29822509.44656501</v>
      </c>
      <c r="E169" s="68">
        <f t="shared" si="36"/>
        <v>92150815.867644846</v>
      </c>
      <c r="F169" s="342">
        <f t="shared" si="36"/>
        <v>-52834761.224024303</v>
      </c>
      <c r="G169" s="68">
        <f t="shared" si="36"/>
        <v>0</v>
      </c>
      <c r="H169" s="68">
        <f t="shared" si="36"/>
        <v>0</v>
      </c>
      <c r="I169" s="68">
        <f t="shared" si="36"/>
        <v>0</v>
      </c>
      <c r="J169" s="68">
        <f t="shared" si="36"/>
        <v>0</v>
      </c>
      <c r="K169" s="68">
        <f t="shared" si="36"/>
        <v>0</v>
      </c>
      <c r="L169" s="68">
        <f>L154+L168</f>
        <v>0</v>
      </c>
      <c r="M169" s="68">
        <f t="shared" si="36"/>
        <v>0</v>
      </c>
      <c r="N169" s="247">
        <f>N154+N168</f>
        <v>-50162373.43084842</v>
      </c>
      <c r="O169" s="297"/>
      <c r="P169" s="288"/>
      <c r="Q169" s="288"/>
      <c r="R169" s="198"/>
      <c r="S169" s="293"/>
      <c r="T169" s="12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</row>
    <row r="170" spans="1:51" ht="15.75" thickTop="1">
      <c r="A170" s="6"/>
      <c r="B170" s="12"/>
      <c r="E170" s="11"/>
      <c r="M170" s="109"/>
      <c r="O170" s="297"/>
      <c r="P170" s="288"/>
      <c r="Q170" s="288"/>
      <c r="R170" s="198"/>
      <c r="S170" s="293"/>
      <c r="T170" s="12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</row>
    <row r="171" spans="1:51">
      <c r="A171" s="439" t="s">
        <v>55</v>
      </c>
      <c r="B171" s="437">
        <v>43101</v>
      </c>
      <c r="C171" s="437">
        <v>43132</v>
      </c>
      <c r="D171" s="437">
        <v>43160</v>
      </c>
      <c r="E171" s="437">
        <v>42826</v>
      </c>
      <c r="F171" s="476">
        <v>42856</v>
      </c>
      <c r="G171" s="437">
        <v>42887</v>
      </c>
      <c r="H171" s="437">
        <v>42917</v>
      </c>
      <c r="I171" s="437">
        <v>42948</v>
      </c>
      <c r="J171" s="437">
        <v>42979</v>
      </c>
      <c r="K171" s="437">
        <v>43009</v>
      </c>
      <c r="L171" s="437">
        <v>43040</v>
      </c>
      <c r="M171" s="437">
        <v>43070</v>
      </c>
      <c r="N171" s="469" t="str">
        <f>N42</f>
        <v>Total</v>
      </c>
      <c r="O171" s="297"/>
      <c r="P171" s="288"/>
      <c r="Q171" s="288"/>
      <c r="R171" s="198"/>
      <c r="S171" s="293"/>
      <c r="T171" s="12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</row>
    <row r="172" spans="1:51" ht="15.75" thickBot="1">
      <c r="A172" s="440"/>
      <c r="B172" s="438"/>
      <c r="C172" s="438"/>
      <c r="D172" s="438"/>
      <c r="E172" s="438"/>
      <c r="F172" s="477"/>
      <c r="G172" s="438"/>
      <c r="H172" s="438"/>
      <c r="I172" s="438"/>
      <c r="J172" s="438"/>
      <c r="K172" s="438"/>
      <c r="L172" s="438"/>
      <c r="M172" s="438"/>
      <c r="N172" s="470"/>
      <c r="O172" s="297"/>
      <c r="P172" s="288"/>
      <c r="Q172" s="288"/>
      <c r="R172" s="198"/>
      <c r="S172" s="293"/>
      <c r="T172" s="1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</row>
    <row r="173" spans="1:51" ht="15.75" thickTop="1">
      <c r="A173" s="81" t="s">
        <v>35</v>
      </c>
      <c r="B173" s="82"/>
      <c r="C173" s="82"/>
      <c r="D173" s="82"/>
      <c r="E173" s="82"/>
      <c r="F173" s="336"/>
      <c r="G173" s="82"/>
      <c r="H173" s="82"/>
      <c r="I173" s="82"/>
      <c r="J173" s="82"/>
      <c r="K173" s="82"/>
      <c r="L173" s="82"/>
      <c r="M173" s="82"/>
      <c r="N173" s="259"/>
      <c r="O173" s="297"/>
      <c r="P173" s="288"/>
      <c r="Q173" s="288"/>
      <c r="R173" s="198"/>
      <c r="S173" s="293"/>
      <c r="T173" s="12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</row>
    <row r="174" spans="1:51" ht="15" customHeight="1">
      <c r="A174" s="47" t="s">
        <v>8</v>
      </c>
      <c r="B174" s="48">
        <v>-2186448.6689999998</v>
      </c>
      <c r="C174" s="309">
        <v>1376350.2799999998</v>
      </c>
      <c r="D174" s="309">
        <v>1287382.719</v>
      </c>
      <c r="E174" s="309">
        <v>1129083.5349999997</v>
      </c>
      <c r="F174" s="175">
        <v>2206321.7829999998</v>
      </c>
      <c r="G174" s="177">
        <v>0</v>
      </c>
      <c r="H174" s="177">
        <v>0</v>
      </c>
      <c r="I174" s="177">
        <v>0</v>
      </c>
      <c r="J174" s="177">
        <v>0</v>
      </c>
      <c r="K174" s="177">
        <v>0</v>
      </c>
      <c r="L174" s="177">
        <v>0</v>
      </c>
      <c r="M174" s="177">
        <v>0</v>
      </c>
      <c r="N174" s="314">
        <f>SUM(B174:M174)</f>
        <v>3812689.6479999996</v>
      </c>
      <c r="O174" s="297"/>
      <c r="P174" s="288"/>
      <c r="Q174" s="288"/>
      <c r="R174" s="198"/>
      <c r="S174" s="293"/>
      <c r="T174" s="12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</row>
    <row r="175" spans="1:51" ht="15" customHeight="1">
      <c r="A175" s="47" t="s">
        <v>10</v>
      </c>
      <c r="B175" s="48">
        <v>2051661.4</v>
      </c>
      <c r="C175" s="309">
        <v>1240298.7480000001</v>
      </c>
      <c r="D175" s="309">
        <v>-367853.26800000016</v>
      </c>
      <c r="E175" s="309">
        <v>355167.76200000005</v>
      </c>
      <c r="F175" s="175">
        <v>285018.89600000001</v>
      </c>
      <c r="G175" s="177">
        <v>0</v>
      </c>
      <c r="H175" s="177">
        <v>0</v>
      </c>
      <c r="I175" s="177">
        <v>0</v>
      </c>
      <c r="J175" s="177">
        <v>0</v>
      </c>
      <c r="K175" s="177">
        <v>0</v>
      </c>
      <c r="L175" s="177">
        <v>0</v>
      </c>
      <c r="M175" s="177">
        <v>0</v>
      </c>
      <c r="N175" s="314">
        <f t="shared" ref="N175:N205" si="37">SUM(B175:M175)</f>
        <v>3564293.5380000002</v>
      </c>
      <c r="O175" s="297"/>
      <c r="P175" s="288"/>
      <c r="Q175" s="288"/>
      <c r="R175" s="198"/>
      <c r="S175" s="293"/>
      <c r="T175" s="12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</row>
    <row r="176" spans="1:51">
      <c r="A176" s="47" t="s">
        <v>68</v>
      </c>
      <c r="B176" s="48">
        <v>15191959.531999998</v>
      </c>
      <c r="C176" s="309">
        <v>54158421.08699999</v>
      </c>
      <c r="D176" s="309">
        <v>31400914.561000019</v>
      </c>
      <c r="E176" s="309">
        <v>26440138.863999996</v>
      </c>
      <c r="F176" s="175">
        <v>26696538.799000002</v>
      </c>
      <c r="G176" s="177">
        <v>0</v>
      </c>
      <c r="H176" s="177">
        <v>0</v>
      </c>
      <c r="I176" s="177">
        <v>0</v>
      </c>
      <c r="J176" s="177">
        <v>0</v>
      </c>
      <c r="K176" s="177">
        <v>0</v>
      </c>
      <c r="L176" s="177">
        <v>0</v>
      </c>
      <c r="M176" s="177">
        <v>0</v>
      </c>
      <c r="N176" s="314">
        <f t="shared" si="37"/>
        <v>153887972.84299999</v>
      </c>
      <c r="O176" s="297"/>
      <c r="P176" s="288"/>
      <c r="Q176" s="288"/>
      <c r="R176" s="198"/>
      <c r="S176" s="293"/>
      <c r="T176" s="12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</row>
    <row r="177" spans="1:51">
      <c r="A177" s="47" t="s">
        <v>85</v>
      </c>
      <c r="B177" s="48">
        <v>1668244.469</v>
      </c>
      <c r="C177" s="309">
        <v>3305953.3840000001</v>
      </c>
      <c r="D177" s="309">
        <v>4643847.4169999994</v>
      </c>
      <c r="E177" s="309">
        <v>2613402.3340000007</v>
      </c>
      <c r="F177" s="175">
        <v>3414249.4619999989</v>
      </c>
      <c r="G177" s="177">
        <v>0</v>
      </c>
      <c r="H177" s="177">
        <v>0</v>
      </c>
      <c r="I177" s="177">
        <v>0</v>
      </c>
      <c r="J177" s="177">
        <v>0</v>
      </c>
      <c r="K177" s="177">
        <v>0</v>
      </c>
      <c r="L177" s="177">
        <v>0</v>
      </c>
      <c r="M177" s="177">
        <v>0</v>
      </c>
      <c r="N177" s="314">
        <f t="shared" si="37"/>
        <v>15645697.066</v>
      </c>
      <c r="O177" s="297"/>
      <c r="P177" s="288"/>
      <c r="Q177" s="288"/>
      <c r="R177" s="198"/>
      <c r="S177" s="293"/>
      <c r="T177" s="12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</row>
    <row r="178" spans="1:51" ht="15" customHeight="1">
      <c r="A178" s="47" t="s">
        <v>94</v>
      </c>
      <c r="B178" s="48">
        <v>564071.00400000007</v>
      </c>
      <c r="C178" s="309">
        <v>2284059.0799999991</v>
      </c>
      <c r="D178" s="309">
        <v>660292.56600000057</v>
      </c>
      <c r="E178" s="309">
        <v>782619.68999999983</v>
      </c>
      <c r="F178" s="175">
        <v>2203026.7540000002</v>
      </c>
      <c r="G178" s="177">
        <v>0</v>
      </c>
      <c r="H178" s="177">
        <v>0</v>
      </c>
      <c r="I178" s="177">
        <v>0</v>
      </c>
      <c r="J178" s="177">
        <v>0</v>
      </c>
      <c r="K178" s="177">
        <v>0</v>
      </c>
      <c r="L178" s="177">
        <v>0</v>
      </c>
      <c r="M178" s="177">
        <v>0</v>
      </c>
      <c r="N178" s="314">
        <f t="shared" si="37"/>
        <v>6494069.0940000005</v>
      </c>
      <c r="O178" s="297"/>
      <c r="P178" s="288"/>
      <c r="Q178" s="288"/>
      <c r="R178" s="198"/>
      <c r="S178" s="293"/>
      <c r="T178" s="12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</row>
    <row r="179" spans="1:51">
      <c r="A179" s="47" t="s">
        <v>95</v>
      </c>
      <c r="B179" s="48">
        <v>3704306.4719999996</v>
      </c>
      <c r="C179" s="309">
        <v>4294060.1969999988</v>
      </c>
      <c r="D179" s="309">
        <v>1358109.3510000017</v>
      </c>
      <c r="E179" s="309">
        <v>1000891.008</v>
      </c>
      <c r="F179" s="175">
        <v>927713.08299999987</v>
      </c>
      <c r="G179" s="177">
        <v>0</v>
      </c>
      <c r="H179" s="177">
        <v>0</v>
      </c>
      <c r="I179" s="177">
        <v>0</v>
      </c>
      <c r="J179" s="177">
        <v>0</v>
      </c>
      <c r="K179" s="177">
        <v>0</v>
      </c>
      <c r="L179" s="177">
        <v>0</v>
      </c>
      <c r="M179" s="177">
        <v>0</v>
      </c>
      <c r="N179" s="314">
        <f t="shared" si="37"/>
        <v>11285080.111</v>
      </c>
      <c r="O179" s="297"/>
      <c r="P179" s="288"/>
      <c r="Q179" s="288"/>
      <c r="R179" s="198"/>
      <c r="S179" s="293"/>
      <c r="T179" s="12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</row>
    <row r="180" spans="1:51">
      <c r="A180" s="47" t="s">
        <v>131</v>
      </c>
      <c r="B180" s="48">
        <v>2327349.3049999997</v>
      </c>
      <c r="C180" s="309">
        <v>4381611.7540000016</v>
      </c>
      <c r="D180" s="309">
        <v>2877050.2809999986</v>
      </c>
      <c r="E180" s="309">
        <v>3441400.4229999995</v>
      </c>
      <c r="F180" s="175">
        <v>2932848.0159999998</v>
      </c>
      <c r="G180" s="177">
        <v>0</v>
      </c>
      <c r="H180" s="177">
        <v>0</v>
      </c>
      <c r="I180" s="177">
        <v>0</v>
      </c>
      <c r="J180" s="177">
        <v>0</v>
      </c>
      <c r="K180" s="177">
        <v>0</v>
      </c>
      <c r="L180" s="177">
        <v>0</v>
      </c>
      <c r="M180" s="177">
        <v>0</v>
      </c>
      <c r="N180" s="314">
        <f t="shared" si="37"/>
        <v>15960259.778999999</v>
      </c>
      <c r="O180" s="297"/>
      <c r="P180" s="288"/>
      <c r="Q180" s="288"/>
      <c r="R180" s="198"/>
      <c r="S180" s="293"/>
      <c r="T180" s="12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</row>
    <row r="181" spans="1:51">
      <c r="A181" s="47" t="s">
        <v>128</v>
      </c>
      <c r="B181" s="48">
        <v>20446988.530000005</v>
      </c>
      <c r="C181" s="309">
        <v>23402950.079</v>
      </c>
      <c r="D181" s="309">
        <v>28941505.681000002</v>
      </c>
      <c r="E181" s="309">
        <v>29117510.153000001</v>
      </c>
      <c r="F181" s="175">
        <f>16669258.447-60000</f>
        <v>16609258.447000001</v>
      </c>
      <c r="G181" s="177">
        <v>0</v>
      </c>
      <c r="H181" s="177">
        <v>0</v>
      </c>
      <c r="I181" s="177">
        <v>0</v>
      </c>
      <c r="J181" s="177">
        <v>0</v>
      </c>
      <c r="K181" s="177">
        <v>0</v>
      </c>
      <c r="L181" s="177">
        <v>0</v>
      </c>
      <c r="M181" s="177">
        <v>0</v>
      </c>
      <c r="N181" s="314">
        <f t="shared" si="37"/>
        <v>118518212.89</v>
      </c>
      <c r="O181" s="297"/>
      <c r="P181" s="288"/>
      <c r="Q181" s="288"/>
      <c r="R181" s="198"/>
      <c r="S181" s="293"/>
      <c r="T181" s="12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</row>
    <row r="182" spans="1:51" ht="15" customHeight="1">
      <c r="A182" s="47" t="s">
        <v>129</v>
      </c>
      <c r="B182" s="48">
        <v>6862074.8850000026</v>
      </c>
      <c r="C182" s="309">
        <v>12311354.904000003</v>
      </c>
      <c r="D182" s="309">
        <v>13827494.480999995</v>
      </c>
      <c r="E182" s="309">
        <v>6803567.733</v>
      </c>
      <c r="F182" s="175">
        <v>11721724.008000001</v>
      </c>
      <c r="G182" s="177">
        <v>0</v>
      </c>
      <c r="H182" s="177">
        <v>0</v>
      </c>
      <c r="I182" s="177">
        <v>0</v>
      </c>
      <c r="J182" s="177">
        <v>0</v>
      </c>
      <c r="K182" s="177">
        <v>0</v>
      </c>
      <c r="L182" s="177">
        <v>0</v>
      </c>
      <c r="M182" s="177">
        <v>0</v>
      </c>
      <c r="N182" s="314">
        <f t="shared" si="37"/>
        <v>51526216.011</v>
      </c>
      <c r="O182" s="297"/>
      <c r="P182" s="288"/>
      <c r="Q182" s="288"/>
      <c r="R182" s="198"/>
      <c r="S182" s="293"/>
      <c r="T182" s="1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</row>
    <row r="183" spans="1:51">
      <c r="A183" s="47" t="s">
        <v>132</v>
      </c>
      <c r="B183" s="48">
        <v>1004904.0279999999</v>
      </c>
      <c r="C183" s="309">
        <v>569215.39100000029</v>
      </c>
      <c r="D183" s="309">
        <v>-1574119.4200000002</v>
      </c>
      <c r="E183" s="309"/>
      <c r="F183" s="175">
        <v>56480.959999999999</v>
      </c>
      <c r="G183" s="177">
        <v>0</v>
      </c>
      <c r="H183" s="177">
        <v>0</v>
      </c>
      <c r="I183" s="177">
        <v>0</v>
      </c>
      <c r="J183" s="177">
        <v>0</v>
      </c>
      <c r="K183" s="177">
        <v>0</v>
      </c>
      <c r="L183" s="177">
        <v>0</v>
      </c>
      <c r="M183" s="177">
        <v>0</v>
      </c>
      <c r="N183" s="314">
        <f t="shared" si="37"/>
        <v>56480.959000000068</v>
      </c>
      <c r="O183" s="297"/>
      <c r="P183" s="288"/>
      <c r="Q183" s="298"/>
      <c r="R183" s="295"/>
      <c r="S183" s="293"/>
      <c r="T183" s="12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</row>
    <row r="184" spans="1:51">
      <c r="A184" s="47" t="s">
        <v>135</v>
      </c>
      <c r="B184" s="48">
        <v>8149910.8930000002</v>
      </c>
      <c r="C184" s="309">
        <v>10786518.797999997</v>
      </c>
      <c r="D184" s="309">
        <v>14904981.550000001</v>
      </c>
      <c r="E184" s="309">
        <v>10518601.855</v>
      </c>
      <c r="F184" s="175">
        <v>6006106.7940000007</v>
      </c>
      <c r="G184" s="177">
        <v>0</v>
      </c>
      <c r="H184" s="177">
        <v>0</v>
      </c>
      <c r="I184" s="177">
        <v>0</v>
      </c>
      <c r="J184" s="177">
        <v>0</v>
      </c>
      <c r="K184" s="177">
        <v>0</v>
      </c>
      <c r="L184" s="177">
        <v>0</v>
      </c>
      <c r="M184" s="177">
        <v>0</v>
      </c>
      <c r="N184" s="314">
        <f t="shared" si="37"/>
        <v>50366119.890000001</v>
      </c>
      <c r="O184" s="297"/>
      <c r="P184" s="288"/>
      <c r="Q184" s="298"/>
      <c r="R184" s="295"/>
      <c r="S184" s="293"/>
      <c r="T184" s="12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</row>
    <row r="185" spans="1:51">
      <c r="A185" s="47" t="s">
        <v>136</v>
      </c>
      <c r="B185" s="48">
        <v>7620714.8549999995</v>
      </c>
      <c r="C185" s="309">
        <v>3125911.7139999988</v>
      </c>
      <c r="D185" s="309">
        <v>11108579.181000002</v>
      </c>
      <c r="E185" s="309">
        <v>5645317.5379999997</v>
      </c>
      <c r="F185" s="175">
        <v>1364061.7049999998</v>
      </c>
      <c r="G185" s="177">
        <v>0</v>
      </c>
      <c r="H185" s="177">
        <v>0</v>
      </c>
      <c r="I185" s="177">
        <v>0</v>
      </c>
      <c r="J185" s="177">
        <v>0</v>
      </c>
      <c r="K185" s="177">
        <v>0</v>
      </c>
      <c r="L185" s="177">
        <v>0</v>
      </c>
      <c r="M185" s="177">
        <v>0</v>
      </c>
      <c r="N185" s="314">
        <f t="shared" si="37"/>
        <v>28864584.992999997</v>
      </c>
      <c r="O185" s="297"/>
      <c r="P185" s="288"/>
      <c r="Q185" s="298"/>
      <c r="R185" s="295"/>
      <c r="S185" s="293"/>
      <c r="T185" s="12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</row>
    <row r="186" spans="1:51" ht="15" customHeight="1">
      <c r="A186" s="47" t="s">
        <v>137</v>
      </c>
      <c r="B186" s="48">
        <v>0</v>
      </c>
      <c r="C186" s="309">
        <v>3803071.6329999999</v>
      </c>
      <c r="D186" s="309">
        <v>8189516.9670000002</v>
      </c>
      <c r="E186" s="309">
        <v>9126549.4340000004</v>
      </c>
      <c r="F186" s="175">
        <v>2947048.72</v>
      </c>
      <c r="G186" s="177">
        <v>0</v>
      </c>
      <c r="H186" s="177">
        <v>0</v>
      </c>
      <c r="I186" s="177">
        <v>0</v>
      </c>
      <c r="J186" s="177">
        <v>0</v>
      </c>
      <c r="K186" s="177">
        <v>0</v>
      </c>
      <c r="L186" s="177">
        <v>0</v>
      </c>
      <c r="M186" s="177">
        <v>0</v>
      </c>
      <c r="N186" s="314">
        <f t="shared" si="37"/>
        <v>24066186.754000001</v>
      </c>
      <c r="O186" s="297"/>
      <c r="P186" s="288"/>
      <c r="Q186" s="298"/>
      <c r="R186" s="295"/>
      <c r="S186" s="293"/>
      <c r="T186" s="12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</row>
    <row r="187" spans="1:51">
      <c r="A187" s="47" t="s">
        <v>138</v>
      </c>
      <c r="B187" s="48">
        <v>25441178.692999996</v>
      </c>
      <c r="C187" s="309">
        <v>36684170.188000008</v>
      </c>
      <c r="D187" s="309">
        <v>17755456.35899999</v>
      </c>
      <c r="E187" s="309">
        <v>7193272.0140000014</v>
      </c>
      <c r="F187" s="175">
        <v>5561134.9319999991</v>
      </c>
      <c r="G187" s="177">
        <v>0</v>
      </c>
      <c r="H187" s="177">
        <v>0</v>
      </c>
      <c r="I187" s="177">
        <v>0</v>
      </c>
      <c r="J187" s="177">
        <v>0</v>
      </c>
      <c r="K187" s="177">
        <v>0</v>
      </c>
      <c r="L187" s="177">
        <v>0</v>
      </c>
      <c r="M187" s="177">
        <v>0</v>
      </c>
      <c r="N187" s="314">
        <f t="shared" si="37"/>
        <v>92635212.18599999</v>
      </c>
      <c r="O187" s="297"/>
      <c r="P187" s="288"/>
      <c r="Q187" s="298"/>
      <c r="R187" s="295"/>
      <c r="S187" s="293"/>
      <c r="T187" s="12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</row>
    <row r="188" spans="1:51" ht="15" customHeight="1">
      <c r="A188" s="47" t="s">
        <v>139</v>
      </c>
      <c r="B188" s="48">
        <v>1147423.8329999999</v>
      </c>
      <c r="C188" s="309">
        <v>1553892.1259999995</v>
      </c>
      <c r="D188" s="309">
        <v>1096374.1810000008</v>
      </c>
      <c r="E188" s="309">
        <v>379805.658</v>
      </c>
      <c r="F188" s="175">
        <v>1657738.67</v>
      </c>
      <c r="G188" s="177">
        <v>0</v>
      </c>
      <c r="H188" s="177">
        <v>0</v>
      </c>
      <c r="I188" s="177">
        <v>0</v>
      </c>
      <c r="J188" s="177">
        <v>0</v>
      </c>
      <c r="K188" s="177">
        <v>0</v>
      </c>
      <c r="L188" s="177">
        <v>0</v>
      </c>
      <c r="M188" s="177">
        <v>0</v>
      </c>
      <c r="N188" s="314">
        <f t="shared" si="37"/>
        <v>5835234.4680000003</v>
      </c>
      <c r="O188" s="297"/>
      <c r="P188" s="288"/>
      <c r="Q188" s="298"/>
      <c r="R188" s="295"/>
      <c r="S188" s="293"/>
      <c r="T188" s="12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</row>
    <row r="189" spans="1:51">
      <c r="A189" s="47" t="s">
        <v>140</v>
      </c>
      <c r="B189" s="48">
        <v>801192.18</v>
      </c>
      <c r="C189" s="309">
        <v>1912479.3140000002</v>
      </c>
      <c r="D189" s="309">
        <v>1249181.0459999996</v>
      </c>
      <c r="E189" s="309">
        <v>2296719.25</v>
      </c>
      <c r="F189" s="175">
        <v>-63236.309000000001</v>
      </c>
      <c r="G189" s="177">
        <v>0</v>
      </c>
      <c r="H189" s="177">
        <v>0</v>
      </c>
      <c r="I189" s="177">
        <v>0</v>
      </c>
      <c r="J189" s="177">
        <v>0</v>
      </c>
      <c r="K189" s="177">
        <v>0</v>
      </c>
      <c r="L189" s="177">
        <v>0</v>
      </c>
      <c r="M189" s="177">
        <v>0</v>
      </c>
      <c r="N189" s="314">
        <f t="shared" si="37"/>
        <v>6196335.4809999997</v>
      </c>
      <c r="O189" s="297"/>
      <c r="P189" s="288"/>
      <c r="Q189" s="298"/>
      <c r="R189" s="295"/>
      <c r="S189" s="293"/>
      <c r="T189" s="12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</row>
    <row r="190" spans="1:51">
      <c r="A190" s="47" t="s">
        <v>146</v>
      </c>
      <c r="B190" s="48">
        <v>127270.20999999999</v>
      </c>
      <c r="C190" s="309">
        <v>48105.829999999987</v>
      </c>
      <c r="D190" s="309">
        <v>18673.000000000029</v>
      </c>
      <c r="E190" s="309"/>
      <c r="F190" s="345">
        <v>0</v>
      </c>
      <c r="G190" s="177">
        <v>0</v>
      </c>
      <c r="H190" s="177">
        <v>0</v>
      </c>
      <c r="I190" s="177">
        <v>0</v>
      </c>
      <c r="J190" s="177">
        <v>0</v>
      </c>
      <c r="K190" s="177">
        <v>0</v>
      </c>
      <c r="L190" s="177">
        <v>0</v>
      </c>
      <c r="M190" s="177">
        <v>0</v>
      </c>
      <c r="N190" s="314">
        <f t="shared" si="37"/>
        <v>194049.04</v>
      </c>
      <c r="O190" s="297"/>
      <c r="P190" s="288"/>
      <c r="Q190" s="298"/>
      <c r="R190" s="295"/>
      <c r="S190" s="293"/>
      <c r="T190" s="12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</row>
    <row r="191" spans="1:51" ht="15" customHeight="1">
      <c r="A191" s="47" t="s">
        <v>148</v>
      </c>
      <c r="B191" s="48">
        <v>3394986.0899999994</v>
      </c>
      <c r="C191" s="309">
        <v>3543047.577</v>
      </c>
      <c r="D191" s="309">
        <v>1071481.813000001</v>
      </c>
      <c r="E191" s="309">
        <v>3068952.8730000001</v>
      </c>
      <c r="F191" s="175">
        <v>640239.45200000005</v>
      </c>
      <c r="G191" s="177">
        <v>0</v>
      </c>
      <c r="H191" s="177">
        <v>0</v>
      </c>
      <c r="I191" s="177">
        <v>0</v>
      </c>
      <c r="J191" s="177">
        <v>0</v>
      </c>
      <c r="K191" s="177">
        <v>0</v>
      </c>
      <c r="L191" s="177">
        <v>0</v>
      </c>
      <c r="M191" s="177">
        <v>0</v>
      </c>
      <c r="N191" s="314">
        <f t="shared" si="37"/>
        <v>11718707.805</v>
      </c>
      <c r="O191" s="297"/>
      <c r="P191" s="288"/>
      <c r="Q191" s="298"/>
      <c r="R191" s="295"/>
      <c r="S191" s="293"/>
      <c r="T191" s="12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</row>
    <row r="192" spans="1:51">
      <c r="A192" s="47" t="s">
        <v>150</v>
      </c>
      <c r="B192" s="48">
        <v>7032183.0120000029</v>
      </c>
      <c r="C192" s="309">
        <v>11461307.763999999</v>
      </c>
      <c r="D192" s="309">
        <v>10348233.563999999</v>
      </c>
      <c r="E192" s="309">
        <v>8121301.4719999991</v>
      </c>
      <c r="F192" s="175">
        <v>10209571.478</v>
      </c>
      <c r="G192" s="177">
        <v>0</v>
      </c>
      <c r="H192" s="177">
        <v>0</v>
      </c>
      <c r="I192" s="177">
        <v>0</v>
      </c>
      <c r="J192" s="177">
        <v>0</v>
      </c>
      <c r="K192" s="177">
        <v>0</v>
      </c>
      <c r="L192" s="177">
        <v>0</v>
      </c>
      <c r="M192" s="177">
        <v>0</v>
      </c>
      <c r="N192" s="314">
        <f t="shared" si="37"/>
        <v>47172597.289999999</v>
      </c>
      <c r="O192" s="297"/>
      <c r="P192" s="288"/>
      <c r="Q192" s="298"/>
      <c r="R192" s="295"/>
      <c r="S192" s="293"/>
      <c r="T192" s="1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</row>
    <row r="193" spans="1:51">
      <c r="A193" s="47" t="s">
        <v>151</v>
      </c>
      <c r="B193" s="48">
        <v>1486464.98</v>
      </c>
      <c r="C193" s="309">
        <v>259685.05000000005</v>
      </c>
      <c r="D193" s="309">
        <v>50288.59999999986</v>
      </c>
      <c r="E193" s="309">
        <v>556464.6</v>
      </c>
      <c r="F193" s="175">
        <v>1390.7710000000002</v>
      </c>
      <c r="G193" s="177">
        <v>0</v>
      </c>
      <c r="H193" s="177">
        <v>0</v>
      </c>
      <c r="I193" s="177">
        <v>0</v>
      </c>
      <c r="J193" s="177">
        <v>0</v>
      </c>
      <c r="K193" s="177">
        <v>0</v>
      </c>
      <c r="L193" s="177">
        <v>0</v>
      </c>
      <c r="M193" s="177">
        <v>0</v>
      </c>
      <c r="N193" s="314">
        <f t="shared" si="37"/>
        <v>2354294.0010000002</v>
      </c>
      <c r="O193" s="297"/>
      <c r="P193" s="288"/>
      <c r="Q193" s="298"/>
      <c r="R193" s="295"/>
      <c r="S193" s="293"/>
      <c r="T193" s="12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</row>
    <row r="194" spans="1:51">
      <c r="A194" s="47" t="s">
        <v>152</v>
      </c>
      <c r="B194" s="48">
        <v>821499.99799999991</v>
      </c>
      <c r="C194" s="309">
        <v>702324.61300000013</v>
      </c>
      <c r="D194" s="309">
        <v>1092235.9189999998</v>
      </c>
      <c r="E194" s="309">
        <v>1611635.4140000003</v>
      </c>
      <c r="F194" s="175">
        <v>2491746.1200000006</v>
      </c>
      <c r="G194" s="177">
        <v>0</v>
      </c>
      <c r="H194" s="177">
        <v>0</v>
      </c>
      <c r="I194" s="177">
        <v>0</v>
      </c>
      <c r="J194" s="177">
        <v>0</v>
      </c>
      <c r="K194" s="177">
        <v>0</v>
      </c>
      <c r="L194" s="177">
        <v>0</v>
      </c>
      <c r="M194" s="177">
        <v>0</v>
      </c>
      <c r="N194" s="314">
        <f t="shared" si="37"/>
        <v>6719442.0640000012</v>
      </c>
      <c r="O194" s="297"/>
      <c r="P194" s="288"/>
      <c r="Q194" s="298"/>
      <c r="R194" s="295"/>
      <c r="S194" s="293"/>
      <c r="T194" s="12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</row>
    <row r="195" spans="1:51" ht="15" customHeight="1">
      <c r="A195" s="47" t="s">
        <v>153</v>
      </c>
      <c r="B195" s="48">
        <v>2091965.8330000001</v>
      </c>
      <c r="C195" s="309">
        <v>9003807.3300000001</v>
      </c>
      <c r="D195" s="309">
        <v>12639798.007000001</v>
      </c>
      <c r="E195" s="309">
        <v>6402980.9160000002</v>
      </c>
      <c r="F195" s="175">
        <v>1660387.0820000002</v>
      </c>
      <c r="G195" s="177">
        <v>0</v>
      </c>
      <c r="H195" s="177">
        <v>0</v>
      </c>
      <c r="I195" s="177">
        <v>0</v>
      </c>
      <c r="J195" s="177">
        <v>0</v>
      </c>
      <c r="K195" s="177">
        <v>0</v>
      </c>
      <c r="L195" s="177">
        <v>0</v>
      </c>
      <c r="M195" s="177">
        <v>0</v>
      </c>
      <c r="N195" s="314">
        <f t="shared" si="37"/>
        <v>31798939.168000001</v>
      </c>
      <c r="O195" s="297"/>
      <c r="P195" s="288"/>
      <c r="Q195" s="298"/>
      <c r="R195" s="295"/>
      <c r="S195" s="293"/>
      <c r="T195" s="12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</row>
    <row r="196" spans="1:51">
      <c r="A196" s="47" t="s">
        <v>154</v>
      </c>
      <c r="B196" s="48">
        <v>7008729.6529999999</v>
      </c>
      <c r="C196" s="309">
        <v>15898281.013999999</v>
      </c>
      <c r="D196" s="309">
        <v>6486380.1730000004</v>
      </c>
      <c r="E196" s="309">
        <v>8990495.7060000021</v>
      </c>
      <c r="F196" s="175">
        <v>-9132938.0240000002</v>
      </c>
      <c r="G196" s="177">
        <v>0</v>
      </c>
      <c r="H196" s="177">
        <v>0</v>
      </c>
      <c r="I196" s="177">
        <v>0</v>
      </c>
      <c r="J196" s="177">
        <v>0</v>
      </c>
      <c r="K196" s="177">
        <v>0</v>
      </c>
      <c r="L196" s="177">
        <v>0</v>
      </c>
      <c r="M196" s="177">
        <v>0</v>
      </c>
      <c r="N196" s="314">
        <f t="shared" si="37"/>
        <v>29250948.522000004</v>
      </c>
      <c r="O196" s="297"/>
      <c r="P196" s="288"/>
      <c r="Q196" s="298"/>
      <c r="R196" s="295"/>
      <c r="S196" s="293"/>
      <c r="T196" s="12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</row>
    <row r="197" spans="1:51" ht="15" customHeight="1">
      <c r="A197" s="47" t="s">
        <v>155</v>
      </c>
      <c r="B197" s="48">
        <v>654033.96900000004</v>
      </c>
      <c r="C197" s="309">
        <v>3333038.5149999992</v>
      </c>
      <c r="D197" s="309">
        <v>1794511.3660000004</v>
      </c>
      <c r="E197" s="309">
        <v>2938065.3560000001</v>
      </c>
      <c r="F197" s="175">
        <v>2107051.7680000002</v>
      </c>
      <c r="G197" s="177">
        <v>0</v>
      </c>
      <c r="H197" s="177">
        <v>0</v>
      </c>
      <c r="I197" s="177">
        <v>0</v>
      </c>
      <c r="J197" s="177">
        <v>0</v>
      </c>
      <c r="K197" s="177">
        <v>0</v>
      </c>
      <c r="L197" s="177">
        <v>0</v>
      </c>
      <c r="M197" s="177">
        <v>0</v>
      </c>
      <c r="N197" s="314">
        <f t="shared" si="37"/>
        <v>10826700.973999999</v>
      </c>
      <c r="O197" s="297"/>
      <c r="P197" s="288"/>
      <c r="Q197" s="298"/>
      <c r="R197" s="295"/>
      <c r="S197" s="293"/>
      <c r="T197" s="12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</row>
    <row r="198" spans="1:51">
      <c r="A198" s="47" t="s">
        <v>219</v>
      </c>
      <c r="B198" s="48">
        <v>20285532.580999997</v>
      </c>
      <c r="C198" s="309">
        <v>27561185.394000005</v>
      </c>
      <c r="D198" s="309">
        <v>10881749.365000002</v>
      </c>
      <c r="E198" s="309">
        <v>19243976.162999999</v>
      </c>
      <c r="F198" s="175">
        <v>16567167.699999999</v>
      </c>
      <c r="G198" s="177">
        <v>0</v>
      </c>
      <c r="H198" s="177">
        <v>0</v>
      </c>
      <c r="I198" s="177">
        <v>0</v>
      </c>
      <c r="J198" s="177">
        <v>0</v>
      </c>
      <c r="K198" s="177">
        <v>0</v>
      </c>
      <c r="L198" s="177">
        <v>0</v>
      </c>
      <c r="M198" s="177">
        <v>0</v>
      </c>
      <c r="N198" s="314">
        <f t="shared" si="37"/>
        <v>94539611.203000009</v>
      </c>
      <c r="O198" s="297"/>
      <c r="P198" s="288"/>
      <c r="Q198" s="298"/>
      <c r="R198" s="295"/>
      <c r="S198" s="293"/>
      <c r="T198" s="12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</row>
    <row r="199" spans="1:51">
      <c r="A199" s="47" t="s">
        <v>220</v>
      </c>
      <c r="B199" s="48">
        <v>4594766.41</v>
      </c>
      <c r="C199" s="309">
        <v>32091848.511000004</v>
      </c>
      <c r="D199" s="309">
        <v>17617918.519000001</v>
      </c>
      <c r="E199" s="309">
        <v>18179559.300000001</v>
      </c>
      <c r="F199" s="175">
        <v>19276756.593000006</v>
      </c>
      <c r="G199" s="177">
        <v>0</v>
      </c>
      <c r="H199" s="177">
        <v>0</v>
      </c>
      <c r="I199" s="177">
        <v>0</v>
      </c>
      <c r="J199" s="177">
        <v>0</v>
      </c>
      <c r="K199" s="177">
        <v>0</v>
      </c>
      <c r="L199" s="177">
        <v>0</v>
      </c>
      <c r="M199" s="177">
        <v>0</v>
      </c>
      <c r="N199" s="314">
        <f t="shared" si="37"/>
        <v>91760849.333000019</v>
      </c>
      <c r="O199" s="297"/>
      <c r="P199" s="288"/>
      <c r="Q199" s="298"/>
      <c r="R199" s="295"/>
      <c r="S199" s="293"/>
      <c r="T199" s="12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</row>
    <row r="200" spans="1:51">
      <c r="A200" s="47" t="s">
        <v>221</v>
      </c>
      <c r="B200" s="48">
        <v>1231.71</v>
      </c>
      <c r="C200" s="309">
        <v>-16807147.829999998</v>
      </c>
      <c r="D200" s="309">
        <v>0</v>
      </c>
      <c r="E200" s="309"/>
      <c r="F200" s="345">
        <v>0</v>
      </c>
      <c r="G200" s="177">
        <v>0</v>
      </c>
      <c r="H200" s="177">
        <v>0</v>
      </c>
      <c r="I200" s="177">
        <v>0</v>
      </c>
      <c r="J200" s="177">
        <v>0</v>
      </c>
      <c r="K200" s="177">
        <v>0</v>
      </c>
      <c r="L200" s="177">
        <v>0</v>
      </c>
      <c r="M200" s="177">
        <v>0</v>
      </c>
      <c r="N200" s="314">
        <f t="shared" si="37"/>
        <v>-16805916.119999997</v>
      </c>
      <c r="O200" s="297"/>
      <c r="P200" s="288"/>
      <c r="Q200" s="298"/>
      <c r="R200" s="295"/>
      <c r="S200" s="293"/>
      <c r="T200" s="12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</row>
    <row r="201" spans="1:51">
      <c r="A201" s="47" t="s">
        <v>218</v>
      </c>
      <c r="B201" s="48">
        <v>563018.08899999992</v>
      </c>
      <c r="C201" s="309">
        <v>576598.86799999978</v>
      </c>
      <c r="D201" s="309">
        <v>624494.32300000032</v>
      </c>
      <c r="E201" s="309">
        <v>231930.304</v>
      </c>
      <c r="F201" s="175">
        <v>906834.03899999999</v>
      </c>
      <c r="G201" s="177">
        <v>0</v>
      </c>
      <c r="H201" s="177">
        <v>0</v>
      </c>
      <c r="I201" s="177">
        <v>0</v>
      </c>
      <c r="J201" s="177">
        <v>0</v>
      </c>
      <c r="K201" s="177">
        <v>0</v>
      </c>
      <c r="L201" s="177">
        <v>0</v>
      </c>
      <c r="M201" s="177">
        <v>0</v>
      </c>
      <c r="N201" s="314">
        <f t="shared" si="37"/>
        <v>2902875.6230000001</v>
      </c>
      <c r="O201" s="297"/>
      <c r="P201" s="288"/>
      <c r="Q201" s="298"/>
      <c r="R201" s="295"/>
      <c r="S201" s="293"/>
      <c r="T201" s="12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</row>
    <row r="202" spans="1:51">
      <c r="A202" s="47" t="s">
        <v>222</v>
      </c>
      <c r="B202" s="48">
        <v>10197831.018999999</v>
      </c>
      <c r="C202" s="309">
        <v>5182335.5059999991</v>
      </c>
      <c r="D202" s="309">
        <v>6782071.6650000028</v>
      </c>
      <c r="E202" s="309">
        <v>2918991.5010000002</v>
      </c>
      <c r="F202" s="175">
        <v>1050186.5499999998</v>
      </c>
      <c r="G202" s="177">
        <v>0</v>
      </c>
      <c r="H202" s="177">
        <v>0</v>
      </c>
      <c r="I202" s="177">
        <v>0</v>
      </c>
      <c r="J202" s="177">
        <v>0</v>
      </c>
      <c r="K202" s="177">
        <v>0</v>
      </c>
      <c r="L202" s="177">
        <v>0</v>
      </c>
      <c r="M202" s="177">
        <v>0</v>
      </c>
      <c r="N202" s="314">
        <f t="shared" si="37"/>
        <v>26131416.241</v>
      </c>
      <c r="O202" s="297"/>
      <c r="P202" s="288"/>
      <c r="Q202" s="298"/>
      <c r="R202" s="295"/>
      <c r="S202" s="293"/>
      <c r="T202" s="1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</row>
    <row r="203" spans="1:51">
      <c r="A203" s="47" t="s">
        <v>224</v>
      </c>
      <c r="B203" s="48">
        <v>5657456.4360000016</v>
      </c>
      <c r="C203" s="309">
        <v>7488543.0080000022</v>
      </c>
      <c r="D203" s="309">
        <v>9546284.9859999958</v>
      </c>
      <c r="E203" s="309">
        <v>16134624.858999997</v>
      </c>
      <c r="F203" s="175">
        <v>28301062.620000001</v>
      </c>
      <c r="G203" s="177">
        <v>0</v>
      </c>
      <c r="H203" s="177">
        <v>0</v>
      </c>
      <c r="I203" s="177">
        <v>0</v>
      </c>
      <c r="J203" s="177">
        <v>0</v>
      </c>
      <c r="K203" s="177">
        <v>0</v>
      </c>
      <c r="L203" s="177">
        <v>0</v>
      </c>
      <c r="M203" s="177">
        <v>0</v>
      </c>
      <c r="N203" s="314">
        <f t="shared" si="37"/>
        <v>67127971.908999994</v>
      </c>
      <c r="O203" s="297"/>
      <c r="P203" s="288"/>
      <c r="Q203" s="298"/>
      <c r="R203" s="295"/>
      <c r="S203" s="293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</row>
    <row r="204" spans="1:51">
      <c r="A204" s="47" t="s">
        <v>223</v>
      </c>
      <c r="B204" s="48">
        <v>8037921.5629999982</v>
      </c>
      <c r="C204" s="309">
        <v>7264107.9369999999</v>
      </c>
      <c r="D204" s="309">
        <v>371094.68000000156</v>
      </c>
      <c r="E204" s="309">
        <v>493548.20999999996</v>
      </c>
      <c r="F204" s="175">
        <v>329785.68400000001</v>
      </c>
      <c r="G204" s="177">
        <v>0</v>
      </c>
      <c r="H204" s="177">
        <v>0</v>
      </c>
      <c r="I204" s="177">
        <v>0</v>
      </c>
      <c r="J204" s="177">
        <v>0</v>
      </c>
      <c r="K204" s="177">
        <v>0</v>
      </c>
      <c r="L204" s="177">
        <v>0</v>
      </c>
      <c r="M204" s="177">
        <v>0</v>
      </c>
      <c r="N204" s="314">
        <f t="shared" si="37"/>
        <v>16496458.074000001</v>
      </c>
      <c r="O204" s="297"/>
      <c r="P204" s="288"/>
      <c r="Q204" s="298"/>
      <c r="R204" s="295"/>
      <c r="S204" s="293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</row>
    <row r="205" spans="1:51">
      <c r="A205" s="47" t="s">
        <v>226</v>
      </c>
      <c r="B205" s="48">
        <v>486026.69200000004</v>
      </c>
      <c r="C205" s="309">
        <v>1524740.7699999998</v>
      </c>
      <c r="D205" s="309">
        <v>2847720.4580000001</v>
      </c>
      <c r="E205" s="309">
        <v>2915018.5589999999</v>
      </c>
      <c r="F205" s="175">
        <v>1713827.9080000003</v>
      </c>
      <c r="G205" s="177">
        <v>0</v>
      </c>
      <c r="H205" s="177">
        <v>0</v>
      </c>
      <c r="I205" s="177">
        <v>0</v>
      </c>
      <c r="J205" s="177">
        <v>0</v>
      </c>
      <c r="K205" s="177">
        <v>0</v>
      </c>
      <c r="L205" s="177">
        <v>0</v>
      </c>
      <c r="M205" s="177">
        <v>0</v>
      </c>
      <c r="N205" s="314">
        <f t="shared" si="37"/>
        <v>9487334.3870000001</v>
      </c>
      <c r="O205" s="297"/>
      <c r="P205" s="288"/>
      <c r="Q205" s="298"/>
      <c r="R205" s="295"/>
      <c r="S205" s="293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</row>
    <row r="206" spans="1:51">
      <c r="A206" s="47" t="s">
        <v>227</v>
      </c>
      <c r="B206" s="48">
        <v>2413811.5159999998</v>
      </c>
      <c r="C206" s="309">
        <v>9323709.8480000012</v>
      </c>
      <c r="D206" s="309">
        <v>14754703.765999999</v>
      </c>
      <c r="E206" s="309">
        <v>18126354.357000001</v>
      </c>
      <c r="F206" s="175">
        <v>12498418.880000001</v>
      </c>
      <c r="G206" s="177">
        <v>0</v>
      </c>
      <c r="H206" s="177">
        <v>0</v>
      </c>
      <c r="I206" s="177">
        <v>0</v>
      </c>
      <c r="J206" s="177">
        <v>0</v>
      </c>
      <c r="K206" s="177">
        <v>0</v>
      </c>
      <c r="L206" s="177">
        <v>0</v>
      </c>
      <c r="M206" s="177">
        <v>0</v>
      </c>
      <c r="N206" s="314">
        <f>SUM(B206:M206)</f>
        <v>57116998.367000006</v>
      </c>
      <c r="O206" s="297"/>
      <c r="P206" s="288"/>
      <c r="Q206" s="298"/>
      <c r="R206" s="295"/>
      <c r="S206" s="293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  <c r="AY206"/>
    </row>
    <row r="207" spans="1:51">
      <c r="A207" s="47" t="s">
        <v>225</v>
      </c>
      <c r="B207" s="48">
        <v>1264997.2509999999</v>
      </c>
      <c r="C207" s="309">
        <v>8383459.6180000007</v>
      </c>
      <c r="D207" s="309">
        <v>3714776.9</v>
      </c>
      <c r="E207" s="309">
        <v>11194453.048</v>
      </c>
      <c r="F207" s="175">
        <v>9798102.9730000012</v>
      </c>
      <c r="G207" s="177">
        <v>0</v>
      </c>
      <c r="H207" s="177">
        <v>0</v>
      </c>
      <c r="I207" s="177">
        <v>0</v>
      </c>
      <c r="J207" s="177">
        <v>0</v>
      </c>
      <c r="K207" s="177">
        <v>0</v>
      </c>
      <c r="L207" s="177">
        <v>0</v>
      </c>
      <c r="M207" s="177">
        <v>0</v>
      </c>
      <c r="N207" s="314">
        <f t="shared" ref="N207:N218" si="38">SUM(B207:M207)</f>
        <v>34355789.790000007</v>
      </c>
      <c r="O207" s="297"/>
      <c r="P207" s="288"/>
      <c r="Q207" s="298"/>
      <c r="R207" s="295"/>
      <c r="S207" s="293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</row>
    <row r="208" spans="1:51">
      <c r="A208" s="47" t="s">
        <v>228</v>
      </c>
      <c r="B208" s="48">
        <v>63560.084999999999</v>
      </c>
      <c r="C208" s="309">
        <v>774631.62600000005</v>
      </c>
      <c r="D208" s="309">
        <v>2484309.3589999997</v>
      </c>
      <c r="E208" s="309">
        <v>27664184.640000004</v>
      </c>
      <c r="F208" s="175">
        <v>9020729.4069999978</v>
      </c>
      <c r="G208" s="177">
        <v>0</v>
      </c>
      <c r="H208" s="177">
        <v>0</v>
      </c>
      <c r="I208" s="177">
        <v>0</v>
      </c>
      <c r="J208" s="177">
        <v>0</v>
      </c>
      <c r="K208" s="177">
        <v>0</v>
      </c>
      <c r="L208" s="177">
        <v>0</v>
      </c>
      <c r="M208" s="177">
        <v>0</v>
      </c>
      <c r="N208" s="314">
        <f t="shared" si="38"/>
        <v>40007415.116999999</v>
      </c>
      <c r="O208" s="297"/>
      <c r="P208" s="288"/>
      <c r="Q208" s="298"/>
      <c r="R208" s="295"/>
      <c r="S208" s="293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</row>
    <row r="209" spans="1:51">
      <c r="A209" s="47" t="s">
        <v>71</v>
      </c>
      <c r="B209" s="48">
        <v>144815.769</v>
      </c>
      <c r="C209" s="309">
        <v>58.970000000001164</v>
      </c>
      <c r="D209" s="309">
        <v>44605.010999999999</v>
      </c>
      <c r="E209" s="309"/>
      <c r="F209" s="175">
        <v>32329.031999999999</v>
      </c>
      <c r="G209" s="177">
        <v>0</v>
      </c>
      <c r="H209" s="177">
        <v>0</v>
      </c>
      <c r="I209" s="177">
        <v>0</v>
      </c>
      <c r="J209" s="177">
        <v>0</v>
      </c>
      <c r="K209" s="177">
        <v>0</v>
      </c>
      <c r="L209" s="177">
        <v>0</v>
      </c>
      <c r="M209" s="177">
        <v>0</v>
      </c>
      <c r="N209" s="314">
        <f t="shared" si="38"/>
        <v>221808.78200000001</v>
      </c>
      <c r="O209" s="297"/>
      <c r="P209" s="288"/>
      <c r="Q209" s="298"/>
      <c r="R209" s="295"/>
      <c r="S209" s="293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</row>
    <row r="210" spans="1:51">
      <c r="A210" s="47" t="s">
        <v>73</v>
      </c>
      <c r="B210" s="48">
        <v>0</v>
      </c>
      <c r="C210" s="309">
        <v>6213950.0700000003</v>
      </c>
      <c r="D210" s="309">
        <v>1552</v>
      </c>
      <c r="E210" s="309">
        <v>61176.119999999995</v>
      </c>
      <c r="F210" s="175">
        <v>-69541.983000000007</v>
      </c>
      <c r="G210" s="177">
        <v>0</v>
      </c>
      <c r="H210" s="177">
        <v>0</v>
      </c>
      <c r="I210" s="177">
        <v>0</v>
      </c>
      <c r="J210" s="177">
        <v>0</v>
      </c>
      <c r="K210" s="177">
        <v>0</v>
      </c>
      <c r="L210" s="177">
        <v>0</v>
      </c>
      <c r="M210" s="177">
        <v>0</v>
      </c>
      <c r="N210" s="314">
        <f t="shared" si="38"/>
        <v>6207136.2070000004</v>
      </c>
      <c r="O210" s="297"/>
      <c r="P210" s="288"/>
      <c r="Q210" s="298"/>
      <c r="R210" s="295"/>
      <c r="S210" s="293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</row>
    <row r="211" spans="1:51">
      <c r="A211" s="47" t="s">
        <v>232</v>
      </c>
      <c r="B211" s="48">
        <v>0</v>
      </c>
      <c r="C211" s="309">
        <v>0</v>
      </c>
      <c r="D211" s="309">
        <v>1765194.28</v>
      </c>
      <c r="E211" s="309">
        <v>47178.856</v>
      </c>
      <c r="F211" s="175">
        <v>3814914.3969999999</v>
      </c>
      <c r="G211" s="177">
        <v>0</v>
      </c>
      <c r="H211" s="177">
        <v>0</v>
      </c>
      <c r="I211" s="177">
        <v>0</v>
      </c>
      <c r="J211" s="177">
        <v>0</v>
      </c>
      <c r="K211" s="177">
        <v>0</v>
      </c>
      <c r="L211" s="177">
        <v>0</v>
      </c>
      <c r="M211" s="177">
        <v>0</v>
      </c>
      <c r="N211" s="314">
        <f>SUM(B211:M211)</f>
        <v>5627287.5329999998</v>
      </c>
      <c r="O211" s="297"/>
      <c r="P211" s="288"/>
      <c r="Q211" s="298"/>
      <c r="R211" s="295"/>
      <c r="S211" s="293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</row>
    <row r="212" spans="1:51">
      <c r="A212" s="47" t="s">
        <v>233</v>
      </c>
      <c r="B212" s="48">
        <v>0</v>
      </c>
      <c r="C212" s="309">
        <v>0</v>
      </c>
      <c r="D212" s="309">
        <v>625532.27</v>
      </c>
      <c r="E212" s="309">
        <v>523611.12</v>
      </c>
      <c r="F212" s="175">
        <v>552230.6320000001</v>
      </c>
      <c r="G212" s="177">
        <v>0</v>
      </c>
      <c r="H212" s="177">
        <v>0</v>
      </c>
      <c r="I212" s="177">
        <v>0</v>
      </c>
      <c r="J212" s="177">
        <v>0</v>
      </c>
      <c r="K212" s="177">
        <v>0</v>
      </c>
      <c r="L212" s="177">
        <v>0</v>
      </c>
      <c r="M212" s="177">
        <v>0</v>
      </c>
      <c r="N212" s="314">
        <f t="shared" si="38"/>
        <v>1701374.0220000003</v>
      </c>
      <c r="O212" s="297"/>
      <c r="P212" s="288"/>
      <c r="Q212" s="298"/>
      <c r="R212" s="295"/>
      <c r="S212" s="293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</row>
    <row r="213" spans="1:51">
      <c r="A213" s="47" t="s">
        <v>234</v>
      </c>
      <c r="B213" s="48">
        <v>0</v>
      </c>
      <c r="C213" s="309">
        <v>0</v>
      </c>
      <c r="D213" s="309">
        <v>849374.95</v>
      </c>
      <c r="E213" s="309">
        <v>14999725.196999999</v>
      </c>
      <c r="F213" s="175">
        <v>9547748.6159999967</v>
      </c>
      <c r="G213" s="177">
        <v>0</v>
      </c>
      <c r="H213" s="177">
        <v>0</v>
      </c>
      <c r="I213" s="177">
        <v>0</v>
      </c>
      <c r="J213" s="177">
        <v>0</v>
      </c>
      <c r="K213" s="177">
        <v>0</v>
      </c>
      <c r="L213" s="177">
        <v>0</v>
      </c>
      <c r="M213" s="177">
        <v>0</v>
      </c>
      <c r="N213" s="314">
        <f t="shared" si="38"/>
        <v>25396848.762999997</v>
      </c>
      <c r="O213" s="297"/>
      <c r="P213" s="288"/>
      <c r="Q213" s="298"/>
      <c r="R213" s="295"/>
      <c r="S213" s="293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</row>
    <row r="214" spans="1:51">
      <c r="A214" s="47" t="s">
        <v>235</v>
      </c>
      <c r="B214" s="48">
        <v>0</v>
      </c>
      <c r="C214" s="309">
        <v>0</v>
      </c>
      <c r="D214" s="309">
        <v>29598.78</v>
      </c>
      <c r="E214" s="309">
        <v>28577.888999999999</v>
      </c>
      <c r="F214" s="263">
        <v>28783.03</v>
      </c>
      <c r="G214" s="177">
        <v>0</v>
      </c>
      <c r="H214" s="177">
        <v>0</v>
      </c>
      <c r="I214" s="177">
        <v>0</v>
      </c>
      <c r="J214" s="177">
        <v>0</v>
      </c>
      <c r="K214" s="177">
        <v>0</v>
      </c>
      <c r="L214" s="177">
        <v>0</v>
      </c>
      <c r="M214" s="177">
        <v>0</v>
      </c>
      <c r="N214" s="314">
        <f t="shared" si="38"/>
        <v>86959.698999999993</v>
      </c>
      <c r="O214" s="297"/>
      <c r="P214" s="288"/>
      <c r="Q214" s="298"/>
      <c r="R214" s="295"/>
      <c r="S214" s="293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</row>
    <row r="215" spans="1:51">
      <c r="A215" s="47" t="s">
        <v>236</v>
      </c>
      <c r="B215" s="48">
        <v>0</v>
      </c>
      <c r="C215" s="309">
        <v>0</v>
      </c>
      <c r="D215" s="309">
        <v>100300.53</v>
      </c>
      <c r="E215" s="309">
        <v>-20240</v>
      </c>
      <c r="F215" s="263">
        <v>106162.192</v>
      </c>
      <c r="G215" s="48">
        <v>0</v>
      </c>
      <c r="H215" s="48">
        <v>0</v>
      </c>
      <c r="I215" s="48">
        <v>0</v>
      </c>
      <c r="J215" s="48">
        <v>0</v>
      </c>
      <c r="K215" s="48">
        <v>0</v>
      </c>
      <c r="L215" s="48">
        <v>0</v>
      </c>
      <c r="M215" s="48">
        <v>0</v>
      </c>
      <c r="N215" s="314">
        <f t="shared" si="38"/>
        <v>186222.72200000001</v>
      </c>
      <c r="O215" s="297"/>
      <c r="P215" s="288"/>
      <c r="Q215" s="298"/>
      <c r="R215" s="295"/>
      <c r="S215" s="293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</row>
    <row r="216" spans="1:51">
      <c r="A216" s="47" t="s">
        <v>237</v>
      </c>
      <c r="B216" s="48">
        <v>0</v>
      </c>
      <c r="C216" s="309">
        <v>0</v>
      </c>
      <c r="D216" s="309">
        <v>0</v>
      </c>
      <c r="E216" s="309">
        <v>82280</v>
      </c>
      <c r="F216" s="175">
        <v>953401.80099999998</v>
      </c>
      <c r="G216" s="48">
        <v>0</v>
      </c>
      <c r="H216" s="48">
        <v>0</v>
      </c>
      <c r="I216" s="48">
        <v>0</v>
      </c>
      <c r="J216" s="48">
        <v>0</v>
      </c>
      <c r="K216" s="48">
        <v>0</v>
      </c>
      <c r="L216" s="48">
        <v>0</v>
      </c>
      <c r="M216" s="48">
        <v>0</v>
      </c>
      <c r="N216" s="260">
        <f t="shared" si="38"/>
        <v>1035681.801</v>
      </c>
      <c r="O216" s="297"/>
      <c r="P216" s="288"/>
      <c r="Q216" s="298"/>
      <c r="R216" s="295"/>
      <c r="S216" s="293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</row>
    <row r="217" spans="1:51">
      <c r="A217" s="47" t="s">
        <v>62</v>
      </c>
      <c r="B217" s="48">
        <v>0</v>
      </c>
      <c r="C217" s="309">
        <v>0</v>
      </c>
      <c r="D217" s="309">
        <v>70946</v>
      </c>
      <c r="E217" s="309">
        <v>100572.274</v>
      </c>
      <c r="F217" s="175">
        <v>1997.67</v>
      </c>
      <c r="G217" s="177">
        <v>0</v>
      </c>
      <c r="H217" s="177">
        <v>0</v>
      </c>
      <c r="I217" s="177">
        <v>0</v>
      </c>
      <c r="J217" s="177">
        <v>0</v>
      </c>
      <c r="K217" s="177">
        <v>0</v>
      </c>
      <c r="L217" s="177">
        <v>0</v>
      </c>
      <c r="M217" s="177">
        <v>0</v>
      </c>
      <c r="N217" s="314">
        <f t="shared" si="38"/>
        <v>173515.94400000002</v>
      </c>
      <c r="O217" s="297"/>
      <c r="P217" s="288"/>
      <c r="Q217" s="298"/>
      <c r="R217" s="295"/>
      <c r="S217" s="293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</row>
    <row r="218" spans="1:51">
      <c r="A218" s="47" t="s">
        <v>130</v>
      </c>
      <c r="B218" s="48">
        <v>0</v>
      </c>
      <c r="C218" s="309">
        <v>0</v>
      </c>
      <c r="D218" s="309">
        <v>284911.7</v>
      </c>
      <c r="E218" s="309">
        <v>0</v>
      </c>
      <c r="F218" s="345"/>
      <c r="G218" s="177"/>
      <c r="H218" s="177"/>
      <c r="I218" s="177"/>
      <c r="J218" s="177"/>
      <c r="K218" s="177"/>
      <c r="L218" s="177"/>
      <c r="M218" s="177"/>
      <c r="N218" s="314">
        <f t="shared" si="38"/>
        <v>284911.7</v>
      </c>
      <c r="O218" s="297"/>
      <c r="P218" s="288"/>
      <c r="Q218" s="298"/>
      <c r="R218" s="295"/>
      <c r="S218" s="293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</row>
    <row r="219" spans="1:51" ht="15.75" thickBot="1">
      <c r="A219" s="106" t="s">
        <v>37</v>
      </c>
      <c r="B219" s="261">
        <f t="shared" ref="B219:M219" si="39">SUM(B174:B218)</f>
        <v>171123634.27599996</v>
      </c>
      <c r="C219" s="261">
        <f t="shared" si="39"/>
        <v>299017938.66600001</v>
      </c>
      <c r="D219" s="261">
        <f t="shared" si="39"/>
        <v>244257455.63700005</v>
      </c>
      <c r="E219" s="261">
        <f>SUM(E174:E218)</f>
        <v>271459465.98500001</v>
      </c>
      <c r="F219" s="261">
        <f>SUM(F174:F218)</f>
        <v>206934381.10799998</v>
      </c>
      <c r="G219" s="261">
        <f t="shared" si="39"/>
        <v>0</v>
      </c>
      <c r="H219" s="261">
        <f t="shared" si="39"/>
        <v>0</v>
      </c>
      <c r="I219" s="261">
        <f t="shared" si="39"/>
        <v>0</v>
      </c>
      <c r="J219" s="261">
        <f t="shared" si="39"/>
        <v>0</v>
      </c>
      <c r="K219" s="261">
        <f t="shared" si="39"/>
        <v>0</v>
      </c>
      <c r="L219" s="261">
        <f t="shared" si="39"/>
        <v>0</v>
      </c>
      <c r="M219" s="261">
        <f t="shared" si="39"/>
        <v>0</v>
      </c>
      <c r="N219" s="261">
        <f>SUM(N174:N218)</f>
        <v>1192792875.6719999</v>
      </c>
      <c r="O219" s="297">
        <f>+N103-N219</f>
        <v>100573100.5071516</v>
      </c>
      <c r="P219" s="312">
        <f>+O219/N103</f>
        <v>7.7760743949878461E-2</v>
      </c>
      <c r="Q219" s="298"/>
      <c r="R219" s="295"/>
      <c r="S219" s="293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  <c r="AJ219" s="12"/>
      <c r="AK219" s="12"/>
      <c r="AL219" s="12"/>
      <c r="AM219" s="12"/>
      <c r="AN219" s="12"/>
      <c r="AO219" s="12"/>
      <c r="AP219" s="12"/>
      <c r="AQ219" s="12"/>
      <c r="AR219" s="12"/>
      <c r="AS219" s="12"/>
      <c r="AT219" s="12"/>
      <c r="AU219" s="12"/>
      <c r="AV219" s="12"/>
      <c r="AW219" s="12"/>
      <c r="AX219" s="12"/>
      <c r="AY219" s="12"/>
    </row>
    <row r="220" spans="1:51" ht="15" customHeight="1" thickTop="1">
      <c r="A220" s="81" t="str">
        <f>A91</f>
        <v>Closed Projects</v>
      </c>
      <c r="B220" s="84"/>
      <c r="C220" s="84"/>
      <c r="D220" s="84"/>
      <c r="E220" s="84"/>
      <c r="F220" s="263"/>
      <c r="G220" s="66"/>
      <c r="H220" s="84"/>
      <c r="I220" s="84"/>
      <c r="J220" s="84"/>
      <c r="K220" s="48"/>
      <c r="L220" s="48"/>
      <c r="M220" s="84"/>
      <c r="N220" s="260"/>
      <c r="O220" s="297"/>
      <c r="P220" s="288"/>
      <c r="Q220" s="299"/>
      <c r="R220" s="295"/>
      <c r="S220" s="293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  <c r="AJ220" s="11"/>
      <c r="AK220" s="11"/>
      <c r="AL220" s="11"/>
      <c r="AM220" s="11"/>
      <c r="AN220" s="11"/>
      <c r="AO220" s="11"/>
      <c r="AP220" s="11"/>
      <c r="AQ220" s="11"/>
      <c r="AR220" s="11"/>
      <c r="AS220" s="11"/>
      <c r="AT220" s="11"/>
      <c r="AU220" s="11"/>
      <c r="AV220" s="11"/>
      <c r="AW220" s="11"/>
      <c r="AX220" s="11"/>
      <c r="AY220" s="11"/>
    </row>
    <row r="221" spans="1:51" ht="15.75" hidden="1" customHeight="1">
      <c r="A221" s="287" t="e">
        <f>#REF!</f>
        <v>#REF!</v>
      </c>
      <c r="B221" s="285">
        <v>0</v>
      </c>
      <c r="C221" s="285">
        <v>0</v>
      </c>
      <c r="D221" s="285">
        <v>0</v>
      </c>
      <c r="E221" s="285">
        <v>0</v>
      </c>
      <c r="F221" s="346">
        <v>0</v>
      </c>
      <c r="G221" s="285">
        <v>0</v>
      </c>
      <c r="H221" s="285">
        <v>0</v>
      </c>
      <c r="I221" s="285">
        <v>0</v>
      </c>
      <c r="J221" s="285">
        <v>0</v>
      </c>
      <c r="K221" s="285">
        <v>0</v>
      </c>
      <c r="L221" s="285">
        <v>0</v>
      </c>
      <c r="M221" s="285">
        <v>0</v>
      </c>
      <c r="N221" s="286">
        <f t="shared" ref="N221:N230" si="40">SUM(B221:M221)</f>
        <v>0</v>
      </c>
      <c r="O221" s="297"/>
      <c r="P221" s="288"/>
      <c r="Q221" s="298"/>
      <c r="R221" s="295"/>
      <c r="S221" s="293"/>
      <c r="T221" s="12"/>
      <c r="AJ221"/>
      <c r="AK221"/>
      <c r="AL221"/>
      <c r="AM221"/>
      <c r="AN221"/>
      <c r="AO221"/>
      <c r="AP221"/>
      <c r="AQ221"/>
      <c r="AR221"/>
      <c r="AS221"/>
      <c r="AT221"/>
      <c r="AU221"/>
      <c r="AV221"/>
      <c r="AW221"/>
      <c r="AX221"/>
      <c r="AY221"/>
    </row>
    <row r="222" spans="1:51" ht="15.75" hidden="1" customHeight="1">
      <c r="A222" s="47" t="e">
        <f>#REF!</f>
        <v>#REF!</v>
      </c>
      <c r="B222" s="48">
        <v>0</v>
      </c>
      <c r="C222" s="48">
        <v>0</v>
      </c>
      <c r="D222" s="48">
        <v>0</v>
      </c>
      <c r="E222" s="48">
        <v>0</v>
      </c>
      <c r="F222" s="263">
        <v>0</v>
      </c>
      <c r="G222" s="48">
        <v>0</v>
      </c>
      <c r="H222" s="48">
        <v>0</v>
      </c>
      <c r="I222" s="48">
        <v>0</v>
      </c>
      <c r="J222" s="48">
        <v>0</v>
      </c>
      <c r="K222" s="48">
        <v>0</v>
      </c>
      <c r="L222" s="48">
        <v>0</v>
      </c>
      <c r="M222" s="48">
        <v>0</v>
      </c>
      <c r="N222" s="260">
        <f t="shared" si="40"/>
        <v>0</v>
      </c>
      <c r="O222" s="297"/>
      <c r="P222" s="288"/>
      <c r="Q222" s="298"/>
      <c r="R222" s="295"/>
      <c r="S222" s="293"/>
      <c r="T222" s="12"/>
      <c r="AJ222"/>
      <c r="AK222"/>
      <c r="AL222"/>
      <c r="AM222"/>
      <c r="AN222"/>
      <c r="AO222"/>
      <c r="AP222"/>
      <c r="AQ222"/>
      <c r="AR222"/>
      <c r="AS222"/>
      <c r="AT222"/>
      <c r="AU222"/>
      <c r="AV222"/>
      <c r="AW222"/>
      <c r="AX222"/>
      <c r="AY222"/>
    </row>
    <row r="223" spans="1:51" ht="15.75" hidden="1" customHeight="1">
      <c r="A223" s="47" t="e">
        <f>#REF!</f>
        <v>#REF!</v>
      </c>
      <c r="B223" s="48">
        <v>0</v>
      </c>
      <c r="C223" s="48">
        <v>0</v>
      </c>
      <c r="D223" s="48">
        <v>0</v>
      </c>
      <c r="E223" s="48">
        <v>0</v>
      </c>
      <c r="F223" s="263">
        <v>0</v>
      </c>
      <c r="G223" s="48">
        <v>0</v>
      </c>
      <c r="H223" s="48">
        <v>0</v>
      </c>
      <c r="I223" s="48">
        <v>0</v>
      </c>
      <c r="J223" s="48">
        <v>0</v>
      </c>
      <c r="K223" s="48">
        <v>0</v>
      </c>
      <c r="L223" s="48">
        <v>0</v>
      </c>
      <c r="M223" s="48">
        <v>0</v>
      </c>
      <c r="N223" s="260">
        <f t="shared" si="40"/>
        <v>0</v>
      </c>
      <c r="O223" s="297"/>
      <c r="P223" s="288"/>
      <c r="Q223" s="298"/>
      <c r="R223" s="295"/>
      <c r="S223" s="293"/>
      <c r="T223" s="12"/>
      <c r="AJ223"/>
      <c r="AK223"/>
      <c r="AL223"/>
      <c r="AM223"/>
      <c r="AN223"/>
      <c r="AO223"/>
      <c r="AP223"/>
      <c r="AQ223"/>
      <c r="AR223"/>
      <c r="AS223"/>
      <c r="AT223"/>
      <c r="AU223"/>
      <c r="AV223"/>
      <c r="AW223"/>
      <c r="AX223"/>
      <c r="AY223"/>
    </row>
    <row r="224" spans="1:51" ht="15.75" hidden="1" customHeight="1">
      <c r="A224" s="47" t="e">
        <f>#REF!</f>
        <v>#REF!</v>
      </c>
      <c r="B224" s="48">
        <v>0</v>
      </c>
      <c r="C224" s="48">
        <v>0</v>
      </c>
      <c r="D224" s="48">
        <v>0</v>
      </c>
      <c r="E224" s="48">
        <v>0</v>
      </c>
      <c r="F224" s="263">
        <v>0</v>
      </c>
      <c r="G224" s="48">
        <v>0</v>
      </c>
      <c r="H224" s="48">
        <v>0</v>
      </c>
      <c r="I224" s="48">
        <v>0</v>
      </c>
      <c r="J224" s="48">
        <v>0</v>
      </c>
      <c r="K224" s="48">
        <v>0</v>
      </c>
      <c r="L224" s="48">
        <v>0</v>
      </c>
      <c r="M224" s="48">
        <v>0</v>
      </c>
      <c r="N224" s="260">
        <f t="shared" si="40"/>
        <v>0</v>
      </c>
      <c r="O224" s="297"/>
      <c r="P224" s="288"/>
      <c r="Q224" s="298"/>
      <c r="R224" s="295"/>
      <c r="S224" s="293"/>
      <c r="T224" s="12"/>
      <c r="AJ224"/>
      <c r="AK224"/>
      <c r="AL224"/>
      <c r="AM224"/>
      <c r="AN224"/>
      <c r="AO224"/>
      <c r="AP224"/>
      <c r="AQ224"/>
      <c r="AR224"/>
      <c r="AS224"/>
      <c r="AT224"/>
      <c r="AU224"/>
      <c r="AV224"/>
      <c r="AW224"/>
      <c r="AX224"/>
      <c r="AY224"/>
    </row>
    <row r="225" spans="1:51" ht="15.75" hidden="1" customHeight="1">
      <c r="A225" s="47" t="e">
        <f>#REF!</f>
        <v>#REF!</v>
      </c>
      <c r="B225" s="48">
        <v>0</v>
      </c>
      <c r="C225" s="48">
        <v>0</v>
      </c>
      <c r="D225" s="48">
        <v>0</v>
      </c>
      <c r="E225" s="48">
        <v>0</v>
      </c>
      <c r="F225" s="263">
        <v>0</v>
      </c>
      <c r="G225" s="48">
        <v>0</v>
      </c>
      <c r="H225" s="48">
        <v>0</v>
      </c>
      <c r="I225" s="48">
        <v>0</v>
      </c>
      <c r="J225" s="48">
        <v>0</v>
      </c>
      <c r="K225" s="48">
        <v>0</v>
      </c>
      <c r="L225" s="48">
        <v>0</v>
      </c>
      <c r="M225" s="48">
        <v>0</v>
      </c>
      <c r="N225" s="260">
        <f t="shared" si="40"/>
        <v>0</v>
      </c>
      <c r="O225" s="297"/>
      <c r="P225" s="288"/>
      <c r="Q225" s="298"/>
      <c r="R225" s="295"/>
      <c r="S225" s="293"/>
      <c r="T225" s="12"/>
      <c r="AJ225"/>
      <c r="AK225"/>
      <c r="AL225"/>
      <c r="AM225"/>
      <c r="AN225"/>
      <c r="AO225"/>
      <c r="AP225"/>
      <c r="AQ225"/>
      <c r="AR225"/>
      <c r="AS225"/>
      <c r="AT225"/>
      <c r="AU225"/>
      <c r="AV225"/>
      <c r="AW225"/>
      <c r="AX225"/>
      <c r="AY225"/>
    </row>
    <row r="226" spans="1:51" ht="15.75" hidden="1" customHeight="1">
      <c r="A226" s="47" t="e">
        <f>#REF!</f>
        <v>#REF!</v>
      </c>
      <c r="B226" s="48">
        <v>0</v>
      </c>
      <c r="C226" s="48">
        <v>0</v>
      </c>
      <c r="D226" s="48">
        <v>0</v>
      </c>
      <c r="E226" s="48">
        <v>0</v>
      </c>
      <c r="F226" s="263">
        <v>0</v>
      </c>
      <c r="G226" s="48">
        <v>0</v>
      </c>
      <c r="H226" s="48">
        <v>0</v>
      </c>
      <c r="I226" s="48">
        <v>0</v>
      </c>
      <c r="J226" s="48">
        <v>0</v>
      </c>
      <c r="K226" s="48">
        <v>0</v>
      </c>
      <c r="L226" s="48">
        <v>0</v>
      </c>
      <c r="M226" s="48">
        <v>0</v>
      </c>
      <c r="N226" s="260">
        <f t="shared" si="40"/>
        <v>0</v>
      </c>
      <c r="O226" s="297"/>
      <c r="P226" s="288"/>
      <c r="Q226" s="298"/>
      <c r="R226" s="295"/>
      <c r="S226" s="293"/>
      <c r="T226" s="12"/>
      <c r="AJ226"/>
      <c r="AK226"/>
      <c r="AL226"/>
      <c r="AM226"/>
      <c r="AN226"/>
      <c r="AO226"/>
      <c r="AP226"/>
      <c r="AQ226"/>
      <c r="AR226"/>
      <c r="AS226"/>
      <c r="AT226"/>
      <c r="AU226"/>
      <c r="AV226"/>
      <c r="AW226"/>
      <c r="AX226"/>
      <c r="AY226"/>
    </row>
    <row r="227" spans="1:51" ht="15.75" hidden="1" customHeight="1">
      <c r="A227" s="47" t="e">
        <f>#REF!</f>
        <v>#REF!</v>
      </c>
      <c r="B227" s="48">
        <v>0</v>
      </c>
      <c r="C227" s="48">
        <v>0</v>
      </c>
      <c r="D227" s="48">
        <v>0</v>
      </c>
      <c r="E227" s="48">
        <v>0</v>
      </c>
      <c r="F227" s="263">
        <v>0</v>
      </c>
      <c r="G227" s="48">
        <v>0</v>
      </c>
      <c r="H227" s="48">
        <v>0</v>
      </c>
      <c r="I227" s="48">
        <v>0</v>
      </c>
      <c r="J227" s="48">
        <v>0</v>
      </c>
      <c r="K227" s="48">
        <v>0</v>
      </c>
      <c r="L227" s="48">
        <v>0</v>
      </c>
      <c r="M227" s="48">
        <v>0</v>
      </c>
      <c r="N227" s="260">
        <f t="shared" si="40"/>
        <v>0</v>
      </c>
      <c r="O227" s="297"/>
      <c r="P227" s="288"/>
      <c r="Q227" s="298"/>
      <c r="R227" s="295"/>
      <c r="S227" s="293"/>
      <c r="T227" s="12"/>
      <c r="AJ227"/>
      <c r="AK227"/>
      <c r="AL227"/>
      <c r="AM227"/>
      <c r="AN227"/>
      <c r="AO227"/>
      <c r="AP227"/>
      <c r="AQ227"/>
      <c r="AR227"/>
      <c r="AS227"/>
      <c r="AT227"/>
      <c r="AU227"/>
      <c r="AV227"/>
      <c r="AW227"/>
      <c r="AX227"/>
      <c r="AY227"/>
    </row>
    <row r="228" spans="1:51" ht="15.75" hidden="1" customHeight="1">
      <c r="A228" s="47" t="e">
        <f>#REF!</f>
        <v>#REF!</v>
      </c>
      <c r="B228" s="48">
        <v>0</v>
      </c>
      <c r="C228" s="48">
        <v>0</v>
      </c>
      <c r="D228" s="48">
        <v>0</v>
      </c>
      <c r="E228" s="48">
        <v>0</v>
      </c>
      <c r="F228" s="263">
        <v>0</v>
      </c>
      <c r="G228" s="48">
        <v>0</v>
      </c>
      <c r="H228" s="48">
        <v>0</v>
      </c>
      <c r="I228" s="48">
        <v>0</v>
      </c>
      <c r="J228" s="48">
        <v>0</v>
      </c>
      <c r="K228" s="48">
        <v>0</v>
      </c>
      <c r="L228" s="48">
        <v>0</v>
      </c>
      <c r="M228" s="48">
        <v>0</v>
      </c>
      <c r="N228" s="260">
        <f t="shared" si="40"/>
        <v>0</v>
      </c>
      <c r="O228" s="297"/>
      <c r="P228" s="288"/>
      <c r="Q228" s="298"/>
      <c r="R228" s="295"/>
      <c r="S228" s="293"/>
      <c r="T228" s="12"/>
      <c r="AJ228"/>
      <c r="AK228"/>
      <c r="AL228"/>
      <c r="AM228"/>
      <c r="AN228"/>
      <c r="AO228"/>
      <c r="AP228"/>
      <c r="AQ228"/>
      <c r="AR228"/>
      <c r="AS228"/>
      <c r="AT228"/>
      <c r="AU228"/>
      <c r="AV228"/>
      <c r="AW228"/>
      <c r="AX228"/>
      <c r="AY228"/>
    </row>
    <row r="229" spans="1:51" ht="15.75" hidden="1" customHeight="1">
      <c r="A229" s="47" t="e">
        <f>#REF!</f>
        <v>#REF!</v>
      </c>
      <c r="B229" s="48">
        <v>0</v>
      </c>
      <c r="C229" s="48">
        <v>0</v>
      </c>
      <c r="D229" s="48">
        <v>0</v>
      </c>
      <c r="E229" s="48">
        <v>0</v>
      </c>
      <c r="F229" s="263">
        <v>0</v>
      </c>
      <c r="G229" s="48">
        <v>0</v>
      </c>
      <c r="H229" s="48">
        <v>0</v>
      </c>
      <c r="I229" s="48">
        <v>0</v>
      </c>
      <c r="J229" s="48">
        <v>0</v>
      </c>
      <c r="K229" s="48">
        <v>0</v>
      </c>
      <c r="L229" s="48">
        <v>0</v>
      </c>
      <c r="M229" s="48">
        <v>0</v>
      </c>
      <c r="N229" s="260">
        <f t="shared" si="40"/>
        <v>0</v>
      </c>
      <c r="O229" s="297"/>
      <c r="P229" s="288"/>
      <c r="Q229" s="298"/>
      <c r="R229" s="295"/>
      <c r="S229" s="293"/>
      <c r="T229" s="12"/>
      <c r="AJ229"/>
      <c r="AK229"/>
      <c r="AL229"/>
      <c r="AM229"/>
      <c r="AN229"/>
      <c r="AO229"/>
      <c r="AP229"/>
      <c r="AQ229"/>
      <c r="AR229"/>
      <c r="AS229"/>
      <c r="AT229"/>
      <c r="AU229"/>
      <c r="AV229"/>
      <c r="AW229"/>
      <c r="AX229"/>
      <c r="AY229"/>
    </row>
    <row r="230" spans="1:51" ht="15.75" customHeight="1">
      <c r="A230" s="47" t="s">
        <v>36</v>
      </c>
      <c r="B230" s="48">
        <v>0</v>
      </c>
      <c r="C230" s="48">
        <v>0</v>
      </c>
      <c r="D230" s="48">
        <v>0</v>
      </c>
      <c r="E230" s="48">
        <v>0</v>
      </c>
      <c r="F230" s="263">
        <v>0</v>
      </c>
      <c r="G230" s="48">
        <v>0</v>
      </c>
      <c r="H230" s="48">
        <v>0</v>
      </c>
      <c r="I230" s="48">
        <v>0</v>
      </c>
      <c r="J230" s="48">
        <v>0</v>
      </c>
      <c r="K230" s="48">
        <v>0</v>
      </c>
      <c r="L230" s="48">
        <v>0</v>
      </c>
      <c r="M230" s="48">
        <v>0</v>
      </c>
      <c r="N230" s="260">
        <f t="shared" si="40"/>
        <v>0</v>
      </c>
      <c r="O230" s="297"/>
      <c r="P230" s="288"/>
      <c r="Q230" s="298"/>
      <c r="R230" s="295"/>
      <c r="S230" s="293"/>
      <c r="T230" s="12"/>
      <c r="AJ230"/>
      <c r="AK230"/>
      <c r="AL230"/>
      <c r="AM230"/>
      <c r="AN230"/>
      <c r="AO230"/>
      <c r="AP230"/>
      <c r="AQ230"/>
      <c r="AR230"/>
      <c r="AS230"/>
      <c r="AT230"/>
      <c r="AU230"/>
      <c r="AV230"/>
      <c r="AW230"/>
      <c r="AX230"/>
      <c r="AY230"/>
    </row>
    <row r="231" spans="1:51">
      <c r="A231" s="47" t="s">
        <v>56</v>
      </c>
      <c r="B231" s="260">
        <f>1653828.754-787707</f>
        <v>866121.75399999996</v>
      </c>
      <c r="C231" s="260">
        <f>1967687.387-1522943-275493</f>
        <v>169251.3870000001</v>
      </c>
      <c r="D231" s="260">
        <f>2216978.032-284911.7</f>
        <v>1932066.3320000002</v>
      </c>
      <c r="E231" s="48">
        <v>180356.52000000002</v>
      </c>
      <c r="F231" s="263">
        <v>375782.18799999997</v>
      </c>
      <c r="G231" s="48">
        <v>0</v>
      </c>
      <c r="H231" s="48">
        <v>0</v>
      </c>
      <c r="I231" s="48">
        <v>0</v>
      </c>
      <c r="J231" s="48">
        <v>0</v>
      </c>
      <c r="K231" s="48">
        <v>0</v>
      </c>
      <c r="L231" s="48">
        <v>0</v>
      </c>
      <c r="M231" s="48">
        <v>0</v>
      </c>
      <c r="N231" s="260">
        <f>SUM(B231:M231)</f>
        <v>3523578.1810000003</v>
      </c>
      <c r="O231" s="297"/>
      <c r="P231" s="288"/>
      <c r="Q231" s="298"/>
      <c r="R231" s="295"/>
      <c r="S231" s="293"/>
      <c r="T231" s="12"/>
      <c r="AJ231"/>
      <c r="AK231"/>
      <c r="AL231"/>
      <c r="AM231"/>
      <c r="AN231"/>
      <c r="AO231"/>
      <c r="AP231"/>
      <c r="AQ231"/>
      <c r="AR231"/>
      <c r="AS231"/>
      <c r="AT231"/>
      <c r="AU231"/>
      <c r="AV231"/>
      <c r="AW231"/>
      <c r="AX231"/>
      <c r="AY231"/>
    </row>
    <row r="232" spans="1:51" ht="15.75" thickBot="1">
      <c r="A232" s="106" t="s">
        <v>37</v>
      </c>
      <c r="B232" s="67">
        <f>SUM(B221:B231)</f>
        <v>866121.75399999996</v>
      </c>
      <c r="C232" s="67">
        <f t="shared" ref="C232:M232" si="41">SUM(C221:C231)</f>
        <v>169251.3870000001</v>
      </c>
      <c r="D232" s="67">
        <f t="shared" si="41"/>
        <v>1932066.3320000002</v>
      </c>
      <c r="E232" s="67">
        <f t="shared" si="41"/>
        <v>180356.52000000002</v>
      </c>
      <c r="F232" s="340">
        <f>SUM(F221:F231)</f>
        <v>375782.18799999997</v>
      </c>
      <c r="G232" s="67">
        <f t="shared" si="41"/>
        <v>0</v>
      </c>
      <c r="H232" s="67">
        <f t="shared" si="41"/>
        <v>0</v>
      </c>
      <c r="I232" s="67">
        <f>SUM(I221:I231)</f>
        <v>0</v>
      </c>
      <c r="J232" s="67">
        <f t="shared" si="41"/>
        <v>0</v>
      </c>
      <c r="K232" s="59">
        <f t="shared" si="41"/>
        <v>0</v>
      </c>
      <c r="L232" s="59">
        <f t="shared" si="41"/>
        <v>0</v>
      </c>
      <c r="M232" s="67">
        <f t="shared" si="41"/>
        <v>0</v>
      </c>
      <c r="N232" s="261">
        <f>SUM(N221:N231)</f>
        <v>3523578.1810000003</v>
      </c>
      <c r="O232" s="297"/>
      <c r="P232" s="288"/>
      <c r="Q232" s="298"/>
      <c r="R232" s="295"/>
      <c r="S232" s="293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  <c r="AI232" s="12"/>
      <c r="AJ232" s="11"/>
      <c r="AK232" s="11"/>
      <c r="AL232" s="11"/>
      <c r="AM232" s="11"/>
      <c r="AN232" s="11"/>
      <c r="AO232" s="11"/>
      <c r="AP232" s="11"/>
      <c r="AQ232" s="11"/>
      <c r="AR232" s="11"/>
      <c r="AS232" s="11"/>
      <c r="AT232" s="11"/>
      <c r="AU232" s="11"/>
      <c r="AV232" s="11"/>
      <c r="AW232" s="11"/>
      <c r="AX232" s="11"/>
      <c r="AY232" s="11"/>
    </row>
    <row r="233" spans="1:51" ht="16.5" thickTop="1" thickBot="1">
      <c r="A233" s="50"/>
      <c r="B233" s="59"/>
      <c r="C233" s="59"/>
      <c r="D233" s="59"/>
      <c r="E233" s="59"/>
      <c r="F233" s="347"/>
      <c r="G233" s="67"/>
      <c r="H233" s="59"/>
      <c r="I233" s="59"/>
      <c r="J233" s="59"/>
      <c r="K233" s="59"/>
      <c r="L233" s="59"/>
      <c r="M233" s="59"/>
      <c r="N233" s="264"/>
      <c r="O233" s="297"/>
      <c r="P233" s="288"/>
      <c r="Q233" s="298"/>
      <c r="R233" s="295"/>
      <c r="S233" s="293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2"/>
      <c r="AJ233" s="11"/>
      <c r="AK233" s="11"/>
      <c r="AL233" s="11"/>
      <c r="AM233" s="11"/>
      <c r="AN233" s="11"/>
      <c r="AO233" s="11"/>
      <c r="AP233" s="11"/>
      <c r="AQ233" s="11"/>
      <c r="AR233" s="11"/>
      <c r="AS233" s="11"/>
      <c r="AT233" s="11"/>
      <c r="AU233" s="11"/>
      <c r="AV233" s="11"/>
      <c r="AW233" s="11"/>
      <c r="AX233" s="11"/>
      <c r="AY233" s="11"/>
    </row>
    <row r="234" spans="1:51" ht="15.75" thickTop="1">
      <c r="A234" s="60" t="str">
        <f t="shared" ref="A234:A239" si="42">A95</f>
        <v>Trade Activities</v>
      </c>
      <c r="B234" s="48"/>
      <c r="C234" s="48"/>
      <c r="D234" s="49"/>
      <c r="E234" s="49"/>
      <c r="F234" s="339"/>
      <c r="G234" s="49"/>
      <c r="H234" s="49"/>
      <c r="I234" s="49"/>
      <c r="J234" s="49"/>
      <c r="K234" s="49"/>
      <c r="L234" s="49"/>
      <c r="M234" s="49"/>
      <c r="N234" s="260" t="s">
        <v>20</v>
      </c>
      <c r="O234" s="297"/>
      <c r="P234" s="288"/>
      <c r="Q234" s="298"/>
      <c r="R234" s="295"/>
      <c r="S234" s="293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  <c r="AI234" s="12"/>
      <c r="AJ234" s="11"/>
      <c r="AK234" s="11"/>
      <c r="AL234" s="11"/>
      <c r="AM234" s="11"/>
      <c r="AN234" s="11"/>
      <c r="AO234" s="11"/>
      <c r="AP234" s="11"/>
      <c r="AQ234" s="11"/>
      <c r="AR234" s="11"/>
      <c r="AS234" s="11"/>
      <c r="AT234" s="11"/>
      <c r="AU234" s="11"/>
      <c r="AV234" s="11"/>
      <c r="AW234" s="11"/>
      <c r="AX234" s="11"/>
      <c r="AY234" s="11"/>
    </row>
    <row r="235" spans="1:51">
      <c r="A235" s="47" t="str">
        <f t="shared" si="42"/>
        <v>ابناء مصر للتعمير</v>
      </c>
      <c r="B235" s="49">
        <v>0</v>
      </c>
      <c r="C235" s="49">
        <v>0</v>
      </c>
      <c r="D235" s="49">
        <v>0</v>
      </c>
      <c r="E235" s="49">
        <v>0</v>
      </c>
      <c r="F235" s="339">
        <v>82701.3</v>
      </c>
      <c r="G235" s="49">
        <v>0</v>
      </c>
      <c r="H235" s="49">
        <v>0</v>
      </c>
      <c r="I235" s="49">
        <v>0</v>
      </c>
      <c r="J235" s="49">
        <v>0</v>
      </c>
      <c r="K235" s="49">
        <v>0</v>
      </c>
      <c r="L235" s="49">
        <v>0</v>
      </c>
      <c r="M235" s="49">
        <v>0</v>
      </c>
      <c r="N235" s="260">
        <f>SUM(B235:M235)</f>
        <v>82701.3</v>
      </c>
      <c r="O235" s="297"/>
      <c r="P235" s="288"/>
      <c r="Q235" s="298"/>
      <c r="R235" s="295"/>
      <c r="S235" s="293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  <c r="AI235" s="12"/>
      <c r="AJ235" s="11"/>
      <c r="AK235" s="11"/>
      <c r="AL235" s="11"/>
      <c r="AM235" s="11"/>
      <c r="AN235" s="11"/>
      <c r="AO235" s="11"/>
      <c r="AP235" s="11"/>
      <c r="AQ235" s="11"/>
      <c r="AR235" s="11"/>
      <c r="AS235" s="11"/>
      <c r="AT235" s="11"/>
      <c r="AU235" s="11"/>
      <c r="AV235" s="11"/>
      <c r="AW235" s="11"/>
      <c r="AX235" s="11"/>
      <c r="AY235" s="11"/>
    </row>
    <row r="236" spans="1:51">
      <c r="A236" s="47" t="str">
        <f t="shared" si="42"/>
        <v xml:space="preserve">ابناء حسن علام </v>
      </c>
      <c r="B236" s="48">
        <v>0</v>
      </c>
      <c r="C236" s="48">
        <v>0</v>
      </c>
      <c r="D236" s="48">
        <v>0</v>
      </c>
      <c r="E236" s="48">
        <v>0</v>
      </c>
      <c r="F236" s="263">
        <v>0</v>
      </c>
      <c r="G236" s="48">
        <v>0</v>
      </c>
      <c r="H236" s="48">
        <v>0</v>
      </c>
      <c r="I236" s="48">
        <v>0</v>
      </c>
      <c r="J236" s="48">
        <v>0</v>
      </c>
      <c r="K236" s="48">
        <v>0</v>
      </c>
      <c r="L236" s="48">
        <v>0</v>
      </c>
      <c r="M236" s="48">
        <v>0</v>
      </c>
      <c r="N236" s="260">
        <f>SUM(B236:M236)</f>
        <v>0</v>
      </c>
      <c r="O236" s="297"/>
      <c r="P236" s="288"/>
      <c r="Q236" s="298"/>
      <c r="R236" s="295"/>
      <c r="S236" s="293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  <c r="AI236" s="12"/>
      <c r="AJ236" s="11"/>
      <c r="AK236" s="11"/>
      <c r="AL236" s="11"/>
      <c r="AM236" s="11"/>
      <c r="AN236" s="11"/>
      <c r="AO236" s="11"/>
      <c r="AP236" s="11"/>
      <c r="AQ236" s="11"/>
      <c r="AR236" s="11"/>
      <c r="AS236" s="11"/>
      <c r="AT236" s="11"/>
      <c r="AU236" s="11"/>
      <c r="AV236" s="11"/>
      <c r="AW236" s="11"/>
      <c r="AX236" s="11"/>
      <c r="AY236" s="11"/>
    </row>
    <row r="237" spans="1:51">
      <c r="A237" s="47" t="str">
        <f t="shared" si="42"/>
        <v>EMAC</v>
      </c>
      <c r="B237" s="48">
        <v>0</v>
      </c>
      <c r="C237" s="48">
        <v>0</v>
      </c>
      <c r="D237" s="48">
        <v>0</v>
      </c>
      <c r="E237" s="48">
        <v>0</v>
      </c>
      <c r="F237" s="263">
        <v>0</v>
      </c>
      <c r="G237" s="48">
        <v>0</v>
      </c>
      <c r="H237" s="48">
        <v>0</v>
      </c>
      <c r="I237" s="48">
        <v>0</v>
      </c>
      <c r="J237" s="48">
        <v>0</v>
      </c>
      <c r="K237" s="48">
        <v>0</v>
      </c>
      <c r="L237" s="48">
        <v>0</v>
      </c>
      <c r="M237" s="48">
        <v>0</v>
      </c>
      <c r="N237" s="260">
        <f>SUM(B237:M237)</f>
        <v>0</v>
      </c>
      <c r="O237" s="297"/>
      <c r="P237" s="288"/>
      <c r="Q237" s="298"/>
      <c r="R237" s="295"/>
      <c r="S237" s="293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  <c r="AH237" s="12"/>
      <c r="AI237" s="12"/>
      <c r="AJ237" s="11"/>
      <c r="AK237" s="11"/>
      <c r="AL237" s="11"/>
      <c r="AM237" s="11"/>
      <c r="AN237" s="11"/>
      <c r="AO237" s="11"/>
      <c r="AP237" s="11"/>
      <c r="AQ237" s="11"/>
      <c r="AR237" s="11"/>
      <c r="AS237" s="11"/>
      <c r="AT237" s="11"/>
      <c r="AU237" s="11"/>
      <c r="AV237" s="11"/>
      <c r="AW237" s="11"/>
      <c r="AX237" s="11"/>
      <c r="AY237" s="11"/>
    </row>
    <row r="238" spans="1:51">
      <c r="A238" s="47" t="str">
        <f t="shared" si="42"/>
        <v>KAM</v>
      </c>
      <c r="B238" s="48">
        <v>0</v>
      </c>
      <c r="C238" s="48">
        <v>0</v>
      </c>
      <c r="D238" s="48">
        <v>0</v>
      </c>
      <c r="E238" s="48">
        <v>0</v>
      </c>
      <c r="F238" s="263">
        <v>0</v>
      </c>
      <c r="G238" s="48">
        <v>0</v>
      </c>
      <c r="H238" s="48">
        <v>0</v>
      </c>
      <c r="I238" s="48">
        <v>0</v>
      </c>
      <c r="J238" s="48">
        <v>0</v>
      </c>
      <c r="K238" s="48">
        <v>0</v>
      </c>
      <c r="L238" s="48">
        <v>0</v>
      </c>
      <c r="M238" s="48">
        <v>0</v>
      </c>
      <c r="N238" s="260">
        <f>SUM(B238:M238)</f>
        <v>0</v>
      </c>
      <c r="O238" s="297"/>
      <c r="P238" s="288"/>
      <c r="Q238" s="298"/>
      <c r="R238" s="295"/>
      <c r="S238" s="293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  <c r="AH238" s="12"/>
      <c r="AI238" s="12"/>
      <c r="AJ238" s="11"/>
      <c r="AK238" s="11"/>
      <c r="AL238" s="11"/>
      <c r="AM238" s="11"/>
      <c r="AN238" s="11"/>
      <c r="AO238" s="11"/>
      <c r="AP238" s="11"/>
      <c r="AQ238" s="11"/>
      <c r="AR238" s="11"/>
      <c r="AS238" s="11"/>
      <c r="AT238" s="11"/>
      <c r="AU238" s="11"/>
      <c r="AV238" s="11"/>
      <c r="AW238" s="11"/>
      <c r="AX238" s="11"/>
      <c r="AY238" s="11"/>
    </row>
    <row r="239" spans="1:51">
      <c r="A239" s="47">
        <f t="shared" si="42"/>
        <v>0</v>
      </c>
      <c r="B239" s="48">
        <v>0</v>
      </c>
      <c r="C239" s="48">
        <v>0</v>
      </c>
      <c r="D239" s="48">
        <v>0</v>
      </c>
      <c r="E239" s="48">
        <v>0</v>
      </c>
      <c r="F239" s="263">
        <v>0</v>
      </c>
      <c r="G239" s="48">
        <v>0</v>
      </c>
      <c r="H239" s="48">
        <v>0</v>
      </c>
      <c r="I239" s="48">
        <v>0</v>
      </c>
      <c r="J239" s="48">
        <v>0</v>
      </c>
      <c r="K239" s="48">
        <v>0</v>
      </c>
      <c r="L239" s="48">
        <v>0</v>
      </c>
      <c r="M239" s="48">
        <v>0</v>
      </c>
      <c r="N239" s="260">
        <f>SUM(B239:M239)</f>
        <v>0</v>
      </c>
      <c r="O239" s="297"/>
      <c r="P239" s="288"/>
      <c r="Q239" s="298"/>
      <c r="R239" s="295"/>
      <c r="S239" s="293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  <c r="AI239" s="12"/>
      <c r="AJ239" s="11"/>
      <c r="AK239" s="11"/>
      <c r="AL239" s="11"/>
      <c r="AM239" s="11"/>
      <c r="AN239" s="11"/>
      <c r="AO239" s="11"/>
      <c r="AP239" s="11"/>
      <c r="AQ239" s="11"/>
      <c r="AR239" s="11"/>
      <c r="AS239" s="11"/>
      <c r="AT239" s="11"/>
      <c r="AU239" s="11"/>
      <c r="AV239" s="11"/>
      <c r="AW239" s="11"/>
      <c r="AX239" s="11"/>
      <c r="AY239" s="11"/>
    </row>
    <row r="240" spans="1:51" ht="15.75" thickBot="1">
      <c r="A240" s="107" t="s">
        <v>37</v>
      </c>
      <c r="B240" s="114">
        <f>SUM(B235:B239)</f>
        <v>0</v>
      </c>
      <c r="C240" s="114">
        <f t="shared" ref="C240:M240" si="43">SUM(C235:C239)</f>
        <v>0</v>
      </c>
      <c r="D240" s="114">
        <f t="shared" si="43"/>
        <v>0</v>
      </c>
      <c r="E240" s="114">
        <f t="shared" si="43"/>
        <v>0</v>
      </c>
      <c r="F240" s="348">
        <f t="shared" si="43"/>
        <v>82701.3</v>
      </c>
      <c r="G240" s="114">
        <f t="shared" si="43"/>
        <v>0</v>
      </c>
      <c r="H240" s="114">
        <f t="shared" si="43"/>
        <v>0</v>
      </c>
      <c r="I240" s="114">
        <f t="shared" si="43"/>
        <v>0</v>
      </c>
      <c r="J240" s="114">
        <f t="shared" si="43"/>
        <v>0</v>
      </c>
      <c r="K240" s="114">
        <f t="shared" si="43"/>
        <v>0</v>
      </c>
      <c r="L240" s="114">
        <f t="shared" si="43"/>
        <v>0</v>
      </c>
      <c r="M240" s="114">
        <f t="shared" si="43"/>
        <v>0</v>
      </c>
      <c r="N240" s="264">
        <f>SUM(N235:N239)</f>
        <v>82701.3</v>
      </c>
      <c r="O240" s="297"/>
      <c r="P240" s="288"/>
      <c r="Q240" s="298"/>
      <c r="R240" s="295"/>
      <c r="S240" s="293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  <c r="AI240" s="12"/>
      <c r="AJ240" s="11"/>
      <c r="AK240" s="11"/>
      <c r="AL240" s="11"/>
      <c r="AM240" s="11"/>
      <c r="AN240" s="11"/>
      <c r="AO240" s="11"/>
      <c r="AP240" s="11"/>
      <c r="AQ240" s="11"/>
      <c r="AR240" s="11"/>
      <c r="AS240" s="11"/>
      <c r="AT240" s="11"/>
      <c r="AU240" s="11"/>
      <c r="AV240" s="11"/>
      <c r="AW240" s="11"/>
      <c r="AX240" s="11"/>
      <c r="AY240" s="11"/>
    </row>
    <row r="241" spans="1:51" ht="16.5" thickTop="1" thickBot="1">
      <c r="A241" s="44" t="s">
        <v>15</v>
      </c>
      <c r="B241" s="9">
        <f t="shared" ref="B241:N241" si="44">B219+B232+B240</f>
        <v>171989756.02999997</v>
      </c>
      <c r="C241" s="9">
        <f>C219+C232+C240</f>
        <v>299187190.05300003</v>
      </c>
      <c r="D241" s="9">
        <f t="shared" si="44"/>
        <v>246189521.96900004</v>
      </c>
      <c r="E241" s="9">
        <f t="shared" si="44"/>
        <v>271639822.505</v>
      </c>
      <c r="F241" s="349">
        <f t="shared" si="44"/>
        <v>207392864.59599999</v>
      </c>
      <c r="G241" s="9">
        <f t="shared" si="44"/>
        <v>0</v>
      </c>
      <c r="H241" s="9">
        <f t="shared" si="44"/>
        <v>0</v>
      </c>
      <c r="I241" s="9">
        <f t="shared" si="44"/>
        <v>0</v>
      </c>
      <c r="J241" s="9">
        <f t="shared" si="44"/>
        <v>0</v>
      </c>
      <c r="K241" s="9">
        <f t="shared" si="44"/>
        <v>0</v>
      </c>
      <c r="L241" s="9">
        <f t="shared" si="44"/>
        <v>0</v>
      </c>
      <c r="M241" s="9">
        <f t="shared" si="44"/>
        <v>0</v>
      </c>
      <c r="N241" s="9">
        <f t="shared" si="44"/>
        <v>1196399155.1529999</v>
      </c>
      <c r="O241" s="297">
        <f>+N103-N241</f>
        <v>96966821.026151657</v>
      </c>
      <c r="P241" s="288"/>
      <c r="Q241" s="298"/>
      <c r="R241" s="295"/>
      <c r="S241" s="293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  <c r="AH241" s="12"/>
      <c r="AI241" s="12"/>
      <c r="AJ241" s="17"/>
      <c r="AK241" s="17"/>
      <c r="AL241" s="17"/>
      <c r="AM241" s="17"/>
      <c r="AN241" s="17"/>
      <c r="AO241" s="17"/>
      <c r="AP241" s="17"/>
      <c r="AQ241" s="17"/>
      <c r="AR241" s="17"/>
      <c r="AS241" s="17"/>
      <c r="AT241" s="17"/>
      <c r="AU241" s="17"/>
      <c r="AV241" s="17"/>
      <c r="AW241" s="17"/>
      <c r="AX241" s="17"/>
      <c r="AY241" s="17"/>
    </row>
    <row r="242" spans="1:51" ht="15.75" thickTop="1">
      <c r="B242" s="11">
        <f>+B103-B241</f>
        <v>19928292.417937577</v>
      </c>
      <c r="C242" s="11">
        <f>+C103-C241</f>
        <v>18364102.891158402</v>
      </c>
      <c r="D242" s="11">
        <f>+D103-D241</f>
        <v>28805299.594434917</v>
      </c>
      <c r="F242" s="263"/>
      <c r="N242" s="109">
        <v>717366469</v>
      </c>
      <c r="O242" s="312">
        <f>+O241/N103</f>
        <v>7.4972453900952335E-2</v>
      </c>
      <c r="P242" s="288"/>
      <c r="Q242" s="298"/>
      <c r="R242" s="295"/>
      <c r="S242" s="293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  <c r="AH242" s="12"/>
      <c r="AI242" s="12"/>
      <c r="AJ242"/>
      <c r="AK242"/>
      <c r="AL242"/>
      <c r="AM242"/>
      <c r="AN242"/>
      <c r="AO242"/>
      <c r="AP242"/>
      <c r="AQ242"/>
      <c r="AR242"/>
      <c r="AS242"/>
      <c r="AT242"/>
      <c r="AU242"/>
      <c r="AV242"/>
      <c r="AW242"/>
      <c r="AX242"/>
      <c r="AY242"/>
    </row>
    <row r="243" spans="1:51">
      <c r="A243" s="236"/>
      <c r="B243" s="310">
        <f>+B242/B103</f>
        <v>0.10383751074534094</v>
      </c>
      <c r="C243" s="310">
        <f>+C242/C103</f>
        <v>5.7830351502891661E-2</v>
      </c>
      <c r="D243" s="310">
        <f t="shared" ref="D243:N243" si="45">+D242/D103</f>
        <v>0.1047485164653917</v>
      </c>
      <c r="E243" s="310">
        <f t="shared" si="45"/>
        <v>0</v>
      </c>
      <c r="F243" s="350">
        <f t="shared" si="45"/>
        <v>0</v>
      </c>
      <c r="G243" s="310" t="e">
        <f t="shared" si="45"/>
        <v>#DIV/0!</v>
      </c>
      <c r="H243" s="310" t="e">
        <f t="shared" si="45"/>
        <v>#DIV/0!</v>
      </c>
      <c r="I243" s="310" t="e">
        <f t="shared" si="45"/>
        <v>#DIV/0!</v>
      </c>
      <c r="J243" s="310" t="e">
        <f t="shared" si="45"/>
        <v>#DIV/0!</v>
      </c>
      <c r="K243" s="310" t="e">
        <f t="shared" si="45"/>
        <v>#DIV/0!</v>
      </c>
      <c r="L243" s="310" t="e">
        <f t="shared" si="45"/>
        <v>#DIV/0!</v>
      </c>
      <c r="M243" s="310" t="e">
        <f t="shared" si="45"/>
        <v>#DIV/0!</v>
      </c>
      <c r="N243" s="310">
        <f t="shared" si="45"/>
        <v>0.55465079661306438</v>
      </c>
      <c r="O243" s="288"/>
      <c r="P243" s="288"/>
      <c r="Q243" s="298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  <c r="AH243" s="12"/>
      <c r="AI243" s="12"/>
      <c r="AJ243"/>
      <c r="AK243"/>
      <c r="AL243"/>
      <c r="AM243"/>
      <c r="AN243"/>
      <c r="AO243"/>
      <c r="AP243"/>
      <c r="AQ243"/>
      <c r="AR243"/>
      <c r="AS243"/>
      <c r="AT243"/>
      <c r="AU243"/>
      <c r="AV243"/>
      <c r="AW243"/>
      <c r="AX243"/>
      <c r="AY243"/>
    </row>
    <row r="244" spans="1:51" hidden="1">
      <c r="A244" s="435" t="s">
        <v>57</v>
      </c>
      <c r="B244" s="432">
        <f t="shared" ref="B244:N244" si="46">B42</f>
        <v>43101</v>
      </c>
      <c r="C244" s="432">
        <f t="shared" si="46"/>
        <v>43132</v>
      </c>
      <c r="D244" s="432">
        <f t="shared" si="46"/>
        <v>43160</v>
      </c>
      <c r="E244" s="432">
        <f t="shared" si="46"/>
        <v>42826</v>
      </c>
      <c r="F244" s="474">
        <f t="shared" si="46"/>
        <v>42856</v>
      </c>
      <c r="G244" s="432">
        <f t="shared" si="46"/>
        <v>42887</v>
      </c>
      <c r="H244" s="432">
        <f t="shared" si="46"/>
        <v>42917</v>
      </c>
      <c r="I244" s="432">
        <f t="shared" si="46"/>
        <v>42948</v>
      </c>
      <c r="J244" s="432">
        <f t="shared" si="46"/>
        <v>42979</v>
      </c>
      <c r="K244" s="432">
        <f t="shared" si="46"/>
        <v>43009</v>
      </c>
      <c r="L244" s="432">
        <f t="shared" si="46"/>
        <v>43040</v>
      </c>
      <c r="M244" s="432">
        <f t="shared" si="46"/>
        <v>43070</v>
      </c>
      <c r="N244" s="471" t="str">
        <f t="shared" si="46"/>
        <v>Total</v>
      </c>
      <c r="O244" s="288"/>
      <c r="P244" s="288"/>
      <c r="Q244" s="298"/>
      <c r="S244" s="12"/>
      <c r="T244" s="12"/>
      <c r="U244" s="17"/>
      <c r="V244" s="17"/>
      <c r="W244" s="17"/>
      <c r="X244" s="17"/>
      <c r="Y244" s="17"/>
      <c r="Z244" s="17"/>
      <c r="AA244" s="17"/>
      <c r="AB244" s="17"/>
      <c r="AC244" s="17"/>
      <c r="AD244" s="17"/>
      <c r="AE244" s="17"/>
      <c r="AF244" s="17"/>
      <c r="AG244" s="17"/>
      <c r="AH244" s="17"/>
      <c r="AI244" s="17"/>
      <c r="AJ244"/>
      <c r="AK244"/>
      <c r="AL244"/>
      <c r="AM244"/>
      <c r="AN244"/>
      <c r="AO244"/>
      <c r="AP244"/>
      <c r="AQ244"/>
      <c r="AR244"/>
      <c r="AS244"/>
      <c r="AT244"/>
      <c r="AU244"/>
      <c r="AV244"/>
      <c r="AW244"/>
      <c r="AX244"/>
      <c r="AY244"/>
    </row>
    <row r="245" spans="1:51" ht="15.75" hidden="1" thickBot="1">
      <c r="A245" s="436"/>
      <c r="B245" s="433"/>
      <c r="C245" s="433"/>
      <c r="D245" s="433"/>
      <c r="E245" s="433"/>
      <c r="F245" s="475"/>
      <c r="G245" s="433"/>
      <c r="H245" s="433"/>
      <c r="I245" s="433"/>
      <c r="J245" s="433"/>
      <c r="K245" s="433"/>
      <c r="L245" s="433"/>
      <c r="M245" s="433"/>
      <c r="N245" s="472"/>
      <c r="O245" s="288"/>
      <c r="P245" s="288"/>
      <c r="Q245" s="298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  <c r="AH245" s="12"/>
      <c r="AI245" s="12"/>
      <c r="AJ245"/>
      <c r="AK245"/>
      <c r="AL245"/>
      <c r="AM245"/>
      <c r="AN245"/>
      <c r="AO245"/>
      <c r="AP245"/>
      <c r="AQ245"/>
      <c r="AR245"/>
      <c r="AS245"/>
      <c r="AT245"/>
      <c r="AU245"/>
      <c r="AV245"/>
      <c r="AW245"/>
      <c r="AX245"/>
      <c r="AY245"/>
    </row>
    <row r="246" spans="1:51" hidden="1">
      <c r="A246" s="61" t="s">
        <v>58</v>
      </c>
      <c r="B246" s="62">
        <v>0</v>
      </c>
      <c r="C246" s="62">
        <v>0</v>
      </c>
      <c r="D246" s="62">
        <v>0</v>
      </c>
      <c r="E246" s="62">
        <v>0</v>
      </c>
      <c r="F246" s="351">
        <v>0</v>
      </c>
      <c r="G246" s="62">
        <v>0</v>
      </c>
      <c r="H246" s="62">
        <v>0</v>
      </c>
      <c r="I246" s="62">
        <v>0</v>
      </c>
      <c r="J246" s="62">
        <v>0</v>
      </c>
      <c r="K246" s="62">
        <v>0</v>
      </c>
      <c r="L246" s="62">
        <v>0</v>
      </c>
      <c r="M246" s="62">
        <v>0</v>
      </c>
      <c r="N246" s="265">
        <v>0</v>
      </c>
      <c r="O246" s="288"/>
      <c r="P246" s="288"/>
      <c r="Q246" s="298"/>
      <c r="S246" s="12"/>
      <c r="T246" s="12"/>
      <c r="AJ246"/>
      <c r="AK246"/>
      <c r="AL246"/>
      <c r="AM246"/>
      <c r="AN246"/>
      <c r="AO246"/>
      <c r="AP246"/>
      <c r="AQ246"/>
      <c r="AR246"/>
      <c r="AS246"/>
      <c r="AT246"/>
      <c r="AU246"/>
      <c r="AV246"/>
      <c r="AW246"/>
      <c r="AX246"/>
      <c r="AY246"/>
    </row>
    <row r="247" spans="1:51" hidden="1">
      <c r="A247" s="61" t="s">
        <v>59</v>
      </c>
      <c r="B247" s="62">
        <v>0</v>
      </c>
      <c r="C247" s="62">
        <v>0</v>
      </c>
      <c r="D247" s="62">
        <v>0</v>
      </c>
      <c r="E247" s="62">
        <v>0</v>
      </c>
      <c r="F247" s="351">
        <v>0</v>
      </c>
      <c r="G247" s="62">
        <v>0</v>
      </c>
      <c r="H247" s="62">
        <v>0</v>
      </c>
      <c r="I247" s="62">
        <v>0</v>
      </c>
      <c r="J247" s="62">
        <v>0</v>
      </c>
      <c r="K247" s="62">
        <v>0</v>
      </c>
      <c r="L247" s="62">
        <v>0</v>
      </c>
      <c r="M247" s="62">
        <v>0</v>
      </c>
      <c r="N247" s="265">
        <v>0</v>
      </c>
      <c r="O247" s="288"/>
      <c r="P247" s="288"/>
      <c r="Q247" s="298"/>
      <c r="S247" s="12"/>
      <c r="T247" s="12"/>
      <c r="AJ247"/>
      <c r="AK247"/>
      <c r="AL247"/>
      <c r="AM247"/>
      <c r="AN247"/>
      <c r="AO247"/>
      <c r="AP247"/>
      <c r="AQ247"/>
      <c r="AR247"/>
      <c r="AS247"/>
      <c r="AT247"/>
      <c r="AU247"/>
      <c r="AV247"/>
      <c r="AW247"/>
      <c r="AX247"/>
      <c r="AY247"/>
    </row>
    <row r="248" spans="1:51" ht="15.75" hidden="1" thickBot="1">
      <c r="A248" s="63" t="s">
        <v>60</v>
      </c>
      <c r="B248" s="64">
        <f t="shared" ref="B248:N248" si="47">SUM(B246:B247)</f>
        <v>0</v>
      </c>
      <c r="C248" s="64">
        <f t="shared" si="47"/>
        <v>0</v>
      </c>
      <c r="D248" s="64">
        <f t="shared" si="47"/>
        <v>0</v>
      </c>
      <c r="E248" s="64">
        <f t="shared" si="47"/>
        <v>0</v>
      </c>
      <c r="F248" s="352">
        <f t="shared" si="47"/>
        <v>0</v>
      </c>
      <c r="G248" s="64">
        <f t="shared" si="47"/>
        <v>0</v>
      </c>
      <c r="H248" s="64">
        <f t="shared" si="47"/>
        <v>0</v>
      </c>
      <c r="I248" s="64">
        <f t="shared" si="47"/>
        <v>0</v>
      </c>
      <c r="J248" s="64">
        <f t="shared" si="47"/>
        <v>0</v>
      </c>
      <c r="K248" s="64">
        <f t="shared" si="47"/>
        <v>0</v>
      </c>
      <c r="L248" s="64">
        <f t="shared" si="47"/>
        <v>0</v>
      </c>
      <c r="M248" s="64">
        <f t="shared" si="47"/>
        <v>0</v>
      </c>
      <c r="N248" s="266">
        <f t="shared" si="47"/>
        <v>0</v>
      </c>
      <c r="O248" s="288"/>
      <c r="P248" s="288"/>
      <c r="Q248" s="298"/>
      <c r="S248" s="12"/>
      <c r="T248" s="12"/>
      <c r="AJ248"/>
      <c r="AK248"/>
      <c r="AL248"/>
      <c r="AM248"/>
      <c r="AN248"/>
      <c r="AO248"/>
      <c r="AP248"/>
      <c r="AQ248"/>
      <c r="AR248"/>
      <c r="AS248"/>
      <c r="AT248"/>
      <c r="AU248"/>
      <c r="AV248"/>
      <c r="AW248"/>
      <c r="AX248"/>
      <c r="AY248"/>
    </row>
    <row r="249" spans="1:51" hidden="1">
      <c r="A249" s="45" t="s">
        <v>35</v>
      </c>
      <c r="B249" s="46"/>
      <c r="C249" s="46"/>
      <c r="D249" s="46"/>
      <c r="E249" s="46"/>
      <c r="F249" s="343"/>
      <c r="G249" s="46"/>
      <c r="H249" s="46"/>
      <c r="I249" s="46"/>
      <c r="J249" s="46"/>
      <c r="K249" s="46"/>
      <c r="L249" s="46"/>
      <c r="M249" s="46"/>
      <c r="N249" s="267"/>
      <c r="O249" s="288"/>
      <c r="P249" s="288"/>
      <c r="Q249" s="298"/>
      <c r="S249" s="12"/>
      <c r="T249" s="12"/>
      <c r="AJ249"/>
      <c r="AK249"/>
      <c r="AL249"/>
      <c r="AM249"/>
      <c r="AN249"/>
      <c r="AO249"/>
      <c r="AP249"/>
      <c r="AQ249"/>
      <c r="AR249"/>
      <c r="AS249"/>
      <c r="AT249"/>
      <c r="AU249"/>
      <c r="AV249"/>
      <c r="AW249"/>
      <c r="AX249"/>
      <c r="AY249"/>
    </row>
    <row r="250" spans="1:51" hidden="1">
      <c r="A250" s="65" t="str">
        <f t="shared" ref="A250:A263" si="48">A174</f>
        <v>نادي سوديك</v>
      </c>
      <c r="B250" s="48">
        <v>0</v>
      </c>
      <c r="C250" s="48">
        <v>0</v>
      </c>
      <c r="D250" s="48">
        <v>0</v>
      </c>
      <c r="E250" s="48">
        <v>0</v>
      </c>
      <c r="F250" s="263">
        <v>0</v>
      </c>
      <c r="G250" s="48">
        <v>0</v>
      </c>
      <c r="H250" s="48">
        <v>0</v>
      </c>
      <c r="I250" s="48">
        <v>0</v>
      </c>
      <c r="J250" s="48">
        <v>0</v>
      </c>
      <c r="K250" s="48">
        <v>0</v>
      </c>
      <c r="L250" s="48">
        <v>0</v>
      </c>
      <c r="M250" s="48">
        <v>0</v>
      </c>
      <c r="N250" s="260">
        <v>0</v>
      </c>
      <c r="O250" s="288"/>
      <c r="P250" s="288"/>
      <c r="Q250" s="298"/>
      <c r="S250" s="12"/>
      <c r="T250" s="12"/>
      <c r="AJ250"/>
      <c r="AK250"/>
      <c r="AL250"/>
      <c r="AM250"/>
      <c r="AN250"/>
      <c r="AO250"/>
      <c r="AP250"/>
      <c r="AQ250"/>
      <c r="AR250"/>
      <c r="AS250"/>
      <c r="AT250"/>
      <c r="AU250"/>
      <c r="AV250"/>
      <c r="AW250"/>
      <c r="AX250"/>
      <c r="AY250"/>
    </row>
    <row r="251" spans="1:51" hidden="1">
      <c r="A251" s="65" t="str">
        <f t="shared" si="48"/>
        <v>عمائر اب تاون 53</v>
      </c>
      <c r="B251" s="48">
        <v>0</v>
      </c>
      <c r="C251" s="48">
        <v>0</v>
      </c>
      <c r="D251" s="48">
        <v>0</v>
      </c>
      <c r="E251" s="48">
        <v>0</v>
      </c>
      <c r="F251" s="263">
        <v>0</v>
      </c>
      <c r="G251" s="48">
        <v>0</v>
      </c>
      <c r="H251" s="48">
        <v>0</v>
      </c>
      <c r="I251" s="48">
        <v>0</v>
      </c>
      <c r="J251" s="48">
        <v>0</v>
      </c>
      <c r="K251" s="48">
        <v>0</v>
      </c>
      <c r="L251" s="48">
        <v>0</v>
      </c>
      <c r="M251" s="48">
        <v>0</v>
      </c>
      <c r="N251" s="260">
        <v>0</v>
      </c>
      <c r="O251" s="288"/>
      <c r="P251" s="288"/>
      <c r="Q251" s="298"/>
      <c r="S251" s="12"/>
      <c r="T251" s="12"/>
      <c r="AJ251"/>
      <c r="AK251"/>
      <c r="AL251"/>
      <c r="AM251"/>
      <c r="AN251"/>
      <c r="AO251"/>
      <c r="AP251"/>
      <c r="AQ251"/>
      <c r="AR251"/>
      <c r="AS251"/>
      <c r="AT251"/>
      <c r="AU251"/>
      <c r="AV251"/>
      <c r="AW251"/>
      <c r="AX251"/>
      <c r="AY251"/>
    </row>
    <row r="252" spans="1:51" hidden="1">
      <c r="A252" s="65" t="str">
        <f t="shared" si="48"/>
        <v>مشروع الكيان</v>
      </c>
      <c r="B252" s="48">
        <v>0</v>
      </c>
      <c r="C252" s="48">
        <v>0</v>
      </c>
      <c r="D252" s="48">
        <v>0</v>
      </c>
      <c r="E252" s="48">
        <v>0</v>
      </c>
      <c r="F252" s="263">
        <v>0</v>
      </c>
      <c r="G252" s="48">
        <v>0</v>
      </c>
      <c r="H252" s="48">
        <v>0</v>
      </c>
      <c r="I252" s="48">
        <v>0</v>
      </c>
      <c r="J252" s="48">
        <v>0</v>
      </c>
      <c r="K252" s="48">
        <v>0</v>
      </c>
      <c r="L252" s="48">
        <v>0</v>
      </c>
      <c r="M252" s="48">
        <v>0</v>
      </c>
      <c r="N252" s="260">
        <v>0</v>
      </c>
      <c r="O252" s="288"/>
      <c r="P252" s="288"/>
      <c r="Q252" s="255"/>
      <c r="R252" s="255"/>
      <c r="S252" s="52"/>
      <c r="T252" s="52"/>
      <c r="AJ252"/>
      <c r="AK252"/>
      <c r="AL252"/>
      <c r="AM252"/>
      <c r="AN252"/>
      <c r="AO252"/>
      <c r="AP252"/>
      <c r="AQ252"/>
      <c r="AR252"/>
      <c r="AS252"/>
      <c r="AT252"/>
      <c r="AU252"/>
      <c r="AV252"/>
      <c r="AW252"/>
      <c r="AX252"/>
      <c r="AY252"/>
    </row>
    <row r="253" spans="1:51" hidden="1">
      <c r="A253" s="65" t="str">
        <f t="shared" si="48"/>
        <v>Tamay Elamdeed substation (Alestom )</v>
      </c>
      <c r="B253" s="48">
        <v>0</v>
      </c>
      <c r="C253" s="48">
        <v>0</v>
      </c>
      <c r="D253" s="48">
        <v>0</v>
      </c>
      <c r="E253" s="48">
        <v>0</v>
      </c>
      <c r="F253" s="263">
        <v>0</v>
      </c>
      <c r="G253" s="48">
        <v>0</v>
      </c>
      <c r="H253" s="48">
        <v>0</v>
      </c>
      <c r="I253" s="48">
        <v>0</v>
      </c>
      <c r="J253" s="48">
        <v>0</v>
      </c>
      <c r="K253" s="48">
        <v>0</v>
      </c>
      <c r="L253" s="48">
        <v>0</v>
      </c>
      <c r="M253" s="48">
        <v>0</v>
      </c>
      <c r="N253" s="260">
        <v>0</v>
      </c>
      <c r="O253" s="288"/>
      <c r="P253" s="288"/>
      <c r="Q253" s="255"/>
      <c r="R253" s="255"/>
      <c r="S253" s="52"/>
      <c r="T253" s="52"/>
      <c r="AJ253"/>
      <c r="AK253"/>
      <c r="AL253"/>
      <c r="AM253"/>
      <c r="AN253"/>
      <c r="AO253"/>
      <c r="AP253"/>
      <c r="AQ253"/>
      <c r="AR253"/>
      <c r="AS253"/>
      <c r="AT253"/>
      <c r="AU253"/>
      <c r="AV253"/>
      <c r="AW253"/>
      <c r="AX253"/>
      <c r="AY253"/>
    </row>
    <row r="254" spans="1:51" hidden="1">
      <c r="A254" s="65" t="str">
        <f t="shared" si="48"/>
        <v xml:space="preserve">نفق العاصمة </v>
      </c>
      <c r="B254" s="48">
        <v>0</v>
      </c>
      <c r="C254" s="48">
        <v>0</v>
      </c>
      <c r="D254" s="48">
        <v>0</v>
      </c>
      <c r="E254" s="48">
        <v>0</v>
      </c>
      <c r="F254" s="263">
        <v>0</v>
      </c>
      <c r="G254" s="48">
        <v>0</v>
      </c>
      <c r="H254" s="48">
        <v>0</v>
      </c>
      <c r="I254" s="48">
        <v>0</v>
      </c>
      <c r="J254" s="48">
        <v>0</v>
      </c>
      <c r="K254" s="48">
        <v>0</v>
      </c>
      <c r="L254" s="48">
        <v>0</v>
      </c>
      <c r="M254" s="48">
        <v>0</v>
      </c>
      <c r="N254" s="260">
        <v>0</v>
      </c>
      <c r="O254" s="288"/>
      <c r="P254" s="288"/>
      <c r="Q254" s="255"/>
      <c r="R254" s="255"/>
      <c r="S254" s="52"/>
      <c r="T254" s="52"/>
      <c r="AJ254"/>
      <c r="AK254"/>
      <c r="AL254"/>
      <c r="AM254"/>
      <c r="AN254"/>
      <c r="AO254"/>
      <c r="AP254"/>
      <c r="AQ254"/>
      <c r="AR254"/>
      <c r="AS254"/>
      <c r="AT254"/>
      <c r="AU254"/>
      <c r="AV254"/>
      <c r="AW254"/>
      <c r="AX254"/>
      <c r="AY254"/>
    </row>
    <row r="255" spans="1:51" hidden="1">
      <c r="A255" s="65" t="str">
        <f t="shared" si="48"/>
        <v>Bani Sweif substation (Alestom )</v>
      </c>
      <c r="B255" s="48">
        <v>0</v>
      </c>
      <c r="C255" s="48">
        <v>0</v>
      </c>
      <c r="D255" s="48">
        <v>0</v>
      </c>
      <c r="E255" s="48">
        <v>0</v>
      </c>
      <c r="F255" s="263">
        <v>0</v>
      </c>
      <c r="G255" s="48">
        <v>0</v>
      </c>
      <c r="H255" s="48">
        <v>0</v>
      </c>
      <c r="I255" s="48">
        <v>0</v>
      </c>
      <c r="J255" s="48">
        <v>0</v>
      </c>
      <c r="K255" s="48">
        <v>0</v>
      </c>
      <c r="L255" s="48">
        <v>0</v>
      </c>
      <c r="M255" s="48">
        <v>0</v>
      </c>
      <c r="N255" s="260">
        <v>0</v>
      </c>
      <c r="O255" s="288"/>
      <c r="P255" s="288"/>
      <c r="Q255" s="255"/>
      <c r="R255" s="255"/>
      <c r="S255" s="52"/>
      <c r="T255" s="52"/>
      <c r="AJ255"/>
      <c r="AK255"/>
      <c r="AL255"/>
      <c r="AM255"/>
      <c r="AN255"/>
      <c r="AO255"/>
      <c r="AP255"/>
      <c r="AQ255"/>
      <c r="AR255"/>
      <c r="AS255"/>
      <c r="AT255"/>
      <c r="AU255"/>
      <c r="AV255"/>
      <c r="AW255"/>
      <c r="AX255"/>
      <c r="AY255"/>
    </row>
    <row r="256" spans="1:51" hidden="1">
      <c r="A256" s="65" t="str">
        <f t="shared" si="48"/>
        <v>Ismalia substation (Alestom )</v>
      </c>
      <c r="B256" s="48">
        <v>0</v>
      </c>
      <c r="C256" s="48">
        <v>0</v>
      </c>
      <c r="D256" s="48">
        <v>0</v>
      </c>
      <c r="E256" s="48">
        <v>0</v>
      </c>
      <c r="F256" s="263">
        <v>0</v>
      </c>
      <c r="G256" s="48">
        <v>0</v>
      </c>
      <c r="H256" s="48">
        <v>0</v>
      </c>
      <c r="I256" s="48">
        <v>0</v>
      </c>
      <c r="J256" s="48">
        <v>0</v>
      </c>
      <c r="K256" s="48">
        <v>0</v>
      </c>
      <c r="L256" s="48">
        <v>0</v>
      </c>
      <c r="M256" s="48">
        <v>0</v>
      </c>
      <c r="N256" s="260">
        <v>0</v>
      </c>
      <c r="O256" s="288"/>
      <c r="P256" s="288"/>
      <c r="Q256" s="255"/>
      <c r="R256" s="255"/>
      <c r="S256" s="52"/>
      <c r="T256" s="52"/>
      <c r="AJ256"/>
      <c r="AK256"/>
      <c r="AL256"/>
      <c r="AM256"/>
      <c r="AN256"/>
      <c r="AO256"/>
      <c r="AP256"/>
      <c r="AQ256"/>
      <c r="AR256"/>
      <c r="AS256"/>
      <c r="AT256"/>
      <c r="AU256"/>
      <c r="AV256"/>
      <c r="AW256"/>
      <c r="AX256"/>
      <c r="AY256"/>
    </row>
    <row r="257" spans="1:51" hidden="1">
      <c r="A257" s="65" t="str">
        <f t="shared" si="48"/>
        <v>مبنى وزارات الجيش</v>
      </c>
      <c r="B257" s="48">
        <v>0</v>
      </c>
      <c r="C257" s="48">
        <v>0</v>
      </c>
      <c r="D257" s="48">
        <v>0</v>
      </c>
      <c r="E257" s="48">
        <v>0</v>
      </c>
      <c r="F257" s="263">
        <v>0</v>
      </c>
      <c r="G257" s="48">
        <v>0</v>
      </c>
      <c r="H257" s="48">
        <v>0</v>
      </c>
      <c r="I257" s="48">
        <v>0</v>
      </c>
      <c r="J257" s="48">
        <v>0</v>
      </c>
      <c r="K257" s="48">
        <v>0</v>
      </c>
      <c r="L257" s="48">
        <v>0</v>
      </c>
      <c r="M257" s="48">
        <v>0</v>
      </c>
      <c r="N257" s="260">
        <v>0</v>
      </c>
      <c r="O257" s="288"/>
      <c r="P257" s="288"/>
      <c r="Q257" s="255"/>
      <c r="R257" s="255"/>
      <c r="S257" s="52"/>
      <c r="T257" s="52"/>
      <c r="AJ257"/>
      <c r="AK257"/>
      <c r="AL257"/>
      <c r="AM257"/>
      <c r="AN257"/>
      <c r="AO257"/>
      <c r="AP257"/>
      <c r="AQ257"/>
      <c r="AR257"/>
      <c r="AS257"/>
      <c r="AT257"/>
      <c r="AU257"/>
      <c r="AV257"/>
      <c r="AW257"/>
      <c r="AX257"/>
      <c r="AY257"/>
    </row>
    <row r="258" spans="1:51" hidden="1">
      <c r="A258" s="65" t="str">
        <f t="shared" si="48"/>
        <v>رويال سيتى</v>
      </c>
      <c r="B258" s="48">
        <v>0</v>
      </c>
      <c r="C258" s="48">
        <v>0</v>
      </c>
      <c r="D258" s="48">
        <v>0</v>
      </c>
      <c r="E258" s="48">
        <v>0</v>
      </c>
      <c r="F258" s="263">
        <v>0</v>
      </c>
      <c r="G258" s="48">
        <v>0</v>
      </c>
      <c r="H258" s="48">
        <v>0</v>
      </c>
      <c r="I258" s="48">
        <v>0</v>
      </c>
      <c r="J258" s="48">
        <v>0</v>
      </c>
      <c r="K258" s="48">
        <v>0</v>
      </c>
      <c r="L258" s="48">
        <v>0</v>
      </c>
      <c r="M258" s="48">
        <v>0</v>
      </c>
      <c r="N258" s="260">
        <v>0</v>
      </c>
      <c r="O258" s="288"/>
      <c r="P258" s="288"/>
      <c r="Q258" s="255"/>
      <c r="R258" s="255"/>
      <c r="S258" s="52"/>
      <c r="T258" s="52"/>
      <c r="AJ258"/>
      <c r="AK258"/>
      <c r="AL258"/>
      <c r="AM258"/>
      <c r="AN258"/>
      <c r="AO258"/>
      <c r="AP258"/>
      <c r="AQ258"/>
      <c r="AR258"/>
      <c r="AS258"/>
      <c r="AT258"/>
      <c r="AU258"/>
      <c r="AV258"/>
      <c r="AW258"/>
      <c r="AX258"/>
      <c r="AY258"/>
    </row>
    <row r="259" spans="1:51" hidden="1">
      <c r="A259" s="65" t="str">
        <f t="shared" si="48"/>
        <v>كوبري الأمل لوك لود</v>
      </c>
      <c r="B259" s="48">
        <v>0</v>
      </c>
      <c r="C259" s="48">
        <v>0</v>
      </c>
      <c r="D259" s="48">
        <v>0</v>
      </c>
      <c r="E259" s="48">
        <v>0</v>
      </c>
      <c r="F259" s="263">
        <v>0</v>
      </c>
      <c r="G259" s="48">
        <v>0</v>
      </c>
      <c r="H259" s="48">
        <v>0</v>
      </c>
      <c r="I259" s="48">
        <v>0</v>
      </c>
      <c r="J259" s="48">
        <v>0</v>
      </c>
      <c r="K259" s="48">
        <v>0</v>
      </c>
      <c r="L259" s="48">
        <v>0</v>
      </c>
      <c r="M259" s="48">
        <v>0</v>
      </c>
      <c r="N259" s="260">
        <v>0</v>
      </c>
      <c r="O259" s="288"/>
      <c r="P259" s="288"/>
      <c r="Q259" s="255"/>
      <c r="R259" s="255"/>
      <c r="S259" s="52"/>
      <c r="T259" s="52"/>
      <c r="AJ259"/>
      <c r="AK259"/>
      <c r="AL259"/>
      <c r="AM259"/>
      <c r="AN259"/>
      <c r="AO259"/>
      <c r="AP259"/>
      <c r="AQ259"/>
      <c r="AR259"/>
      <c r="AS259"/>
      <c r="AT259"/>
      <c r="AU259"/>
      <c r="AV259"/>
      <c r="AW259"/>
      <c r="AX259"/>
      <c r="AY259"/>
    </row>
    <row r="260" spans="1:51" hidden="1">
      <c r="A260" s="65" t="str">
        <f t="shared" si="48"/>
        <v>Hyper ismalia</v>
      </c>
      <c r="B260" s="48">
        <v>0</v>
      </c>
      <c r="C260" s="48">
        <v>0</v>
      </c>
      <c r="D260" s="48">
        <v>0</v>
      </c>
      <c r="E260" s="48">
        <v>0</v>
      </c>
      <c r="F260" s="263">
        <v>0</v>
      </c>
      <c r="G260" s="48">
        <v>0</v>
      </c>
      <c r="H260" s="48">
        <v>0</v>
      </c>
      <c r="I260" s="48">
        <v>0</v>
      </c>
      <c r="J260" s="48">
        <v>0</v>
      </c>
      <c r="K260" s="48">
        <v>0</v>
      </c>
      <c r="L260" s="48">
        <v>0</v>
      </c>
      <c r="M260" s="48">
        <v>0</v>
      </c>
      <c r="N260" s="260">
        <v>0</v>
      </c>
      <c r="O260" s="288"/>
      <c r="P260" s="288"/>
      <c r="Q260" s="255"/>
      <c r="R260" s="255"/>
      <c r="S260" s="52"/>
      <c r="T260" s="52"/>
      <c r="AJ260"/>
      <c r="AK260"/>
      <c r="AL260"/>
      <c r="AM260"/>
      <c r="AN260"/>
      <c r="AO260"/>
      <c r="AP260"/>
      <c r="AQ260"/>
      <c r="AR260"/>
      <c r="AS260"/>
      <c r="AT260"/>
      <c r="AU260"/>
      <c r="AV260"/>
      <c r="AW260"/>
      <c r="AX260"/>
      <c r="AY260"/>
    </row>
    <row r="261" spans="1:51" hidden="1">
      <c r="A261" s="65" t="str">
        <f t="shared" si="48"/>
        <v xml:space="preserve">P.I.PARKS - SLP </v>
      </c>
      <c r="B261" s="48">
        <v>0</v>
      </c>
      <c r="C261" s="48">
        <v>0</v>
      </c>
      <c r="D261" s="48">
        <v>0</v>
      </c>
      <c r="E261" s="48">
        <v>0</v>
      </c>
      <c r="F261" s="263">
        <v>0</v>
      </c>
      <c r="G261" s="48">
        <v>0</v>
      </c>
      <c r="H261" s="48">
        <v>0</v>
      </c>
      <c r="I261" s="48">
        <v>0</v>
      </c>
      <c r="J261" s="48">
        <v>0</v>
      </c>
      <c r="K261" s="48">
        <v>0</v>
      </c>
      <c r="L261" s="48">
        <v>0</v>
      </c>
      <c r="M261" s="48">
        <v>0</v>
      </c>
      <c r="N261" s="260">
        <v>0</v>
      </c>
      <c r="O261" s="288"/>
      <c r="P261" s="288"/>
      <c r="Q261" s="255"/>
      <c r="R261" s="255"/>
      <c r="S261" s="52"/>
      <c r="T261" s="52"/>
      <c r="AJ261"/>
      <c r="AK261"/>
      <c r="AL261"/>
      <c r="AM261"/>
      <c r="AN261"/>
      <c r="AO261"/>
      <c r="AP261"/>
      <c r="AQ261"/>
      <c r="AR261"/>
      <c r="AS261"/>
      <c r="AT261"/>
      <c r="AU261"/>
      <c r="AV261"/>
      <c r="AW261"/>
      <c r="AX261"/>
      <c r="AY261"/>
    </row>
    <row r="262" spans="1:51" hidden="1">
      <c r="A262" s="65" t="str">
        <f t="shared" si="48"/>
        <v xml:space="preserve">Rolling Mills </v>
      </c>
      <c r="B262" s="48">
        <v>0</v>
      </c>
      <c r="C262" s="48">
        <v>0</v>
      </c>
      <c r="D262" s="48">
        <v>0</v>
      </c>
      <c r="E262" s="48">
        <v>0</v>
      </c>
      <c r="F262" s="263">
        <v>0</v>
      </c>
      <c r="G262" s="48">
        <v>0</v>
      </c>
      <c r="H262" s="48">
        <v>0</v>
      </c>
      <c r="I262" s="48">
        <v>0</v>
      </c>
      <c r="J262" s="48">
        <v>0</v>
      </c>
      <c r="K262" s="48">
        <v>0</v>
      </c>
      <c r="L262" s="48">
        <v>0</v>
      </c>
      <c r="M262" s="48">
        <v>0</v>
      </c>
      <c r="N262" s="260">
        <v>0</v>
      </c>
      <c r="O262" s="288"/>
      <c r="P262" s="288"/>
      <c r="Q262" s="255"/>
      <c r="R262" s="255"/>
      <c r="S262" s="52"/>
      <c r="T262" s="52"/>
      <c r="AJ262"/>
      <c r="AK262"/>
      <c r="AL262"/>
      <c r="AM262"/>
      <c r="AN262"/>
      <c r="AO262"/>
      <c r="AP262"/>
      <c r="AQ262"/>
      <c r="AR262"/>
      <c r="AS262"/>
      <c r="AT262"/>
      <c r="AU262"/>
      <c r="AV262"/>
      <c r="AW262"/>
      <c r="AX262"/>
      <c r="AY262"/>
    </row>
    <row r="263" spans="1:51" hidden="1">
      <c r="A263" s="65" t="str">
        <f t="shared" si="48"/>
        <v xml:space="preserve">Siemens </v>
      </c>
      <c r="B263" s="48">
        <v>0</v>
      </c>
      <c r="C263" s="48">
        <v>0</v>
      </c>
      <c r="D263" s="48">
        <v>0</v>
      </c>
      <c r="E263" s="48">
        <v>0</v>
      </c>
      <c r="F263" s="263">
        <v>0</v>
      </c>
      <c r="G263" s="48">
        <v>0</v>
      </c>
      <c r="H263" s="48">
        <v>0</v>
      </c>
      <c r="I263" s="48">
        <v>0</v>
      </c>
      <c r="J263" s="48">
        <v>0</v>
      </c>
      <c r="K263" s="48">
        <v>0</v>
      </c>
      <c r="L263" s="48">
        <v>0</v>
      </c>
      <c r="M263" s="48">
        <v>0</v>
      </c>
      <c r="N263" s="260">
        <v>0</v>
      </c>
      <c r="O263" s="288"/>
      <c r="P263" s="288"/>
      <c r="Q263" s="255"/>
      <c r="R263" s="255"/>
      <c r="S263" s="52"/>
      <c r="T263" s="52"/>
      <c r="AJ263"/>
      <c r="AK263"/>
      <c r="AL263"/>
      <c r="AM263"/>
      <c r="AN263"/>
      <c r="AO263"/>
      <c r="AP263"/>
      <c r="AQ263"/>
      <c r="AR263"/>
      <c r="AS263"/>
      <c r="AT263"/>
      <c r="AU263"/>
      <c r="AV263"/>
      <c r="AW263"/>
      <c r="AX263"/>
      <c r="AY263"/>
    </row>
    <row r="264" spans="1:51" ht="15.75" hidden="1" thickBot="1">
      <c r="A264" s="50" t="s">
        <v>37</v>
      </c>
      <c r="B264" s="59">
        <f>SUM(B250:B263)</f>
        <v>0</v>
      </c>
      <c r="C264" s="59">
        <f t="shared" ref="C264:N264" si="49">SUM(C250:C263)</f>
        <v>0</v>
      </c>
      <c r="D264" s="59">
        <f t="shared" si="49"/>
        <v>0</v>
      </c>
      <c r="E264" s="59">
        <f t="shared" si="49"/>
        <v>0</v>
      </c>
      <c r="F264" s="347">
        <f t="shared" si="49"/>
        <v>0</v>
      </c>
      <c r="G264" s="59">
        <f t="shared" si="49"/>
        <v>0</v>
      </c>
      <c r="H264" s="59">
        <f t="shared" si="49"/>
        <v>0</v>
      </c>
      <c r="I264" s="59">
        <f t="shared" si="49"/>
        <v>0</v>
      </c>
      <c r="J264" s="59">
        <f t="shared" si="49"/>
        <v>0</v>
      </c>
      <c r="K264" s="59">
        <f t="shared" si="49"/>
        <v>0</v>
      </c>
      <c r="L264" s="59">
        <f t="shared" si="49"/>
        <v>0</v>
      </c>
      <c r="M264" s="59">
        <f t="shared" si="49"/>
        <v>0</v>
      </c>
      <c r="N264" s="264">
        <f t="shared" si="49"/>
        <v>0</v>
      </c>
      <c r="O264" s="288"/>
      <c r="P264" s="288"/>
      <c r="Q264" s="255"/>
      <c r="R264" s="255"/>
      <c r="S264" s="52"/>
      <c r="T264" s="52"/>
      <c r="AJ264"/>
      <c r="AK264"/>
      <c r="AL264"/>
      <c r="AM264"/>
      <c r="AN264"/>
      <c r="AO264"/>
      <c r="AP264"/>
      <c r="AQ264"/>
      <c r="AR264"/>
      <c r="AS264"/>
      <c r="AT264"/>
      <c r="AU264"/>
      <c r="AV264"/>
      <c r="AW264"/>
      <c r="AX264"/>
      <c r="AY264"/>
    </row>
    <row r="265" spans="1:51" hidden="1">
      <c r="A265" s="45" t="s">
        <v>48</v>
      </c>
      <c r="B265" s="48"/>
      <c r="C265" s="48"/>
      <c r="D265" s="48"/>
      <c r="E265" s="48"/>
      <c r="F265" s="263"/>
      <c r="G265" s="48"/>
      <c r="H265" s="48"/>
      <c r="I265" s="48"/>
      <c r="J265" s="48"/>
      <c r="K265" s="48"/>
      <c r="L265" s="48"/>
      <c r="M265" s="48"/>
      <c r="N265" s="260"/>
      <c r="O265" s="288"/>
      <c r="P265" s="288"/>
      <c r="Q265" s="255"/>
      <c r="R265" s="255"/>
      <c r="S265" s="52"/>
      <c r="T265" s="52"/>
      <c r="AJ265"/>
      <c r="AK265"/>
      <c r="AL265"/>
      <c r="AM265"/>
      <c r="AN265"/>
      <c r="AO265"/>
      <c r="AP265"/>
      <c r="AQ265"/>
      <c r="AR265"/>
      <c r="AS265"/>
      <c r="AT265"/>
      <c r="AU265"/>
      <c r="AV265"/>
      <c r="AW265"/>
      <c r="AX265"/>
      <c r="AY265"/>
    </row>
    <row r="266" spans="1:51" hidden="1">
      <c r="A266" s="65" t="e">
        <f t="shared" ref="A266:A272" si="50">A221</f>
        <v>#REF!</v>
      </c>
      <c r="B266" s="48">
        <v>0</v>
      </c>
      <c r="C266" s="48">
        <v>0</v>
      </c>
      <c r="D266" s="48">
        <v>0</v>
      </c>
      <c r="E266" s="48">
        <v>0</v>
      </c>
      <c r="F266" s="263">
        <v>0</v>
      </c>
      <c r="G266" s="48">
        <v>0</v>
      </c>
      <c r="H266" s="48">
        <v>0</v>
      </c>
      <c r="I266" s="48">
        <v>0</v>
      </c>
      <c r="J266" s="48">
        <v>0</v>
      </c>
      <c r="K266" s="48">
        <v>0</v>
      </c>
      <c r="L266" s="48">
        <v>0</v>
      </c>
      <c r="M266" s="48">
        <v>0</v>
      </c>
      <c r="N266" s="260">
        <v>0</v>
      </c>
      <c r="O266" s="288"/>
      <c r="P266" s="288"/>
      <c r="Q266" s="255"/>
      <c r="R266" s="255"/>
      <c r="S266" s="52"/>
      <c r="T266" s="52"/>
      <c r="AJ266"/>
      <c r="AK266"/>
      <c r="AL266"/>
      <c r="AM266"/>
      <c r="AN266"/>
      <c r="AO266"/>
      <c r="AP266"/>
      <c r="AQ266"/>
      <c r="AR266"/>
      <c r="AS266"/>
      <c r="AT266"/>
      <c r="AU266"/>
      <c r="AV266"/>
      <c r="AW266"/>
      <c r="AX266"/>
      <c r="AY266"/>
    </row>
    <row r="267" spans="1:51" hidden="1">
      <c r="A267" s="65" t="e">
        <f t="shared" si="50"/>
        <v>#REF!</v>
      </c>
      <c r="B267" s="48">
        <v>0</v>
      </c>
      <c r="C267" s="48">
        <v>0</v>
      </c>
      <c r="D267" s="48">
        <v>0</v>
      </c>
      <c r="E267" s="48">
        <v>0</v>
      </c>
      <c r="F267" s="263">
        <v>0</v>
      </c>
      <c r="G267" s="48">
        <v>0</v>
      </c>
      <c r="H267" s="48">
        <v>0</v>
      </c>
      <c r="I267" s="48">
        <v>0</v>
      </c>
      <c r="J267" s="48">
        <v>0</v>
      </c>
      <c r="K267" s="48">
        <v>0</v>
      </c>
      <c r="L267" s="48">
        <v>0</v>
      </c>
      <c r="M267" s="48">
        <v>0</v>
      </c>
      <c r="N267" s="260">
        <v>0</v>
      </c>
      <c r="O267" s="288"/>
      <c r="P267" s="288"/>
      <c r="Q267" s="255"/>
      <c r="R267" s="255"/>
      <c r="S267" s="52"/>
      <c r="T267" s="52"/>
      <c r="AJ267"/>
      <c r="AK267"/>
      <c r="AL267"/>
      <c r="AM267"/>
      <c r="AN267"/>
      <c r="AO267"/>
      <c r="AP267"/>
      <c r="AQ267"/>
      <c r="AR267"/>
      <c r="AS267"/>
      <c r="AT267"/>
      <c r="AU267"/>
      <c r="AV267"/>
      <c r="AW267"/>
      <c r="AX267"/>
      <c r="AY267"/>
    </row>
    <row r="268" spans="1:51" hidden="1">
      <c r="A268" s="65" t="e">
        <f t="shared" si="50"/>
        <v>#REF!</v>
      </c>
      <c r="B268" s="48">
        <v>0</v>
      </c>
      <c r="C268" s="48">
        <v>0</v>
      </c>
      <c r="D268" s="48">
        <v>0</v>
      </c>
      <c r="E268" s="48">
        <v>0</v>
      </c>
      <c r="F268" s="263">
        <v>0</v>
      </c>
      <c r="G268" s="48">
        <v>0</v>
      </c>
      <c r="H268" s="48">
        <v>0</v>
      </c>
      <c r="I268" s="48">
        <v>0</v>
      </c>
      <c r="J268" s="48">
        <v>0</v>
      </c>
      <c r="K268" s="48">
        <v>0</v>
      </c>
      <c r="L268" s="48">
        <v>0</v>
      </c>
      <c r="M268" s="48">
        <v>0</v>
      </c>
      <c r="N268" s="260">
        <v>0</v>
      </c>
      <c r="O268" s="288"/>
      <c r="P268" s="288"/>
      <c r="Q268" s="255"/>
      <c r="R268" s="255"/>
      <c r="S268" s="52"/>
      <c r="T268" s="52"/>
      <c r="AJ268"/>
      <c r="AK268"/>
      <c r="AL268"/>
      <c r="AM268"/>
      <c r="AN268"/>
      <c r="AO268"/>
      <c r="AP268"/>
      <c r="AQ268"/>
      <c r="AR268"/>
      <c r="AS268"/>
      <c r="AT268"/>
      <c r="AU268"/>
      <c r="AV268"/>
      <c r="AW268"/>
      <c r="AX268"/>
      <c r="AY268"/>
    </row>
    <row r="269" spans="1:51" hidden="1">
      <c r="A269" s="65" t="e">
        <f t="shared" si="50"/>
        <v>#REF!</v>
      </c>
      <c r="B269" s="48">
        <v>0</v>
      </c>
      <c r="C269" s="48">
        <v>0</v>
      </c>
      <c r="D269" s="48">
        <v>0</v>
      </c>
      <c r="E269" s="48">
        <v>0</v>
      </c>
      <c r="F269" s="263">
        <v>0</v>
      </c>
      <c r="G269" s="48">
        <v>0</v>
      </c>
      <c r="H269" s="48">
        <v>0</v>
      </c>
      <c r="I269" s="48">
        <v>0</v>
      </c>
      <c r="J269" s="48">
        <v>0</v>
      </c>
      <c r="K269" s="48">
        <v>0</v>
      </c>
      <c r="L269" s="48">
        <v>0</v>
      </c>
      <c r="M269" s="48">
        <v>0</v>
      </c>
      <c r="N269" s="260">
        <v>0</v>
      </c>
      <c r="O269" s="288"/>
      <c r="P269" s="288"/>
      <c r="Q269" s="255"/>
      <c r="R269" s="255"/>
      <c r="S269" s="52"/>
      <c r="T269" s="52"/>
      <c r="AJ269"/>
      <c r="AK269"/>
      <c r="AL269"/>
      <c r="AM269"/>
      <c r="AN269"/>
      <c r="AO269"/>
      <c r="AP269"/>
      <c r="AQ269"/>
      <c r="AR269"/>
      <c r="AS269"/>
      <c r="AT269"/>
      <c r="AU269"/>
      <c r="AV269"/>
      <c r="AW269"/>
      <c r="AX269"/>
      <c r="AY269"/>
    </row>
    <row r="270" spans="1:51" hidden="1">
      <c r="A270" s="65" t="e">
        <f t="shared" si="50"/>
        <v>#REF!</v>
      </c>
      <c r="B270" s="48">
        <v>0</v>
      </c>
      <c r="C270" s="48">
        <v>0</v>
      </c>
      <c r="D270" s="48">
        <v>0</v>
      </c>
      <c r="E270" s="48">
        <v>0</v>
      </c>
      <c r="F270" s="263">
        <v>0</v>
      </c>
      <c r="G270" s="48">
        <v>0</v>
      </c>
      <c r="H270" s="48">
        <v>0</v>
      </c>
      <c r="I270" s="48">
        <v>0</v>
      </c>
      <c r="J270" s="48">
        <v>0</v>
      </c>
      <c r="K270" s="48">
        <v>0</v>
      </c>
      <c r="L270" s="48">
        <v>0</v>
      </c>
      <c r="M270" s="48">
        <v>0</v>
      </c>
      <c r="N270" s="260">
        <v>0</v>
      </c>
      <c r="O270" s="288"/>
      <c r="P270" s="288"/>
      <c r="Q270" s="255"/>
      <c r="R270" s="255"/>
      <c r="S270" s="52"/>
      <c r="T270" s="52"/>
      <c r="AJ270"/>
      <c r="AK270"/>
      <c r="AL270"/>
      <c r="AM270"/>
      <c r="AN270"/>
      <c r="AO270"/>
      <c r="AP270"/>
      <c r="AQ270"/>
      <c r="AR270"/>
      <c r="AS270"/>
      <c r="AT270"/>
      <c r="AU270"/>
      <c r="AV270"/>
      <c r="AW270"/>
      <c r="AX270"/>
      <c r="AY270"/>
    </row>
    <row r="271" spans="1:51" hidden="1">
      <c r="A271" s="65" t="e">
        <f t="shared" si="50"/>
        <v>#REF!</v>
      </c>
      <c r="B271" s="48">
        <v>0</v>
      </c>
      <c r="C271" s="48">
        <v>0</v>
      </c>
      <c r="D271" s="48">
        <v>0</v>
      </c>
      <c r="E271" s="48">
        <v>0</v>
      </c>
      <c r="F271" s="263">
        <v>0</v>
      </c>
      <c r="G271" s="48">
        <v>0</v>
      </c>
      <c r="H271" s="48">
        <v>0</v>
      </c>
      <c r="I271" s="48">
        <v>0</v>
      </c>
      <c r="J271" s="48">
        <v>0</v>
      </c>
      <c r="K271" s="48">
        <v>0</v>
      </c>
      <c r="L271" s="48">
        <v>0</v>
      </c>
      <c r="M271" s="48">
        <v>0</v>
      </c>
      <c r="N271" s="260">
        <v>0</v>
      </c>
      <c r="O271" s="288"/>
      <c r="P271" s="288"/>
      <c r="Q271" s="255"/>
      <c r="R271" s="255"/>
      <c r="S271" s="52"/>
      <c r="T271" s="52"/>
      <c r="AJ271"/>
      <c r="AK271"/>
      <c r="AL271"/>
      <c r="AM271"/>
      <c r="AN271"/>
      <c r="AO271"/>
      <c r="AP271"/>
      <c r="AQ271"/>
      <c r="AR271"/>
      <c r="AS271"/>
      <c r="AT271"/>
      <c r="AU271"/>
      <c r="AV271"/>
      <c r="AW271"/>
      <c r="AX271"/>
      <c r="AY271"/>
    </row>
    <row r="272" spans="1:51" hidden="1">
      <c r="A272" s="65" t="e">
        <f t="shared" si="50"/>
        <v>#REF!</v>
      </c>
      <c r="B272" s="48">
        <v>0</v>
      </c>
      <c r="C272" s="48">
        <v>0</v>
      </c>
      <c r="D272" s="48">
        <v>0</v>
      </c>
      <c r="E272" s="48">
        <v>0</v>
      </c>
      <c r="F272" s="263">
        <v>0</v>
      </c>
      <c r="G272" s="48">
        <v>0</v>
      </c>
      <c r="H272" s="48">
        <v>0</v>
      </c>
      <c r="I272" s="48">
        <v>0</v>
      </c>
      <c r="J272" s="48">
        <v>0</v>
      </c>
      <c r="K272" s="48">
        <v>0</v>
      </c>
      <c r="L272" s="48">
        <v>0</v>
      </c>
      <c r="M272" s="48">
        <v>0</v>
      </c>
      <c r="N272" s="260">
        <v>0</v>
      </c>
      <c r="O272" s="288"/>
      <c r="P272" s="288"/>
      <c r="Q272" s="255"/>
      <c r="R272" s="255"/>
      <c r="S272" s="52"/>
      <c r="T272" s="52"/>
      <c r="AJ272"/>
      <c r="AK272"/>
      <c r="AL272"/>
      <c r="AM272"/>
      <c r="AN272"/>
      <c r="AO272"/>
      <c r="AP272"/>
      <c r="AQ272"/>
      <c r="AR272"/>
      <c r="AS272"/>
      <c r="AT272"/>
      <c r="AU272"/>
      <c r="AV272"/>
      <c r="AW272"/>
      <c r="AX272"/>
      <c r="AY272"/>
    </row>
    <row r="273" spans="1:51" hidden="1">
      <c r="A273" s="65" t="e">
        <f>A229</f>
        <v>#REF!</v>
      </c>
      <c r="B273" s="48">
        <v>0</v>
      </c>
      <c r="C273" s="48">
        <v>0</v>
      </c>
      <c r="D273" s="48">
        <v>0</v>
      </c>
      <c r="E273" s="48">
        <v>0</v>
      </c>
      <c r="F273" s="263">
        <v>0</v>
      </c>
      <c r="G273" s="48">
        <v>0</v>
      </c>
      <c r="H273" s="48">
        <v>0</v>
      </c>
      <c r="I273" s="48">
        <v>0</v>
      </c>
      <c r="J273" s="48">
        <v>0</v>
      </c>
      <c r="K273" s="48">
        <v>0</v>
      </c>
      <c r="L273" s="48">
        <v>0</v>
      </c>
      <c r="M273" s="48">
        <v>0</v>
      </c>
      <c r="N273" s="260">
        <v>0</v>
      </c>
      <c r="O273" s="288"/>
      <c r="P273" s="288"/>
      <c r="Q273" s="255"/>
      <c r="R273" s="255"/>
      <c r="S273" s="52"/>
      <c r="T273" s="52"/>
      <c r="AJ273"/>
      <c r="AK273"/>
      <c r="AL273"/>
      <c r="AM273"/>
      <c r="AN273"/>
      <c r="AO273"/>
      <c r="AP273"/>
      <c r="AQ273"/>
      <c r="AR273"/>
      <c r="AS273"/>
      <c r="AT273"/>
      <c r="AU273"/>
      <c r="AV273"/>
      <c r="AW273"/>
      <c r="AX273"/>
      <c r="AY273"/>
    </row>
    <row r="274" spans="1:51" ht="15.75" hidden="1" thickBot="1">
      <c r="A274" s="50" t="s">
        <v>37</v>
      </c>
      <c r="B274" s="59">
        <f t="shared" ref="B274:N274" si="51">SUM(B266:B273)</f>
        <v>0</v>
      </c>
      <c r="C274" s="59">
        <f t="shared" si="51"/>
        <v>0</v>
      </c>
      <c r="D274" s="59">
        <f t="shared" si="51"/>
        <v>0</v>
      </c>
      <c r="E274" s="59">
        <f t="shared" si="51"/>
        <v>0</v>
      </c>
      <c r="F274" s="347">
        <f t="shared" si="51"/>
        <v>0</v>
      </c>
      <c r="G274" s="59">
        <f t="shared" si="51"/>
        <v>0</v>
      </c>
      <c r="H274" s="59">
        <f t="shared" si="51"/>
        <v>0</v>
      </c>
      <c r="I274" s="59">
        <f t="shared" si="51"/>
        <v>0</v>
      </c>
      <c r="J274" s="59">
        <f t="shared" si="51"/>
        <v>0</v>
      </c>
      <c r="K274" s="59">
        <f t="shared" si="51"/>
        <v>0</v>
      </c>
      <c r="L274" s="59">
        <f t="shared" si="51"/>
        <v>0</v>
      </c>
      <c r="M274" s="59">
        <f t="shared" si="51"/>
        <v>0</v>
      </c>
      <c r="N274" s="264">
        <f t="shared" si="51"/>
        <v>0</v>
      </c>
      <c r="O274" s="288"/>
      <c r="P274" s="288"/>
      <c r="Q274" s="255"/>
      <c r="R274" s="255"/>
      <c r="S274" s="52"/>
      <c r="T274" s="52"/>
      <c r="AJ274"/>
      <c r="AK274"/>
      <c r="AL274"/>
      <c r="AM274"/>
      <c r="AN274"/>
      <c r="AO274"/>
      <c r="AP274"/>
      <c r="AQ274"/>
      <c r="AR274"/>
      <c r="AS274"/>
      <c r="AT274"/>
      <c r="AU274"/>
      <c r="AV274"/>
      <c r="AW274"/>
      <c r="AX274"/>
      <c r="AY274"/>
    </row>
    <row r="275" spans="1:51" ht="15.75" hidden="1" thickBot="1">
      <c r="A275" s="44" t="s">
        <v>15</v>
      </c>
      <c r="B275" s="9">
        <f t="shared" ref="B275:N275" si="52">B274+B264</f>
        <v>0</v>
      </c>
      <c r="C275" s="9">
        <f t="shared" si="52"/>
        <v>0</v>
      </c>
      <c r="D275" s="9">
        <f t="shared" si="52"/>
        <v>0</v>
      </c>
      <c r="E275" s="9">
        <f t="shared" si="52"/>
        <v>0</v>
      </c>
      <c r="F275" s="349">
        <f t="shared" si="52"/>
        <v>0</v>
      </c>
      <c r="G275" s="9">
        <f t="shared" si="52"/>
        <v>0</v>
      </c>
      <c r="H275" s="9">
        <f t="shared" si="52"/>
        <v>0</v>
      </c>
      <c r="I275" s="9">
        <f t="shared" si="52"/>
        <v>0</v>
      </c>
      <c r="J275" s="9">
        <f t="shared" si="52"/>
        <v>0</v>
      </c>
      <c r="K275" s="9">
        <f t="shared" si="52"/>
        <v>0</v>
      </c>
      <c r="L275" s="9">
        <f t="shared" si="52"/>
        <v>0</v>
      </c>
      <c r="M275" s="9">
        <f t="shared" si="52"/>
        <v>0</v>
      </c>
      <c r="N275" s="268">
        <f t="shared" si="52"/>
        <v>0</v>
      </c>
      <c r="O275" s="288"/>
      <c r="P275" s="288"/>
      <c r="Q275" s="255"/>
      <c r="R275" s="255"/>
      <c r="S275" s="52"/>
      <c r="T275" s="52"/>
      <c r="AJ275"/>
      <c r="AK275"/>
      <c r="AL275"/>
      <c r="AM275"/>
      <c r="AN275"/>
      <c r="AO275"/>
      <c r="AP275"/>
      <c r="AQ275"/>
      <c r="AR275"/>
      <c r="AS275"/>
      <c r="AT275"/>
      <c r="AU275"/>
      <c r="AV275"/>
      <c r="AW275"/>
      <c r="AX275"/>
      <c r="AY275"/>
    </row>
    <row r="276" spans="1:51">
      <c r="B276" s="11">
        <f>B275-B248</f>
        <v>0</v>
      </c>
      <c r="O276" s="288"/>
      <c r="P276" s="288"/>
    </row>
    <row r="277" spans="1:51">
      <c r="N277" s="311"/>
      <c r="O277" s="288">
        <v>31301123.331999991</v>
      </c>
      <c r="P277" s="288"/>
    </row>
    <row r="278" spans="1:51">
      <c r="O278" s="288">
        <f>+O241-O277</f>
        <v>65665697.69415167</v>
      </c>
      <c r="P278" s="288"/>
    </row>
    <row r="279" spans="1:51">
      <c r="O279" s="312">
        <f>+O278/N103</f>
        <v>5.0771165241365476E-2</v>
      </c>
      <c r="P279" s="288"/>
    </row>
    <row r="280" spans="1:51">
      <c r="O280" s="288"/>
      <c r="P280" s="288"/>
    </row>
    <row r="281" spans="1:51">
      <c r="D281" s="11"/>
      <c r="O281" s="288"/>
      <c r="P281" s="288"/>
    </row>
    <row r="282" spans="1:51">
      <c r="D282" s="11"/>
      <c r="O282" s="288"/>
      <c r="P282" s="288"/>
    </row>
    <row r="283" spans="1:51">
      <c r="D283" s="11"/>
      <c r="O283" s="288"/>
      <c r="P283" s="288"/>
    </row>
    <row r="284" spans="1:51">
      <c r="D284" s="11"/>
      <c r="O284" s="288"/>
      <c r="P284" s="288"/>
    </row>
  </sheetData>
  <mergeCells count="104">
    <mergeCell ref="G3:G4"/>
    <mergeCell ref="H3:H4"/>
    <mergeCell ref="I3:I4"/>
    <mergeCell ref="J3:J4"/>
    <mergeCell ref="K3:K4"/>
    <mergeCell ref="L3:L4"/>
    <mergeCell ref="A3:A4"/>
    <mergeCell ref="B3:B4"/>
    <mergeCell ref="C3:C4"/>
    <mergeCell ref="D3:D4"/>
    <mergeCell ref="E3:E4"/>
    <mergeCell ref="F3:F4"/>
    <mergeCell ref="S3:S4"/>
    <mergeCell ref="T3:T4"/>
    <mergeCell ref="U3:U4"/>
    <mergeCell ref="V3:V4"/>
    <mergeCell ref="W3:W4"/>
    <mergeCell ref="X3:X4"/>
    <mergeCell ref="M3:M4"/>
    <mergeCell ref="N3:N4"/>
    <mergeCell ref="O3:O4"/>
    <mergeCell ref="P3:P4"/>
    <mergeCell ref="Q3:Q4"/>
    <mergeCell ref="R3:R4"/>
    <mergeCell ref="AE3:AE4"/>
    <mergeCell ref="AF3:AF4"/>
    <mergeCell ref="AG3:AG4"/>
    <mergeCell ref="AH3:AH4"/>
    <mergeCell ref="AI3:AI4"/>
    <mergeCell ref="AJ3:AJ4"/>
    <mergeCell ref="Y3:Y4"/>
    <mergeCell ref="Z3:Z4"/>
    <mergeCell ref="AA3:AA4"/>
    <mergeCell ref="AB3:AB4"/>
    <mergeCell ref="AC3:AC4"/>
    <mergeCell ref="AD3:AD4"/>
    <mergeCell ref="AQ3:AQ4"/>
    <mergeCell ref="AR3:AR4"/>
    <mergeCell ref="AS3:AS4"/>
    <mergeCell ref="AT3:AT4"/>
    <mergeCell ref="AU3:AU4"/>
    <mergeCell ref="AX3:AY3"/>
    <mergeCell ref="AK3:AK4"/>
    <mergeCell ref="AL3:AL4"/>
    <mergeCell ref="AM3:AM4"/>
    <mergeCell ref="AN3:AN4"/>
    <mergeCell ref="AO3:AO4"/>
    <mergeCell ref="AP3:AP4"/>
    <mergeCell ref="A41:N41"/>
    <mergeCell ref="B42:B43"/>
    <mergeCell ref="C42:C43"/>
    <mergeCell ref="D42:D43"/>
    <mergeCell ref="E42:E43"/>
    <mergeCell ref="F42:F43"/>
    <mergeCell ref="G42:G43"/>
    <mergeCell ref="H42:H43"/>
    <mergeCell ref="I42:I43"/>
    <mergeCell ref="J42:J43"/>
    <mergeCell ref="K42:K43"/>
    <mergeCell ref="L42:L43"/>
    <mergeCell ref="M42:M43"/>
    <mergeCell ref="N42:N43"/>
    <mergeCell ref="AZ42:AZ43"/>
    <mergeCell ref="B106:B107"/>
    <mergeCell ref="C106:C107"/>
    <mergeCell ref="D106:D107"/>
    <mergeCell ref="E106:E107"/>
    <mergeCell ref="F106:F107"/>
    <mergeCell ref="I171:I172"/>
    <mergeCell ref="J171:J172"/>
    <mergeCell ref="K171:K172"/>
    <mergeCell ref="L171:L172"/>
    <mergeCell ref="M171:M172"/>
    <mergeCell ref="N171:N172"/>
    <mergeCell ref="M106:M107"/>
    <mergeCell ref="N106:N107"/>
    <mergeCell ref="I106:I107"/>
    <mergeCell ref="J106:J107"/>
    <mergeCell ref="K106:K107"/>
    <mergeCell ref="L106:L107"/>
    <mergeCell ref="A171:A172"/>
    <mergeCell ref="B171:B172"/>
    <mergeCell ref="C171:C172"/>
    <mergeCell ref="D171:D172"/>
    <mergeCell ref="E171:E172"/>
    <mergeCell ref="F171:F172"/>
    <mergeCell ref="G171:G172"/>
    <mergeCell ref="H171:H172"/>
    <mergeCell ref="G106:G107"/>
    <mergeCell ref="H106:H107"/>
    <mergeCell ref="M244:M245"/>
    <mergeCell ref="N244:N245"/>
    <mergeCell ref="G244:G245"/>
    <mergeCell ref="H244:H245"/>
    <mergeCell ref="I244:I245"/>
    <mergeCell ref="J244:J245"/>
    <mergeCell ref="K244:K245"/>
    <mergeCell ref="L244:L245"/>
    <mergeCell ref="A244:A245"/>
    <mergeCell ref="B244:B245"/>
    <mergeCell ref="C244:C245"/>
    <mergeCell ref="D244:D245"/>
    <mergeCell ref="E244:E245"/>
    <mergeCell ref="F244:F245"/>
  </mergeCells>
  <conditionalFormatting sqref="A1:P1 AJ1:BI1 BL1:BN1 U1:AH1 R1:S1 BW1:XFD1">
    <cfRule type="cellIs" dxfId="6" priority="7" operator="equal">
      <formula>0</formula>
    </cfRule>
  </conditionalFormatting>
  <conditionalFormatting sqref="AI1">
    <cfRule type="cellIs" dxfId="5" priority="6" operator="equal">
      <formula>0</formula>
    </cfRule>
  </conditionalFormatting>
  <conditionalFormatting sqref="BK1">
    <cfRule type="cellIs" dxfId="4" priority="4" operator="equal">
      <formula>0</formula>
    </cfRule>
  </conditionalFormatting>
  <conditionalFormatting sqref="BJ1">
    <cfRule type="cellIs" dxfId="3" priority="5" operator="equal">
      <formula>0</formula>
    </cfRule>
  </conditionalFormatting>
  <conditionalFormatting sqref="T1">
    <cfRule type="cellIs" dxfId="2" priority="3" operator="equal">
      <formula>0</formula>
    </cfRule>
  </conditionalFormatting>
  <conditionalFormatting sqref="Q1">
    <cfRule type="cellIs" dxfId="1" priority="2" operator="equal">
      <formula>0</formula>
    </cfRule>
  </conditionalFormatting>
  <conditionalFormatting sqref="BO1:BV1">
    <cfRule type="cellIs" dxfId="0" priority="1" operator="equal">
      <formula>0</formula>
    </cfRule>
  </conditionalFormatting>
  <hyperlinks>
    <hyperlink ref="AX3:AY3" location="'Trial Balance'!A1" display="Trial Balance" xr:uid="{00000000-0004-0000-0C00-000000000000}"/>
  </hyperlinks>
  <printOptions horizontalCentered="1" verticalCentered="1"/>
  <pageMargins left="0.15748031496062992" right="0" top="0" bottom="0" header="0" footer="0"/>
  <pageSetup paperSize="8" scale="19" orientation="landscape" r:id="rId1"/>
  <rowBreaks count="2" manualBreakCount="2">
    <brk id="104" max="13" man="1"/>
    <brk id="169" max="13" man="1"/>
  </row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D68"/>
  <sheetViews>
    <sheetView workbookViewId="0">
      <selection activeCell="A3" sqref="A1:XFD1048576"/>
    </sheetView>
  </sheetViews>
  <sheetFormatPr defaultRowHeight="15"/>
  <cols>
    <col min="1" max="1" width="33" style="244" bestFit="1" customWidth="1"/>
    <col min="2" max="2" width="18.28515625" style="109" bestFit="1" customWidth="1"/>
    <col min="3" max="3" width="18.28515625" style="109" customWidth="1"/>
    <col min="4" max="4" width="16.42578125" style="109" bestFit="1" customWidth="1"/>
  </cols>
  <sheetData>
    <row r="1" spans="1:4">
      <c r="A1" s="244" t="s">
        <v>0</v>
      </c>
      <c r="B1" s="109" t="s">
        <v>26</v>
      </c>
      <c r="D1" s="109">
        <v>105826293.69000004</v>
      </c>
    </row>
    <row r="2" spans="1:4">
      <c r="A2" s="244" t="s">
        <v>1</v>
      </c>
      <c r="B2" s="109">
        <v>0</v>
      </c>
      <c r="C2" s="296">
        <f>+B2/$B$65</f>
        <v>0</v>
      </c>
      <c r="D2" s="109">
        <f>+C2*$D$1</f>
        <v>0</v>
      </c>
    </row>
    <row r="3" spans="1:4">
      <c r="A3" s="244" t="s">
        <v>2</v>
      </c>
      <c r="B3" s="109">
        <v>0</v>
      </c>
      <c r="C3" s="296">
        <f t="shared" ref="C3:C65" si="0">+B3/$B$65</f>
        <v>0</v>
      </c>
      <c r="D3" s="109">
        <f t="shared" ref="D3:D65" si="1">+C3*$D$1</f>
        <v>0</v>
      </c>
    </row>
    <row r="4" spans="1:4">
      <c r="A4" s="244" t="s">
        <v>75</v>
      </c>
      <c r="B4" s="109">
        <v>43372</v>
      </c>
      <c r="C4" s="296">
        <f t="shared" si="0"/>
        <v>1.8143451465237396E-5</v>
      </c>
      <c r="D4" s="109">
        <f t="shared" si="1"/>
        <v>1920.0542233104743</v>
      </c>
    </row>
    <row r="5" spans="1:4">
      <c r="A5" s="244" t="s">
        <v>4</v>
      </c>
      <c r="B5" s="109">
        <v>7004292.5489999996</v>
      </c>
      <c r="C5" s="296">
        <f t="shared" si="0"/>
        <v>2.9300480012705299E-3</v>
      </c>
      <c r="D5" s="109">
        <f t="shared" si="1"/>
        <v>310076.12030825269</v>
      </c>
    </row>
    <row r="6" spans="1:4">
      <c r="A6" s="244" t="s">
        <v>5</v>
      </c>
      <c r="B6" s="109">
        <v>0</v>
      </c>
      <c r="C6" s="296">
        <f t="shared" si="0"/>
        <v>0</v>
      </c>
      <c r="D6" s="109">
        <f t="shared" si="1"/>
        <v>0</v>
      </c>
    </row>
    <row r="7" spans="1:4">
      <c r="A7" s="244" t="s">
        <v>6</v>
      </c>
      <c r="B7" s="109">
        <v>25695620.039999999</v>
      </c>
      <c r="C7" s="296">
        <f t="shared" si="0"/>
        <v>1.0749037053050848E-2</v>
      </c>
      <c r="D7" s="109">
        <f t="shared" si="1"/>
        <v>1137530.7520608515</v>
      </c>
    </row>
    <row r="8" spans="1:4">
      <c r="A8" s="244" t="s">
        <v>7</v>
      </c>
      <c r="B8" s="109">
        <v>167634.48499999999</v>
      </c>
      <c r="C8" s="296">
        <f t="shared" si="0"/>
        <v>7.0125153151746883E-5</v>
      </c>
      <c r="D8" s="109">
        <f t="shared" si="1"/>
        <v>7421.0850524929974</v>
      </c>
    </row>
    <row r="9" spans="1:4">
      <c r="A9" s="244" t="s">
        <v>8</v>
      </c>
      <c r="B9" s="109">
        <v>61687831.928000003</v>
      </c>
      <c r="C9" s="296">
        <f t="shared" si="0"/>
        <v>2.5805362551447705E-2</v>
      </c>
      <c r="D9" s="109">
        <f t="shared" si="1"/>
        <v>2730885.8761464339</v>
      </c>
    </row>
    <row r="10" spans="1:4">
      <c r="A10" s="244" t="s">
        <v>9</v>
      </c>
      <c r="B10" s="109">
        <v>0</v>
      </c>
      <c r="C10" s="296">
        <f t="shared" si="0"/>
        <v>0</v>
      </c>
      <c r="D10" s="109">
        <f t="shared" si="1"/>
        <v>0</v>
      </c>
    </row>
    <row r="11" spans="1:4">
      <c r="A11" s="244" t="s">
        <v>10</v>
      </c>
      <c r="B11" s="109">
        <v>58089552.769000016</v>
      </c>
      <c r="C11" s="296">
        <f t="shared" si="0"/>
        <v>2.43001240731739E-2</v>
      </c>
      <c r="D11" s="109">
        <f t="shared" si="1"/>
        <v>2571592.0668711411</v>
      </c>
    </row>
    <row r="12" spans="1:4">
      <c r="A12" s="244" t="s">
        <v>11</v>
      </c>
      <c r="B12" s="109">
        <v>9356763.307</v>
      </c>
      <c r="C12" s="296">
        <f t="shared" si="0"/>
        <v>3.9141377140152322E-3</v>
      </c>
      <c r="D12" s="109">
        <f t="shared" si="1"/>
        <v>414218.68726648134</v>
      </c>
    </row>
    <row r="13" spans="1:4">
      <c r="A13" s="244" t="s">
        <v>12</v>
      </c>
      <c r="B13" s="109">
        <v>16340364.574999999</v>
      </c>
      <c r="C13" s="296">
        <f t="shared" si="0"/>
        <v>6.8355301021580045E-3</v>
      </c>
      <c r="D13" s="109">
        <f t="shared" si="1"/>
        <v>723378.81611780892</v>
      </c>
    </row>
    <row r="14" spans="1:4">
      <c r="A14" s="244" t="s">
        <v>13</v>
      </c>
      <c r="B14" s="109">
        <v>0</v>
      </c>
      <c r="C14" s="296">
        <f t="shared" si="0"/>
        <v>0</v>
      </c>
      <c r="D14" s="109">
        <f t="shared" si="1"/>
        <v>0</v>
      </c>
    </row>
    <row r="15" spans="1:4">
      <c r="A15" s="244" t="s">
        <v>14</v>
      </c>
      <c r="B15" s="109">
        <v>2337010.223999999</v>
      </c>
      <c r="C15" s="296">
        <f t="shared" si="0"/>
        <v>9.7762223491901592E-4</v>
      </c>
      <c r="D15" s="109">
        <f t="shared" si="1"/>
        <v>103458.137750414</v>
      </c>
    </row>
    <row r="16" spans="1:4">
      <c r="A16" s="244" t="s">
        <v>64</v>
      </c>
      <c r="B16" s="109">
        <v>21224500.410999991</v>
      </c>
      <c r="C16" s="296">
        <f t="shared" si="0"/>
        <v>8.8786704113457873E-3</v>
      </c>
      <c r="D16" s="109">
        <f t="shared" si="1"/>
        <v>939596.78252779273</v>
      </c>
    </row>
    <row r="17" spans="1:4">
      <c r="A17" s="244" t="s">
        <v>62</v>
      </c>
      <c r="B17" s="109">
        <v>2629450.27</v>
      </c>
      <c r="C17" s="296">
        <f t="shared" si="0"/>
        <v>1.0999562702665399E-3</v>
      </c>
      <c r="D17" s="109">
        <f t="shared" si="1"/>
        <v>116404.29530338391</v>
      </c>
    </row>
    <row r="18" spans="1:4">
      <c r="A18" s="244" t="s">
        <v>61</v>
      </c>
      <c r="B18" s="109">
        <v>0</v>
      </c>
      <c r="C18" s="296">
        <f t="shared" si="0"/>
        <v>0</v>
      </c>
      <c r="D18" s="109">
        <f t="shared" si="1"/>
        <v>0</v>
      </c>
    </row>
    <row r="19" spans="1:4">
      <c r="A19" s="244" t="s">
        <v>65</v>
      </c>
      <c r="B19" s="109">
        <v>0</v>
      </c>
      <c r="C19" s="296">
        <f t="shared" si="0"/>
        <v>0</v>
      </c>
      <c r="D19" s="109">
        <f t="shared" si="1"/>
        <v>0</v>
      </c>
    </row>
    <row r="20" spans="1:4">
      <c r="A20" s="244" t="s">
        <v>68</v>
      </c>
      <c r="B20" s="109">
        <v>347892390.15900016</v>
      </c>
      <c r="C20" s="296">
        <f t="shared" si="0"/>
        <v>0.14553095766797131</v>
      </c>
      <c r="D20" s="109">
        <f t="shared" si="1"/>
        <v>15401001.867157696</v>
      </c>
    </row>
    <row r="21" spans="1:4">
      <c r="A21" s="244" t="s">
        <v>71</v>
      </c>
      <c r="B21" s="109">
        <v>1607976.577</v>
      </c>
      <c r="C21" s="296">
        <f t="shared" si="0"/>
        <v>6.7265159508526386E-4</v>
      </c>
      <c r="D21" s="109">
        <f t="shared" si="1"/>
        <v>71184.225252540127</v>
      </c>
    </row>
    <row r="22" spans="1:4">
      <c r="A22" s="244" t="s">
        <v>73</v>
      </c>
      <c r="B22" s="109">
        <v>15116350.588999994</v>
      </c>
      <c r="C22" s="296">
        <f t="shared" si="0"/>
        <v>6.3234984147153492E-3</v>
      </c>
      <c r="D22" s="109">
        <f t="shared" si="1"/>
        <v>669192.40038391622</v>
      </c>
    </row>
    <row r="23" spans="1:4">
      <c r="A23" s="244" t="s">
        <v>74</v>
      </c>
      <c r="B23" s="109">
        <v>0</v>
      </c>
      <c r="C23" s="296">
        <f t="shared" si="0"/>
        <v>0</v>
      </c>
      <c r="D23" s="109">
        <f t="shared" si="1"/>
        <v>0</v>
      </c>
    </row>
    <row r="24" spans="1:4">
      <c r="A24" s="244" t="s">
        <v>85</v>
      </c>
      <c r="B24" s="109">
        <v>54129906.508999996</v>
      </c>
      <c r="C24" s="296">
        <f t="shared" si="0"/>
        <v>2.2643717872449488E-2</v>
      </c>
      <c r="D24" s="109">
        <f t="shared" si="1"/>
        <v>2396300.7378033423</v>
      </c>
    </row>
    <row r="25" spans="1:4">
      <c r="A25" s="244" t="s">
        <v>86</v>
      </c>
      <c r="B25" s="109">
        <v>53577.161</v>
      </c>
      <c r="C25" s="296">
        <f t="shared" si="0"/>
        <v>2.2412492397138933E-5</v>
      </c>
      <c r="D25" s="109">
        <f t="shared" si="1"/>
        <v>2371.8310027445177</v>
      </c>
    </row>
    <row r="26" spans="1:4">
      <c r="A26" s="244" t="s">
        <v>87</v>
      </c>
      <c r="B26" s="109">
        <v>1722486.8270000003</v>
      </c>
      <c r="C26" s="296">
        <f t="shared" si="0"/>
        <v>7.205537246422869E-4</v>
      </c>
      <c r="D26" s="109">
        <f t="shared" si="1"/>
        <v>76253.530083418067</v>
      </c>
    </row>
    <row r="27" spans="1:4">
      <c r="A27" s="244" t="s">
        <v>89</v>
      </c>
      <c r="B27" s="109">
        <v>7697857.733</v>
      </c>
      <c r="C27" s="296">
        <f t="shared" si="0"/>
        <v>3.2201814111636048E-3</v>
      </c>
      <c r="D27" s="109">
        <f t="shared" si="1"/>
        <v>340779.86375287845</v>
      </c>
    </row>
    <row r="28" spans="1:4">
      <c r="A28" s="244" t="s">
        <v>91</v>
      </c>
      <c r="B28" s="109">
        <v>8029220.1179999989</v>
      </c>
      <c r="C28" s="296">
        <f t="shared" si="0"/>
        <v>3.3587975079461554E-3</v>
      </c>
      <c r="D28" s="109">
        <f t="shared" si="1"/>
        <v>355449.09152115008</v>
      </c>
    </row>
    <row r="29" spans="1:4">
      <c r="A29" s="244" t="s">
        <v>94</v>
      </c>
      <c r="B29" s="109">
        <v>108894769.21499996</v>
      </c>
      <c r="C29" s="296">
        <f t="shared" si="0"/>
        <v>4.5553051740076067E-2</v>
      </c>
      <c r="D29" s="109">
        <f t="shared" si="1"/>
        <v>4820710.6319210576</v>
      </c>
    </row>
    <row r="30" spans="1:4">
      <c r="A30" s="244" t="s">
        <v>95</v>
      </c>
      <c r="B30" s="109">
        <v>52631513.089999989</v>
      </c>
      <c r="C30" s="296">
        <f t="shared" si="0"/>
        <v>2.2016907297113839E-2</v>
      </c>
      <c r="D30" s="109">
        <f t="shared" si="1"/>
        <v>2329967.6977698742</v>
      </c>
    </row>
    <row r="31" spans="1:4">
      <c r="A31" s="244" t="s">
        <v>131</v>
      </c>
      <c r="B31" s="109">
        <v>25025907.780999988</v>
      </c>
      <c r="C31" s="296">
        <f t="shared" si="0"/>
        <v>1.0468881840774697E-2</v>
      </c>
      <c r="D31" s="109">
        <f t="shared" si="1"/>
        <v>1107882.9642877313</v>
      </c>
    </row>
    <row r="32" spans="1:4">
      <c r="A32" s="244" t="s">
        <v>128</v>
      </c>
      <c r="B32" s="109">
        <v>402801096.57000017</v>
      </c>
      <c r="C32" s="296">
        <f t="shared" si="0"/>
        <v>0.16850046448773862</v>
      </c>
      <c r="D32" s="109">
        <f t="shared" si="1"/>
        <v>17831779.64178085</v>
      </c>
    </row>
    <row r="33" spans="1:4">
      <c r="A33" s="244" t="s">
        <v>129</v>
      </c>
      <c r="B33" s="109">
        <v>107249636.19000001</v>
      </c>
      <c r="C33" s="296">
        <f t="shared" si="0"/>
        <v>4.4864856794190569E-2</v>
      </c>
      <c r="D33" s="109">
        <f t="shared" si="1"/>
        <v>4747881.5114618046</v>
      </c>
    </row>
    <row r="34" spans="1:4">
      <c r="A34" s="244" t="s">
        <v>130</v>
      </c>
      <c r="B34" s="109">
        <v>116051.62</v>
      </c>
      <c r="C34" s="296">
        <f t="shared" si="0"/>
        <v>4.8546918171451012E-5</v>
      </c>
      <c r="D34" s="109">
        <f t="shared" si="1"/>
        <v>5137.5404201563742</v>
      </c>
    </row>
    <row r="35" spans="1:4">
      <c r="A35" s="244" t="s">
        <v>132</v>
      </c>
      <c r="B35" s="109">
        <v>1622495.9149999991</v>
      </c>
      <c r="C35" s="296">
        <f t="shared" si="0"/>
        <v>6.7872535014176024E-4</v>
      </c>
      <c r="D35" s="109">
        <f t="shared" si="1"/>
        <v>71826.988238950027</v>
      </c>
    </row>
    <row r="36" spans="1:4">
      <c r="A36" s="244" t="s">
        <v>135</v>
      </c>
      <c r="B36" s="109">
        <v>44675700.660999998</v>
      </c>
      <c r="C36" s="296">
        <f t="shared" si="0"/>
        <v>1.8688817822980902E-2</v>
      </c>
      <c r="D36" s="109">
        <f t="shared" si="1"/>
        <v>1977768.3236536842</v>
      </c>
    </row>
    <row r="37" spans="1:4">
      <c r="A37" s="244" t="s">
        <v>136</v>
      </c>
      <c r="B37" s="109">
        <v>35115214.827999994</v>
      </c>
      <c r="C37" s="296">
        <f t="shared" si="0"/>
        <v>1.4689458542912533E-2</v>
      </c>
      <c r="D37" s="109">
        <f t="shared" si="1"/>
        <v>1554530.9539093419</v>
      </c>
    </row>
    <row r="38" spans="1:4">
      <c r="A38" s="244" t="s">
        <v>137</v>
      </c>
      <c r="B38" s="109">
        <v>155328509.40600005</v>
      </c>
      <c r="C38" s="296">
        <f t="shared" si="0"/>
        <v>6.4977295757065207E-2</v>
      </c>
      <c r="D38" s="109">
        <f t="shared" si="1"/>
        <v>6876306.3839691766</v>
      </c>
    </row>
    <row r="39" spans="1:4">
      <c r="A39" s="244" t="s">
        <v>138</v>
      </c>
      <c r="B39" s="109">
        <v>177389327.44699997</v>
      </c>
      <c r="C39" s="296">
        <f t="shared" si="0"/>
        <v>7.4205816033056995E-2</v>
      </c>
      <c r="D39" s="109">
        <f t="shared" si="1"/>
        <v>7852926.4810204031</v>
      </c>
    </row>
    <row r="40" spans="1:4">
      <c r="A40" s="244" t="s">
        <v>139</v>
      </c>
      <c r="B40" s="109">
        <v>21480808.761999998</v>
      </c>
      <c r="C40" s="296">
        <f t="shared" si="0"/>
        <v>8.9858897723737244E-3</v>
      </c>
      <c r="D40" s="109">
        <f t="shared" si="1"/>
        <v>950943.4101171894</v>
      </c>
    </row>
    <row r="41" spans="1:4">
      <c r="A41" s="244" t="s">
        <v>140</v>
      </c>
      <c r="B41" s="109">
        <v>47952513.120999999</v>
      </c>
      <c r="C41" s="296">
        <f t="shared" si="0"/>
        <v>2.0059579785276744E-2</v>
      </c>
      <c r="D41" s="109">
        <f t="shared" si="1"/>
        <v>2122830.9816546845</v>
      </c>
    </row>
    <row r="42" spans="1:4">
      <c r="A42" s="244" t="s">
        <v>146</v>
      </c>
      <c r="B42" s="109">
        <v>37465929.964000002</v>
      </c>
      <c r="C42" s="296">
        <f t="shared" si="0"/>
        <v>1.5672813840768639E-2</v>
      </c>
      <c r="D42" s="109">
        <f t="shared" si="1"/>
        <v>1658595.8004618797</v>
      </c>
    </row>
    <row r="43" spans="1:4">
      <c r="A43" s="244" t="s">
        <v>147</v>
      </c>
      <c r="B43" s="109">
        <v>13705180.685999999</v>
      </c>
      <c r="C43" s="296">
        <f t="shared" si="0"/>
        <v>5.7331753342882491E-3</v>
      </c>
      <c r="D43" s="109">
        <f t="shared" si="1"/>
        <v>606720.69670265238</v>
      </c>
    </row>
    <row r="44" spans="1:4">
      <c r="A44" s="244" t="s">
        <v>148</v>
      </c>
      <c r="B44" s="109">
        <v>78561198.162</v>
      </c>
      <c r="C44" s="296">
        <f t="shared" si="0"/>
        <v>3.2863858846793881E-2</v>
      </c>
      <c r="D44" s="109">
        <f t="shared" si="1"/>
        <v>3477860.3781075152</v>
      </c>
    </row>
    <row r="45" spans="1:4">
      <c r="A45" s="244" t="s">
        <v>150</v>
      </c>
      <c r="B45" s="109">
        <v>87994977.755999997</v>
      </c>
      <c r="C45" s="296">
        <f t="shared" si="0"/>
        <v>3.6810214149696353E-2</v>
      </c>
      <c r="D45" s="109">
        <f t="shared" si="1"/>
        <v>3895488.5333975614</v>
      </c>
    </row>
    <row r="46" spans="1:4">
      <c r="A46" s="244" t="s">
        <v>151</v>
      </c>
      <c r="B46" s="109">
        <v>48012449.948999994</v>
      </c>
      <c r="C46" s="296">
        <f t="shared" si="0"/>
        <v>2.0084652664779604E-2</v>
      </c>
      <c r="D46" s="109">
        <f t="shared" si="1"/>
        <v>2125484.3515646085</v>
      </c>
    </row>
    <row r="47" spans="1:4">
      <c r="A47" s="244" t="s">
        <v>152</v>
      </c>
      <c r="B47" s="109">
        <v>5562926.1270000003</v>
      </c>
      <c r="C47" s="296">
        <f t="shared" si="0"/>
        <v>2.3270930598064546E-3</v>
      </c>
      <c r="D47" s="109">
        <f t="shared" si="1"/>
        <v>246267.6335910387</v>
      </c>
    </row>
    <row r="48" spans="1:4">
      <c r="A48" s="244" t="s">
        <v>153</v>
      </c>
      <c r="B48" s="109">
        <v>12479184.655000001</v>
      </c>
      <c r="C48" s="296">
        <f t="shared" si="0"/>
        <v>5.2203145142886605E-3</v>
      </c>
      <c r="D48" s="109">
        <f t="shared" si="1"/>
        <v>552446.53694328165</v>
      </c>
    </row>
    <row r="49" spans="1:4">
      <c r="A49" s="244" t="s">
        <v>154</v>
      </c>
      <c r="B49" s="109">
        <v>82955285.203000039</v>
      </c>
      <c r="C49" s="296">
        <f t="shared" si="0"/>
        <v>3.4702001080548675E-2</v>
      </c>
      <c r="D49" s="109">
        <f t="shared" si="1"/>
        <v>3672384.157980843</v>
      </c>
    </row>
    <row r="50" spans="1:4">
      <c r="A50" s="244" t="s">
        <v>155</v>
      </c>
      <c r="B50" s="109">
        <v>10269346.389999999</v>
      </c>
      <c r="C50" s="296">
        <f t="shared" si="0"/>
        <v>4.2958910773465793E-3</v>
      </c>
      <c r="D50" s="109">
        <f t="shared" si="1"/>
        <v>454618.23081152979</v>
      </c>
    </row>
    <row r="51" spans="1:4">
      <c r="A51" s="244" t="s">
        <v>219</v>
      </c>
      <c r="B51" s="109">
        <v>32681023.748999994</v>
      </c>
      <c r="C51" s="296">
        <f t="shared" si="0"/>
        <v>1.3671183441488797E-2</v>
      </c>
      <c r="D51" s="109">
        <f t="shared" si="1"/>
        <v>1446770.673968859</v>
      </c>
    </row>
    <row r="52" spans="1:4">
      <c r="A52" s="244" t="s">
        <v>220</v>
      </c>
      <c r="B52" s="109">
        <v>47423662.781999998</v>
      </c>
      <c r="C52" s="296">
        <f t="shared" si="0"/>
        <v>1.9838350179585955E-2</v>
      </c>
      <c r="D52" s="109">
        <f t="shared" si="1"/>
        <v>2099419.0724299285</v>
      </c>
    </row>
    <row r="53" spans="1:4">
      <c r="A53" s="244" t="s">
        <v>221</v>
      </c>
      <c r="B53" s="109">
        <v>16805916.114999998</v>
      </c>
      <c r="C53" s="296">
        <f t="shared" si="0"/>
        <v>7.0302804427131212E-3</v>
      </c>
      <c r="D53" s="109">
        <f t="shared" si="1"/>
        <v>743988.52285362233</v>
      </c>
    </row>
    <row r="54" spans="1:4">
      <c r="A54" s="244" t="s">
        <v>218</v>
      </c>
      <c r="B54" s="109">
        <v>12919682.817999998</v>
      </c>
      <c r="C54" s="296">
        <f t="shared" si="0"/>
        <v>5.4045844820309061E-3</v>
      </c>
      <c r="D54" s="109">
        <f t="shared" si="1"/>
        <v>571947.14466781938</v>
      </c>
    </row>
    <row r="55" spans="1:4">
      <c r="A55" s="244" t="s">
        <v>222</v>
      </c>
      <c r="B55" s="109">
        <v>39238906.958999999</v>
      </c>
      <c r="C55" s="296">
        <f t="shared" si="0"/>
        <v>1.6414488701456755E-2</v>
      </c>
      <c r="D55" s="109">
        <f t="shared" si="1"/>
        <v>1737084.50209155</v>
      </c>
    </row>
    <row r="56" spans="1:4">
      <c r="A56" s="244" t="s">
        <v>224</v>
      </c>
      <c r="B56" s="109">
        <v>19465324.897000004</v>
      </c>
      <c r="C56" s="296">
        <f t="shared" si="0"/>
        <v>8.1427690105090079E-3</v>
      </c>
      <c r="D56" s="109">
        <f t="shared" si="1"/>
        <v>861719.06475595734</v>
      </c>
    </row>
    <row r="57" spans="1:4">
      <c r="A57" s="244" t="s">
        <v>223</v>
      </c>
      <c r="B57" s="109">
        <v>16937734.958000001</v>
      </c>
      <c r="C57" s="296">
        <f t="shared" si="0"/>
        <v>7.085423133393152E-3</v>
      </c>
      <c r="D57" s="109">
        <f t="shared" si="1"/>
        <v>749824.0694323841</v>
      </c>
    </row>
    <row r="58" spans="1:4">
      <c r="A58" s="244" t="s">
        <v>226</v>
      </c>
      <c r="B58" s="109">
        <v>124549.894</v>
      </c>
      <c r="C58" s="296">
        <f t="shared" si="0"/>
        <v>5.2101931125829158E-5</v>
      </c>
      <c r="D58" s="109">
        <f t="shared" si="1"/>
        <v>5513.7542651381509</v>
      </c>
    </row>
    <row r="59" spans="1:4">
      <c r="A59" s="244" t="s">
        <v>227</v>
      </c>
      <c r="B59" s="109">
        <v>1251659.0720000002</v>
      </c>
      <c r="C59" s="296">
        <f t="shared" si="0"/>
        <v>5.2359622853122019E-4</v>
      </c>
      <c r="D59" s="109">
        <f t="shared" si="1"/>
        <v>55410.248255521285</v>
      </c>
    </row>
    <row r="60" spans="1:4">
      <c r="A60" s="244" t="s">
        <v>225</v>
      </c>
      <c r="B60" s="109">
        <v>1832666.15</v>
      </c>
      <c r="C60" s="296">
        <f t="shared" si="0"/>
        <v>7.6664413318519955E-4</v>
      </c>
      <c r="D60" s="109">
        <f t="shared" si="1"/>
        <v>81131.107194172437</v>
      </c>
    </row>
    <row r="61" spans="1:4">
      <c r="A61" s="244" t="s">
        <v>228</v>
      </c>
      <c r="B61" s="109">
        <v>500359.87</v>
      </c>
      <c r="C61" s="296">
        <f t="shared" si="0"/>
        <v>2.0931142249602263E-4</v>
      </c>
      <c r="D61" s="109">
        <f t="shared" si="1"/>
        <v>22150.652069735774</v>
      </c>
    </row>
    <row r="62" spans="1:4">
      <c r="A62" s="244" t="s">
        <v>229</v>
      </c>
      <c r="B62" s="109">
        <v>2062745</v>
      </c>
      <c r="C62" s="296">
        <f t="shared" si="0"/>
        <v>8.6289112313615033E-4</v>
      </c>
      <c r="D62" s="109">
        <f t="shared" si="1"/>
        <v>91316.569419500229</v>
      </c>
    </row>
    <row r="63" spans="1:4">
      <c r="A63" s="244" t="s">
        <v>231</v>
      </c>
      <c r="B63" s="109">
        <v>541887.79</v>
      </c>
      <c r="C63" s="296">
        <f t="shared" si="0"/>
        <v>2.2668345516623065E-4</v>
      </c>
      <c r="D63" s="109">
        <f t="shared" si="1"/>
        <v>23989.069901085481</v>
      </c>
    </row>
    <row r="64" spans="1:4">
      <c r="A64" s="244" t="s">
        <v>230</v>
      </c>
      <c r="B64" s="109">
        <v>602067.41599999997</v>
      </c>
      <c r="C64" s="296">
        <f t="shared" si="0"/>
        <v>2.5185790235628726E-4</v>
      </c>
      <c r="D64" s="109">
        <f t="shared" si="1"/>
        <v>26653.18834290381</v>
      </c>
    </row>
    <row r="65" spans="1:4">
      <c r="A65" s="244" t="s">
        <v>15</v>
      </c>
      <c r="B65" s="109">
        <v>2390504369.1990004</v>
      </c>
      <c r="C65" s="296">
        <f t="shared" si="0"/>
        <v>1</v>
      </c>
      <c r="D65" s="109">
        <f t="shared" si="1"/>
        <v>105826293.69000004</v>
      </c>
    </row>
    <row r="67" spans="1:4">
      <c r="B67" s="109" t="s">
        <v>20</v>
      </c>
    </row>
    <row r="68" spans="1:4">
      <c r="A68" s="244" t="s">
        <v>16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AN27"/>
  <sheetViews>
    <sheetView workbookViewId="0">
      <selection activeCell="D51" sqref="D51:D53"/>
    </sheetView>
  </sheetViews>
  <sheetFormatPr defaultRowHeight="15"/>
  <cols>
    <col min="1" max="1" width="38.42578125" bestFit="1" customWidth="1"/>
    <col min="2" max="36" width="11.85546875" customWidth="1"/>
    <col min="37" max="37" width="10.85546875" bestFit="1" customWidth="1"/>
    <col min="38" max="39" width="1.42578125" bestFit="1" customWidth="1"/>
  </cols>
  <sheetData>
    <row r="1" spans="1:40" s="91" customFormat="1" ht="30" customHeight="1">
      <c r="A1" s="426" t="s">
        <v>0</v>
      </c>
      <c r="B1" s="447" t="s">
        <v>75</v>
      </c>
      <c r="C1" s="447" t="s">
        <v>4</v>
      </c>
      <c r="D1" s="447" t="s">
        <v>6</v>
      </c>
      <c r="E1" s="447" t="s">
        <v>7</v>
      </c>
      <c r="F1" s="447" t="s">
        <v>8</v>
      </c>
      <c r="G1" s="447" t="s">
        <v>10</v>
      </c>
      <c r="H1" s="447" t="s">
        <v>11</v>
      </c>
      <c r="I1" s="447" t="s">
        <v>12</v>
      </c>
      <c r="J1" s="447" t="s">
        <v>14</v>
      </c>
      <c r="K1" s="484" t="s">
        <v>64</v>
      </c>
      <c r="L1" s="447" t="s">
        <v>62</v>
      </c>
      <c r="M1" s="447" t="s">
        <v>68</v>
      </c>
      <c r="N1" s="447" t="s">
        <v>71</v>
      </c>
      <c r="O1" s="447" t="s">
        <v>73</v>
      </c>
      <c r="P1" s="447" t="s">
        <v>85</v>
      </c>
      <c r="Q1" s="447" t="s">
        <v>87</v>
      </c>
      <c r="R1" s="447" t="s">
        <v>89</v>
      </c>
      <c r="S1" s="447" t="s">
        <v>91</v>
      </c>
      <c r="T1" s="447" t="s">
        <v>94</v>
      </c>
      <c r="U1" s="447" t="s">
        <v>95</v>
      </c>
      <c r="V1" s="447" t="s">
        <v>131</v>
      </c>
      <c r="W1" s="447" t="s">
        <v>128</v>
      </c>
      <c r="X1" s="447" t="s">
        <v>129</v>
      </c>
      <c r="Y1" s="447" t="s">
        <v>130</v>
      </c>
      <c r="Z1" s="447" t="s">
        <v>132</v>
      </c>
      <c r="AA1" s="447" t="s">
        <v>135</v>
      </c>
      <c r="AB1" s="447" t="s">
        <v>136</v>
      </c>
      <c r="AC1" s="447" t="s">
        <v>137</v>
      </c>
      <c r="AD1" s="447" t="s">
        <v>138</v>
      </c>
      <c r="AE1" s="447" t="s">
        <v>139</v>
      </c>
      <c r="AF1" s="447" t="s">
        <v>140</v>
      </c>
      <c r="AG1" s="447" t="s">
        <v>146</v>
      </c>
      <c r="AH1" s="447" t="s">
        <v>147</v>
      </c>
      <c r="AI1" s="447" t="s">
        <v>148</v>
      </c>
      <c r="AJ1" s="449" t="s">
        <v>15</v>
      </c>
      <c r="AM1" s="258"/>
    </row>
    <row r="2" spans="1:40" s="91" customFormat="1" ht="30" customHeight="1">
      <c r="A2" s="427"/>
      <c r="B2" s="448"/>
      <c r="C2" s="448"/>
      <c r="D2" s="448"/>
      <c r="E2" s="448"/>
      <c r="F2" s="448"/>
      <c r="G2" s="448"/>
      <c r="H2" s="448"/>
      <c r="I2" s="448"/>
      <c r="J2" s="448"/>
      <c r="K2" s="485"/>
      <c r="L2" s="448"/>
      <c r="M2" s="448"/>
      <c r="N2" s="448"/>
      <c r="O2" s="448"/>
      <c r="P2" s="448" t="s">
        <v>84</v>
      </c>
      <c r="Q2" s="448"/>
      <c r="R2" s="448"/>
      <c r="S2" s="448"/>
      <c r="T2" s="448"/>
      <c r="U2" s="448" t="s">
        <v>84</v>
      </c>
      <c r="V2" s="448" t="s">
        <v>84</v>
      </c>
      <c r="W2" s="448" t="s">
        <v>84</v>
      </c>
      <c r="X2" s="448" t="s">
        <v>84</v>
      </c>
      <c r="Y2" s="448" t="s">
        <v>84</v>
      </c>
      <c r="Z2" s="448"/>
      <c r="AA2" s="448"/>
      <c r="AB2" s="448"/>
      <c r="AC2" s="448"/>
      <c r="AD2" s="448"/>
      <c r="AE2" s="448"/>
      <c r="AF2" s="448"/>
      <c r="AG2" s="448"/>
      <c r="AH2" s="448"/>
      <c r="AI2" s="448"/>
      <c r="AJ2" s="450"/>
    </row>
    <row r="3" spans="1:40" s="91" customFormat="1">
      <c r="A3" s="20" t="s">
        <v>17</v>
      </c>
      <c r="B3" s="90">
        <v>172181998.81400001</v>
      </c>
      <c r="C3" s="90">
        <v>95704579</v>
      </c>
      <c r="D3" s="90">
        <v>171490065</v>
      </c>
      <c r="E3" s="90">
        <v>16510059.279999999</v>
      </c>
      <c r="F3" s="90">
        <v>99588109</v>
      </c>
      <c r="G3" s="90">
        <v>270610661</v>
      </c>
      <c r="H3" s="90">
        <v>144891598</v>
      </c>
      <c r="I3" s="90">
        <v>324195538</v>
      </c>
      <c r="J3" s="90">
        <v>117257000</v>
      </c>
      <c r="K3" s="249">
        <v>40934935</v>
      </c>
      <c r="L3" s="90">
        <v>130103216.35860059</v>
      </c>
      <c r="M3" s="90">
        <v>420103550</v>
      </c>
      <c r="N3" s="90">
        <v>30857015</v>
      </c>
      <c r="O3" s="90">
        <v>206723720</v>
      </c>
      <c r="P3" s="90">
        <v>95970234.50056079</v>
      </c>
      <c r="Q3" s="90">
        <v>63390614</v>
      </c>
      <c r="R3" s="90">
        <v>46325341</v>
      </c>
      <c r="S3" s="90">
        <v>56652000</v>
      </c>
      <c r="T3" s="90">
        <v>467255000</v>
      </c>
      <c r="U3" s="90">
        <v>95970234.50056079</v>
      </c>
      <c r="V3" s="90">
        <v>95970234.50056079</v>
      </c>
      <c r="W3" s="90">
        <v>329870053</v>
      </c>
      <c r="X3" s="90">
        <v>409523809.83599997</v>
      </c>
      <c r="Y3" s="90">
        <v>2800000</v>
      </c>
      <c r="Z3" s="90">
        <v>9050320</v>
      </c>
      <c r="AA3" s="90">
        <v>51838240</v>
      </c>
      <c r="AB3" s="90">
        <v>32000000</v>
      </c>
      <c r="AC3" s="90">
        <v>264370000</v>
      </c>
      <c r="AD3" s="90">
        <v>311000000</v>
      </c>
      <c r="AE3" s="90">
        <v>39336927</v>
      </c>
      <c r="AF3" s="90">
        <v>107782440</v>
      </c>
      <c r="AG3" s="90">
        <v>62970000</v>
      </c>
      <c r="AH3" s="90">
        <v>49383500</v>
      </c>
      <c r="AI3" s="90">
        <v>87000000</v>
      </c>
      <c r="AJ3" s="5">
        <v>5450337687.8270073</v>
      </c>
      <c r="AN3" s="92"/>
    </row>
    <row r="4" spans="1:40" s="91" customFormat="1">
      <c r="A4" s="20" t="s">
        <v>18</v>
      </c>
      <c r="B4" s="89">
        <v>34797.226487994194</v>
      </c>
      <c r="C4" s="89">
        <v>0</v>
      </c>
      <c r="D4" s="89">
        <v>-5490065</v>
      </c>
      <c r="E4" s="89">
        <v>1000000</v>
      </c>
      <c r="F4" s="89">
        <v>48900025</v>
      </c>
      <c r="G4" s="89">
        <v>38140765</v>
      </c>
      <c r="H4" s="89">
        <v>8950052</v>
      </c>
      <c r="I4" s="89">
        <v>108395646</v>
      </c>
      <c r="J4" s="89">
        <v>3083462.7600000054</v>
      </c>
      <c r="K4" s="250">
        <v>3457090</v>
      </c>
      <c r="L4" s="89">
        <v>-311033.35860058665</v>
      </c>
      <c r="M4" s="89">
        <v>704505480</v>
      </c>
      <c r="N4" s="89">
        <v>-1913864</v>
      </c>
      <c r="O4" s="89">
        <v>62410950</v>
      </c>
      <c r="P4" s="89">
        <v>12819856.49943921</v>
      </c>
      <c r="Q4" s="89">
        <v>8157000</v>
      </c>
      <c r="R4" s="89">
        <v>7776054</v>
      </c>
      <c r="S4" s="89">
        <v>-1574053</v>
      </c>
      <c r="T4" s="89">
        <v>-54400466</v>
      </c>
      <c r="U4" s="89">
        <v>12819856.49943921</v>
      </c>
      <c r="V4" s="89">
        <v>12819856.49943921</v>
      </c>
      <c r="W4" s="89">
        <v>238592268</v>
      </c>
      <c r="X4" s="89">
        <v>0</v>
      </c>
      <c r="Y4" s="89">
        <v>0</v>
      </c>
      <c r="Z4" s="89">
        <v>0</v>
      </c>
      <c r="AA4" s="89">
        <v>0</v>
      </c>
      <c r="AB4" s="89">
        <v>0</v>
      </c>
      <c r="AC4" s="89">
        <v>0</v>
      </c>
      <c r="AD4" s="89">
        <v>0</v>
      </c>
      <c r="AE4" s="89">
        <v>0</v>
      </c>
      <c r="AF4" s="89">
        <v>0</v>
      </c>
      <c r="AG4" s="89">
        <v>0</v>
      </c>
      <c r="AH4" s="89">
        <v>0</v>
      </c>
      <c r="AI4" s="89">
        <v>0</v>
      </c>
      <c r="AJ4" s="5">
        <v>1206155545.8411322</v>
      </c>
      <c r="AN4" s="93"/>
    </row>
    <row r="5" spans="1:40" s="91" customFormat="1" ht="15.75" thickBot="1">
      <c r="A5" s="8" t="s">
        <v>19</v>
      </c>
      <c r="B5" s="110">
        <v>172216796.040488</v>
      </c>
      <c r="C5" s="110">
        <v>95704579</v>
      </c>
      <c r="D5" s="110">
        <v>166000000</v>
      </c>
      <c r="E5" s="110">
        <v>17510059.280000001</v>
      </c>
      <c r="F5" s="110">
        <v>148488134</v>
      </c>
      <c r="G5" s="110">
        <v>308751426</v>
      </c>
      <c r="H5" s="110">
        <v>153841650</v>
      </c>
      <c r="I5" s="110">
        <v>432591184</v>
      </c>
      <c r="J5" s="110">
        <v>120340462.76000001</v>
      </c>
      <c r="K5" s="251">
        <v>44392025</v>
      </c>
      <c r="L5" s="110">
        <v>129792183</v>
      </c>
      <c r="M5" s="110">
        <v>1124609030</v>
      </c>
      <c r="N5" s="110">
        <v>28943151</v>
      </c>
      <c r="O5" s="110">
        <v>269134670</v>
      </c>
      <c r="P5" s="110">
        <v>108790091</v>
      </c>
      <c r="Q5" s="110">
        <v>71547614</v>
      </c>
      <c r="R5" s="110">
        <v>54101395</v>
      </c>
      <c r="S5" s="110">
        <v>55077947</v>
      </c>
      <c r="T5" s="110">
        <v>412854534</v>
      </c>
      <c r="U5" s="110">
        <v>108790091</v>
      </c>
      <c r="V5" s="110">
        <v>108790091</v>
      </c>
      <c r="W5" s="110">
        <v>568462321</v>
      </c>
      <c r="X5" s="110">
        <v>409523809.83599997</v>
      </c>
      <c r="Y5" s="110">
        <v>2800000</v>
      </c>
      <c r="Z5" s="110">
        <v>9050320</v>
      </c>
      <c r="AA5" s="110">
        <v>51838240</v>
      </c>
      <c r="AB5" s="110">
        <v>32000000</v>
      </c>
      <c r="AC5" s="110">
        <v>264370000</v>
      </c>
      <c r="AD5" s="110">
        <v>311000000</v>
      </c>
      <c r="AE5" s="110">
        <v>39336927</v>
      </c>
      <c r="AF5" s="110">
        <v>107782440</v>
      </c>
      <c r="AG5" s="110">
        <v>62970000</v>
      </c>
      <c r="AH5" s="110">
        <v>49383500</v>
      </c>
      <c r="AI5" s="110">
        <v>87000000</v>
      </c>
      <c r="AJ5" s="10">
        <v>6656493233.6681395</v>
      </c>
      <c r="AK5" s="74" t="s">
        <v>20</v>
      </c>
      <c r="AN5" s="94"/>
    </row>
    <row r="6" spans="1:40" s="91" customFormat="1" ht="15.75" thickTop="1">
      <c r="A6" s="13"/>
      <c r="B6" s="14"/>
      <c r="C6" s="14"/>
      <c r="D6" s="14"/>
      <c r="E6" s="14"/>
      <c r="F6" s="14"/>
      <c r="G6" s="14"/>
      <c r="H6" s="14"/>
      <c r="I6" s="176"/>
      <c r="J6" s="14"/>
      <c r="K6" s="252"/>
      <c r="L6" s="14"/>
      <c r="M6" s="205"/>
      <c r="N6" s="205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5"/>
      <c r="AM6" s="92"/>
      <c r="AN6" s="17"/>
    </row>
    <row r="7" spans="1:40" s="91" customFormat="1">
      <c r="A7" s="20" t="s">
        <v>21</v>
      </c>
      <c r="B7" s="89">
        <v>178018117.18462098</v>
      </c>
      <c r="C7" s="89">
        <v>92245938.560000002</v>
      </c>
      <c r="D7" s="89">
        <v>142973982.71199995</v>
      </c>
      <c r="E7" s="89">
        <v>16262187.567045338</v>
      </c>
      <c r="F7" s="89">
        <v>92629183</v>
      </c>
      <c r="G7" s="89">
        <v>264427221.91120002</v>
      </c>
      <c r="H7" s="89">
        <v>140108129</v>
      </c>
      <c r="I7" s="89">
        <v>251025418.07450444</v>
      </c>
      <c r="J7" s="89">
        <v>84320986.930000007</v>
      </c>
      <c r="K7" s="250">
        <v>41675579</v>
      </c>
      <c r="L7" s="89">
        <v>109630210.62099126</v>
      </c>
      <c r="M7" s="89">
        <v>385768894.21588492</v>
      </c>
      <c r="N7" s="89">
        <v>27546588.472500004</v>
      </c>
      <c r="O7" s="89">
        <v>187827866.32466066</v>
      </c>
      <c r="P7" s="89">
        <v>91302219</v>
      </c>
      <c r="Q7" s="89">
        <v>62621524.493732497</v>
      </c>
      <c r="R7" s="89">
        <v>42620158</v>
      </c>
      <c r="S7" s="89">
        <v>42489000</v>
      </c>
      <c r="T7" s="89">
        <v>408567772</v>
      </c>
      <c r="U7" s="89">
        <v>91302219</v>
      </c>
      <c r="V7" s="89">
        <v>91302219</v>
      </c>
      <c r="W7" s="89">
        <v>308424824</v>
      </c>
      <c r="X7" s="90">
        <v>381327168.14791769</v>
      </c>
      <c r="Y7" s="89">
        <v>2520000</v>
      </c>
      <c r="Z7" s="89">
        <v>6335224</v>
      </c>
      <c r="AA7" s="89">
        <v>47721580.594406053</v>
      </c>
      <c r="AB7" s="89">
        <v>31612131.219047617</v>
      </c>
      <c r="AC7" s="89">
        <v>150482575</v>
      </c>
      <c r="AD7" s="89">
        <v>295519635</v>
      </c>
      <c r="AE7" s="89">
        <v>36189973</v>
      </c>
      <c r="AF7" s="89">
        <v>82991132</v>
      </c>
      <c r="AG7" s="89">
        <v>56673000</v>
      </c>
      <c r="AH7" s="89">
        <v>44445150</v>
      </c>
      <c r="AI7" s="89">
        <v>84261035</v>
      </c>
      <c r="AJ7" s="5">
        <v>4769867411.0682058</v>
      </c>
      <c r="AK7" s="92" t="s">
        <v>20</v>
      </c>
      <c r="AM7" s="92"/>
      <c r="AN7" s="17"/>
    </row>
    <row r="8" spans="1:40" s="91" customFormat="1">
      <c r="A8" s="13" t="s">
        <v>22</v>
      </c>
      <c r="B8" s="89">
        <v>-4321050.8598359823</v>
      </c>
      <c r="C8" s="89">
        <v>9095198.612289533</v>
      </c>
      <c r="D8" s="89">
        <v>-3434023.2262592316</v>
      </c>
      <c r="E8" s="89">
        <v>982322.24476712197</v>
      </c>
      <c r="F8" s="89">
        <v>56532406</v>
      </c>
      <c r="G8" s="89">
        <v>51906844.088799983</v>
      </c>
      <c r="H8" s="89">
        <v>11651089</v>
      </c>
      <c r="I8" s="89">
        <v>68785466.925495565</v>
      </c>
      <c r="J8" s="89">
        <v>-3421811.4710000008</v>
      </c>
      <c r="K8" s="89">
        <v>756251.47199999541</v>
      </c>
      <c r="L8" s="89">
        <v>-23182362.62099126</v>
      </c>
      <c r="M8" s="89">
        <v>665728016.78411508</v>
      </c>
      <c r="N8" s="89">
        <v>-7518716.5225000009</v>
      </c>
      <c r="O8" s="211">
        <v>65849658.86833936</v>
      </c>
      <c r="P8" s="89">
        <v>4237832</v>
      </c>
      <c r="Q8" s="89">
        <v>-20225611.493732497</v>
      </c>
      <c r="R8" s="89">
        <v>1181989</v>
      </c>
      <c r="S8" s="89">
        <v>886407.38565000147</v>
      </c>
      <c r="T8" s="89">
        <v>-90323108</v>
      </c>
      <c r="U8" s="89">
        <v>5594047</v>
      </c>
      <c r="V8" s="89">
        <v>3612154</v>
      </c>
      <c r="W8" s="89">
        <v>203191210.25750202</v>
      </c>
      <c r="X8" s="89">
        <v>0</v>
      </c>
      <c r="Y8" s="89">
        <v>0</v>
      </c>
      <c r="Z8" s="89">
        <v>0</v>
      </c>
      <c r="AA8" s="89">
        <v>0</v>
      </c>
      <c r="AB8" s="89">
        <v>0</v>
      </c>
      <c r="AC8" s="89">
        <v>11000000</v>
      </c>
      <c r="AD8" s="89">
        <v>0</v>
      </c>
      <c r="AE8" s="89">
        <v>0</v>
      </c>
      <c r="AF8" s="89"/>
      <c r="AG8" s="89"/>
      <c r="AH8" s="89"/>
      <c r="AI8" s="89"/>
      <c r="AJ8" s="5">
        <v>1005947702.054142</v>
      </c>
      <c r="AN8" s="17"/>
    </row>
    <row r="9" spans="1:40" s="91" customFormat="1" ht="15.75" thickBot="1">
      <c r="A9" s="8" t="s">
        <v>23</v>
      </c>
      <c r="B9" s="110">
        <v>173697066.32478499</v>
      </c>
      <c r="C9" s="110">
        <v>101341137.17228954</v>
      </c>
      <c r="D9" s="110">
        <v>139539959.48574072</v>
      </c>
      <c r="E9" s="110">
        <v>17244509.81181246</v>
      </c>
      <c r="F9" s="110">
        <v>149161589</v>
      </c>
      <c r="G9" s="110">
        <v>316334066</v>
      </c>
      <c r="H9" s="110">
        <v>151759218</v>
      </c>
      <c r="I9" s="110">
        <v>319810885</v>
      </c>
      <c r="J9" s="110">
        <v>80899175.459000006</v>
      </c>
      <c r="K9" s="251">
        <v>42431830.471999995</v>
      </c>
      <c r="L9" s="110">
        <v>86447848</v>
      </c>
      <c r="M9" s="110">
        <v>1051496911</v>
      </c>
      <c r="N9" s="110">
        <v>20027871.950000003</v>
      </c>
      <c r="O9" s="110">
        <v>253677525.19300002</v>
      </c>
      <c r="P9" s="110">
        <v>95540051</v>
      </c>
      <c r="Q9" s="110">
        <v>42395913</v>
      </c>
      <c r="R9" s="110">
        <v>43802147</v>
      </c>
      <c r="S9" s="110">
        <v>43375407.385650001</v>
      </c>
      <c r="T9" s="110">
        <v>318244664</v>
      </c>
      <c r="U9" s="110">
        <v>96896266</v>
      </c>
      <c r="V9" s="110">
        <v>94914373</v>
      </c>
      <c r="W9" s="110">
        <v>511616034.25750202</v>
      </c>
      <c r="X9" s="110">
        <v>381327168.14791769</v>
      </c>
      <c r="Y9" s="110">
        <v>2520000</v>
      </c>
      <c r="Z9" s="110">
        <v>6335224</v>
      </c>
      <c r="AA9" s="110">
        <v>47721580.594406053</v>
      </c>
      <c r="AB9" s="110">
        <v>31612131.219047617</v>
      </c>
      <c r="AC9" s="110">
        <v>161482575</v>
      </c>
      <c r="AD9" s="110">
        <v>295519635</v>
      </c>
      <c r="AE9" s="110">
        <v>36189973</v>
      </c>
      <c r="AF9" s="110">
        <v>82991132</v>
      </c>
      <c r="AG9" s="110">
        <v>56673000</v>
      </c>
      <c r="AH9" s="110">
        <v>44445150</v>
      </c>
      <c r="AI9" s="110">
        <v>84261035</v>
      </c>
      <c r="AJ9" s="10">
        <v>5775815113.1223478</v>
      </c>
      <c r="AK9" s="74"/>
      <c r="AN9" s="17"/>
    </row>
    <row r="10" spans="1:40" s="91" customFormat="1" ht="15.75" thickTop="1">
      <c r="A10" s="20" t="s">
        <v>124</v>
      </c>
      <c r="B10" s="21">
        <v>-1480270.2842969894</v>
      </c>
      <c r="C10" s="21">
        <v>-5636558.1722895354</v>
      </c>
      <c r="D10" s="21">
        <v>26460040.514259279</v>
      </c>
      <c r="E10" s="21">
        <v>265549.46818754077</v>
      </c>
      <c r="F10" s="21">
        <v>-673455</v>
      </c>
      <c r="G10" s="21">
        <v>-7582640</v>
      </c>
      <c r="H10" s="21">
        <v>2082432</v>
      </c>
      <c r="I10" s="21">
        <v>112780299</v>
      </c>
      <c r="J10" s="21">
        <v>39441287.300999999</v>
      </c>
      <c r="K10" s="21">
        <v>1960194.5280000046</v>
      </c>
      <c r="L10" s="21">
        <v>43344335</v>
      </c>
      <c r="M10" s="21">
        <v>73112119</v>
      </c>
      <c r="N10" s="21">
        <v>8915279.049999997</v>
      </c>
      <c r="O10" s="21">
        <v>15457144.806999981</v>
      </c>
      <c r="P10" s="21">
        <v>13250040</v>
      </c>
      <c r="Q10" s="21">
        <v>29151701</v>
      </c>
      <c r="R10" s="21">
        <v>10299248</v>
      </c>
      <c r="S10" s="21">
        <v>11702539.614349999</v>
      </c>
      <c r="T10" s="21">
        <v>94609870</v>
      </c>
      <c r="U10" s="21">
        <v>11893825</v>
      </c>
      <c r="V10" s="21">
        <v>13875718</v>
      </c>
      <c r="W10" s="21">
        <v>56846286.742497981</v>
      </c>
      <c r="X10" s="21">
        <v>28196641.688082278</v>
      </c>
      <c r="Y10" s="21">
        <v>280000</v>
      </c>
      <c r="Z10" s="21">
        <v>2715096</v>
      </c>
      <c r="AA10" s="21">
        <v>4116659.4055939466</v>
      </c>
      <c r="AB10" s="21">
        <v>387868.78095238283</v>
      </c>
      <c r="AC10" s="21">
        <v>102887425</v>
      </c>
      <c r="AD10" s="21">
        <v>15480365</v>
      </c>
      <c r="AE10" s="21">
        <v>3146954</v>
      </c>
      <c r="AF10" s="21">
        <v>24791308</v>
      </c>
      <c r="AG10" s="21">
        <v>6297000</v>
      </c>
      <c r="AH10" s="21">
        <v>4938350</v>
      </c>
      <c r="AI10" s="21">
        <v>2738965</v>
      </c>
      <c r="AJ10" s="22">
        <v>866703805.54579234</v>
      </c>
      <c r="AN10" s="17"/>
    </row>
    <row r="11" spans="1:40" s="91" customFormat="1">
      <c r="A11" s="20" t="s">
        <v>125</v>
      </c>
      <c r="B11" s="32">
        <v>-8.5953885935084948E-3</v>
      </c>
      <c r="C11" s="32">
        <v>-5.8895386523663988E-2</v>
      </c>
      <c r="D11" s="32">
        <v>0.15939783442324867</v>
      </c>
      <c r="E11" s="32">
        <v>1.5165537931150896E-2</v>
      </c>
      <c r="F11" s="32">
        <v>-4.5354129105023297E-3</v>
      </c>
      <c r="G11" s="32">
        <v>-2.4559044465757383E-2</v>
      </c>
      <c r="H11" s="32">
        <v>1.3536204272380075E-2</v>
      </c>
      <c r="I11" s="32">
        <v>0.26070873187281596</v>
      </c>
      <c r="J11" s="173">
        <v>0.32774751231977062</v>
      </c>
      <c r="K11" s="32">
        <v>4.4156456660853036E-2</v>
      </c>
      <c r="L11" s="32">
        <v>0.33395181434000537</v>
      </c>
      <c r="M11" s="173">
        <v>6.5011143472678681E-2</v>
      </c>
      <c r="N11" s="173">
        <v>0.30802724451114522</v>
      </c>
      <c r="O11" s="173">
        <v>5.7432752186851219E-2</v>
      </c>
      <c r="P11" s="32">
        <v>0.12179454836562274</v>
      </c>
      <c r="Q11" s="32">
        <v>0.40744476817913172</v>
      </c>
      <c r="R11" s="32">
        <v>0.19036936108579086</v>
      </c>
      <c r="S11" s="32">
        <v>0.21247232788742104</v>
      </c>
      <c r="T11" s="32">
        <v>0.22916030274236979</v>
      </c>
      <c r="U11" s="32">
        <v>0.10932820159144825</v>
      </c>
      <c r="V11" s="32">
        <v>0.12754578907374936</v>
      </c>
      <c r="W11" s="32">
        <v>0.10000009612334179</v>
      </c>
      <c r="X11" s="32">
        <v>6.8852264534689817E-2</v>
      </c>
      <c r="Y11" s="32">
        <v>0.1</v>
      </c>
      <c r="Z11" s="222">
        <v>0.3</v>
      </c>
      <c r="AA11" s="222">
        <v>7.9413564302992276E-2</v>
      </c>
      <c r="AB11" s="222">
        <v>1.2120899404761963E-2</v>
      </c>
      <c r="AC11" s="222">
        <v>0.38917965351590572</v>
      </c>
      <c r="AD11" s="222">
        <v>4.9776093247588422E-2</v>
      </c>
      <c r="AE11" s="222">
        <v>7.9999995932575008E-2</v>
      </c>
      <c r="AF11" s="222">
        <v>0.23001249554194542</v>
      </c>
      <c r="AG11" s="222">
        <v>0.1</v>
      </c>
      <c r="AH11" s="222">
        <v>0.1</v>
      </c>
      <c r="AI11" s="222">
        <v>3.1482356321839079E-2</v>
      </c>
      <c r="AJ11" s="174">
        <v>0.13020426448599948</v>
      </c>
      <c r="AL11" s="74"/>
      <c r="AN11" s="17"/>
    </row>
    <row r="12" spans="1:40" s="91" customFormat="1">
      <c r="A12" s="13" t="s">
        <v>25</v>
      </c>
      <c r="B12" s="89">
        <v>173672666.32478499</v>
      </c>
      <c r="C12" s="89">
        <v>97884701.491289541</v>
      </c>
      <c r="D12" s="89">
        <v>139531961.24574071</v>
      </c>
      <c r="E12" s="89">
        <v>17215605.872812461</v>
      </c>
      <c r="F12" s="89">
        <v>85530547.4564908</v>
      </c>
      <c r="G12" s="89">
        <v>281328851.69791842</v>
      </c>
      <c r="H12" s="89">
        <v>150705293.07662082</v>
      </c>
      <c r="I12" s="89">
        <v>303632853.20886934</v>
      </c>
      <c r="J12" s="89">
        <v>79827798.99000001</v>
      </c>
      <c r="K12" s="89">
        <v>31350395.009999998</v>
      </c>
      <c r="L12" s="89">
        <v>82580404.799999997</v>
      </c>
      <c r="M12" s="89">
        <v>417276648.82999992</v>
      </c>
      <c r="N12" s="89">
        <v>19602893.420000002</v>
      </c>
      <c r="O12" s="89">
        <v>244171048.42000002</v>
      </c>
      <c r="P12" s="89">
        <v>5974929.5899999999</v>
      </c>
      <c r="Q12" s="89">
        <v>41459868.490000002</v>
      </c>
      <c r="R12" s="89">
        <v>33669497.75</v>
      </c>
      <c r="S12" s="89">
        <v>25918987.810000002</v>
      </c>
      <c r="T12" s="89">
        <v>151641411.88999999</v>
      </c>
      <c r="U12" s="89">
        <v>30413209.039999999</v>
      </c>
      <c r="V12" s="89">
        <v>17295000.109999999</v>
      </c>
      <c r="W12" s="89">
        <v>186807384.97000003</v>
      </c>
      <c r="X12" s="89">
        <v>50039832.719999999</v>
      </c>
      <c r="Y12" s="89">
        <v>1059365.1299999999</v>
      </c>
      <c r="Z12" s="89">
        <v>3953962.3800000008</v>
      </c>
      <c r="AA12" s="89">
        <v>4949516.78</v>
      </c>
      <c r="AB12" s="89">
        <v>10490602.450000001</v>
      </c>
      <c r="AC12" s="89">
        <v>57355879.240000002</v>
      </c>
      <c r="AD12" s="89">
        <v>3564576.99</v>
      </c>
      <c r="AE12" s="89">
        <v>2132781.61</v>
      </c>
      <c r="AF12" s="89">
        <v>3788064.4</v>
      </c>
      <c r="AG12" s="89">
        <v>0</v>
      </c>
      <c r="AH12" s="89">
        <v>0</v>
      </c>
      <c r="AI12" s="89">
        <v>0</v>
      </c>
      <c r="AJ12" s="5">
        <v>3148908601.8437243</v>
      </c>
      <c r="AN12" s="25"/>
    </row>
    <row r="13" spans="1:40" s="91" customFormat="1">
      <c r="A13" s="13" t="s">
        <v>26</v>
      </c>
      <c r="B13" s="89">
        <v>24400</v>
      </c>
      <c r="C13" s="89">
        <v>3456435.6809999999</v>
      </c>
      <c r="D13" s="89">
        <v>7998.24</v>
      </c>
      <c r="E13" s="89">
        <v>28903.938999999998</v>
      </c>
      <c r="F13" s="89">
        <v>10546401.532</v>
      </c>
      <c r="G13" s="89">
        <v>30539065.309999999</v>
      </c>
      <c r="H13" s="89">
        <v>273016.09899999999</v>
      </c>
      <c r="I13" s="89">
        <v>6675265.0669999998</v>
      </c>
      <c r="J13" s="89">
        <v>1071376.469</v>
      </c>
      <c r="K13" s="89">
        <v>11081435.461999999</v>
      </c>
      <c r="L13" s="89">
        <v>451994.03400000004</v>
      </c>
      <c r="M13" s="89">
        <v>95927790.486000001</v>
      </c>
      <c r="N13" s="89">
        <v>424978.53</v>
      </c>
      <c r="O13" s="89">
        <v>9506476.7729999982</v>
      </c>
      <c r="P13" s="89">
        <v>8605728.953999998</v>
      </c>
      <c r="Q13" s="89">
        <v>425869.86</v>
      </c>
      <c r="R13" s="89">
        <v>5030393.3259999994</v>
      </c>
      <c r="S13" s="89">
        <v>490576.54000000004</v>
      </c>
      <c r="T13" s="89">
        <v>58002975.797000006</v>
      </c>
      <c r="U13" s="89">
        <v>16819357.769000001</v>
      </c>
      <c r="V13" s="89">
        <v>4952264.227</v>
      </c>
      <c r="W13" s="89">
        <v>144966626.49699998</v>
      </c>
      <c r="X13" s="89">
        <v>20458214.869999997</v>
      </c>
      <c r="Y13" s="89">
        <v>56592.6</v>
      </c>
      <c r="Z13" s="89">
        <v>2059557.25</v>
      </c>
      <c r="AA13" s="89">
        <v>420975.90700000006</v>
      </c>
      <c r="AB13" s="89">
        <v>5941870.3139999993</v>
      </c>
      <c r="AC13" s="89">
        <v>39763439.921999998</v>
      </c>
      <c r="AD13" s="89">
        <v>41237116.506000005</v>
      </c>
      <c r="AE13" s="89">
        <v>6834693.1200000001</v>
      </c>
      <c r="AF13" s="89">
        <v>8010274.2430000007</v>
      </c>
      <c r="AG13" s="89">
        <v>7604359.7609999999</v>
      </c>
      <c r="AH13" s="89">
        <v>2019984.7799999998</v>
      </c>
      <c r="AI13" s="89">
        <v>1518554.58</v>
      </c>
      <c r="AJ13" s="5">
        <v>545234964.44500005</v>
      </c>
      <c r="AK13" s="234"/>
      <c r="AL13" s="74" t="s">
        <v>20</v>
      </c>
      <c r="AN13" s="17"/>
    </row>
    <row r="14" spans="1:40" s="91" customFormat="1">
      <c r="A14" s="20"/>
      <c r="B14" s="89"/>
      <c r="C14" s="89"/>
      <c r="D14" s="89"/>
      <c r="E14" s="89"/>
      <c r="F14" s="89"/>
      <c r="G14" s="89"/>
      <c r="H14" s="89"/>
      <c r="I14" s="89"/>
      <c r="J14" s="89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89"/>
      <c r="V14" s="89"/>
      <c r="W14" s="89"/>
      <c r="X14" s="89"/>
      <c r="Y14" s="89"/>
      <c r="Z14" s="89"/>
      <c r="AA14" s="89"/>
      <c r="AB14" s="89"/>
      <c r="AC14" s="89"/>
      <c r="AD14" s="89"/>
      <c r="AE14" s="89"/>
      <c r="AF14" s="89"/>
      <c r="AG14" s="89"/>
      <c r="AH14" s="89"/>
      <c r="AI14" s="89"/>
      <c r="AJ14" s="26"/>
      <c r="AN14" s="17"/>
    </row>
    <row r="15" spans="1:40" s="91" customFormat="1">
      <c r="A15" s="20" t="s">
        <v>27</v>
      </c>
      <c r="B15" s="95">
        <v>0.99985952554918589</v>
      </c>
      <c r="C15" s="95">
        <v>0.96589306398719676</v>
      </c>
      <c r="D15" s="95">
        <v>0.99994268136504061</v>
      </c>
      <c r="E15" s="95">
        <v>0.99832387587032478</v>
      </c>
      <c r="F15" s="95">
        <v>0.57340866391877066</v>
      </c>
      <c r="G15" s="95">
        <v>0.88934099085590868</v>
      </c>
      <c r="H15" s="95">
        <v>0.99305528232638107</v>
      </c>
      <c r="I15" s="95">
        <v>0.94941375497231539</v>
      </c>
      <c r="J15" s="95">
        <v>0.98675664538085461</v>
      </c>
      <c r="K15" s="95">
        <v>0.73884144665141327</v>
      </c>
      <c r="L15" s="95">
        <v>0.95526270127626545</v>
      </c>
      <c r="M15" s="95">
        <v>0.39684058456544524</v>
      </c>
      <c r="N15" s="95">
        <v>0.97878064474044124</v>
      </c>
      <c r="O15" s="95">
        <v>0.96252534880349616</v>
      </c>
      <c r="P15" s="95">
        <v>6.2538480223335857E-2</v>
      </c>
      <c r="Q15" s="95">
        <v>0.97792135034336924</v>
      </c>
      <c r="R15" s="95">
        <v>0.76867231530911029</v>
      </c>
      <c r="S15" s="95">
        <v>0.59755030263012232</v>
      </c>
      <c r="T15" s="95">
        <v>0.47649317975681749</v>
      </c>
      <c r="U15" s="95">
        <v>0.31387390139471422</v>
      </c>
      <c r="V15" s="95">
        <v>0.18221687151639299</v>
      </c>
      <c r="W15" s="95">
        <v>0.36513199833760057</v>
      </c>
      <c r="X15" s="95">
        <v>0.13122545913274511</v>
      </c>
      <c r="Y15" s="95">
        <v>0.42038298809523805</v>
      </c>
      <c r="Z15" s="95">
        <v>0.62412353217502659</v>
      </c>
      <c r="AA15" s="95">
        <v>0.10371653072572758</v>
      </c>
      <c r="AB15" s="95">
        <v>0.33185369177763563</v>
      </c>
      <c r="AC15" s="95">
        <v>0.35518308548151406</v>
      </c>
      <c r="AD15" s="95">
        <v>1.206206481000831E-2</v>
      </c>
      <c r="AE15" s="95">
        <v>5.8932942834745962E-2</v>
      </c>
      <c r="AF15" s="95">
        <v>4.5644206901527741E-2</v>
      </c>
      <c r="AG15" s="95">
        <v>0</v>
      </c>
      <c r="AH15" s="95">
        <v>0</v>
      </c>
      <c r="AI15" s="95">
        <v>0</v>
      </c>
      <c r="AJ15" s="30">
        <v>0.54518860804418234</v>
      </c>
      <c r="AN15" s="17"/>
    </row>
    <row r="16" spans="1:40" s="91" customFormat="1">
      <c r="A16" s="20" t="s">
        <v>28</v>
      </c>
      <c r="B16" s="95">
        <v>1.4047445081413182E-4</v>
      </c>
      <c r="C16" s="95">
        <v>3.4106936012803291E-2</v>
      </c>
      <c r="D16" s="95">
        <v>5.7318634959309431E-5</v>
      </c>
      <c r="E16" s="95">
        <v>1.6761241296752228E-3</v>
      </c>
      <c r="F16" s="95">
        <v>7.0704539973759598E-2</v>
      </c>
      <c r="G16" s="95">
        <v>9.6540551879733372E-2</v>
      </c>
      <c r="H16" s="95">
        <v>1.7990083409628534E-3</v>
      </c>
      <c r="I16" s="95">
        <v>2.0872538678600637E-2</v>
      </c>
      <c r="J16" s="95">
        <v>1.3243354619145376E-2</v>
      </c>
      <c r="K16" s="95">
        <v>0.26115855334858673</v>
      </c>
      <c r="L16" s="95">
        <v>5.2285168972627293E-3</v>
      </c>
      <c r="M16" s="95">
        <v>9.1229740651135399E-2</v>
      </c>
      <c r="N16" s="95">
        <v>2.1219355259558665E-2</v>
      </c>
      <c r="O16" s="95">
        <v>3.7474651196503866E-2</v>
      </c>
      <c r="P16" s="95">
        <v>9.0074569397079321E-2</v>
      </c>
      <c r="Q16" s="95">
        <v>1.0045068731035466E-2</v>
      </c>
      <c r="R16" s="95">
        <v>0.11484353326333523</v>
      </c>
      <c r="S16" s="95">
        <v>1.1310015733991671E-2</v>
      </c>
      <c r="T16" s="95">
        <v>0.18225906781268139</v>
      </c>
      <c r="U16" s="95">
        <v>0.17358107245329765</v>
      </c>
      <c r="V16" s="95">
        <v>5.2176125390408466E-2</v>
      </c>
      <c r="W16" s="95">
        <v>0.28335043624539075</v>
      </c>
      <c r="X16" s="95">
        <v>5.3650032252787735E-2</v>
      </c>
      <c r="Y16" s="95">
        <v>2.2457380952380951E-2</v>
      </c>
      <c r="Z16" s="95">
        <v>0.32509620022906843</v>
      </c>
      <c r="AA16" s="95">
        <v>8.8214996602469422E-3</v>
      </c>
      <c r="AB16" s="95">
        <v>0.18796171231947109</v>
      </c>
      <c r="AC16" s="95">
        <v>0.24623981827141411</v>
      </c>
      <c r="AD16" s="95">
        <v>0.13954103762343914</v>
      </c>
      <c r="AE16" s="95">
        <v>0.18885598837003831</v>
      </c>
      <c r="AF16" s="95">
        <v>9.6519640712937865E-2</v>
      </c>
      <c r="AG16" s="95">
        <v>0.13417958747551745</v>
      </c>
      <c r="AH16" s="95">
        <v>4.544893604814023E-2</v>
      </c>
      <c r="AI16" s="95">
        <v>1.8022026195144647E-2</v>
      </c>
      <c r="AJ16" s="30">
        <v>9.4399656804501048E-2</v>
      </c>
      <c r="AK16" s="233"/>
      <c r="AN16" s="17"/>
    </row>
    <row r="17" spans="1:40" s="91" customFormat="1">
      <c r="A17" s="31" t="s">
        <v>29</v>
      </c>
      <c r="B17" s="117">
        <v>1</v>
      </c>
      <c r="C17" s="117">
        <v>1</v>
      </c>
      <c r="D17" s="117">
        <v>0.99999999999999989</v>
      </c>
      <c r="E17" s="117">
        <v>1</v>
      </c>
      <c r="F17" s="117">
        <v>0.64411320389253024</v>
      </c>
      <c r="G17" s="117">
        <v>0.98588154273564199</v>
      </c>
      <c r="H17" s="117">
        <v>0.99485429066734388</v>
      </c>
      <c r="I17" s="117">
        <v>0.97028629365091601</v>
      </c>
      <c r="J17" s="117">
        <v>1</v>
      </c>
      <c r="K17" s="117">
        <v>1</v>
      </c>
      <c r="L17" s="117">
        <v>0.96049121817352823</v>
      </c>
      <c r="M17" s="117">
        <v>0.48807032521658067</v>
      </c>
      <c r="N17" s="117">
        <v>0.99999999999999989</v>
      </c>
      <c r="O17" s="117">
        <v>1</v>
      </c>
      <c r="P17" s="117">
        <v>0.15261304962041516</v>
      </c>
      <c r="Q17" s="117">
        <v>0.98796641907440474</v>
      </c>
      <c r="R17" s="117">
        <v>0.88351584857244547</v>
      </c>
      <c r="S17" s="117">
        <v>0.60886031836411403</v>
      </c>
      <c r="T17" s="117">
        <v>0.65875224756949891</v>
      </c>
      <c r="U17" s="117">
        <v>0.48745497384801184</v>
      </c>
      <c r="V17" s="117">
        <v>0.23439299690680146</v>
      </c>
      <c r="W17" s="117">
        <v>0.64848243458299137</v>
      </c>
      <c r="X17" s="117">
        <v>0.18487549138553283</v>
      </c>
      <c r="Y17" s="117">
        <v>0.44284036904761903</v>
      </c>
      <c r="Z17" s="117">
        <v>0.94921973240409496</v>
      </c>
      <c r="AA17" s="117">
        <v>0.11253803038597451</v>
      </c>
      <c r="AB17" s="117">
        <v>0.51981540409710669</v>
      </c>
      <c r="AC17" s="117">
        <v>0.60142290375292817</v>
      </c>
      <c r="AD17" s="117">
        <v>0.15160310243344746</v>
      </c>
      <c r="AE17" s="117">
        <v>0.24778893120478426</v>
      </c>
      <c r="AF17" s="117">
        <v>0.1421638476144656</v>
      </c>
      <c r="AG17" s="117">
        <v>0.13417958747551745</v>
      </c>
      <c r="AH17" s="117">
        <v>4.544893604814023E-2</v>
      </c>
      <c r="AI17" s="117">
        <v>1.8022026195144647E-2</v>
      </c>
      <c r="AJ17" s="34">
        <v>0.63958826484868336</v>
      </c>
      <c r="AN17" s="96"/>
    </row>
    <row r="18" spans="1:40" s="91" customFormat="1">
      <c r="A18" s="20"/>
      <c r="B18" s="89"/>
      <c r="C18" s="89"/>
      <c r="D18" s="89"/>
      <c r="E18" s="89"/>
      <c r="F18" s="89"/>
      <c r="G18" s="89"/>
      <c r="H18" s="89"/>
      <c r="I18" s="89"/>
      <c r="J18" s="89"/>
      <c r="K18" s="250"/>
      <c r="L18" s="89"/>
      <c r="M18" s="89"/>
      <c r="N18" s="89"/>
      <c r="O18" s="89"/>
      <c r="P18" s="89"/>
      <c r="Q18" s="89"/>
      <c r="R18" s="89"/>
      <c r="S18" s="89"/>
      <c r="T18" s="89"/>
      <c r="U18" s="89"/>
      <c r="V18" s="89"/>
      <c r="W18" s="89"/>
      <c r="X18" s="89"/>
      <c r="Y18" s="89"/>
      <c r="Z18" s="89"/>
      <c r="AA18" s="89"/>
      <c r="AB18" s="89"/>
      <c r="AC18" s="89"/>
      <c r="AD18" s="89"/>
      <c r="AE18" s="89"/>
      <c r="AF18" s="89"/>
      <c r="AG18" s="89"/>
      <c r="AH18" s="89"/>
      <c r="AI18" s="89"/>
      <c r="AJ18" s="24"/>
      <c r="AN18" s="96"/>
    </row>
    <row r="19" spans="1:40" s="91" customFormat="1">
      <c r="A19" s="31" t="s">
        <v>30</v>
      </c>
      <c r="B19" s="90">
        <v>172216796.040488</v>
      </c>
      <c r="C19" s="90">
        <v>95704579</v>
      </c>
      <c r="D19" s="90">
        <v>165999999.99999997</v>
      </c>
      <c r="E19" s="90">
        <v>17510059.280000001</v>
      </c>
      <c r="F19" s="90">
        <v>95643167.730763346</v>
      </c>
      <c r="G19" s="90">
        <v>304392332.1867094</v>
      </c>
      <c r="H19" s="90">
        <v>153050025.58584377</v>
      </c>
      <c r="I19" s="90">
        <v>419737296.58942145</v>
      </c>
      <c r="J19" s="90">
        <v>120340462.76000001</v>
      </c>
      <c r="K19" s="249">
        <v>44392025</v>
      </c>
      <c r="L19" s="90">
        <v>124664251.9590715</v>
      </c>
      <c r="M19" s="90">
        <v>548888295.01360333</v>
      </c>
      <c r="N19" s="90">
        <v>28943150.999999996</v>
      </c>
      <c r="O19" s="90">
        <v>269134670</v>
      </c>
      <c r="P19" s="90">
        <v>16602787.55599248</v>
      </c>
      <c r="Q19" s="90">
        <v>70686639.996897742</v>
      </c>
      <c r="R19" s="90">
        <v>47799439.912378058</v>
      </c>
      <c r="S19" s="90">
        <v>33534776.345261797</v>
      </c>
      <c r="T19" s="90">
        <v>271968852.1917581</v>
      </c>
      <c r="U19" s="90">
        <v>53030270.963327825</v>
      </c>
      <c r="V19" s="90">
        <v>25499635.463253651</v>
      </c>
      <c r="W19" s="90">
        <v>368637829.89077795</v>
      </c>
      <c r="X19" s="90">
        <v>75710915.577505991</v>
      </c>
      <c r="Y19" s="90">
        <v>1239953.0333333332</v>
      </c>
      <c r="Z19" s="90">
        <v>8590742.3285714295</v>
      </c>
      <c r="AA19" s="90">
        <v>5833773.4282754399</v>
      </c>
      <c r="AB19" s="90">
        <v>16634092.931107415</v>
      </c>
      <c r="AC19" s="90">
        <v>158998173.06516162</v>
      </c>
      <c r="AD19" s="90">
        <v>47148564.856802158</v>
      </c>
      <c r="AE19" s="90">
        <v>9747255.0982106198</v>
      </c>
      <c r="AF19" s="90">
        <v>15322766.375675282</v>
      </c>
      <c r="AG19" s="90">
        <v>8449288.6233333331</v>
      </c>
      <c r="AH19" s="90">
        <v>2244427.5333333332</v>
      </c>
      <c r="AI19" s="90">
        <v>1567916.2789775843</v>
      </c>
      <c r="AJ19" s="5">
        <v>4328573776.3474874</v>
      </c>
      <c r="AK19" s="234"/>
      <c r="AN19" s="36"/>
    </row>
    <row r="20" spans="1:40" s="91" customFormat="1">
      <c r="A20" s="97">
        <v>2017</v>
      </c>
      <c r="B20" s="90">
        <v>9511449.5614194572</v>
      </c>
      <c r="C20" s="90">
        <v>5485567.2463319022</v>
      </c>
      <c r="D20" s="90">
        <v>9904897.1076646075</v>
      </c>
      <c r="E20" s="90">
        <v>1030634.5217997786</v>
      </c>
      <c r="F20" s="90">
        <v>39798225.547687635</v>
      </c>
      <c r="G20" s="90">
        <v>134881511.81240761</v>
      </c>
      <c r="H20" s="90">
        <v>56056648.955100164</v>
      </c>
      <c r="I20" s="90">
        <v>123522793.54468787</v>
      </c>
      <c r="J20" s="90">
        <v>25684620.633250806</v>
      </c>
      <c r="K20" s="249">
        <v>28163936.219619174</v>
      </c>
      <c r="L20" s="90">
        <v>77406632.27190496</v>
      </c>
      <c r="M20" s="90">
        <v>355833205.19270289</v>
      </c>
      <c r="N20" s="90">
        <v>12985911.045659875</v>
      </c>
      <c r="O20" s="90">
        <v>195606026.43808943</v>
      </c>
      <c r="P20" s="90">
        <v>6716378.4967506686</v>
      </c>
      <c r="Q20" s="90">
        <v>68407978.971713647</v>
      </c>
      <c r="R20" s="90">
        <v>41586244.556102723</v>
      </c>
      <c r="S20" s="90">
        <v>32911843.898095839</v>
      </c>
      <c r="T20" s="90">
        <v>196722369.68267912</v>
      </c>
      <c r="U20" s="90">
        <v>34146370.295255989</v>
      </c>
      <c r="V20" s="90">
        <v>19823390.034003701</v>
      </c>
      <c r="W20" s="90">
        <v>203157390.94981733</v>
      </c>
      <c r="X20" s="90">
        <v>53739949.971520096</v>
      </c>
      <c r="Y20" s="90">
        <v>1177072.3666666665</v>
      </c>
      <c r="Z20" s="90">
        <v>5648517.6857142868</v>
      </c>
      <c r="AA20" s="90">
        <v>5376482.4117276398</v>
      </c>
      <c r="AB20" s="90">
        <v>10619318.136884341</v>
      </c>
      <c r="AC20" s="90">
        <v>100763651.83596042</v>
      </c>
      <c r="AD20" s="90">
        <v>3751302.1559125842</v>
      </c>
      <c r="AE20" s="90">
        <v>2318240.870185575</v>
      </c>
      <c r="AF20" s="90">
        <v>4919643.9917115001</v>
      </c>
      <c r="AG20" s="90">
        <v>0</v>
      </c>
      <c r="AH20" s="90">
        <v>0</v>
      </c>
      <c r="AI20" s="90">
        <v>0</v>
      </c>
      <c r="AJ20" s="5">
        <v>1891836525.0218496</v>
      </c>
      <c r="AK20" s="234"/>
      <c r="AN20" s="36"/>
    </row>
    <row r="21" spans="1:40" s="91" customFormat="1">
      <c r="A21" s="97">
        <v>2016</v>
      </c>
      <c r="B21" s="90">
        <v>9825572.1733184457</v>
      </c>
      <c r="C21" s="90">
        <v>52181178.617917396</v>
      </c>
      <c r="D21" s="90">
        <v>90673109.6050134</v>
      </c>
      <c r="E21" s="90">
        <v>8465847.1175157353</v>
      </c>
      <c r="F21" s="90">
        <v>32352499.286976684</v>
      </c>
      <c r="G21" s="90">
        <v>93806619.96119526</v>
      </c>
      <c r="H21" s="90">
        <v>73992787.894682646</v>
      </c>
      <c r="I21" s="90">
        <v>251360712.28869098</v>
      </c>
      <c r="J21" s="90">
        <v>93280099.642626658</v>
      </c>
      <c r="K21" s="249">
        <v>4989453.3976346748</v>
      </c>
      <c r="L21" s="90">
        <v>46578999.065218404</v>
      </c>
      <c r="M21" s="90">
        <v>90457299.680075496</v>
      </c>
      <c r="N21" s="90">
        <v>15957239.954340121</v>
      </c>
      <c r="O21" s="90">
        <v>70335211.773396149</v>
      </c>
      <c r="P21" s="90">
        <v>87188.457747739638</v>
      </c>
      <c r="Q21" s="90">
        <v>1559960.3250124909</v>
      </c>
      <c r="R21" s="90">
        <v>0</v>
      </c>
      <c r="S21" s="90">
        <v>0</v>
      </c>
      <c r="T21" s="90">
        <v>0</v>
      </c>
      <c r="U21" s="90">
        <v>0</v>
      </c>
      <c r="V21" s="90">
        <v>0</v>
      </c>
      <c r="W21" s="90">
        <v>0</v>
      </c>
      <c r="X21" s="90">
        <v>0</v>
      </c>
      <c r="Y21" s="90">
        <v>0</v>
      </c>
      <c r="Z21" s="90">
        <v>0</v>
      </c>
      <c r="AA21" s="90">
        <v>0</v>
      </c>
      <c r="AB21" s="90">
        <v>0</v>
      </c>
      <c r="AC21" s="90">
        <v>0</v>
      </c>
      <c r="AD21" s="90">
        <v>0</v>
      </c>
      <c r="AE21" s="90">
        <v>0</v>
      </c>
      <c r="AF21" s="90">
        <v>0</v>
      </c>
      <c r="AG21" s="90">
        <v>0</v>
      </c>
      <c r="AH21" s="90">
        <v>0</v>
      </c>
      <c r="AI21" s="90">
        <v>0</v>
      </c>
      <c r="AJ21" s="5">
        <v>1115367175.2301376</v>
      </c>
      <c r="AN21" s="36"/>
    </row>
    <row r="22" spans="1:40" s="91" customFormat="1">
      <c r="A22" s="97">
        <v>2015</v>
      </c>
      <c r="B22" s="89">
        <v>131211720.3057501</v>
      </c>
      <c r="C22" s="89">
        <v>37462470.465750702</v>
      </c>
      <c r="D22" s="89">
        <v>65421993.287321992</v>
      </c>
      <c r="E22" s="89">
        <v>8013577.6406844873</v>
      </c>
      <c r="F22" s="89">
        <v>12993657.690067064</v>
      </c>
      <c r="G22" s="89">
        <v>45897167.35341195</v>
      </c>
      <c r="H22" s="89">
        <v>22723826.32452346</v>
      </c>
      <c r="I22" s="89">
        <v>35824514.535980992</v>
      </c>
      <c r="J22" s="89">
        <v>1375742.4841225257</v>
      </c>
      <c r="K22" s="250">
        <v>0</v>
      </c>
      <c r="L22" s="89">
        <v>0</v>
      </c>
      <c r="M22" s="89">
        <v>0</v>
      </c>
      <c r="N22" s="89">
        <v>0</v>
      </c>
      <c r="O22" s="89">
        <v>0</v>
      </c>
      <c r="P22" s="89">
        <v>0</v>
      </c>
      <c r="Q22" s="89">
        <v>0</v>
      </c>
      <c r="R22" s="89">
        <v>0</v>
      </c>
      <c r="S22" s="89">
        <v>0</v>
      </c>
      <c r="T22" s="89">
        <v>0</v>
      </c>
      <c r="U22" s="89">
        <v>0</v>
      </c>
      <c r="V22" s="89">
        <v>0</v>
      </c>
      <c r="W22" s="89">
        <v>0</v>
      </c>
      <c r="X22" s="89">
        <v>0</v>
      </c>
      <c r="Y22" s="89">
        <v>0</v>
      </c>
      <c r="Z22" s="89">
        <v>0</v>
      </c>
      <c r="AA22" s="89">
        <v>0</v>
      </c>
      <c r="AB22" s="89">
        <v>0</v>
      </c>
      <c r="AC22" s="89">
        <v>0</v>
      </c>
      <c r="AD22" s="89">
        <v>0</v>
      </c>
      <c r="AE22" s="89">
        <v>0</v>
      </c>
      <c r="AF22" s="89">
        <v>0</v>
      </c>
      <c r="AG22" s="90">
        <v>0</v>
      </c>
      <c r="AH22" s="90">
        <v>0</v>
      </c>
      <c r="AI22" s="90">
        <v>0</v>
      </c>
      <c r="AJ22" s="5">
        <v>618443765.63294089</v>
      </c>
      <c r="AN22" s="17"/>
    </row>
    <row r="23" spans="1:40" s="91" customFormat="1">
      <c r="A23" s="97">
        <v>2014</v>
      </c>
      <c r="B23" s="89">
        <v>21668054</v>
      </c>
      <c r="C23" s="89">
        <v>575362.67000000004</v>
      </c>
      <c r="D23" s="89">
        <v>0</v>
      </c>
      <c r="E23" s="89">
        <v>0</v>
      </c>
      <c r="F23" s="89">
        <v>0</v>
      </c>
      <c r="G23" s="89">
        <v>0</v>
      </c>
      <c r="H23" s="89">
        <v>0</v>
      </c>
      <c r="I23" s="89">
        <v>0</v>
      </c>
      <c r="J23" s="89">
        <v>0</v>
      </c>
      <c r="K23" s="250">
        <v>0</v>
      </c>
      <c r="L23" s="89">
        <v>0</v>
      </c>
      <c r="M23" s="89">
        <v>0</v>
      </c>
      <c r="N23" s="89">
        <v>0</v>
      </c>
      <c r="O23" s="89">
        <v>0</v>
      </c>
      <c r="P23" s="89">
        <v>0</v>
      </c>
      <c r="Q23" s="89">
        <v>0</v>
      </c>
      <c r="R23" s="89">
        <v>0</v>
      </c>
      <c r="S23" s="89">
        <v>0</v>
      </c>
      <c r="T23" s="89">
        <v>0</v>
      </c>
      <c r="U23" s="89">
        <v>0</v>
      </c>
      <c r="V23" s="89">
        <v>0</v>
      </c>
      <c r="W23" s="89">
        <v>0</v>
      </c>
      <c r="X23" s="89">
        <v>0</v>
      </c>
      <c r="Y23" s="89">
        <v>0</v>
      </c>
      <c r="Z23" s="89">
        <v>0</v>
      </c>
      <c r="AA23" s="89">
        <v>0</v>
      </c>
      <c r="AB23" s="89">
        <v>0</v>
      </c>
      <c r="AC23" s="89">
        <v>0</v>
      </c>
      <c r="AD23" s="89">
        <v>0</v>
      </c>
      <c r="AE23" s="89">
        <v>0</v>
      </c>
      <c r="AF23" s="89">
        <v>0</v>
      </c>
      <c r="AG23" s="90">
        <v>0</v>
      </c>
      <c r="AH23" s="90">
        <v>0</v>
      </c>
      <c r="AI23" s="90">
        <v>0</v>
      </c>
      <c r="AJ23" s="5">
        <v>80811114.670000002</v>
      </c>
      <c r="AN23" s="17"/>
    </row>
    <row r="24" spans="1:40" s="91" customFormat="1">
      <c r="A24" s="97">
        <v>2013</v>
      </c>
      <c r="B24" s="89">
        <v>0</v>
      </c>
      <c r="C24" s="89">
        <v>0</v>
      </c>
      <c r="D24" s="89">
        <v>0</v>
      </c>
      <c r="E24" s="89">
        <v>0</v>
      </c>
      <c r="F24" s="89">
        <v>0</v>
      </c>
      <c r="G24" s="89">
        <v>0</v>
      </c>
      <c r="H24" s="89">
        <v>0</v>
      </c>
      <c r="I24" s="89">
        <v>0</v>
      </c>
      <c r="J24" s="89">
        <v>0</v>
      </c>
      <c r="K24" s="250">
        <v>0</v>
      </c>
      <c r="L24" s="89">
        <v>0</v>
      </c>
      <c r="M24" s="89">
        <v>0</v>
      </c>
      <c r="N24" s="89">
        <v>0</v>
      </c>
      <c r="O24" s="89">
        <v>0</v>
      </c>
      <c r="P24" s="89">
        <v>0</v>
      </c>
      <c r="Q24" s="89">
        <v>0</v>
      </c>
      <c r="R24" s="89">
        <v>0</v>
      </c>
      <c r="S24" s="89">
        <v>0</v>
      </c>
      <c r="T24" s="89">
        <v>0</v>
      </c>
      <c r="U24" s="89">
        <v>0</v>
      </c>
      <c r="V24" s="89">
        <v>0</v>
      </c>
      <c r="W24" s="89">
        <v>0</v>
      </c>
      <c r="X24" s="89">
        <v>0</v>
      </c>
      <c r="Y24" s="89">
        <v>0</v>
      </c>
      <c r="Z24" s="89">
        <v>0</v>
      </c>
      <c r="AA24" s="89">
        <v>0</v>
      </c>
      <c r="AB24" s="89">
        <v>0</v>
      </c>
      <c r="AC24" s="89">
        <v>0</v>
      </c>
      <c r="AD24" s="89">
        <v>0</v>
      </c>
      <c r="AE24" s="89">
        <v>0</v>
      </c>
      <c r="AF24" s="89">
        <v>0</v>
      </c>
      <c r="AG24" s="90">
        <v>0</v>
      </c>
      <c r="AH24" s="90">
        <v>0</v>
      </c>
      <c r="AI24" s="90">
        <v>0</v>
      </c>
      <c r="AJ24" s="5">
        <v>5206901.4250000026</v>
      </c>
      <c r="AN24" s="17"/>
    </row>
    <row r="25" spans="1:40" s="91" customFormat="1">
      <c r="A25" s="97">
        <v>2012</v>
      </c>
      <c r="B25" s="89">
        <v>0</v>
      </c>
      <c r="C25" s="89">
        <v>0</v>
      </c>
      <c r="D25" s="89">
        <v>0</v>
      </c>
      <c r="E25" s="89">
        <v>0</v>
      </c>
      <c r="F25" s="89">
        <v>0</v>
      </c>
      <c r="G25" s="89">
        <v>0</v>
      </c>
      <c r="H25" s="89">
        <v>0</v>
      </c>
      <c r="I25" s="89">
        <v>0</v>
      </c>
      <c r="J25" s="89">
        <v>0</v>
      </c>
      <c r="K25" s="250">
        <v>0</v>
      </c>
      <c r="L25" s="89">
        <v>0</v>
      </c>
      <c r="M25" s="89">
        <v>0</v>
      </c>
      <c r="N25" s="89">
        <v>0</v>
      </c>
      <c r="O25" s="89">
        <v>0</v>
      </c>
      <c r="P25" s="89">
        <v>0</v>
      </c>
      <c r="Q25" s="89">
        <v>0</v>
      </c>
      <c r="R25" s="89">
        <v>0</v>
      </c>
      <c r="S25" s="89">
        <v>0</v>
      </c>
      <c r="T25" s="89">
        <v>0</v>
      </c>
      <c r="U25" s="89">
        <v>0</v>
      </c>
      <c r="V25" s="89">
        <v>0</v>
      </c>
      <c r="W25" s="89">
        <v>0</v>
      </c>
      <c r="X25" s="89">
        <v>0</v>
      </c>
      <c r="Y25" s="89">
        <v>0</v>
      </c>
      <c r="Z25" s="89">
        <v>0</v>
      </c>
      <c r="AA25" s="89">
        <v>0</v>
      </c>
      <c r="AB25" s="89">
        <v>0</v>
      </c>
      <c r="AC25" s="89">
        <v>0</v>
      </c>
      <c r="AD25" s="89">
        <v>0</v>
      </c>
      <c r="AE25" s="89">
        <v>0</v>
      </c>
      <c r="AF25" s="89">
        <v>0</v>
      </c>
      <c r="AG25" s="90">
        <v>0</v>
      </c>
      <c r="AH25" s="90">
        <v>0</v>
      </c>
      <c r="AI25" s="90">
        <v>0</v>
      </c>
      <c r="AJ25" s="5">
        <v>3773153.1797278509</v>
      </c>
      <c r="AN25" s="17"/>
    </row>
    <row r="26" spans="1:40" ht="15.75" thickBot="1">
      <c r="A26" s="38" t="s">
        <v>144</v>
      </c>
      <c r="B26" s="39">
        <v>0</v>
      </c>
      <c r="C26" s="39">
        <v>1.7462298274040222E-9</v>
      </c>
      <c r="D26" s="39">
        <v>-3.7252902984619141E-8</v>
      </c>
      <c r="E26" s="39">
        <v>0</v>
      </c>
      <c r="F26" s="39">
        <v>10498785.206031963</v>
      </c>
      <c r="G26" s="39">
        <v>29807033.059694581</v>
      </c>
      <c r="H26" s="39">
        <v>276762.41153750196</v>
      </c>
      <c r="I26" s="39">
        <v>9029276.2200616077</v>
      </c>
      <c r="J26" s="39">
        <v>1.885928213596344E-8</v>
      </c>
      <c r="K26" s="253">
        <v>11238635.382746153</v>
      </c>
      <c r="L26" s="39">
        <v>678620.62194813788</v>
      </c>
      <c r="M26" s="39">
        <v>102597790.14082494</v>
      </c>
      <c r="N26" s="39">
        <v>0</v>
      </c>
      <c r="O26" s="39">
        <v>3193431.7885144204</v>
      </c>
      <c r="P26" s="39">
        <v>9799220.6014940739</v>
      </c>
      <c r="Q26" s="39">
        <v>718700.70017160405</v>
      </c>
      <c r="R26" s="39">
        <v>6213195.356275335</v>
      </c>
      <c r="S26" s="39">
        <v>622932.44716595858</v>
      </c>
      <c r="T26" s="39">
        <v>75246482.509078979</v>
      </c>
      <c r="U26" s="39">
        <v>18883900.668071836</v>
      </c>
      <c r="V26" s="39">
        <v>5676245.4292499498</v>
      </c>
      <c r="W26" s="39">
        <v>165480438.94096062</v>
      </c>
      <c r="X26" s="39">
        <v>21970965.605985895</v>
      </c>
      <c r="Y26" s="39">
        <v>62880.666666666744</v>
      </c>
      <c r="Z26" s="39">
        <v>2942224.6428571427</v>
      </c>
      <c r="AA26" s="39">
        <v>457291.01654780004</v>
      </c>
      <c r="AB26" s="39">
        <v>6014774.7942230739</v>
      </c>
      <c r="AC26" s="39">
        <v>58234521.229201198</v>
      </c>
      <c r="AD26" s="39">
        <v>43397262.700889573</v>
      </c>
      <c r="AE26" s="39">
        <v>7429014.2280250452</v>
      </c>
      <c r="AF26" s="39">
        <v>10403122.383963782</v>
      </c>
      <c r="AG26" s="39">
        <v>8449288.6233333331</v>
      </c>
      <c r="AH26" s="39">
        <v>2244427.5333333332</v>
      </c>
      <c r="AI26" s="39">
        <v>1567916.2789775843</v>
      </c>
      <c r="AJ26" s="40">
        <v>613135141.18783212</v>
      </c>
      <c r="AK26" s="11">
        <v>613135141.18783164</v>
      </c>
      <c r="AN26" s="16"/>
    </row>
    <row r="27" spans="1:40" ht="15.75" thickTop="1">
      <c r="B27" s="41">
        <v>0</v>
      </c>
      <c r="C27" s="41">
        <v>1.8246042620426993E-17</v>
      </c>
      <c r="D27" s="41">
        <v>-2.2441507822059723E-16</v>
      </c>
      <c r="E27" s="41">
        <v>0</v>
      </c>
      <c r="F27" s="41">
        <v>7.0704539973759542E-2</v>
      </c>
      <c r="G27" s="41">
        <v>9.6540551879733122E-2</v>
      </c>
      <c r="H27" s="41">
        <v>1.7990083409629445E-3</v>
      </c>
      <c r="I27" s="41">
        <v>2.087253867860055E-2</v>
      </c>
      <c r="J27" s="41">
        <v>1.5671605130499865E-16</v>
      </c>
      <c r="K27" s="254">
        <v>0.25316789181719357</v>
      </c>
      <c r="L27" s="41">
        <v>5.228516897262895E-3</v>
      </c>
      <c r="M27" s="41">
        <v>9.1229740651135399E-2</v>
      </c>
      <c r="N27" s="41">
        <v>0</v>
      </c>
      <c r="O27" s="41">
        <v>1.1865553362242109E-2</v>
      </c>
      <c r="P27" s="41">
        <v>9.0074569397079321E-2</v>
      </c>
      <c r="Q27" s="41">
        <v>1.0045068731035587E-2</v>
      </c>
      <c r="R27" s="41">
        <v>0.11484353326333517</v>
      </c>
      <c r="S27" s="41">
        <v>1.1310015733991657E-2</v>
      </c>
      <c r="T27" s="41">
        <v>0.18225906781268139</v>
      </c>
      <c r="U27" s="41">
        <v>2.027157083662994E-3</v>
      </c>
      <c r="V27" s="41">
        <v>2.027157083662994E-3</v>
      </c>
      <c r="W27" s="41">
        <v>2.027157083662994E-3</v>
      </c>
      <c r="X27" s="41">
        <v>2.027157083662994E-3</v>
      </c>
      <c r="Y27" s="41">
        <v>2.027157083662994E-3</v>
      </c>
      <c r="Z27" s="41">
        <v>0.32509620022906843</v>
      </c>
      <c r="AA27" s="41">
        <v>8.8214996602469543E-3</v>
      </c>
      <c r="AB27" s="41">
        <v>0.18796171231947106</v>
      </c>
      <c r="AC27" s="41">
        <v>0.22027658671256647</v>
      </c>
      <c r="AD27" s="41">
        <v>0.13954103762343914</v>
      </c>
      <c r="AE27" s="41">
        <v>0.18885598837003828</v>
      </c>
      <c r="AF27" s="41">
        <v>9.6519640712937865E-2</v>
      </c>
      <c r="AG27" s="41">
        <v>0.13417958747551745</v>
      </c>
      <c r="AH27" s="41">
        <v>4.544893604814023E-2</v>
      </c>
      <c r="AI27" s="41">
        <v>1.8022026195144647E-2</v>
      </c>
      <c r="AJ27" s="41">
        <v>9.2110833687418431E-2</v>
      </c>
      <c r="AN27" s="16"/>
    </row>
  </sheetData>
  <mergeCells count="36">
    <mergeCell ref="A1:A2"/>
    <mergeCell ref="B1:B2"/>
    <mergeCell ref="C1:C2"/>
    <mergeCell ref="D1:D2"/>
    <mergeCell ref="E1:E2"/>
    <mergeCell ref="F1:F2"/>
    <mergeCell ref="G1:G2"/>
    <mergeCell ref="H1:H2"/>
    <mergeCell ref="M1:M2"/>
    <mergeCell ref="N1:N2"/>
    <mergeCell ref="O1:O2"/>
    <mergeCell ref="P1:P2"/>
    <mergeCell ref="I1:I2"/>
    <mergeCell ref="J1:J2"/>
    <mergeCell ref="K1:K2"/>
    <mergeCell ref="L1:L2"/>
    <mergeCell ref="AA1:AA2"/>
    <mergeCell ref="Q1:Q2"/>
    <mergeCell ref="R1:R2"/>
    <mergeCell ref="S1:S2"/>
    <mergeCell ref="T1:T2"/>
    <mergeCell ref="U1:U2"/>
    <mergeCell ref="V1:V2"/>
    <mergeCell ref="W1:W2"/>
    <mergeCell ref="X1:X2"/>
    <mergeCell ref="Y1:Y2"/>
    <mergeCell ref="Z1:Z2"/>
    <mergeCell ref="AH1:AH2"/>
    <mergeCell ref="AI1:AI2"/>
    <mergeCell ref="AJ1:AJ2"/>
    <mergeCell ref="AB1:AB2"/>
    <mergeCell ref="AC1:AC2"/>
    <mergeCell ref="AD1:AD2"/>
    <mergeCell ref="AE1:AE2"/>
    <mergeCell ref="AF1:AF2"/>
    <mergeCell ref="AG1:AG2"/>
  </mergeCells>
  <printOptions horizontalCentered="1"/>
  <pageMargins left="0.15748031496062992" right="0.19685039370078741" top="0.74803149606299213" bottom="0.74803149606299213" header="0.31496062992125984" footer="0.31496062992125984"/>
  <pageSetup paperSize="9" scale="95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A1:E51"/>
  <sheetViews>
    <sheetView workbookViewId="0">
      <selection activeCell="D51" sqref="D51:D53"/>
    </sheetView>
  </sheetViews>
  <sheetFormatPr defaultRowHeight="15"/>
  <cols>
    <col min="1" max="1" width="9.85546875" bestFit="1" customWidth="1"/>
    <col min="3" max="3" width="11.140625" bestFit="1" customWidth="1"/>
    <col min="5" max="5" width="11.140625" bestFit="1" customWidth="1"/>
  </cols>
  <sheetData>
    <row r="1" spans="1:5">
      <c r="A1" s="279">
        <v>0</v>
      </c>
    </row>
    <row r="2" spans="1:5">
      <c r="A2" s="279">
        <v>-8539793.848035872</v>
      </c>
      <c r="C2" s="269">
        <v>-8539793.8499999996</v>
      </c>
      <c r="E2" s="280">
        <f>+A2-C2</f>
        <v>1.9641276448965073E-3</v>
      </c>
    </row>
    <row r="3" spans="1:5">
      <c r="A3" s="279">
        <v>-6858460.6269315556</v>
      </c>
      <c r="C3" s="269">
        <v>-6858461.2400000002</v>
      </c>
      <c r="E3" s="280">
        <f t="shared" ref="E3:E51" si="0">+A3-C3</f>
        <v>0.61306844465434551</v>
      </c>
    </row>
    <row r="4" spans="1:5">
      <c r="A4" s="279">
        <v>-5326108.4493830204</v>
      </c>
      <c r="C4" s="269">
        <v>-5326108.46</v>
      </c>
      <c r="E4" s="280">
        <f t="shared" si="0"/>
        <v>1.061697956174612E-2</v>
      </c>
    </row>
    <row r="5" spans="1:5">
      <c r="A5" s="279">
        <v>-3313309.0172499418</v>
      </c>
      <c r="C5" s="269">
        <v>-4705940.24</v>
      </c>
      <c r="E5" s="280">
        <f t="shared" si="0"/>
        <v>1392631.2227500584</v>
      </c>
    </row>
    <row r="6" spans="1:5">
      <c r="A6" s="279">
        <v>-785931.98746453226</v>
      </c>
      <c r="C6" s="269">
        <v>-785931.99</v>
      </c>
      <c r="E6" s="280">
        <f t="shared" si="0"/>
        <v>2.5354677345603704E-3</v>
      </c>
    </row>
    <row r="7" spans="1:5">
      <c r="A7" s="279">
        <v>0</v>
      </c>
      <c r="C7" s="269">
        <v>-0.94</v>
      </c>
      <c r="E7" s="280">
        <f t="shared" si="0"/>
        <v>0.94</v>
      </c>
    </row>
    <row r="8" spans="1:5">
      <c r="A8" s="279">
        <v>0</v>
      </c>
      <c r="C8" s="269">
        <v>-0.73</v>
      </c>
      <c r="E8" s="280">
        <f t="shared" si="0"/>
        <v>0.73</v>
      </c>
    </row>
    <row r="9" spans="1:5">
      <c r="A9" s="279">
        <v>0</v>
      </c>
      <c r="C9" s="269">
        <v>-0.13</v>
      </c>
      <c r="E9" s="280">
        <f t="shared" si="0"/>
        <v>0.13</v>
      </c>
    </row>
    <row r="10" spans="1:5">
      <c r="A10" s="279">
        <v>0</v>
      </c>
      <c r="C10" s="269">
        <v>0</v>
      </c>
      <c r="E10" s="280">
        <f t="shared" si="0"/>
        <v>0</v>
      </c>
    </row>
    <row r="11" spans="1:5">
      <c r="A11" s="279">
        <v>0</v>
      </c>
      <c r="C11" s="269">
        <v>0</v>
      </c>
      <c r="E11" s="280">
        <f t="shared" si="0"/>
        <v>0</v>
      </c>
    </row>
    <row r="12" spans="1:5">
      <c r="A12" s="279">
        <v>0</v>
      </c>
      <c r="C12" s="269">
        <v>0</v>
      </c>
      <c r="E12" s="280">
        <f t="shared" si="0"/>
        <v>0</v>
      </c>
    </row>
    <row r="13" spans="1:5">
      <c r="A13" s="279">
        <v>0</v>
      </c>
      <c r="C13" s="269">
        <v>0</v>
      </c>
      <c r="E13" s="280">
        <f t="shared" si="0"/>
        <v>0</v>
      </c>
    </row>
    <row r="14" spans="1:5">
      <c r="A14" s="279">
        <v>0</v>
      </c>
      <c r="C14" s="269">
        <v>0</v>
      </c>
      <c r="E14" s="280">
        <f t="shared" si="0"/>
        <v>0</v>
      </c>
    </row>
    <row r="15" spans="1:5">
      <c r="A15" s="279">
        <v>0</v>
      </c>
      <c r="C15" s="269"/>
      <c r="E15" s="280">
        <f t="shared" si="0"/>
        <v>0</v>
      </c>
    </row>
    <row r="16" spans="1:5">
      <c r="A16" s="279">
        <v>0</v>
      </c>
      <c r="C16" s="269"/>
      <c r="E16" s="280">
        <f t="shared" si="0"/>
        <v>0</v>
      </c>
    </row>
    <row r="17" spans="1:5">
      <c r="A17" s="279">
        <v>0</v>
      </c>
      <c r="C17" s="269"/>
      <c r="E17" s="280">
        <f t="shared" si="0"/>
        <v>0</v>
      </c>
    </row>
    <row r="18" spans="1:5">
      <c r="A18" s="279">
        <v>0</v>
      </c>
      <c r="C18" s="269"/>
      <c r="E18" s="280">
        <f t="shared" si="0"/>
        <v>0</v>
      </c>
    </row>
    <row r="19" spans="1:5">
      <c r="A19" s="279">
        <v>0</v>
      </c>
      <c r="C19" s="269"/>
      <c r="E19" s="280">
        <f t="shared" si="0"/>
        <v>0</v>
      </c>
    </row>
    <row r="20" spans="1:5">
      <c r="A20" s="279">
        <v>1.862645149230957E-8</v>
      </c>
      <c r="C20" s="269"/>
      <c r="E20" s="280">
        <f t="shared" si="0"/>
        <v>1.862645149230957E-8</v>
      </c>
    </row>
    <row r="21" spans="1:5">
      <c r="A21" s="279">
        <v>3.7252902984619141E-8</v>
      </c>
      <c r="C21" s="269">
        <v>24658.67</v>
      </c>
      <c r="E21" s="280">
        <f t="shared" si="0"/>
        <v>-24658.669999962745</v>
      </c>
    </row>
    <row r="22" spans="1:5">
      <c r="A22" s="279">
        <v>71428.570000026608</v>
      </c>
      <c r="C22" s="269">
        <v>71428.570000000007</v>
      </c>
      <c r="E22" s="280">
        <f t="shared" si="0"/>
        <v>2.6600901037454605E-8</v>
      </c>
    </row>
    <row r="23" spans="1:5">
      <c r="A23" s="279">
        <v>122985.34565554187</v>
      </c>
      <c r="C23" s="269">
        <v>122985.35</v>
      </c>
      <c r="E23" s="280">
        <f t="shared" si="0"/>
        <v>-4.3444581388030201E-3</v>
      </c>
    </row>
    <row r="24" spans="1:5">
      <c r="A24" s="279">
        <v>171198.22327421606</v>
      </c>
      <c r="C24" s="269">
        <v>171198.22</v>
      </c>
      <c r="E24" s="280">
        <f t="shared" si="0"/>
        <v>3.2742160547059029E-3</v>
      </c>
    </row>
    <row r="25" spans="1:5">
      <c r="A25" s="279">
        <v>176878.78680652077</v>
      </c>
      <c r="C25" s="269">
        <v>176878.84</v>
      </c>
      <c r="E25" s="280">
        <f t="shared" si="0"/>
        <v>-5.3193479223409668E-2</v>
      </c>
    </row>
    <row r="26" spans="1:5">
      <c r="A26" s="279">
        <v>259473.46107544797</v>
      </c>
      <c r="C26" s="269">
        <v>259473.4</v>
      </c>
      <c r="E26" s="280">
        <f t="shared" si="0"/>
        <v>6.1075447971234098E-2</v>
      </c>
    </row>
    <row r="27" spans="1:5">
      <c r="A27" s="279">
        <v>285932.60240438581</v>
      </c>
      <c r="C27" s="269">
        <v>285932.59999999998</v>
      </c>
      <c r="E27" s="280">
        <f t="shared" si="0"/>
        <v>2.4043858284130692E-3</v>
      </c>
    </row>
    <row r="28" spans="1:5">
      <c r="A28" s="279">
        <v>938414.89548478462</v>
      </c>
      <c r="C28" s="269">
        <v>343655.16</v>
      </c>
      <c r="E28" s="280">
        <f t="shared" si="0"/>
        <v>594759.7354847847</v>
      </c>
    </row>
    <row r="29" spans="1:5">
      <c r="A29" s="279"/>
      <c r="C29" s="269">
        <v>350513.94</v>
      </c>
      <c r="E29" s="280">
        <f t="shared" si="0"/>
        <v>-350513.94</v>
      </c>
    </row>
    <row r="30" spans="1:5">
      <c r="A30" s="279"/>
      <c r="C30" s="269">
        <v>733743.87</v>
      </c>
      <c r="E30" s="280">
        <f t="shared" si="0"/>
        <v>-733743.87</v>
      </c>
    </row>
    <row r="31" spans="1:5">
      <c r="A31" s="279"/>
      <c r="C31" s="269">
        <v>1381731</v>
      </c>
      <c r="E31" s="280">
        <f t="shared" si="0"/>
        <v>-1381731</v>
      </c>
    </row>
    <row r="32" spans="1:5">
      <c r="A32" s="279">
        <v>1423649.3049225081</v>
      </c>
      <c r="C32" s="269">
        <v>1423652.54</v>
      </c>
      <c r="E32" s="280">
        <f t="shared" si="0"/>
        <v>-3.2350774919614196</v>
      </c>
    </row>
    <row r="33" spans="1:5">
      <c r="A33" s="279">
        <v>1703402.9666666663</v>
      </c>
      <c r="C33" s="269">
        <v>1703402.25</v>
      </c>
      <c r="E33" s="280">
        <f t="shared" si="0"/>
        <v>0.71666666632518172</v>
      </c>
    </row>
    <row r="34" spans="1:5">
      <c r="A34" s="279">
        <v>2359506.7909880718</v>
      </c>
      <c r="C34" s="269">
        <v>2302158.65</v>
      </c>
      <c r="E34" s="280">
        <f t="shared" si="0"/>
        <v>57348.140988071915</v>
      </c>
    </row>
    <row r="35" spans="1:5">
      <c r="A35" s="279">
        <v>2812546.3673430458</v>
      </c>
      <c r="C35" s="269">
        <v>2359506.7999999998</v>
      </c>
      <c r="E35" s="280">
        <f t="shared" si="0"/>
        <v>453039.56734304596</v>
      </c>
    </row>
    <row r="36" spans="1:5">
      <c r="A36" s="279">
        <v>2888031.6418882199</v>
      </c>
      <c r="C36" s="269">
        <v>2888031.68</v>
      </c>
      <c r="E36" s="280">
        <f t="shared" si="0"/>
        <v>-3.8111780304461718E-2</v>
      </c>
    </row>
    <row r="37" spans="1:5">
      <c r="A37" s="279">
        <v>4189036.6624884605</v>
      </c>
      <c r="C37" s="269"/>
      <c r="E37" s="280">
        <f t="shared" si="0"/>
        <v>4189036.6624884605</v>
      </c>
    </row>
    <row r="38" spans="1:5">
      <c r="A38" s="279">
        <v>4281118.9223597348</v>
      </c>
      <c r="C38" s="269">
        <v>4281118.97</v>
      </c>
      <c r="E38" s="280">
        <f t="shared" si="0"/>
        <v>-4.7640264965593815E-2</v>
      </c>
    </row>
    <row r="39" spans="1:5">
      <c r="A39" s="279">
        <v>5012603.908744406</v>
      </c>
      <c r="C39" s="269">
        <v>4291008.21</v>
      </c>
      <c r="E39" s="280">
        <f t="shared" si="0"/>
        <v>721595.69874440599</v>
      </c>
    </row>
    <row r="40" spans="1:5">
      <c r="A40" s="279">
        <v>5180745.5288611278</v>
      </c>
      <c r="C40" s="269">
        <v>5012603.4800000004</v>
      </c>
      <c r="E40" s="280">
        <f t="shared" si="0"/>
        <v>168142.04886112735</v>
      </c>
    </row>
    <row r="41" spans="1:5">
      <c r="A41" s="279">
        <v>5244612.3483263478</v>
      </c>
      <c r="C41" s="269">
        <v>5180745.53</v>
      </c>
      <c r="E41" s="280">
        <f t="shared" si="0"/>
        <v>63866.818326347508</v>
      </c>
    </row>
    <row r="42" spans="1:5">
      <c r="A42" s="279">
        <v>5511002.325967811</v>
      </c>
      <c r="C42" s="269">
        <v>5511002.29</v>
      </c>
      <c r="E42" s="280">
        <f t="shared" si="0"/>
        <v>3.596781101077795E-2</v>
      </c>
    </row>
    <row r="43" spans="1:5">
      <c r="A43" s="279">
        <v>6656499.0277760327</v>
      </c>
      <c r="C43" s="269">
        <v>5944820.21</v>
      </c>
      <c r="E43" s="280">
        <f t="shared" si="0"/>
        <v>711678.81777603272</v>
      </c>
    </row>
    <row r="44" spans="1:5">
      <c r="A44" s="279"/>
      <c r="C44" s="269">
        <v>6656499.1299999999</v>
      </c>
      <c r="E44" s="280">
        <f t="shared" si="0"/>
        <v>-6656499.1299999999</v>
      </c>
    </row>
    <row r="45" spans="1:5">
      <c r="A45" s="279">
        <v>7538675.8226451911</v>
      </c>
      <c r="C45" s="269">
        <v>7538675.8099999996</v>
      </c>
      <c r="E45" s="280">
        <f t="shared" si="0"/>
        <v>1.2645191513001919E-2</v>
      </c>
    </row>
    <row r="46" spans="1:5">
      <c r="A46" s="279">
        <v>7918893.7112125754</v>
      </c>
      <c r="C46" s="269"/>
      <c r="E46" s="280">
        <f t="shared" si="0"/>
        <v>7918893.7112125754</v>
      </c>
    </row>
    <row r="47" spans="1:5">
      <c r="A47" s="279">
        <v>8574168.4009040147</v>
      </c>
      <c r="C47" s="269">
        <v>8574162.6899999995</v>
      </c>
      <c r="E47" s="280">
        <f t="shared" si="0"/>
        <v>5.7109040152281523</v>
      </c>
    </row>
    <row r="48" spans="1:5">
      <c r="A48" s="279">
        <v>21051255.319349367</v>
      </c>
      <c r="C48" s="269">
        <v>21051255.559999999</v>
      </c>
      <c r="E48" s="280">
        <f t="shared" si="0"/>
        <v>-0.24065063148736954</v>
      </c>
    </row>
    <row r="49" spans="1:5">
      <c r="A49" s="279">
        <v>32903786.070335563</v>
      </c>
      <c r="C49" s="269">
        <v>32903783.84</v>
      </c>
      <c r="E49" s="280">
        <f t="shared" si="0"/>
        <v>2.2303355634212494</v>
      </c>
    </row>
    <row r="50" spans="1:5">
      <c r="A50" s="279">
        <v>34784965.294152856</v>
      </c>
      <c r="C50" s="269">
        <v>34784964.969999999</v>
      </c>
      <c r="E50" s="280">
        <f t="shared" si="0"/>
        <v>0.32415285706520081</v>
      </c>
    </row>
    <row r="51" spans="1:5">
      <c r="A51" s="279">
        <v>53102074.250286967</v>
      </c>
      <c r="C51" s="269">
        <v>53102074</v>
      </c>
      <c r="E51" s="280">
        <f t="shared" si="0"/>
        <v>0.25028696656227112</v>
      </c>
    </row>
  </sheetData>
  <autoFilter ref="A1:A51" xr:uid="{00000000-0009-0000-0000-00000F000000}">
    <sortState xmlns:xlrd2="http://schemas.microsoft.com/office/spreadsheetml/2017/richdata2" ref="A2:A47">
      <sortCondition ref="A1"/>
    </sortState>
  </autoFilter>
  <sortState xmlns:xlrd2="http://schemas.microsoft.com/office/spreadsheetml/2017/richdata2" ref="C1:C47">
    <sortCondition ref="C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O246"/>
  <sheetViews>
    <sheetView topLeftCell="A97" zoomScaleNormal="100" zoomScaleSheetLayoutView="100" workbookViewId="0">
      <pane xSplit="1" topLeftCell="B1" activePane="topRight" state="frozen"/>
      <selection pane="topRight" activeCell="N124" sqref="N124"/>
    </sheetView>
  </sheetViews>
  <sheetFormatPr defaultColWidth="9" defaultRowHeight="15"/>
  <cols>
    <col min="1" max="1" width="40.140625" customWidth="1"/>
    <col min="2" max="2" width="14.42578125" customWidth="1"/>
    <col min="3" max="3" width="14.7109375" customWidth="1"/>
    <col min="4" max="4" width="13.42578125" customWidth="1"/>
    <col min="5" max="5" width="13.85546875" customWidth="1"/>
    <col min="6" max="6" width="14.7109375" style="52" customWidth="1"/>
    <col min="7" max="7" width="13.85546875" customWidth="1"/>
    <col min="8" max="9" width="12.7109375" customWidth="1"/>
    <col min="10" max="10" width="14.140625" customWidth="1"/>
    <col min="11" max="11" width="12.7109375" customWidth="1"/>
    <col min="12" max="12" width="11" customWidth="1"/>
    <col min="13" max="13" width="13.85546875" customWidth="1"/>
    <col min="14" max="14" width="16.42578125" customWidth="1"/>
    <col min="15" max="15" width="12.140625" style="196" customWidth="1"/>
    <col min="16" max="16" width="16.140625" style="221" bestFit="1" customWidth="1"/>
    <col min="17" max="17" width="15.140625" style="52" bestFit="1" customWidth="1"/>
    <col min="18" max="18" width="15.7109375" style="193" bestFit="1" customWidth="1"/>
    <col min="19" max="19" width="14.28515625" style="221" bestFit="1" customWidth="1"/>
    <col min="20" max="20" width="14.140625" style="52" customWidth="1"/>
    <col min="21" max="21" width="13.85546875" style="52" customWidth="1"/>
    <col min="22" max="22" width="15.85546875" style="52" customWidth="1"/>
    <col min="23" max="23" width="14" style="52" customWidth="1"/>
    <col min="24" max="24" width="14.42578125" style="52" customWidth="1"/>
    <col min="25" max="35" width="14" style="52" customWidth="1"/>
    <col min="36" max="36" width="13.42578125" customWidth="1"/>
    <col min="37" max="37" width="12.7109375" customWidth="1"/>
    <col min="38" max="38" width="13.85546875" bestFit="1" customWidth="1"/>
  </cols>
  <sheetData>
    <row r="1" spans="1:41" s="91" customFormat="1" ht="25.5" customHeight="1">
      <c r="A1" s="426" t="s">
        <v>0</v>
      </c>
      <c r="B1" s="453" t="s">
        <v>1</v>
      </c>
      <c r="C1" s="445" t="s">
        <v>2</v>
      </c>
      <c r="D1" s="445" t="s">
        <v>75</v>
      </c>
      <c r="E1" s="445" t="s">
        <v>4</v>
      </c>
      <c r="F1" s="445" t="s">
        <v>5</v>
      </c>
      <c r="G1" s="445" t="s">
        <v>6</v>
      </c>
      <c r="H1" s="445" t="s">
        <v>7</v>
      </c>
      <c r="I1" s="445" t="s">
        <v>8</v>
      </c>
      <c r="J1" s="445" t="s">
        <v>9</v>
      </c>
      <c r="K1" s="445" t="s">
        <v>10</v>
      </c>
      <c r="L1" s="445" t="s">
        <v>11</v>
      </c>
      <c r="M1" s="445" t="s">
        <v>12</v>
      </c>
      <c r="N1" s="445" t="s">
        <v>13</v>
      </c>
      <c r="O1" s="451" t="s">
        <v>14</v>
      </c>
      <c r="P1" s="443" t="s">
        <v>64</v>
      </c>
      <c r="Q1" s="445" t="s">
        <v>62</v>
      </c>
      <c r="R1" s="445" t="s">
        <v>61</v>
      </c>
      <c r="S1" s="443" t="s">
        <v>65</v>
      </c>
      <c r="T1" s="445" t="s">
        <v>68</v>
      </c>
      <c r="U1" s="445" t="s">
        <v>71</v>
      </c>
      <c r="V1" s="447" t="s">
        <v>73</v>
      </c>
      <c r="W1" s="445" t="s">
        <v>74</v>
      </c>
      <c r="X1" s="445" t="s">
        <v>85</v>
      </c>
      <c r="Y1" s="445" t="s">
        <v>86</v>
      </c>
      <c r="Z1" s="447" t="s">
        <v>87</v>
      </c>
      <c r="AA1" s="445" t="s">
        <v>89</v>
      </c>
      <c r="AB1" s="447" t="s">
        <v>91</v>
      </c>
      <c r="AC1" s="445" t="s">
        <v>94</v>
      </c>
      <c r="AD1" s="445" t="s">
        <v>95</v>
      </c>
      <c r="AE1" s="445" t="s">
        <v>131</v>
      </c>
      <c r="AF1" s="447" t="s">
        <v>128</v>
      </c>
      <c r="AG1" s="445" t="s">
        <v>129</v>
      </c>
      <c r="AH1" s="445" t="s">
        <v>130</v>
      </c>
      <c r="AI1" s="445" t="s">
        <v>132</v>
      </c>
      <c r="AJ1" s="449" t="s">
        <v>15</v>
      </c>
      <c r="AM1" s="420" t="s">
        <v>16</v>
      </c>
      <c r="AN1" s="420"/>
    </row>
    <row r="2" spans="1:41" s="91" customFormat="1" ht="32.25" customHeight="1">
      <c r="A2" s="427"/>
      <c r="B2" s="454"/>
      <c r="C2" s="446"/>
      <c r="D2" s="446"/>
      <c r="E2" s="446"/>
      <c r="F2" s="446"/>
      <c r="G2" s="446"/>
      <c r="H2" s="446"/>
      <c r="I2" s="446"/>
      <c r="J2" s="446"/>
      <c r="K2" s="446"/>
      <c r="L2" s="446"/>
      <c r="M2" s="446"/>
      <c r="N2" s="446"/>
      <c r="O2" s="452"/>
      <c r="P2" s="444"/>
      <c r="Q2" s="446"/>
      <c r="R2" s="446"/>
      <c r="S2" s="444"/>
      <c r="T2" s="446"/>
      <c r="U2" s="446"/>
      <c r="V2" s="448"/>
      <c r="W2" s="446"/>
      <c r="X2" s="446" t="s">
        <v>84</v>
      </c>
      <c r="Y2" s="446"/>
      <c r="Z2" s="448"/>
      <c r="AA2" s="446"/>
      <c r="AB2" s="448"/>
      <c r="AC2" s="446"/>
      <c r="AD2" s="446" t="s">
        <v>84</v>
      </c>
      <c r="AE2" s="446" t="s">
        <v>84</v>
      </c>
      <c r="AF2" s="448" t="s">
        <v>84</v>
      </c>
      <c r="AG2" s="446" t="s">
        <v>84</v>
      </c>
      <c r="AH2" s="446" t="s">
        <v>84</v>
      </c>
      <c r="AI2" s="446"/>
      <c r="AJ2" s="450"/>
    </row>
    <row r="3" spans="1:41" s="91" customFormat="1">
      <c r="A3" s="20" t="s">
        <v>17</v>
      </c>
      <c r="B3" s="88">
        <v>72000000</v>
      </c>
      <c r="C3" s="89">
        <v>108788118.03</v>
      </c>
      <c r="D3" s="90">
        <v>172181998.81400001</v>
      </c>
      <c r="E3" s="90">
        <v>95704579</v>
      </c>
      <c r="F3" s="90">
        <v>184374873</v>
      </c>
      <c r="G3" s="90">
        <v>171490065</v>
      </c>
      <c r="H3" s="90">
        <v>16510059.279999999</v>
      </c>
      <c r="I3" s="90">
        <v>99588109</v>
      </c>
      <c r="J3" s="90">
        <v>33784495.526724979</v>
      </c>
      <c r="K3" s="90">
        <v>270610661</v>
      </c>
      <c r="L3" s="90">
        <v>144891598</v>
      </c>
      <c r="M3" s="90">
        <v>324195538</v>
      </c>
      <c r="N3" s="90">
        <v>98662660</v>
      </c>
      <c r="O3" s="188">
        <f>119137000-1880000</f>
        <v>117257000</v>
      </c>
      <c r="P3" s="203">
        <v>40934935</v>
      </c>
      <c r="Q3" s="90">
        <v>130103216.35860059</v>
      </c>
      <c r="R3" s="210">
        <v>3896945</v>
      </c>
      <c r="S3" s="203">
        <v>4817500</v>
      </c>
      <c r="T3" s="90">
        <v>420103550</v>
      </c>
      <c r="U3" s="90">
        <v>30857015</v>
      </c>
      <c r="V3" s="90">
        <v>206723720</v>
      </c>
      <c r="W3" s="90">
        <v>2517009</v>
      </c>
      <c r="X3" s="90">
        <v>95970234.50056079</v>
      </c>
      <c r="Y3" s="90">
        <f>22935094.48-1050000</f>
        <v>21885094.48</v>
      </c>
      <c r="Z3" s="90">
        <v>63390614</v>
      </c>
      <c r="AA3" s="90">
        <v>46325341</v>
      </c>
      <c r="AB3" s="90">
        <v>56652000</v>
      </c>
      <c r="AC3" s="90">
        <v>467255000</v>
      </c>
      <c r="AD3" s="90">
        <v>95970234.50056079</v>
      </c>
      <c r="AE3" s="90">
        <v>95970234.50056079</v>
      </c>
      <c r="AF3" s="90">
        <v>430000000</v>
      </c>
      <c r="AG3" s="90">
        <v>409523809.83599997</v>
      </c>
      <c r="AH3" s="90">
        <v>2800000</v>
      </c>
      <c r="AI3" s="90">
        <v>9050320</v>
      </c>
      <c r="AJ3" s="5">
        <f>SUM(B3:AI3)</f>
        <v>4544786527.8270073</v>
      </c>
      <c r="AO3" s="92"/>
    </row>
    <row r="4" spans="1:41" s="91" customFormat="1">
      <c r="A4" s="20" t="s">
        <v>18</v>
      </c>
      <c r="B4" s="89">
        <v>155006</v>
      </c>
      <c r="C4" s="89">
        <v>1466607</v>
      </c>
      <c r="D4" s="89">
        <v>0</v>
      </c>
      <c r="E4" s="89">
        <v>0</v>
      </c>
      <c r="F4" s="89">
        <v>0</v>
      </c>
      <c r="G4" s="89">
        <v>0</v>
      </c>
      <c r="H4" s="89">
        <v>1000000</v>
      </c>
      <c r="I4" s="89">
        <v>0</v>
      </c>
      <c r="J4" s="89">
        <v>0</v>
      </c>
      <c r="K4" s="89">
        <v>0</v>
      </c>
      <c r="L4" s="89">
        <v>0</v>
      </c>
      <c r="M4" s="89">
        <f>21143447+42822329</f>
        <v>63965776</v>
      </c>
      <c r="N4" s="89">
        <v>-4933133.0199999996</v>
      </c>
      <c r="O4" s="190">
        <v>0</v>
      </c>
      <c r="P4" s="204">
        <v>0</v>
      </c>
      <c r="Q4" s="89">
        <v>0</v>
      </c>
      <c r="R4" s="211">
        <v>-913385</v>
      </c>
      <c r="S4" s="204">
        <v>-340093</v>
      </c>
      <c r="T4" s="89">
        <v>0</v>
      </c>
      <c r="U4" s="89">
        <v>0</v>
      </c>
      <c r="V4" s="89">
        <f>18336328.17</f>
        <v>18336328.170000002</v>
      </c>
      <c r="W4" s="89">
        <v>0</v>
      </c>
      <c r="X4" s="89">
        <v>0</v>
      </c>
      <c r="Y4" s="89">
        <v>0</v>
      </c>
      <c r="Z4" s="89">
        <f>2518000+1909000+520000</f>
        <v>4947000</v>
      </c>
      <c r="AA4" s="89">
        <v>0</v>
      </c>
      <c r="AB4" s="89">
        <v>0</v>
      </c>
      <c r="AC4" s="89">
        <v>0</v>
      </c>
      <c r="AD4" s="89">
        <v>0</v>
      </c>
      <c r="AE4" s="89">
        <v>0</v>
      </c>
      <c r="AF4" s="89">
        <v>0</v>
      </c>
      <c r="AG4" s="89">
        <v>0</v>
      </c>
      <c r="AH4" s="89">
        <v>0</v>
      </c>
      <c r="AI4" s="89">
        <v>0</v>
      </c>
      <c r="AJ4" s="5">
        <f>SUM(B4:AI4)</f>
        <v>83684106.150000006</v>
      </c>
      <c r="AO4" s="93"/>
    </row>
    <row r="5" spans="1:41" s="91" customFormat="1" ht="15.75" thickBot="1">
      <c r="A5" s="8" t="s">
        <v>19</v>
      </c>
      <c r="B5" s="110">
        <f t="shared" ref="B5:R5" si="0">SUM(B3:B4)</f>
        <v>72155006</v>
      </c>
      <c r="C5" s="110">
        <f t="shared" si="0"/>
        <v>110254725.03</v>
      </c>
      <c r="D5" s="110">
        <f t="shared" si="0"/>
        <v>172181998.81400001</v>
      </c>
      <c r="E5" s="110">
        <f t="shared" si="0"/>
        <v>95704579</v>
      </c>
      <c r="F5" s="110">
        <f t="shared" si="0"/>
        <v>184374873</v>
      </c>
      <c r="G5" s="110">
        <f t="shared" si="0"/>
        <v>171490065</v>
      </c>
      <c r="H5" s="110">
        <f t="shared" si="0"/>
        <v>17510059.280000001</v>
      </c>
      <c r="I5" s="110">
        <f t="shared" si="0"/>
        <v>99588109</v>
      </c>
      <c r="J5" s="110">
        <f t="shared" si="0"/>
        <v>33784495.526724979</v>
      </c>
      <c r="K5" s="110">
        <f t="shared" si="0"/>
        <v>270610661</v>
      </c>
      <c r="L5" s="110">
        <f t="shared" si="0"/>
        <v>144891598</v>
      </c>
      <c r="M5" s="110">
        <f t="shared" si="0"/>
        <v>388161314</v>
      </c>
      <c r="N5" s="110">
        <f t="shared" si="0"/>
        <v>93729526.980000004</v>
      </c>
      <c r="O5" s="201">
        <f t="shared" si="0"/>
        <v>117257000</v>
      </c>
      <c r="P5" s="217">
        <f>SUM(P3:P4)</f>
        <v>40934935</v>
      </c>
      <c r="Q5" s="110">
        <f t="shared" si="0"/>
        <v>130103216.35860059</v>
      </c>
      <c r="R5" s="216">
        <f t="shared" si="0"/>
        <v>2983560</v>
      </c>
      <c r="S5" s="217">
        <f t="shared" ref="S5:AI5" si="1">SUM(S3:S4)</f>
        <v>4477407</v>
      </c>
      <c r="T5" s="110">
        <f t="shared" si="1"/>
        <v>420103550</v>
      </c>
      <c r="U5" s="110">
        <f t="shared" si="1"/>
        <v>30857015</v>
      </c>
      <c r="V5" s="110">
        <f t="shared" si="1"/>
        <v>225060048.17000002</v>
      </c>
      <c r="W5" s="110">
        <f t="shared" si="1"/>
        <v>2517009</v>
      </c>
      <c r="X5" s="110">
        <f t="shared" si="1"/>
        <v>95970234.50056079</v>
      </c>
      <c r="Y5" s="110">
        <f t="shared" si="1"/>
        <v>21885094.48</v>
      </c>
      <c r="Z5" s="110">
        <f t="shared" si="1"/>
        <v>68337614</v>
      </c>
      <c r="AA5" s="110">
        <f t="shared" si="1"/>
        <v>46325341</v>
      </c>
      <c r="AB5" s="110">
        <f t="shared" si="1"/>
        <v>56652000</v>
      </c>
      <c r="AC5" s="110">
        <f t="shared" si="1"/>
        <v>467255000</v>
      </c>
      <c r="AD5" s="110">
        <f t="shared" si="1"/>
        <v>95970234.50056079</v>
      </c>
      <c r="AE5" s="110">
        <f t="shared" si="1"/>
        <v>95970234.50056079</v>
      </c>
      <c r="AF5" s="110">
        <f t="shared" si="1"/>
        <v>430000000</v>
      </c>
      <c r="AG5" s="110">
        <f t="shared" si="1"/>
        <v>409523809.83599997</v>
      </c>
      <c r="AH5" s="110">
        <f t="shared" si="1"/>
        <v>2800000</v>
      </c>
      <c r="AI5" s="110">
        <f t="shared" si="1"/>
        <v>9050320</v>
      </c>
      <c r="AJ5" s="10">
        <f>SUM(AJ3:AJ4)</f>
        <v>4628470633.9770069</v>
      </c>
      <c r="AK5" s="74" t="s">
        <v>20</v>
      </c>
      <c r="AO5" s="94"/>
    </row>
    <row r="6" spans="1:41" s="91" customFormat="1" ht="15.75" thickTop="1">
      <c r="A6" s="13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76"/>
      <c r="N6" s="14"/>
      <c r="O6" s="189"/>
      <c r="P6" s="205"/>
      <c r="Q6" s="14"/>
      <c r="R6" s="212"/>
      <c r="S6" s="205"/>
      <c r="T6" s="205"/>
      <c r="U6" s="205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5"/>
      <c r="AN6" s="92"/>
      <c r="AO6" s="17"/>
    </row>
    <row r="7" spans="1:41" s="91" customFormat="1">
      <c r="A7" s="20" t="s">
        <v>21</v>
      </c>
      <c r="B7" s="89">
        <v>62666842.041178711</v>
      </c>
      <c r="C7" s="89">
        <v>105547486.93488838</v>
      </c>
      <c r="D7" s="89">
        <v>178018117.18462098</v>
      </c>
      <c r="E7" s="89">
        <v>92245938.560000002</v>
      </c>
      <c r="F7" s="89">
        <v>97229131.455211461</v>
      </c>
      <c r="G7" s="89">
        <v>142973982.71199995</v>
      </c>
      <c r="H7" s="89">
        <v>16262187.567045338</v>
      </c>
      <c r="I7" s="89">
        <v>92629183</v>
      </c>
      <c r="J7" s="89">
        <v>30160353.063168161</v>
      </c>
      <c r="K7" s="89">
        <v>264427221.91120002</v>
      </c>
      <c r="L7" s="89">
        <v>140108129</v>
      </c>
      <c r="M7" s="89">
        <v>251025418.07450444</v>
      </c>
      <c r="N7" s="89">
        <v>72511482.799999997</v>
      </c>
      <c r="O7" s="190">
        <f>86200986.93-1880000</f>
        <v>84320986.930000007</v>
      </c>
      <c r="P7" s="204">
        <v>41675579</v>
      </c>
      <c r="Q7" s="89">
        <v>109630210.62099126</v>
      </c>
      <c r="R7" s="211">
        <v>3159874</v>
      </c>
      <c r="S7" s="204">
        <v>3295000</v>
      </c>
      <c r="T7" s="89">
        <v>385768894.21588492</v>
      </c>
      <c r="U7" s="89">
        <v>27546588.472500004</v>
      </c>
      <c r="V7" s="89">
        <v>187827866.32466066</v>
      </c>
      <c r="W7" s="89">
        <v>2320307</v>
      </c>
      <c r="X7" s="89">
        <v>91302219</v>
      </c>
      <c r="Y7" s="89">
        <v>19808090.745247856</v>
      </c>
      <c r="Z7" s="89">
        <v>62621524.493732497</v>
      </c>
      <c r="AA7" s="89">
        <v>42620158</v>
      </c>
      <c r="AB7" s="89">
        <f>+AB3*75%</f>
        <v>42489000</v>
      </c>
      <c r="AC7" s="89">
        <v>408567772</v>
      </c>
      <c r="AD7" s="89">
        <v>91302219</v>
      </c>
      <c r="AE7" s="89">
        <v>91302219</v>
      </c>
      <c r="AF7" s="89">
        <v>395000000</v>
      </c>
      <c r="AG7" s="90">
        <v>381327168.14791769</v>
      </c>
      <c r="AH7" s="89">
        <f>+AH3*90%</f>
        <v>2520000</v>
      </c>
      <c r="AI7" s="89">
        <v>6335224</v>
      </c>
      <c r="AJ7" s="5">
        <f>SUM(B7:AI7)</f>
        <v>4026546375.2547522</v>
      </c>
      <c r="AK7" s="92" t="s">
        <v>20</v>
      </c>
      <c r="AN7" s="92"/>
      <c r="AO7" s="17"/>
    </row>
    <row r="8" spans="1:41" s="91" customFormat="1">
      <c r="A8" s="13" t="s">
        <v>22</v>
      </c>
      <c r="B8" s="89">
        <f>B12+B13-B7</f>
        <v>3291725.4699999914</v>
      </c>
      <c r="C8" s="89">
        <f>+C12+C13-C7</f>
        <v>2641131.8900000304</v>
      </c>
      <c r="D8" s="89">
        <v>0</v>
      </c>
      <c r="E8" s="89">
        <f>+E12+E13-E7</f>
        <v>1331253.2912895381</v>
      </c>
      <c r="F8" s="89">
        <f>F12+F13-F7</f>
        <v>445342.46999999881</v>
      </c>
      <c r="G8" s="89">
        <v>0</v>
      </c>
      <c r="H8" s="89">
        <f>H12+H13-H7</f>
        <v>860680.64576712251</v>
      </c>
      <c r="I8" s="89">
        <v>0</v>
      </c>
      <c r="J8" s="89">
        <f>-222205.483566422</f>
        <v>-222205.48356642199</v>
      </c>
      <c r="K8" s="89">
        <v>0</v>
      </c>
      <c r="L8" s="89">
        <v>0</v>
      </c>
      <c r="M8" s="89">
        <f>18614612+35822329</f>
        <v>54436941</v>
      </c>
      <c r="N8" s="89">
        <f>N12+N13-N7</f>
        <v>-1847431.911683619</v>
      </c>
      <c r="O8" s="190">
        <v>0</v>
      </c>
      <c r="P8" s="204">
        <v>0</v>
      </c>
      <c r="Q8" s="89">
        <v>0</v>
      </c>
      <c r="R8" s="89">
        <f>R12+R13-R7</f>
        <v>1519.3400000003166</v>
      </c>
      <c r="S8" s="211">
        <v>0</v>
      </c>
      <c r="T8" s="89">
        <v>0</v>
      </c>
      <c r="U8" s="89">
        <v>0</v>
      </c>
      <c r="V8" s="89">
        <f>+V14-V7</f>
        <v>3781163.9353393316</v>
      </c>
      <c r="W8" s="89">
        <v>0</v>
      </c>
      <c r="X8" s="89">
        <v>0</v>
      </c>
      <c r="Y8" s="89">
        <v>-1050000</v>
      </c>
      <c r="Z8" s="89">
        <v>-15000000</v>
      </c>
      <c r="AA8" s="89">
        <v>0</v>
      </c>
      <c r="AB8" s="89">
        <v>0</v>
      </c>
      <c r="AC8" s="89"/>
      <c r="AD8" s="89">
        <v>0</v>
      </c>
      <c r="AE8" s="89">
        <v>0</v>
      </c>
      <c r="AF8" s="89">
        <v>0</v>
      </c>
      <c r="AG8" s="89">
        <v>0</v>
      </c>
      <c r="AH8" s="89">
        <v>0</v>
      </c>
      <c r="AI8" s="89">
        <v>0</v>
      </c>
      <c r="AJ8" s="5">
        <f>SUM(B8:AI8)</f>
        <v>48670120.647145972</v>
      </c>
      <c r="AO8" s="17"/>
    </row>
    <row r="9" spans="1:41" s="91" customFormat="1" ht="15.75" thickBot="1">
      <c r="A9" s="8" t="s">
        <v>23</v>
      </c>
      <c r="B9" s="110">
        <f>SUM(B7:B8)</f>
        <v>65958567.511178702</v>
      </c>
      <c r="C9" s="110">
        <f>SUM(C7:C8)</f>
        <v>108188618.82488841</v>
      </c>
      <c r="D9" s="110">
        <f>SUM(D7:D8)</f>
        <v>178018117.18462098</v>
      </c>
      <c r="E9" s="110">
        <f>SUM(E7:E8)</f>
        <v>93577191.851289541</v>
      </c>
      <c r="F9" s="110">
        <f>SUM(F7:F8)</f>
        <v>97674473.925211459</v>
      </c>
      <c r="G9" s="110">
        <f t="shared" ref="G9:U9" si="2">SUM(G7:G8)</f>
        <v>142973982.71199995</v>
      </c>
      <c r="H9" s="110">
        <f t="shared" si="2"/>
        <v>17122868.212812461</v>
      </c>
      <c r="I9" s="110">
        <f t="shared" si="2"/>
        <v>92629183</v>
      </c>
      <c r="J9" s="110">
        <f t="shared" si="2"/>
        <v>29938147.579601739</v>
      </c>
      <c r="K9" s="110">
        <f t="shared" si="2"/>
        <v>264427221.91120002</v>
      </c>
      <c r="L9" s="110">
        <f t="shared" si="2"/>
        <v>140108129</v>
      </c>
      <c r="M9" s="110">
        <f t="shared" si="2"/>
        <v>305462359.07450444</v>
      </c>
      <c r="N9" s="110">
        <f t="shared" si="2"/>
        <v>70664050.888316378</v>
      </c>
      <c r="O9" s="201">
        <f t="shared" si="2"/>
        <v>84320986.930000007</v>
      </c>
      <c r="P9" s="217">
        <f>SUM(P7:P8)</f>
        <v>41675579</v>
      </c>
      <c r="Q9" s="110">
        <f t="shared" si="2"/>
        <v>109630210.62099126</v>
      </c>
      <c r="R9" s="216">
        <f t="shared" si="2"/>
        <v>3161393.3400000003</v>
      </c>
      <c r="S9" s="217">
        <f t="shared" si="2"/>
        <v>3295000</v>
      </c>
      <c r="T9" s="110">
        <f t="shared" si="2"/>
        <v>385768894.21588492</v>
      </c>
      <c r="U9" s="110">
        <f t="shared" si="2"/>
        <v>27546588.472500004</v>
      </c>
      <c r="V9" s="110">
        <f t="shared" ref="V9:AI9" si="3">SUM(V7:V8)</f>
        <v>191609030.25999999</v>
      </c>
      <c r="W9" s="110">
        <f t="shared" si="3"/>
        <v>2320307</v>
      </c>
      <c r="X9" s="110">
        <f t="shared" si="3"/>
        <v>91302219</v>
      </c>
      <c r="Y9" s="110">
        <f t="shared" si="3"/>
        <v>18758090.745247856</v>
      </c>
      <c r="Z9" s="110">
        <f t="shared" si="3"/>
        <v>47621524.493732497</v>
      </c>
      <c r="AA9" s="110">
        <f t="shared" si="3"/>
        <v>42620158</v>
      </c>
      <c r="AB9" s="110">
        <f t="shared" si="3"/>
        <v>42489000</v>
      </c>
      <c r="AC9" s="110">
        <f t="shared" si="3"/>
        <v>408567772</v>
      </c>
      <c r="AD9" s="110">
        <f t="shared" si="3"/>
        <v>91302219</v>
      </c>
      <c r="AE9" s="110">
        <f t="shared" si="3"/>
        <v>91302219</v>
      </c>
      <c r="AF9" s="110">
        <f t="shared" si="3"/>
        <v>395000000</v>
      </c>
      <c r="AG9" s="110">
        <f t="shared" si="3"/>
        <v>381327168.14791769</v>
      </c>
      <c r="AH9" s="110">
        <f t="shared" si="3"/>
        <v>2520000</v>
      </c>
      <c r="AI9" s="110">
        <f t="shared" si="3"/>
        <v>6335224</v>
      </c>
      <c r="AJ9" s="10">
        <f>SUM(AJ7:AJ8)</f>
        <v>4075216495.9018979</v>
      </c>
      <c r="AK9" s="74"/>
      <c r="AO9" s="17"/>
    </row>
    <row r="10" spans="1:41" s="91" customFormat="1" ht="15.75" thickTop="1">
      <c r="A10" s="20" t="s">
        <v>124</v>
      </c>
      <c r="B10" s="21">
        <f>B5-B9</f>
        <v>6196438.4888212979</v>
      </c>
      <c r="C10" s="21">
        <f t="shared" ref="C10:AI10" si="4">C5-C9</f>
        <v>2066106.205111593</v>
      </c>
      <c r="D10" s="21">
        <f t="shared" si="4"/>
        <v>-5836118.370620966</v>
      </c>
      <c r="E10" s="21">
        <f t="shared" si="4"/>
        <v>2127387.1487104595</v>
      </c>
      <c r="F10" s="21">
        <f t="shared" si="4"/>
        <v>86700399.074788541</v>
      </c>
      <c r="G10" s="21">
        <f t="shared" si="4"/>
        <v>28516082.288000047</v>
      </c>
      <c r="H10" s="21">
        <f t="shared" si="4"/>
        <v>387191.06718754023</v>
      </c>
      <c r="I10" s="21">
        <f t="shared" si="4"/>
        <v>6958926</v>
      </c>
      <c r="J10" s="21">
        <f t="shared" si="4"/>
        <v>3846347.9471232407</v>
      </c>
      <c r="K10" s="21">
        <f t="shared" si="4"/>
        <v>6183439.0887999833</v>
      </c>
      <c r="L10" s="21">
        <f t="shared" si="4"/>
        <v>4783469</v>
      </c>
      <c r="M10" s="21">
        <f t="shared" si="4"/>
        <v>82698954.925495565</v>
      </c>
      <c r="N10" s="21">
        <f t="shared" si="4"/>
        <v>23065476.091683626</v>
      </c>
      <c r="O10" s="202">
        <f t="shared" si="4"/>
        <v>32936013.069999993</v>
      </c>
      <c r="P10" s="206">
        <f t="shared" si="4"/>
        <v>-740644</v>
      </c>
      <c r="Q10" s="21">
        <f t="shared" si="4"/>
        <v>20473005.737609327</v>
      </c>
      <c r="R10" s="21">
        <f t="shared" si="4"/>
        <v>-177833.34000000032</v>
      </c>
      <c r="S10" s="206">
        <f t="shared" si="4"/>
        <v>1182407</v>
      </c>
      <c r="T10" s="21">
        <f t="shared" si="4"/>
        <v>34334655.784115076</v>
      </c>
      <c r="U10" s="21">
        <f t="shared" si="4"/>
        <v>3310426.5274999961</v>
      </c>
      <c r="V10" s="21">
        <f t="shared" si="4"/>
        <v>33451017.910000026</v>
      </c>
      <c r="W10" s="21">
        <f t="shared" si="4"/>
        <v>196702</v>
      </c>
      <c r="X10" s="21">
        <f t="shared" si="4"/>
        <v>4668015.5005607903</v>
      </c>
      <c r="Y10" s="21">
        <f t="shared" si="4"/>
        <v>3127003.7347521447</v>
      </c>
      <c r="Z10" s="21">
        <f t="shared" si="4"/>
        <v>20716089.506267503</v>
      </c>
      <c r="AA10" s="21">
        <f t="shared" si="4"/>
        <v>3705183</v>
      </c>
      <c r="AB10" s="21">
        <f t="shared" si="4"/>
        <v>14163000</v>
      </c>
      <c r="AC10" s="21">
        <f t="shared" si="4"/>
        <v>58687228</v>
      </c>
      <c r="AD10" s="21">
        <f t="shared" si="4"/>
        <v>4668015.5005607903</v>
      </c>
      <c r="AE10" s="21">
        <f t="shared" si="4"/>
        <v>4668015.5005607903</v>
      </c>
      <c r="AF10" s="21">
        <f t="shared" si="4"/>
        <v>35000000</v>
      </c>
      <c r="AG10" s="21">
        <f t="shared" si="4"/>
        <v>28196641.688082278</v>
      </c>
      <c r="AH10" s="21">
        <f t="shared" si="4"/>
        <v>280000</v>
      </c>
      <c r="AI10" s="21">
        <f t="shared" si="4"/>
        <v>2715096</v>
      </c>
      <c r="AJ10" s="22">
        <f>SUM(B10:AI10)</f>
        <v>553254138.07510948</v>
      </c>
      <c r="AO10" s="17"/>
    </row>
    <row r="11" spans="1:41" s="91" customFormat="1">
      <c r="A11" s="20" t="s">
        <v>125</v>
      </c>
      <c r="B11" s="173">
        <f>B10/B5</f>
        <v>8.5876764930506666E-2</v>
      </c>
      <c r="C11" s="32">
        <f t="shared" ref="C11:AD11" si="5">C10/C5</f>
        <v>1.8739389214833299E-2</v>
      </c>
      <c r="D11" s="32">
        <f t="shared" si="5"/>
        <v>-3.3895055295097634E-2</v>
      </c>
      <c r="E11" s="32">
        <f t="shared" si="5"/>
        <v>2.2228687184449758E-2</v>
      </c>
      <c r="F11" s="32">
        <f t="shared" si="5"/>
        <v>0.4702397765165568</v>
      </c>
      <c r="G11" s="32">
        <f t="shared" si="5"/>
        <v>0.16628416513807984</v>
      </c>
      <c r="H11" s="32">
        <f t="shared" si="5"/>
        <v>2.2112493224382745E-2</v>
      </c>
      <c r="I11" s="32">
        <f t="shared" si="5"/>
        <v>6.9877077392844156E-2</v>
      </c>
      <c r="J11" s="32">
        <f t="shared" si="5"/>
        <v>0.11384950070012485</v>
      </c>
      <c r="K11" s="32">
        <f t="shared" si="5"/>
        <v>2.2849946361869253E-2</v>
      </c>
      <c r="L11" s="32">
        <f t="shared" si="5"/>
        <v>3.3014122737468878E-2</v>
      </c>
      <c r="M11" s="32">
        <f t="shared" si="5"/>
        <v>0.21305305794975635</v>
      </c>
      <c r="N11" s="173">
        <f t="shared" si="5"/>
        <v>0.24608548485052459</v>
      </c>
      <c r="O11" s="190">
        <f t="shared" si="5"/>
        <v>0.28088739324731138</v>
      </c>
      <c r="P11" s="204">
        <f t="shared" si="5"/>
        <v>-1.8093200832003276E-2</v>
      </c>
      <c r="Q11" s="32">
        <f t="shared" si="5"/>
        <v>0.15735972030991177</v>
      </c>
      <c r="R11" s="219">
        <f t="shared" si="5"/>
        <v>-5.9604412178739602E-2</v>
      </c>
      <c r="S11" s="173">
        <f t="shared" si="5"/>
        <v>0.26408298374483269</v>
      </c>
      <c r="T11" s="173">
        <f t="shared" si="5"/>
        <v>8.1729030340531694E-2</v>
      </c>
      <c r="U11" s="173">
        <f t="shared" si="5"/>
        <v>0.10728278569719062</v>
      </c>
      <c r="V11" s="173">
        <f t="shared" si="5"/>
        <v>0.14863152381773537</v>
      </c>
      <c r="W11" s="32">
        <f t="shared" si="5"/>
        <v>7.8149104750916659E-2</v>
      </c>
      <c r="X11" s="32">
        <f t="shared" si="5"/>
        <v>4.8640242725816338E-2</v>
      </c>
      <c r="Y11" s="32">
        <f t="shared" si="5"/>
        <v>0.14288280718229482</v>
      </c>
      <c r="Z11" s="32">
        <f t="shared" si="5"/>
        <v>0.3031432953785525</v>
      </c>
      <c r="AA11" s="32">
        <f t="shared" si="5"/>
        <v>7.9981774985747003E-2</v>
      </c>
      <c r="AB11" s="32">
        <f t="shared" si="5"/>
        <v>0.25</v>
      </c>
      <c r="AC11" s="32">
        <f t="shared" si="5"/>
        <v>0.12559999999999999</v>
      </c>
      <c r="AD11" s="32">
        <f t="shared" si="5"/>
        <v>4.8640242725816338E-2</v>
      </c>
      <c r="AE11" s="32">
        <f t="shared" ref="AE11:AJ11" si="6">AE10/AE5</f>
        <v>4.8640242725816338E-2</v>
      </c>
      <c r="AF11" s="32">
        <f t="shared" si="6"/>
        <v>8.1395348837209308E-2</v>
      </c>
      <c r="AG11" s="32">
        <f t="shared" si="6"/>
        <v>6.8852264534689817E-2</v>
      </c>
      <c r="AH11" s="32">
        <f t="shared" si="6"/>
        <v>0.1</v>
      </c>
      <c r="AI11" s="222">
        <f t="shared" si="6"/>
        <v>0.3</v>
      </c>
      <c r="AJ11" s="174">
        <f t="shared" si="6"/>
        <v>0.11953281803577667</v>
      </c>
      <c r="AL11" s="74"/>
      <c r="AO11" s="17"/>
    </row>
    <row r="12" spans="1:41" s="91" customFormat="1">
      <c r="A12" s="13" t="s">
        <v>25</v>
      </c>
      <c r="B12" s="89">
        <v>62666842.041178703</v>
      </c>
      <c r="C12" s="89">
        <v>103351766.93488841</v>
      </c>
      <c r="D12" s="89">
        <v>168220253.194785</v>
      </c>
      <c r="E12" s="89">
        <v>86958612.661289543</v>
      </c>
      <c r="F12" s="89">
        <v>97229131.455211461</v>
      </c>
      <c r="G12" s="89">
        <v>130138959.0257407</v>
      </c>
      <c r="H12" s="89">
        <v>16232012.972812463</v>
      </c>
      <c r="I12" s="89">
        <v>42177500.056490794</v>
      </c>
      <c r="J12" s="89">
        <v>30160353.169601738</v>
      </c>
      <c r="K12" s="89">
        <v>136511563.26791844</v>
      </c>
      <c r="L12" s="89">
        <v>93523600.046620801</v>
      </c>
      <c r="M12" s="89">
        <v>222368241.31886935</v>
      </c>
      <c r="N12" s="89">
        <v>72511483.338316381</v>
      </c>
      <c r="O12" s="190">
        <v>70257974.810000002</v>
      </c>
      <c r="P12" s="204">
        <v>5079728.58</v>
      </c>
      <c r="Q12" s="89">
        <v>39249340.799999997</v>
      </c>
      <c r="R12" s="211">
        <v>3159873.5200000005</v>
      </c>
      <c r="S12" s="204">
        <v>1117525.67</v>
      </c>
      <c r="T12" s="89">
        <v>83064312.289999992</v>
      </c>
      <c r="U12" s="89">
        <v>14245302.800000001</v>
      </c>
      <c r="V12" s="89">
        <v>63906129.18</v>
      </c>
      <c r="W12" s="89">
        <v>894406.32000000007</v>
      </c>
      <c r="X12" s="89">
        <v>82947.59</v>
      </c>
      <c r="Y12" s="89">
        <v>2217417.69</v>
      </c>
      <c r="Z12" s="89">
        <v>1264551.3799999999</v>
      </c>
      <c r="AA12" s="89">
        <v>0</v>
      </c>
      <c r="AB12" s="89">
        <v>0</v>
      </c>
      <c r="AC12" s="89">
        <v>0</v>
      </c>
      <c r="AD12" s="89">
        <v>0</v>
      </c>
      <c r="AE12" s="89">
        <v>0</v>
      </c>
      <c r="AF12" s="89">
        <v>0</v>
      </c>
      <c r="AG12" s="89">
        <v>0</v>
      </c>
      <c r="AH12" s="89">
        <v>0</v>
      </c>
      <c r="AI12" s="89">
        <v>0</v>
      </c>
      <c r="AJ12" s="5">
        <f>SUM(B12:AI12)</f>
        <v>1546589830.1137235</v>
      </c>
      <c r="AO12" s="25"/>
    </row>
    <row r="13" spans="1:41" s="91" customFormat="1">
      <c r="A13" s="13" t="s">
        <v>26</v>
      </c>
      <c r="B13" s="89">
        <f>$N$147</f>
        <v>3291725.4699999997</v>
      </c>
      <c r="C13" s="89">
        <f>$N$148</f>
        <v>4836851.8900000006</v>
      </c>
      <c r="D13" s="89">
        <f>$N$149</f>
        <v>349962.04</v>
      </c>
      <c r="E13" s="89">
        <f>$N$150</f>
        <v>6618579.1900000004</v>
      </c>
      <c r="F13" s="89">
        <f>$N$151</f>
        <v>445342.47</v>
      </c>
      <c r="G13" s="89">
        <f>$N$152</f>
        <v>6253270.2400000002</v>
      </c>
      <c r="H13" s="89">
        <f>$N$153</f>
        <v>890855.24</v>
      </c>
      <c r="I13" s="89">
        <f>$N$154</f>
        <v>17010829.210000001</v>
      </c>
      <c r="J13" s="89">
        <f>$N$155</f>
        <v>-222205.59</v>
      </c>
      <c r="K13" s="89">
        <f>$N$156</f>
        <v>70668218.109999999</v>
      </c>
      <c r="L13" s="89">
        <f>$N$157</f>
        <v>37934746.07</v>
      </c>
      <c r="M13" s="89">
        <f>$N$158</f>
        <v>61072455.030000001</v>
      </c>
      <c r="N13" s="89">
        <f>$N$159</f>
        <v>-1847432.4500000002</v>
      </c>
      <c r="O13" s="190">
        <f>$N$160</f>
        <v>5006331.2400000021</v>
      </c>
      <c r="P13" s="204">
        <f>$N$163</f>
        <v>6943858.2399999993</v>
      </c>
      <c r="Q13" s="89">
        <f>$N$162</f>
        <v>31739192.489999998</v>
      </c>
      <c r="R13" s="211">
        <f>$N$161</f>
        <v>1519.82</v>
      </c>
      <c r="S13" s="204">
        <f>$N$164</f>
        <v>1279578.0900000001</v>
      </c>
      <c r="T13" s="89">
        <f>$N$165</f>
        <v>128023182.12999998</v>
      </c>
      <c r="U13" s="89">
        <f>$N$166</f>
        <v>2310694.52</v>
      </c>
      <c r="V13" s="89">
        <f>$N$167</f>
        <v>127702901.07999998</v>
      </c>
      <c r="W13" s="89">
        <f>$N$168</f>
        <v>151872.38999999998</v>
      </c>
      <c r="X13" s="89">
        <f>$N$169</f>
        <v>429099.23</v>
      </c>
      <c r="Y13" s="89">
        <f>$N$170</f>
        <v>10688207.17</v>
      </c>
      <c r="Z13" s="89">
        <f>$N$171</f>
        <v>37463113.829999998</v>
      </c>
      <c r="AA13" s="89">
        <f>$N$172</f>
        <v>18460953.41</v>
      </c>
      <c r="AB13" s="89">
        <f>$N$173</f>
        <v>10904445.93</v>
      </c>
      <c r="AC13" s="89">
        <f>$N$174</f>
        <v>25267944.370000001</v>
      </c>
      <c r="AD13" s="89">
        <f>$N$175</f>
        <v>1545784.88</v>
      </c>
      <c r="AE13" s="89">
        <f>$N$176</f>
        <v>49684.770000000004</v>
      </c>
      <c r="AF13" s="89">
        <f>$N$177</f>
        <v>3813631.02</v>
      </c>
      <c r="AG13" s="89">
        <f>$N$178</f>
        <v>653994.77</v>
      </c>
      <c r="AH13" s="89">
        <f>$N$179</f>
        <v>97273.67</v>
      </c>
      <c r="AI13" s="89">
        <f>$N$180</f>
        <v>3691824.6</v>
      </c>
      <c r="AJ13" s="5">
        <f>SUM(B13:AI13)</f>
        <v>623528284.56999981</v>
      </c>
      <c r="AL13" s="74" t="s">
        <v>20</v>
      </c>
      <c r="AO13" s="17"/>
    </row>
    <row r="14" spans="1:41" s="91" customFormat="1">
      <c r="A14" s="20"/>
      <c r="B14" s="89"/>
      <c r="C14" s="89"/>
      <c r="D14" s="89"/>
      <c r="E14" s="89"/>
      <c r="F14" s="89"/>
      <c r="G14" s="89"/>
      <c r="H14" s="89"/>
      <c r="I14" s="89"/>
      <c r="J14" s="89"/>
      <c r="K14" s="89"/>
      <c r="L14" s="89"/>
      <c r="M14" s="89"/>
      <c r="N14" s="89"/>
      <c r="O14" s="190"/>
      <c r="P14" s="204"/>
      <c r="Q14" s="89"/>
      <c r="R14" s="89"/>
      <c r="S14" s="89"/>
      <c r="T14" s="89"/>
      <c r="U14" s="89"/>
      <c r="V14" s="89">
        <f>+V12+V13</f>
        <v>191609030.25999999</v>
      </c>
      <c r="W14" s="89"/>
      <c r="X14" s="89"/>
      <c r="Y14" s="89"/>
      <c r="Z14" s="89"/>
      <c r="AA14" s="89"/>
      <c r="AB14" s="89"/>
      <c r="AC14" s="89"/>
      <c r="AD14" s="89"/>
      <c r="AE14" s="89"/>
      <c r="AF14" s="89"/>
      <c r="AG14" s="89"/>
      <c r="AH14" s="89"/>
      <c r="AI14" s="89"/>
      <c r="AJ14" s="26"/>
      <c r="AO14" s="17"/>
    </row>
    <row r="15" spans="1:41" s="91" customFormat="1">
      <c r="A15" s="20" t="s">
        <v>27</v>
      </c>
      <c r="B15" s="95">
        <f>B12/B9</f>
        <v>0.95009404245411921</v>
      </c>
      <c r="C15" s="95">
        <f t="shared" ref="C15:W15" si="7">C12/C9</f>
        <v>0.95529241483497618</v>
      </c>
      <c r="D15" s="95">
        <f t="shared" si="7"/>
        <v>0.94496142221482604</v>
      </c>
      <c r="E15" s="95">
        <f t="shared" si="7"/>
        <v>0.92927144896036129</v>
      </c>
      <c r="F15" s="95">
        <f t="shared" si="7"/>
        <v>0.99544054396094328</v>
      </c>
      <c r="G15" s="95">
        <f t="shared" si="7"/>
        <v>0.91022825661845397</v>
      </c>
      <c r="H15" s="95">
        <f t="shared" si="7"/>
        <v>0.94797277950586567</v>
      </c>
      <c r="I15" s="95">
        <f t="shared" si="7"/>
        <v>0.45533706214909392</v>
      </c>
      <c r="J15" s="95">
        <f t="shared" si="7"/>
        <v>1.0074221556096343</v>
      </c>
      <c r="K15" s="95">
        <f t="shared" si="7"/>
        <v>0.51625381941108084</v>
      </c>
      <c r="L15" s="95">
        <f t="shared" si="7"/>
        <v>0.66751016314421552</v>
      </c>
      <c r="M15" s="95">
        <f t="shared" si="7"/>
        <v>0.72797264446134968</v>
      </c>
      <c r="N15" s="95">
        <f t="shared" si="7"/>
        <v>1.0261438797631324</v>
      </c>
      <c r="O15" s="95">
        <f t="shared" si="7"/>
        <v>0.83322049904759099</v>
      </c>
      <c r="P15" s="95">
        <f t="shared" si="7"/>
        <v>0.12188741468954757</v>
      </c>
      <c r="Q15" s="95">
        <f t="shared" si="7"/>
        <v>0.35801573834142386</v>
      </c>
      <c r="R15" s="95">
        <f t="shared" si="7"/>
        <v>0.99951925627830929</v>
      </c>
      <c r="S15" s="95">
        <f t="shared" si="7"/>
        <v>0.33915801820940816</v>
      </c>
      <c r="T15" s="95">
        <f>T12/T9</f>
        <v>0.21532143606040807</v>
      </c>
      <c r="U15" s="95">
        <f t="shared" si="7"/>
        <v>0.51713491905617315</v>
      </c>
      <c r="V15" s="95">
        <f t="shared" si="7"/>
        <v>0.33352357711577513</v>
      </c>
      <c r="W15" s="95">
        <f t="shared" si="7"/>
        <v>0.38546895734055886</v>
      </c>
      <c r="X15" s="95">
        <f t="shared" ref="X15:AD15" si="8">X12/X9</f>
        <v>9.0849478696678767E-4</v>
      </c>
      <c r="Y15" s="95">
        <f t="shared" si="8"/>
        <v>0.11821126787979512</v>
      </c>
      <c r="Z15" s="95">
        <f t="shared" si="8"/>
        <v>2.6554197780174559E-2</v>
      </c>
      <c r="AA15" s="95">
        <f t="shared" si="8"/>
        <v>0</v>
      </c>
      <c r="AB15" s="95">
        <f t="shared" si="8"/>
        <v>0</v>
      </c>
      <c r="AC15" s="95">
        <f t="shared" si="8"/>
        <v>0</v>
      </c>
      <c r="AD15" s="95">
        <f t="shared" si="8"/>
        <v>0</v>
      </c>
      <c r="AE15" s="95">
        <f t="shared" ref="AE15:AJ15" si="9">AE12/AE9</f>
        <v>0</v>
      </c>
      <c r="AF15" s="95">
        <f t="shared" si="9"/>
        <v>0</v>
      </c>
      <c r="AG15" s="95">
        <f t="shared" si="9"/>
        <v>0</v>
      </c>
      <c r="AH15" s="95">
        <f t="shared" si="9"/>
        <v>0</v>
      </c>
      <c r="AI15" s="95">
        <f t="shared" si="9"/>
        <v>0</v>
      </c>
      <c r="AJ15" s="30">
        <f t="shared" si="9"/>
        <v>0.37951108405381623</v>
      </c>
      <c r="AO15" s="17"/>
    </row>
    <row r="16" spans="1:41" s="91" customFormat="1">
      <c r="A16" s="20" t="s">
        <v>28</v>
      </c>
      <c r="B16" s="95">
        <f t="shared" ref="B16:W16" si="10">B13/B9</f>
        <v>4.9905957545880841E-2</v>
      </c>
      <c r="C16" s="95">
        <f t="shared" si="10"/>
        <v>4.4707585165023843E-2</v>
      </c>
      <c r="D16" s="95">
        <f t="shared" si="10"/>
        <v>1.9658787854556258E-3</v>
      </c>
      <c r="E16" s="95">
        <f t="shared" si="10"/>
        <v>7.0728551039638765E-2</v>
      </c>
      <c r="F16" s="95">
        <f t="shared" si="10"/>
        <v>4.5594560390567864E-3</v>
      </c>
      <c r="G16" s="95">
        <f t="shared" si="10"/>
        <v>4.3737120008724192E-2</v>
      </c>
      <c r="H16" s="95">
        <f t="shared" si="10"/>
        <v>5.2027220494134462E-2</v>
      </c>
      <c r="I16" s="95">
        <f t="shared" si="10"/>
        <v>0.18364438354163182</v>
      </c>
      <c r="J16" s="95">
        <f t="shared" si="10"/>
        <v>-7.4221556096342803E-3</v>
      </c>
      <c r="K16" s="95">
        <f t="shared" si="10"/>
        <v>0.26725016282072428</v>
      </c>
      <c r="L16" s="95">
        <f t="shared" si="10"/>
        <v>0.27075335557439356</v>
      </c>
      <c r="M16" s="95">
        <f t="shared" si="10"/>
        <v>0.19993447053521904</v>
      </c>
      <c r="N16" s="95">
        <f t="shared" si="10"/>
        <v>-2.6143879763132222E-2</v>
      </c>
      <c r="O16" s="95">
        <f t="shared" si="10"/>
        <v>5.9372303649102953E-2</v>
      </c>
      <c r="P16" s="95">
        <f t="shared" si="10"/>
        <v>0.16661695905892512</v>
      </c>
      <c r="Q16" s="95">
        <f t="shared" si="10"/>
        <v>0.28951137017995282</v>
      </c>
      <c r="R16" s="95">
        <f t="shared" si="10"/>
        <v>4.8074372169076558E-4</v>
      </c>
      <c r="S16" s="95">
        <f t="shared" si="10"/>
        <v>0.38833932928679821</v>
      </c>
      <c r="T16" s="95">
        <f>T13/T9</f>
        <v>0.33186496902561391</v>
      </c>
      <c r="U16" s="95">
        <f t="shared" si="10"/>
        <v>8.3883146630182037E-2</v>
      </c>
      <c r="V16" s="95">
        <f t="shared" si="10"/>
        <v>0.66647642288422482</v>
      </c>
      <c r="W16" s="95">
        <f t="shared" si="10"/>
        <v>6.5453575755277202E-2</v>
      </c>
      <c r="X16" s="95">
        <f t="shared" ref="X16:AD16" si="11">X13/X9</f>
        <v>4.6997678117768416E-3</v>
      </c>
      <c r="Y16" s="95">
        <f t="shared" si="11"/>
        <v>0.56979184689719731</v>
      </c>
      <c r="Z16" s="95">
        <f t="shared" si="11"/>
        <v>0.78668447153409682</v>
      </c>
      <c r="AA16" s="95">
        <f t="shared" si="11"/>
        <v>0.43315075016850008</v>
      </c>
      <c r="AB16" s="95">
        <f t="shared" si="11"/>
        <v>0.25664162324366308</v>
      </c>
      <c r="AC16" s="95">
        <f t="shared" si="11"/>
        <v>6.1845172580082992E-2</v>
      </c>
      <c r="AD16" s="95">
        <f t="shared" si="11"/>
        <v>1.6930419621017097E-2</v>
      </c>
      <c r="AE16" s="95">
        <f t="shared" ref="AE16:AJ16" si="12">AE13/AE9</f>
        <v>5.4417921649856072E-4</v>
      </c>
      <c r="AF16" s="95">
        <f t="shared" si="12"/>
        <v>9.6547620759493673E-3</v>
      </c>
      <c r="AG16" s="95">
        <f t="shared" si="12"/>
        <v>1.7150489779587746E-3</v>
      </c>
      <c r="AH16" s="95">
        <f t="shared" si="12"/>
        <v>3.8600662698412697E-2</v>
      </c>
      <c r="AI16" s="95">
        <f t="shared" si="12"/>
        <v>0.58274570875473386</v>
      </c>
      <c r="AJ16" s="30">
        <f t="shared" si="12"/>
        <v>0.15300494714747787</v>
      </c>
      <c r="AO16" s="17"/>
    </row>
    <row r="17" spans="1:41" s="91" customFormat="1">
      <c r="A17" s="31" t="s">
        <v>29</v>
      </c>
      <c r="B17" s="117">
        <f t="shared" ref="B17:W17" si="13">SUM(B15:B16)</f>
        <v>1</v>
      </c>
      <c r="C17" s="117">
        <f t="shared" si="13"/>
        <v>1</v>
      </c>
      <c r="D17" s="32">
        <f t="shared" si="13"/>
        <v>0.94692730100028166</v>
      </c>
      <c r="E17" s="117">
        <f t="shared" si="13"/>
        <v>1</v>
      </c>
      <c r="F17" s="117">
        <f t="shared" si="13"/>
        <v>1</v>
      </c>
      <c r="G17" s="32">
        <f t="shared" si="13"/>
        <v>0.95396537662717817</v>
      </c>
      <c r="H17" s="117">
        <f t="shared" si="13"/>
        <v>1.0000000000000002</v>
      </c>
      <c r="I17" s="32">
        <f t="shared" si="13"/>
        <v>0.63898144569072568</v>
      </c>
      <c r="J17" s="32">
        <f t="shared" si="13"/>
        <v>1</v>
      </c>
      <c r="K17" s="32">
        <f t="shared" si="13"/>
        <v>0.78350398223180506</v>
      </c>
      <c r="L17" s="32">
        <f t="shared" si="13"/>
        <v>0.93826351871860902</v>
      </c>
      <c r="M17" s="117">
        <f t="shared" si="13"/>
        <v>0.92790711499656875</v>
      </c>
      <c r="N17" s="117">
        <f t="shared" si="13"/>
        <v>1.0000000000000002</v>
      </c>
      <c r="O17" s="222">
        <f t="shared" si="13"/>
        <v>0.89259280269669394</v>
      </c>
      <c r="P17" s="222">
        <f t="shared" si="13"/>
        <v>0.28850437374847271</v>
      </c>
      <c r="Q17" s="32">
        <f t="shared" si="13"/>
        <v>0.64752710852137674</v>
      </c>
      <c r="R17" s="218">
        <f t="shared" si="13"/>
        <v>1</v>
      </c>
      <c r="S17" s="32">
        <f t="shared" si="13"/>
        <v>0.72749734749620631</v>
      </c>
      <c r="T17" s="32">
        <f>SUM(T15:T16)</f>
        <v>0.54718640508602201</v>
      </c>
      <c r="U17" s="32">
        <f t="shared" si="13"/>
        <v>0.60101806568635519</v>
      </c>
      <c r="V17" s="32">
        <f t="shared" si="13"/>
        <v>1</v>
      </c>
      <c r="W17" s="32">
        <f t="shared" si="13"/>
        <v>0.45092253309583608</v>
      </c>
      <c r="X17" s="32">
        <f t="shared" ref="X17:AD17" si="14">SUM(X15:X16)</f>
        <v>5.6082625987436295E-3</v>
      </c>
      <c r="Y17" s="32">
        <f t="shared" si="14"/>
        <v>0.68800311477699239</v>
      </c>
      <c r="Z17" s="32">
        <f t="shared" si="14"/>
        <v>0.81323866931427136</v>
      </c>
      <c r="AA17" s="32">
        <f t="shared" si="14"/>
        <v>0.43315075016850008</v>
      </c>
      <c r="AB17" s="32">
        <f t="shared" si="14"/>
        <v>0.25664162324366308</v>
      </c>
      <c r="AC17" s="32">
        <f t="shared" si="14"/>
        <v>6.1845172580082992E-2</v>
      </c>
      <c r="AD17" s="32">
        <f t="shared" si="14"/>
        <v>1.6930419621017097E-2</v>
      </c>
      <c r="AE17" s="32">
        <f t="shared" ref="AE17:AJ17" si="15">SUM(AE15:AE16)</f>
        <v>5.4417921649856072E-4</v>
      </c>
      <c r="AF17" s="32">
        <f t="shared" si="15"/>
        <v>9.6547620759493673E-3</v>
      </c>
      <c r="AG17" s="32">
        <f t="shared" si="15"/>
        <v>1.7150489779587746E-3</v>
      </c>
      <c r="AH17" s="32">
        <f t="shared" si="15"/>
        <v>3.8600662698412697E-2</v>
      </c>
      <c r="AI17" s="32">
        <f t="shared" si="15"/>
        <v>0.58274570875473386</v>
      </c>
      <c r="AJ17" s="34">
        <f t="shared" si="15"/>
        <v>0.53251603120129409</v>
      </c>
      <c r="AO17" s="96"/>
    </row>
    <row r="18" spans="1:41" s="91" customFormat="1">
      <c r="A18" s="20"/>
      <c r="B18" s="89"/>
      <c r="C18" s="89"/>
      <c r="D18" s="89"/>
      <c r="E18" s="89"/>
      <c r="F18" s="89"/>
      <c r="G18" s="89"/>
      <c r="H18" s="89"/>
      <c r="I18" s="89"/>
      <c r="J18" s="89"/>
      <c r="K18" s="89"/>
      <c r="L18" s="89"/>
      <c r="M18" s="89"/>
      <c r="N18" s="89"/>
      <c r="O18" s="190"/>
      <c r="P18" s="204"/>
      <c r="Q18" s="89"/>
      <c r="R18" s="211"/>
      <c r="S18" s="204"/>
      <c r="T18" s="89"/>
      <c r="U18" s="89"/>
      <c r="V18" s="89"/>
      <c r="W18" s="89"/>
      <c r="X18" s="89"/>
      <c r="Y18" s="89"/>
      <c r="Z18" s="89"/>
      <c r="AA18" s="89"/>
      <c r="AB18" s="89"/>
      <c r="AC18" s="89"/>
      <c r="AD18" s="89"/>
      <c r="AE18" s="89"/>
      <c r="AF18" s="89"/>
      <c r="AG18" s="89"/>
      <c r="AH18" s="89"/>
      <c r="AI18" s="89"/>
      <c r="AJ18" s="24"/>
      <c r="AO18" s="96"/>
    </row>
    <row r="19" spans="1:41" s="91" customFormat="1">
      <c r="A19" s="31" t="s">
        <v>30</v>
      </c>
      <c r="B19" s="89">
        <f>B17*B5</f>
        <v>72155006</v>
      </c>
      <c r="C19" s="90">
        <f t="shared" ref="C19:AC19" si="16">C17*C5</f>
        <v>110254725.03</v>
      </c>
      <c r="D19" s="90">
        <f t="shared" si="16"/>
        <v>163043835.41777474</v>
      </c>
      <c r="E19" s="90">
        <f t="shared" si="16"/>
        <v>95704579</v>
      </c>
      <c r="F19" s="90">
        <f t="shared" si="16"/>
        <v>184374873</v>
      </c>
      <c r="G19" s="90">
        <f t="shared" si="16"/>
        <v>163595584.44554427</v>
      </c>
      <c r="H19" s="90">
        <f t="shared" si="16"/>
        <v>17510059.280000005</v>
      </c>
      <c r="I19" s="90">
        <f t="shared" si="16"/>
        <v>63634953.862425566</v>
      </c>
      <c r="J19" s="90">
        <f t="shared" si="16"/>
        <v>33784495.526724979</v>
      </c>
      <c r="K19" s="90">
        <f t="shared" si="16"/>
        <v>212024530.52788103</v>
      </c>
      <c r="L19" s="90">
        <f t="shared" si="16"/>
        <v>135946500.57224217</v>
      </c>
      <c r="M19" s="90">
        <f t="shared" si="16"/>
        <v>360177645.02701724</v>
      </c>
      <c r="N19" s="90">
        <f>N17*N5</f>
        <v>93729526.980000019</v>
      </c>
      <c r="O19" s="188">
        <f t="shared" si="16"/>
        <v>104662754.26580624</v>
      </c>
      <c r="P19" s="203">
        <f t="shared" si="16"/>
        <v>11809907.786609437</v>
      </c>
      <c r="Q19" s="90">
        <f t="shared" si="16"/>
        <v>84245359.498015717</v>
      </c>
      <c r="R19" s="210">
        <f t="shared" si="16"/>
        <v>2983560</v>
      </c>
      <c r="S19" s="203">
        <f t="shared" si="16"/>
        <v>3257301.7161609465</v>
      </c>
      <c r="T19" s="90">
        <f>T17*T5</f>
        <v>229874951.28837591</v>
      </c>
      <c r="U19" s="90">
        <f t="shared" si="16"/>
        <v>18545623.468154848</v>
      </c>
      <c r="V19" s="90">
        <f t="shared" si="16"/>
        <v>225060048.17000002</v>
      </c>
      <c r="W19" s="90">
        <f t="shared" si="16"/>
        <v>1134976.0741050174</v>
      </c>
      <c r="X19" s="90">
        <f t="shared" si="16"/>
        <v>538226.27674215054</v>
      </c>
      <c r="Y19" s="90">
        <f t="shared" si="16"/>
        <v>15057013.169428762</v>
      </c>
      <c r="Z19" s="90">
        <f t="shared" si="16"/>
        <v>55574790.273472324</v>
      </c>
      <c r="AA19" s="90">
        <f t="shared" si="16"/>
        <v>20065856.205961574</v>
      </c>
      <c r="AB19" s="90">
        <f t="shared" si="16"/>
        <v>14539261.24</v>
      </c>
      <c r="AC19" s="90">
        <f t="shared" si="16"/>
        <v>28897466.113906678</v>
      </c>
      <c r="AD19" s="90">
        <f t="shared" ref="AD19:AI19" si="17">AD17*AD5</f>
        <v>1624816.3412219065</v>
      </c>
      <c r="AE19" s="90">
        <f t="shared" si="17"/>
        <v>52225.007017698314</v>
      </c>
      <c r="AF19" s="90">
        <f t="shared" si="17"/>
        <v>4151547.6926582279</v>
      </c>
      <c r="AG19" s="90">
        <f t="shared" si="17"/>
        <v>702353.39150901535</v>
      </c>
      <c r="AH19" s="90">
        <f t="shared" si="17"/>
        <v>108081.85555555555</v>
      </c>
      <c r="AI19" s="90">
        <f t="shared" si="17"/>
        <v>5274035.1428571427</v>
      </c>
      <c r="AJ19" s="5">
        <f t="shared" ref="AJ19:AJ24" si="18">SUM(B19:AI19)</f>
        <v>2534096469.6471686</v>
      </c>
      <c r="AO19" s="36"/>
    </row>
    <row r="20" spans="1:41" s="91" customFormat="1">
      <c r="A20" s="97">
        <v>2016</v>
      </c>
      <c r="B20" s="89">
        <v>13879539.797227139</v>
      </c>
      <c r="C20" s="90">
        <v>17217191.427541509</v>
      </c>
      <c r="D20" s="90">
        <v>9825572.1733184457</v>
      </c>
      <c r="E20" s="90">
        <v>52181178.617917396</v>
      </c>
      <c r="F20" s="90">
        <v>34232835.110403568</v>
      </c>
      <c r="G20" s="90">
        <v>90673109.6050134</v>
      </c>
      <c r="H20" s="90">
        <v>8465847.1175157353</v>
      </c>
      <c r="I20" s="90">
        <v>32352499.286976684</v>
      </c>
      <c r="J20" s="90">
        <v>18399533.629791219</v>
      </c>
      <c r="K20" s="90">
        <v>93806619.96119526</v>
      </c>
      <c r="L20" s="90">
        <v>73992787.894682646</v>
      </c>
      <c r="M20" s="90">
        <v>251360712.28869098</v>
      </c>
      <c r="N20" s="90">
        <v>86551064.402798399</v>
      </c>
      <c r="O20" s="188">
        <v>93280099.642626658</v>
      </c>
      <c r="P20" s="203">
        <v>4989453.3976346748</v>
      </c>
      <c r="Q20" s="90">
        <v>46578999.065218404</v>
      </c>
      <c r="R20" s="210">
        <v>3896944.4080353845</v>
      </c>
      <c r="S20" s="203">
        <v>1633893.7527238238</v>
      </c>
      <c r="T20" s="90">
        <v>90457299.680075496</v>
      </c>
      <c r="U20" s="90">
        <v>15957239.954340121</v>
      </c>
      <c r="V20" s="90">
        <v>70335211.773396149</v>
      </c>
      <c r="W20" s="90">
        <v>970228.83484680275</v>
      </c>
      <c r="X20" s="90">
        <v>87188.457747739638</v>
      </c>
      <c r="Y20" s="90">
        <v>2682164.6254075021</v>
      </c>
      <c r="Z20" s="90">
        <v>1559960.3250124909</v>
      </c>
      <c r="AA20" s="90">
        <v>0</v>
      </c>
      <c r="AB20" s="90">
        <v>0</v>
      </c>
      <c r="AC20" s="90">
        <v>0</v>
      </c>
      <c r="AD20" s="90">
        <v>0</v>
      </c>
      <c r="AE20" s="90">
        <v>0</v>
      </c>
      <c r="AF20" s="90">
        <v>0</v>
      </c>
      <c r="AG20" s="90">
        <v>0</v>
      </c>
      <c r="AH20" s="90">
        <v>0</v>
      </c>
      <c r="AI20" s="90">
        <v>0</v>
      </c>
      <c r="AJ20" s="5">
        <f t="shared" si="18"/>
        <v>1115367175.2301376</v>
      </c>
      <c r="AO20" s="36"/>
    </row>
    <row r="21" spans="1:41" s="91" customFormat="1">
      <c r="A21" s="97">
        <v>2015</v>
      </c>
      <c r="B21" s="89">
        <v>21550245.035993785</v>
      </c>
      <c r="C21" s="89">
        <v>58330254.273919702</v>
      </c>
      <c r="D21" s="89">
        <v>131211720.3057501</v>
      </c>
      <c r="E21" s="89">
        <v>37462470.465750702</v>
      </c>
      <c r="F21" s="89">
        <v>150142037.88959643</v>
      </c>
      <c r="G21" s="89">
        <v>65421993.287321992</v>
      </c>
      <c r="H21" s="89">
        <v>8013577.6406844873</v>
      </c>
      <c r="I21" s="89">
        <v>12993657.690067064</v>
      </c>
      <c r="J21" s="89">
        <v>15384962.016156662</v>
      </c>
      <c r="K21" s="89">
        <v>45897167.35341195</v>
      </c>
      <c r="L21" s="89">
        <v>22723826.32452346</v>
      </c>
      <c r="M21" s="89">
        <v>35824514.535980992</v>
      </c>
      <c r="N21" s="89">
        <v>12111596.329661135</v>
      </c>
      <c r="O21" s="190">
        <v>1375742.4841225257</v>
      </c>
      <c r="P21" s="204">
        <v>0</v>
      </c>
      <c r="Q21" s="89">
        <v>0</v>
      </c>
      <c r="R21" s="211">
        <v>0</v>
      </c>
      <c r="S21" s="204">
        <v>0</v>
      </c>
      <c r="T21" s="89">
        <v>0</v>
      </c>
      <c r="U21" s="89">
        <v>0</v>
      </c>
      <c r="V21" s="89">
        <v>0</v>
      </c>
      <c r="W21" s="89">
        <v>0</v>
      </c>
      <c r="X21" s="89">
        <v>0</v>
      </c>
      <c r="Y21" s="89">
        <v>0</v>
      </c>
      <c r="Z21" s="89">
        <v>0</v>
      </c>
      <c r="AA21" s="89">
        <v>0</v>
      </c>
      <c r="AB21" s="89">
        <v>0</v>
      </c>
      <c r="AC21" s="89">
        <v>0</v>
      </c>
      <c r="AD21" s="89">
        <v>0</v>
      </c>
      <c r="AE21" s="89">
        <v>0</v>
      </c>
      <c r="AF21" s="89">
        <v>0</v>
      </c>
      <c r="AG21" s="89">
        <v>0</v>
      </c>
      <c r="AH21" s="89">
        <v>0</v>
      </c>
      <c r="AI21" s="89">
        <v>0</v>
      </c>
      <c r="AJ21" s="5">
        <f t="shared" si="18"/>
        <v>618443765.63294089</v>
      </c>
      <c r="AO21" s="17"/>
    </row>
    <row r="22" spans="1:41" s="91" customFormat="1">
      <c r="A22" s="97">
        <v>2014</v>
      </c>
      <c r="B22" s="89">
        <v>27590161</v>
      </c>
      <c r="C22" s="89">
        <v>30977537</v>
      </c>
      <c r="D22" s="89">
        <v>21668054</v>
      </c>
      <c r="E22" s="89">
        <v>575362.67000000004</v>
      </c>
      <c r="F22" s="89">
        <v>0</v>
      </c>
      <c r="G22" s="89">
        <v>0</v>
      </c>
      <c r="H22" s="89">
        <v>0</v>
      </c>
      <c r="I22" s="89">
        <v>0</v>
      </c>
      <c r="J22" s="89">
        <v>0</v>
      </c>
      <c r="K22" s="89">
        <v>0</v>
      </c>
      <c r="L22" s="89">
        <v>0</v>
      </c>
      <c r="M22" s="89">
        <v>0</v>
      </c>
      <c r="N22" s="89">
        <v>0</v>
      </c>
      <c r="O22" s="190">
        <v>0</v>
      </c>
      <c r="P22" s="204">
        <v>0</v>
      </c>
      <c r="Q22" s="89">
        <v>0</v>
      </c>
      <c r="R22" s="211">
        <v>0</v>
      </c>
      <c r="S22" s="204">
        <v>0</v>
      </c>
      <c r="T22" s="89">
        <v>0</v>
      </c>
      <c r="U22" s="89">
        <v>0</v>
      </c>
      <c r="V22" s="89">
        <v>0</v>
      </c>
      <c r="W22" s="89">
        <v>0</v>
      </c>
      <c r="X22" s="89">
        <v>0</v>
      </c>
      <c r="Y22" s="89">
        <v>0</v>
      </c>
      <c r="Z22" s="89">
        <v>0</v>
      </c>
      <c r="AA22" s="89">
        <v>0</v>
      </c>
      <c r="AB22" s="89">
        <v>0</v>
      </c>
      <c r="AC22" s="89">
        <v>0</v>
      </c>
      <c r="AD22" s="89">
        <v>0</v>
      </c>
      <c r="AE22" s="89">
        <v>0</v>
      </c>
      <c r="AF22" s="89">
        <v>0</v>
      </c>
      <c r="AG22" s="89">
        <v>0</v>
      </c>
      <c r="AH22" s="89">
        <v>0</v>
      </c>
      <c r="AI22" s="89">
        <v>0</v>
      </c>
      <c r="AJ22" s="5">
        <f t="shared" si="18"/>
        <v>80811114.670000002</v>
      </c>
      <c r="AO22" s="17"/>
    </row>
    <row r="23" spans="1:41" s="91" customFormat="1">
      <c r="A23" s="97">
        <v>2013</v>
      </c>
      <c r="B23" s="89">
        <v>5206901.4250000026</v>
      </c>
      <c r="C23" s="89">
        <v>0</v>
      </c>
      <c r="D23" s="89">
        <v>0</v>
      </c>
      <c r="E23" s="89">
        <v>0</v>
      </c>
      <c r="F23" s="89">
        <v>0</v>
      </c>
      <c r="G23" s="89">
        <v>0</v>
      </c>
      <c r="H23" s="89">
        <v>0</v>
      </c>
      <c r="I23" s="89">
        <v>0</v>
      </c>
      <c r="J23" s="89">
        <v>0</v>
      </c>
      <c r="K23" s="89">
        <v>0</v>
      </c>
      <c r="L23" s="89">
        <v>0</v>
      </c>
      <c r="M23" s="89">
        <v>0</v>
      </c>
      <c r="N23" s="89">
        <v>0</v>
      </c>
      <c r="O23" s="190">
        <v>0</v>
      </c>
      <c r="P23" s="204">
        <v>0</v>
      </c>
      <c r="Q23" s="89">
        <v>0</v>
      </c>
      <c r="R23" s="211">
        <v>0</v>
      </c>
      <c r="S23" s="204">
        <v>0</v>
      </c>
      <c r="T23" s="89">
        <v>0</v>
      </c>
      <c r="U23" s="89">
        <v>0</v>
      </c>
      <c r="V23" s="89">
        <v>0</v>
      </c>
      <c r="W23" s="89">
        <v>0</v>
      </c>
      <c r="X23" s="89">
        <v>0</v>
      </c>
      <c r="Y23" s="89">
        <v>0</v>
      </c>
      <c r="Z23" s="89">
        <v>0</v>
      </c>
      <c r="AA23" s="89">
        <v>0</v>
      </c>
      <c r="AB23" s="89">
        <v>0</v>
      </c>
      <c r="AC23" s="89">
        <v>0</v>
      </c>
      <c r="AD23" s="89">
        <v>0</v>
      </c>
      <c r="AE23" s="89">
        <v>0</v>
      </c>
      <c r="AF23" s="89">
        <v>0</v>
      </c>
      <c r="AG23" s="89">
        <v>0</v>
      </c>
      <c r="AH23" s="89">
        <v>0</v>
      </c>
      <c r="AI23" s="89">
        <v>0</v>
      </c>
      <c r="AJ23" s="5">
        <f t="shared" si="18"/>
        <v>5206901.4250000026</v>
      </c>
      <c r="AO23" s="17"/>
    </row>
    <row r="24" spans="1:41" s="91" customFormat="1">
      <c r="A24" s="97">
        <v>2012</v>
      </c>
      <c r="B24" s="89">
        <v>3773153.1797278509</v>
      </c>
      <c r="C24" s="89">
        <v>0</v>
      </c>
      <c r="D24" s="89">
        <v>0</v>
      </c>
      <c r="E24" s="89">
        <v>0</v>
      </c>
      <c r="F24" s="89">
        <v>0</v>
      </c>
      <c r="G24" s="89">
        <v>0</v>
      </c>
      <c r="H24" s="89">
        <v>0</v>
      </c>
      <c r="I24" s="89">
        <v>0</v>
      </c>
      <c r="J24" s="89">
        <v>0</v>
      </c>
      <c r="K24" s="89">
        <v>0</v>
      </c>
      <c r="L24" s="89">
        <v>0</v>
      </c>
      <c r="M24" s="89">
        <v>0</v>
      </c>
      <c r="N24" s="89">
        <v>0</v>
      </c>
      <c r="O24" s="190">
        <v>0</v>
      </c>
      <c r="P24" s="204">
        <v>0</v>
      </c>
      <c r="Q24" s="89">
        <v>0</v>
      </c>
      <c r="R24" s="211">
        <v>0</v>
      </c>
      <c r="S24" s="204">
        <v>0</v>
      </c>
      <c r="T24" s="89">
        <v>0</v>
      </c>
      <c r="U24" s="89">
        <v>0</v>
      </c>
      <c r="V24" s="89">
        <v>0</v>
      </c>
      <c r="W24" s="89">
        <v>0</v>
      </c>
      <c r="X24" s="89">
        <v>0</v>
      </c>
      <c r="Y24" s="89">
        <v>0</v>
      </c>
      <c r="Z24" s="89">
        <v>0</v>
      </c>
      <c r="AA24" s="89">
        <v>0</v>
      </c>
      <c r="AB24" s="89">
        <v>0</v>
      </c>
      <c r="AC24" s="89">
        <v>0</v>
      </c>
      <c r="AD24" s="89">
        <v>0</v>
      </c>
      <c r="AE24" s="89">
        <v>0</v>
      </c>
      <c r="AF24" s="89">
        <v>0</v>
      </c>
      <c r="AG24" s="89">
        <v>0</v>
      </c>
      <c r="AH24" s="89">
        <v>0</v>
      </c>
      <c r="AI24" s="89">
        <v>0</v>
      </c>
      <c r="AJ24" s="5">
        <f t="shared" si="18"/>
        <v>3773153.1797278509</v>
      </c>
      <c r="AO24" s="17"/>
    </row>
    <row r="25" spans="1:41" ht="15.75" thickBot="1">
      <c r="A25" s="38" t="s">
        <v>88</v>
      </c>
      <c r="B25" s="39">
        <f>B19-B20-B21-B22-B23-B24</f>
        <v>155005.56205122499</v>
      </c>
      <c r="C25" s="39">
        <f>C19-C20-C21-C22-C23-C24</f>
        <v>3729742.3285387903</v>
      </c>
      <c r="D25" s="39">
        <f>D19-D20-D21-D22-D23-D24</f>
        <v>338488.93870618939</v>
      </c>
      <c r="E25" s="39">
        <f t="shared" ref="E25:AD25" si="19">E19-E20-E21-E22-E23-E24</f>
        <v>5485567.2463319022</v>
      </c>
      <c r="F25" s="39">
        <f t="shared" si="19"/>
        <v>0</v>
      </c>
      <c r="G25" s="39">
        <f t="shared" si="19"/>
        <v>7500481.5532088801</v>
      </c>
      <c r="H25" s="39">
        <f t="shared" si="19"/>
        <v>1030634.5217997823</v>
      </c>
      <c r="I25" s="39">
        <f t="shared" si="19"/>
        <v>18288796.885381818</v>
      </c>
      <c r="J25" s="39">
        <f t="shared" si="19"/>
        <v>-0.11922290176153183</v>
      </c>
      <c r="K25" s="39">
        <f t="shared" si="19"/>
        <v>72320743.213273823</v>
      </c>
      <c r="L25" s="39">
        <f t="shared" si="19"/>
        <v>39229886.353036061</v>
      </c>
      <c r="M25" s="39">
        <f t="shared" si="19"/>
        <v>72992418.202345252</v>
      </c>
      <c r="N25" s="39">
        <f>N19-N20-N21-N22-N23-N24</f>
        <v>-4933133.7524595149</v>
      </c>
      <c r="O25" s="199">
        <f t="shared" si="19"/>
        <v>10006912.139057059</v>
      </c>
      <c r="P25" s="220">
        <f t="shared" si="19"/>
        <v>6820454.3889747625</v>
      </c>
      <c r="Q25" s="39">
        <f t="shared" si="19"/>
        <v>37666360.432797313</v>
      </c>
      <c r="R25" s="39">
        <f t="shared" si="19"/>
        <v>-913384.40803538449</v>
      </c>
      <c r="S25" s="39">
        <f t="shared" si="19"/>
        <v>1623407.9634371228</v>
      </c>
      <c r="T25" s="39">
        <f t="shared" si="19"/>
        <v>139417651.60830042</v>
      </c>
      <c r="U25" s="39">
        <f t="shared" si="19"/>
        <v>2588383.5138147268</v>
      </c>
      <c r="V25" s="39">
        <f t="shared" si="19"/>
        <v>154724836.39660388</v>
      </c>
      <c r="W25" s="39">
        <f t="shared" si="19"/>
        <v>164747.2392582146</v>
      </c>
      <c r="X25" s="39">
        <f t="shared" si="19"/>
        <v>451037.81899441092</v>
      </c>
      <c r="Y25" s="39">
        <f t="shared" si="19"/>
        <v>12374848.54402126</v>
      </c>
      <c r="Z25" s="39">
        <f t="shared" si="19"/>
        <v>54014829.948459834</v>
      </c>
      <c r="AA25" s="39">
        <f t="shared" si="19"/>
        <v>20065856.205961574</v>
      </c>
      <c r="AB25" s="39">
        <f t="shared" si="19"/>
        <v>14539261.24</v>
      </c>
      <c r="AC25" s="39">
        <f t="shared" si="19"/>
        <v>28897466.113906678</v>
      </c>
      <c r="AD25" s="39">
        <f t="shared" si="19"/>
        <v>1624816.3412219065</v>
      </c>
      <c r="AE25" s="39">
        <f>AE19-AE20-AE21-AE22-AE23-AE24</f>
        <v>52225.007017698314</v>
      </c>
      <c r="AF25" s="39">
        <f>AF19-AF20-AF21-AF22-AF23-AF24</f>
        <v>4151547.6926582279</v>
      </c>
      <c r="AG25" s="39">
        <f>AG19-AG20-AG21-AG22-AG23-AG24</f>
        <v>702353.39150901535</v>
      </c>
      <c r="AH25" s="39">
        <f>AH19-AH20-AH21-AH22-AH23-AH24</f>
        <v>108081.85555555555</v>
      </c>
      <c r="AI25" s="39">
        <f>AI19-AI20-AI21-AI22-AI23-AI24</f>
        <v>5274035.1428571427</v>
      </c>
      <c r="AJ25" s="40">
        <f>SUM(B25:AH25)</f>
        <v>705220324.3665055</v>
      </c>
      <c r="AK25" s="11"/>
      <c r="AO25" s="16"/>
    </row>
    <row r="26" spans="1:41" ht="15.75" thickTop="1">
      <c r="B26" s="41">
        <f t="shared" ref="B26:AJ26" si="20">B25/B5</f>
        <v>2.1482301872613658E-3</v>
      </c>
      <c r="C26" s="41">
        <f t="shared" si="20"/>
        <v>3.3828412592058418E-2</v>
      </c>
      <c r="D26" s="41">
        <f t="shared" si="20"/>
        <v>1.9658787854579551E-3</v>
      </c>
      <c r="E26" s="41">
        <f t="shared" si="20"/>
        <v>5.7317709389139077E-2</v>
      </c>
      <c r="F26" s="41">
        <f t="shared" si="20"/>
        <v>0</v>
      </c>
      <c r="G26" s="41">
        <f t="shared" si="20"/>
        <v>4.3737120008724005E-2</v>
      </c>
      <c r="H26" s="41">
        <f t="shared" si="20"/>
        <v>5.8859567824363315E-2</v>
      </c>
      <c r="I26" s="41">
        <f t="shared" si="20"/>
        <v>0.18364438354163165</v>
      </c>
      <c r="J26" s="41">
        <f t="shared" si="20"/>
        <v>-3.5289235462231907E-9</v>
      </c>
      <c r="K26" s="41">
        <f t="shared" si="20"/>
        <v>0.26725016282072428</v>
      </c>
      <c r="L26" s="41">
        <f t="shared" si="20"/>
        <v>0.27075335557439334</v>
      </c>
      <c r="M26" s="41">
        <f t="shared" si="20"/>
        <v>0.18804660735032769</v>
      </c>
      <c r="N26" s="41">
        <f t="shared" si="20"/>
        <v>-5.263158698658691E-2</v>
      </c>
      <c r="O26" s="196">
        <f t="shared" si="20"/>
        <v>8.5341703600271698E-2</v>
      </c>
      <c r="P26" s="221">
        <f t="shared" si="20"/>
        <v>0.16661695905892515</v>
      </c>
      <c r="Q26" s="41">
        <f t="shared" si="20"/>
        <v>0.28951137017995288</v>
      </c>
      <c r="R26" s="41">
        <f t="shared" si="20"/>
        <v>-0.30613911167711877</v>
      </c>
      <c r="S26" s="41">
        <f t="shared" si="20"/>
        <v>0.36257770701594089</v>
      </c>
      <c r="T26" s="41">
        <f t="shared" si="20"/>
        <v>0.33186496902561385</v>
      </c>
      <c r="U26" s="41">
        <f t="shared" si="20"/>
        <v>8.3883146630182051E-2</v>
      </c>
      <c r="V26" s="41">
        <f t="shared" si="20"/>
        <v>0.68748246370111787</v>
      </c>
      <c r="W26" s="41">
        <f t="shared" si="20"/>
        <v>6.545357575527723E-2</v>
      </c>
      <c r="X26" s="41">
        <f t="shared" si="20"/>
        <v>4.6997678117768416E-3</v>
      </c>
      <c r="Y26" s="41">
        <f t="shared" si="20"/>
        <v>0.56544643000422901</v>
      </c>
      <c r="Z26" s="41">
        <f t="shared" si="20"/>
        <v>0.79041141161966577</v>
      </c>
      <c r="AA26" s="41">
        <f t="shared" si="20"/>
        <v>0.43315075016850008</v>
      </c>
      <c r="AB26" s="41">
        <f t="shared" si="20"/>
        <v>0.25664162324366308</v>
      </c>
      <c r="AC26" s="41">
        <f t="shared" si="20"/>
        <v>6.1845172580082992E-2</v>
      </c>
      <c r="AD26" s="41">
        <v>2.027157083662994E-3</v>
      </c>
      <c r="AE26" s="41">
        <v>2.027157083662994E-3</v>
      </c>
      <c r="AF26" s="41">
        <v>2.027157083662994E-3</v>
      </c>
      <c r="AG26" s="41">
        <v>2.027157083662994E-3</v>
      </c>
      <c r="AH26" s="41">
        <v>2.027157083662994E-3</v>
      </c>
      <c r="AI26" s="41">
        <f>AI25/AI5</f>
        <v>0.58274570875473386</v>
      </c>
      <c r="AJ26" s="41">
        <f t="shared" si="20"/>
        <v>0.15236573376734291</v>
      </c>
      <c r="AO26" s="16"/>
    </row>
    <row r="27" spans="1:41">
      <c r="B27" s="108"/>
      <c r="C27" s="108"/>
      <c r="D27" s="108"/>
      <c r="E27" s="108"/>
      <c r="F27" s="108"/>
      <c r="G27" s="108"/>
      <c r="H27" s="108"/>
      <c r="I27" s="108"/>
      <c r="J27" s="108"/>
      <c r="K27" s="108"/>
      <c r="L27" s="108"/>
      <c r="M27" s="108"/>
      <c r="N27" s="108"/>
      <c r="O27" s="187"/>
      <c r="P27" s="207"/>
      <c r="Q27" s="108"/>
      <c r="R27" s="213"/>
      <c r="S27" s="207"/>
      <c r="T27" s="108"/>
      <c r="U27" s="108"/>
      <c r="V27" s="108"/>
      <c r="W27" s="108"/>
      <c r="X27" s="108"/>
      <c r="Y27" s="108"/>
      <c r="Z27" s="108"/>
      <c r="AA27" s="108"/>
      <c r="AB27" s="108"/>
      <c r="AC27" s="108"/>
      <c r="AD27" s="108"/>
      <c r="AE27" s="108"/>
      <c r="AF27" s="108"/>
      <c r="AG27" s="108"/>
      <c r="AH27" s="108"/>
      <c r="AI27" s="108"/>
      <c r="AJ27" s="12"/>
      <c r="AO27" s="25"/>
    </row>
    <row r="28" spans="1:41">
      <c r="A28" s="421" t="s">
        <v>92</v>
      </c>
      <c r="B28" s="421"/>
      <c r="C28" s="421"/>
      <c r="D28" s="421"/>
      <c r="E28" s="421"/>
      <c r="F28" s="421"/>
      <c r="G28" s="421"/>
      <c r="H28" s="421"/>
      <c r="I28" s="421"/>
      <c r="J28" s="421"/>
      <c r="K28" s="421"/>
      <c r="L28" s="421"/>
      <c r="M28" s="421"/>
      <c r="N28" s="421"/>
    </row>
    <row r="29" spans="1:41">
      <c r="A29" s="79" t="s">
        <v>33</v>
      </c>
      <c r="B29" s="437">
        <v>42736</v>
      </c>
      <c r="C29" s="437">
        <v>42767</v>
      </c>
      <c r="D29" s="437">
        <v>42795</v>
      </c>
      <c r="E29" s="437">
        <v>42826</v>
      </c>
      <c r="F29" s="437">
        <v>42856</v>
      </c>
      <c r="G29" s="437">
        <v>42887</v>
      </c>
      <c r="H29" s="437">
        <v>42917</v>
      </c>
      <c r="I29" s="437">
        <v>42948</v>
      </c>
      <c r="J29" s="437">
        <v>42979</v>
      </c>
      <c r="K29" s="437">
        <v>43009</v>
      </c>
      <c r="L29" s="437">
        <v>43040</v>
      </c>
      <c r="M29" s="437">
        <v>43070</v>
      </c>
      <c r="N29" s="437" t="s">
        <v>15</v>
      </c>
      <c r="O29" s="198"/>
      <c r="P29" s="198"/>
      <c r="Q29" s="208"/>
      <c r="R29" s="214"/>
      <c r="S29" s="209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3"/>
      <c r="AH29" s="43"/>
      <c r="AI29" s="43"/>
      <c r="AJ29" s="43"/>
      <c r="AK29" s="434"/>
    </row>
    <row r="30" spans="1:41" ht="15.75" thickBot="1">
      <c r="A30" s="80" t="s">
        <v>34</v>
      </c>
      <c r="B30" s="438"/>
      <c r="C30" s="438"/>
      <c r="D30" s="438"/>
      <c r="E30" s="438"/>
      <c r="F30" s="438"/>
      <c r="G30" s="438"/>
      <c r="H30" s="438"/>
      <c r="I30" s="438"/>
      <c r="J30" s="438"/>
      <c r="K30" s="438"/>
      <c r="L30" s="438"/>
      <c r="M30" s="438"/>
      <c r="N30" s="438"/>
      <c r="O30" s="198"/>
      <c r="P30" s="198"/>
      <c r="Q30" s="208"/>
      <c r="R30" s="214"/>
      <c r="S30" s="209"/>
      <c r="T30" s="43"/>
      <c r="U30" s="43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  <c r="AG30" s="43"/>
      <c r="AH30" s="43"/>
      <c r="AI30" s="43"/>
      <c r="AJ30" s="43"/>
      <c r="AK30" s="434"/>
    </row>
    <row r="31" spans="1:41" ht="15.75" thickTop="1">
      <c r="A31" s="81" t="s">
        <v>35</v>
      </c>
      <c r="B31" s="82"/>
      <c r="C31" s="82"/>
      <c r="D31" s="82"/>
      <c r="E31" s="82"/>
      <c r="F31" s="82"/>
      <c r="G31" s="82"/>
      <c r="H31" s="82"/>
      <c r="I31" s="82"/>
      <c r="J31" s="82"/>
      <c r="K31" s="82"/>
      <c r="L31" s="82"/>
      <c r="M31" s="82"/>
      <c r="N31" s="82"/>
      <c r="O31" s="198"/>
      <c r="P31" s="198"/>
      <c r="Q31" s="208"/>
      <c r="R31" s="214"/>
      <c r="S31" s="209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43"/>
      <c r="AJ31" s="43"/>
      <c r="AK31" s="43"/>
    </row>
    <row r="32" spans="1:41">
      <c r="A32" s="83" t="str">
        <f>B1</f>
        <v>Al Oula</v>
      </c>
      <c r="B32" s="48">
        <v>792410</v>
      </c>
      <c r="C32" s="48">
        <v>0</v>
      </c>
      <c r="D32" s="73">
        <v>1032003</v>
      </c>
      <c r="E32" s="48">
        <v>0</v>
      </c>
      <c r="F32" s="48">
        <v>0</v>
      </c>
      <c r="G32" s="48">
        <v>2570331</v>
      </c>
      <c r="H32" s="48">
        <v>0</v>
      </c>
      <c r="I32" s="48">
        <v>0</v>
      </c>
      <c r="J32" s="48">
        <v>0</v>
      </c>
      <c r="K32" s="48">
        <v>0</v>
      </c>
      <c r="L32" s="48">
        <v>0</v>
      </c>
      <c r="M32" s="48">
        <v>0</v>
      </c>
      <c r="N32" s="48">
        <f t="shared" ref="N32:N52" si="21">SUM(B32:M32)</f>
        <v>4394744</v>
      </c>
      <c r="O32" s="198"/>
      <c r="P32" s="198"/>
      <c r="Q32" s="208"/>
      <c r="R32" s="192"/>
      <c r="S32" s="197">
        <v>-1027882.2027728618</v>
      </c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</row>
    <row r="33" spans="1:36">
      <c r="A33" s="83" t="str">
        <f>C1</f>
        <v>Hyper Al Sulaimaniya</v>
      </c>
      <c r="B33" s="48">
        <v>0</v>
      </c>
      <c r="C33" s="48">
        <v>10117291</v>
      </c>
      <c r="D33" s="73">
        <f>1100327+1371534</f>
        <v>2471861</v>
      </c>
      <c r="E33" s="48">
        <v>0</v>
      </c>
      <c r="F33" s="48">
        <v>0</v>
      </c>
      <c r="G33" s="48">
        <v>0</v>
      </c>
      <c r="H33" s="48">
        <v>0</v>
      </c>
      <c r="I33" s="48">
        <v>0</v>
      </c>
      <c r="J33" s="48">
        <v>0</v>
      </c>
      <c r="K33" s="48">
        <v>0</v>
      </c>
      <c r="L33" s="48">
        <v>0</v>
      </c>
      <c r="M33" s="48">
        <v>0</v>
      </c>
      <c r="N33" s="48">
        <f t="shared" si="21"/>
        <v>12589152</v>
      </c>
      <c r="O33" s="198"/>
      <c r="P33" s="198"/>
      <c r="Q33" s="208"/>
      <c r="R33" s="192"/>
      <c r="S33" s="197">
        <v>2880906.7560802996</v>
      </c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</row>
    <row r="34" spans="1:36">
      <c r="A34" s="83" t="str">
        <f>D1</f>
        <v>New Giza I</v>
      </c>
      <c r="B34" s="48">
        <v>0</v>
      </c>
      <c r="C34" s="48">
        <v>0</v>
      </c>
      <c r="D34" s="73">
        <v>1.74</v>
      </c>
      <c r="E34" s="48">
        <v>0</v>
      </c>
      <c r="F34" s="48">
        <v>0</v>
      </c>
      <c r="G34" s="48">
        <v>0</v>
      </c>
      <c r="H34" s="48">
        <v>0</v>
      </c>
      <c r="I34" s="48">
        <v>0</v>
      </c>
      <c r="J34" s="48">
        <v>0</v>
      </c>
      <c r="K34" s="48">
        <v>0</v>
      </c>
      <c r="L34" s="48">
        <v>0</v>
      </c>
      <c r="M34" s="48">
        <v>0</v>
      </c>
      <c r="N34" s="48">
        <f t="shared" si="21"/>
        <v>1.74</v>
      </c>
      <c r="O34" s="198"/>
      <c r="P34" s="198"/>
      <c r="Q34" s="208"/>
      <c r="R34" s="192"/>
      <c r="S34" s="197">
        <v>-5318493.766681551</v>
      </c>
      <c r="T34" s="12"/>
      <c r="U34" s="12"/>
      <c r="V34" s="12"/>
      <c r="W34" s="12"/>
      <c r="X34" s="12"/>
      <c r="Y34" s="12"/>
      <c r="Z34" s="223"/>
      <c r="AA34" s="12"/>
      <c r="AB34" s="12"/>
      <c r="AC34" s="12"/>
      <c r="AD34" s="12"/>
      <c r="AE34" s="12"/>
      <c r="AF34" s="12"/>
      <c r="AG34" s="12"/>
      <c r="AH34" s="12"/>
      <c r="AI34" s="12"/>
      <c r="AJ34" s="12"/>
    </row>
    <row r="35" spans="1:36">
      <c r="A35" s="83" t="str">
        <f>E1</f>
        <v>Maxim mall</v>
      </c>
      <c r="B35" s="48">
        <v>0</v>
      </c>
      <c r="C35" s="48">
        <v>0</v>
      </c>
      <c r="D35" s="73">
        <v>3361122</v>
      </c>
      <c r="E35" s="48">
        <v>0</v>
      </c>
      <c r="F35" s="48">
        <v>0</v>
      </c>
      <c r="G35" s="48">
        <v>6942464</v>
      </c>
      <c r="H35" s="48">
        <v>0</v>
      </c>
      <c r="I35" s="48">
        <v>0</v>
      </c>
      <c r="J35" s="48">
        <v>0</v>
      </c>
      <c r="K35" s="48">
        <v>0</v>
      </c>
      <c r="L35" s="48">
        <v>0</v>
      </c>
      <c r="M35" s="48">
        <v>0</v>
      </c>
      <c r="N35" s="48">
        <f t="shared" si="21"/>
        <v>10303586</v>
      </c>
      <c r="O35" s="198"/>
      <c r="P35" s="198"/>
      <c r="Q35" s="208"/>
      <c r="R35" s="192"/>
      <c r="S35" s="197">
        <v>-6368488.546303479</v>
      </c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</row>
    <row r="36" spans="1:36">
      <c r="A36" s="83" t="str">
        <f>F1</f>
        <v>Attaka</v>
      </c>
      <c r="B36" s="48">
        <v>0</v>
      </c>
      <c r="C36" s="48">
        <v>0</v>
      </c>
      <c r="D36" s="48">
        <v>0</v>
      </c>
      <c r="E36" s="48">
        <v>0</v>
      </c>
      <c r="F36" s="48">
        <v>0</v>
      </c>
      <c r="G36" s="48">
        <v>0</v>
      </c>
      <c r="H36" s="48">
        <v>0</v>
      </c>
      <c r="I36" s="48">
        <v>0</v>
      </c>
      <c r="J36" s="48">
        <v>0</v>
      </c>
      <c r="K36" s="48">
        <v>0</v>
      </c>
      <c r="L36" s="48">
        <v>0</v>
      </c>
      <c r="M36" s="48">
        <v>0</v>
      </c>
      <c r="N36" s="48">
        <f t="shared" si="21"/>
        <v>0</v>
      </c>
      <c r="O36" s="198"/>
      <c r="P36" s="198"/>
      <c r="Q36" s="208"/>
      <c r="R36" s="192"/>
      <c r="S36" s="197">
        <v>5338641.1104035676</v>
      </c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</row>
    <row r="37" spans="1:36">
      <c r="A37" s="83" t="str">
        <f>G1</f>
        <v>مول مصر</v>
      </c>
      <c r="B37" s="48">
        <v>0</v>
      </c>
      <c r="C37" s="48">
        <v>0</v>
      </c>
      <c r="D37" s="48">
        <v>0</v>
      </c>
      <c r="E37" s="48">
        <v>0</v>
      </c>
      <c r="F37" s="48">
        <v>0</v>
      </c>
      <c r="G37" s="48">
        <v>0</v>
      </c>
      <c r="H37" s="48">
        <v>0</v>
      </c>
      <c r="I37" s="48">
        <v>0</v>
      </c>
      <c r="J37" s="48">
        <v>0</v>
      </c>
      <c r="K37" s="48">
        <v>0</v>
      </c>
      <c r="L37" s="48">
        <v>0</v>
      </c>
      <c r="M37" s="48">
        <v>0</v>
      </c>
      <c r="N37" s="48">
        <f t="shared" si="21"/>
        <v>0</v>
      </c>
      <c r="O37" s="198"/>
      <c r="P37" s="198"/>
      <c r="Q37" s="208"/>
      <c r="R37" s="192"/>
      <c r="S37" s="197">
        <v>-31645312.770466387</v>
      </c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</row>
    <row r="38" spans="1:36">
      <c r="A38" s="83" t="str">
        <f>H1</f>
        <v>مراسى تانك الخزان الجديد PKG22 New</v>
      </c>
      <c r="B38" s="48">
        <v>0</v>
      </c>
      <c r="C38" s="48">
        <v>0</v>
      </c>
      <c r="D38" s="73">
        <v>2501783</v>
      </c>
      <c r="E38" s="48">
        <v>0</v>
      </c>
      <c r="F38" s="48">
        <v>150622</v>
      </c>
      <c r="G38" s="48">
        <v>0</v>
      </c>
      <c r="H38" s="48">
        <v>0</v>
      </c>
      <c r="I38" s="48">
        <v>0</v>
      </c>
      <c r="J38" s="48">
        <v>0</v>
      </c>
      <c r="K38" s="48">
        <v>0</v>
      </c>
      <c r="L38" s="48">
        <v>0</v>
      </c>
      <c r="M38" s="48">
        <v>0</v>
      </c>
      <c r="N38" s="48">
        <f t="shared" si="21"/>
        <v>2652405</v>
      </c>
      <c r="O38" s="198"/>
      <c r="P38" s="198"/>
      <c r="Q38" s="208"/>
      <c r="R38" s="192"/>
      <c r="S38" s="197">
        <v>2235635.0512674246</v>
      </c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</row>
    <row r="39" spans="1:36">
      <c r="A39" s="83" t="str">
        <f>I1</f>
        <v>نادي سوديك</v>
      </c>
      <c r="B39" s="48">
        <v>520075</v>
      </c>
      <c r="C39" s="48">
        <v>5068978</v>
      </c>
      <c r="D39" s="73">
        <v>2576347</v>
      </c>
      <c r="E39" s="48">
        <v>3502070</v>
      </c>
      <c r="F39" s="48">
        <v>0</v>
      </c>
      <c r="G39" s="48">
        <v>2166022</v>
      </c>
      <c r="H39" s="48">
        <v>0</v>
      </c>
      <c r="I39" s="48">
        <v>0</v>
      </c>
      <c r="J39" s="48">
        <v>0</v>
      </c>
      <c r="K39" s="48">
        <v>0</v>
      </c>
      <c r="L39" s="48">
        <v>0</v>
      </c>
      <c r="M39" s="48">
        <v>0</v>
      </c>
      <c r="N39" s="48">
        <f t="shared" si="21"/>
        <v>13833492</v>
      </c>
      <c r="O39" s="198"/>
      <c r="P39" s="198"/>
      <c r="Q39" s="208"/>
      <c r="R39" s="192"/>
      <c r="S39" s="197">
        <v>2828906.1819694117</v>
      </c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</row>
    <row r="40" spans="1:36">
      <c r="A40" s="83" t="str">
        <f>J1</f>
        <v>شرم الشيخ</v>
      </c>
      <c r="B40" s="48">
        <v>1970526</v>
      </c>
      <c r="C40" s="48">
        <v>0</v>
      </c>
      <c r="D40" s="48">
        <v>0</v>
      </c>
      <c r="E40" s="48">
        <v>0</v>
      </c>
      <c r="F40" s="48">
        <v>0</v>
      </c>
      <c r="G40" s="48">
        <v>0</v>
      </c>
      <c r="H40" s="48">
        <v>0</v>
      </c>
      <c r="I40" s="48">
        <v>0</v>
      </c>
      <c r="J40" s="48">
        <v>0</v>
      </c>
      <c r="K40" s="48">
        <v>0</v>
      </c>
      <c r="L40" s="48">
        <v>0</v>
      </c>
      <c r="M40" s="48">
        <v>0</v>
      </c>
      <c r="N40" s="48">
        <f t="shared" si="21"/>
        <v>1970526</v>
      </c>
      <c r="O40" s="198"/>
      <c r="P40" s="198"/>
      <c r="Q40" s="208"/>
      <c r="R40" s="192"/>
      <c r="S40" s="197">
        <v>-1482147.7318461686</v>
      </c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</row>
    <row r="41" spans="1:36">
      <c r="A41" s="83" t="str">
        <f>K1</f>
        <v>عمائر اب تاون 53</v>
      </c>
      <c r="B41" s="48">
        <v>9369764</v>
      </c>
      <c r="C41" s="48">
        <f>7974003</f>
        <v>7974003</v>
      </c>
      <c r="D41" s="48">
        <v>0</v>
      </c>
      <c r="E41" s="48">
        <v>5695269</v>
      </c>
      <c r="F41" s="48">
        <v>12728277</v>
      </c>
      <c r="G41" s="48">
        <v>14681306</v>
      </c>
      <c r="H41" s="48">
        <v>0</v>
      </c>
      <c r="I41" s="48">
        <v>0</v>
      </c>
      <c r="J41" s="48">
        <v>0</v>
      </c>
      <c r="K41" s="48">
        <v>0</v>
      </c>
      <c r="L41" s="48">
        <v>0</v>
      </c>
      <c r="M41" s="48">
        <v>0</v>
      </c>
      <c r="N41" s="48">
        <f t="shared" si="21"/>
        <v>50448619</v>
      </c>
      <c r="O41" s="198"/>
      <c r="P41" s="198"/>
      <c r="Q41" s="208"/>
      <c r="R41" s="192"/>
      <c r="S41" s="197">
        <v>30275729.259980869</v>
      </c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</row>
    <row r="42" spans="1:36">
      <c r="A42" s="83" t="str">
        <f>L1</f>
        <v>New Giza phase 2</v>
      </c>
      <c r="B42" s="48">
        <v>0</v>
      </c>
      <c r="C42" s="48">
        <v>14494481</v>
      </c>
      <c r="D42" s="48">
        <v>0</v>
      </c>
      <c r="E42" s="48">
        <v>5851987</v>
      </c>
      <c r="F42" s="48">
        <v>7075292</v>
      </c>
      <c r="G42" s="48">
        <v>6348768</v>
      </c>
      <c r="H42" s="48">
        <v>0</v>
      </c>
      <c r="I42" s="48">
        <v>0</v>
      </c>
      <c r="J42" s="48">
        <v>0</v>
      </c>
      <c r="K42" s="48">
        <v>0</v>
      </c>
      <c r="L42" s="48">
        <v>0</v>
      </c>
      <c r="M42" s="48">
        <v>0</v>
      </c>
      <c r="N42" s="48">
        <f t="shared" si="21"/>
        <v>33770528</v>
      </c>
      <c r="O42" s="198"/>
      <c r="P42" s="198"/>
      <c r="Q42" s="208"/>
      <c r="R42" s="192"/>
      <c r="S42" s="197">
        <v>2536623.9646826424</v>
      </c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</row>
    <row r="43" spans="1:36">
      <c r="A43" s="83" t="str">
        <f>M1</f>
        <v>Beni suef</v>
      </c>
      <c r="B43" s="48">
        <v>3490135</v>
      </c>
      <c r="C43" s="48">
        <v>13409419</v>
      </c>
      <c r="D43" s="73">
        <v>49031387</v>
      </c>
      <c r="E43" s="48">
        <v>20050269</v>
      </c>
      <c r="F43" s="48">
        <v>0</v>
      </c>
      <c r="G43" s="48">
        <v>6481496</v>
      </c>
      <c r="H43" s="48">
        <v>0</v>
      </c>
      <c r="I43" s="48">
        <v>0</v>
      </c>
      <c r="J43" s="48">
        <v>0</v>
      </c>
      <c r="K43" s="48">
        <v>0</v>
      </c>
      <c r="L43" s="48">
        <v>0</v>
      </c>
      <c r="M43" s="48">
        <v>0</v>
      </c>
      <c r="N43" s="48">
        <f t="shared" si="21"/>
        <v>92462706</v>
      </c>
      <c r="O43" s="198"/>
      <c r="P43" s="198"/>
      <c r="Q43" s="208"/>
      <c r="R43" s="192"/>
      <c r="S43" s="197">
        <v>-2471962.2972412333</v>
      </c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</row>
    <row r="44" spans="1:36">
      <c r="A44" s="83" t="str">
        <f>N1</f>
        <v>كوبرى الشيخ بن زايد - كوبرى العاصمة</v>
      </c>
      <c r="B44" s="48">
        <v>0</v>
      </c>
      <c r="C44" s="48">
        <v>0</v>
      </c>
      <c r="D44" s="73">
        <v>-4933133.0199999996</v>
      </c>
      <c r="E44" s="48">
        <v>0</v>
      </c>
      <c r="F44" s="48">
        <v>0</v>
      </c>
      <c r="G44" s="48">
        <v>0</v>
      </c>
      <c r="H44" s="48">
        <v>0</v>
      </c>
      <c r="I44" s="48">
        <v>0</v>
      </c>
      <c r="J44" s="48">
        <v>0</v>
      </c>
      <c r="K44" s="48">
        <v>0</v>
      </c>
      <c r="L44" s="48">
        <v>0</v>
      </c>
      <c r="M44" s="48">
        <v>0</v>
      </c>
      <c r="N44" s="48">
        <f t="shared" si="21"/>
        <v>-4933133.0199999996</v>
      </c>
      <c r="O44" s="198"/>
      <c r="P44" s="198"/>
      <c r="Q44" s="208"/>
      <c r="R44" s="192"/>
      <c r="S44" s="197">
        <v>-26241411.721764572</v>
      </c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</row>
    <row r="45" spans="1:36">
      <c r="A45" s="83" t="str">
        <f>O1</f>
        <v>جبل الزيت - GAMISA</v>
      </c>
      <c r="B45" s="48">
        <v>2983177</v>
      </c>
      <c r="C45" s="48">
        <v>1879131</v>
      </c>
      <c r="D45" s="48">
        <v>0</v>
      </c>
      <c r="E45" s="48">
        <v>11467260</v>
      </c>
      <c r="F45" s="48">
        <v>0</v>
      </c>
      <c r="G45" s="48">
        <v>0</v>
      </c>
      <c r="H45" s="48">
        <v>0</v>
      </c>
      <c r="I45" s="48">
        <v>0</v>
      </c>
      <c r="J45" s="48">
        <v>0</v>
      </c>
      <c r="K45" s="48">
        <v>0</v>
      </c>
      <c r="L45" s="48">
        <v>0</v>
      </c>
      <c r="M45" s="48">
        <v>0</v>
      </c>
      <c r="N45" s="48">
        <f t="shared" si="21"/>
        <v>16329568</v>
      </c>
      <c r="O45" s="198"/>
      <c r="P45" s="198"/>
      <c r="Q45" s="208"/>
      <c r="R45" s="192"/>
      <c r="S45" s="197">
        <v>-9771377.4055840112</v>
      </c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</row>
    <row r="46" spans="1:36">
      <c r="A46" s="83" t="s">
        <v>61</v>
      </c>
      <c r="B46" s="48">
        <v>0</v>
      </c>
      <c r="C46" s="48">
        <v>0</v>
      </c>
      <c r="D46" s="73">
        <v>-913385</v>
      </c>
      <c r="E46" s="48">
        <v>0</v>
      </c>
      <c r="F46" s="48">
        <v>0</v>
      </c>
      <c r="G46" s="48">
        <v>0</v>
      </c>
      <c r="H46" s="48">
        <v>0</v>
      </c>
      <c r="I46" s="48">
        <v>0</v>
      </c>
      <c r="J46" s="48">
        <v>0</v>
      </c>
      <c r="K46" s="48">
        <v>0</v>
      </c>
      <c r="L46" s="48">
        <v>0</v>
      </c>
      <c r="M46" s="48">
        <v>0</v>
      </c>
      <c r="N46" s="48">
        <f t="shared" si="21"/>
        <v>-913385</v>
      </c>
      <c r="O46" s="198"/>
      <c r="P46" s="198"/>
      <c r="Q46" s="208"/>
      <c r="R46" s="192"/>
      <c r="S46" s="197">
        <v>0</v>
      </c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</row>
    <row r="47" spans="1:36">
      <c r="A47" s="83" t="s">
        <v>62</v>
      </c>
      <c r="B47" s="48">
        <v>0</v>
      </c>
      <c r="C47" s="48">
        <v>28407165</v>
      </c>
      <c r="D47" s="48">
        <v>0</v>
      </c>
      <c r="E47" s="48">
        <v>0</v>
      </c>
      <c r="F47" s="48">
        <v>10061830</v>
      </c>
      <c r="G47" s="48">
        <v>0</v>
      </c>
      <c r="H47" s="48">
        <v>0</v>
      </c>
      <c r="I47" s="48">
        <v>0</v>
      </c>
      <c r="J47" s="48">
        <v>0</v>
      </c>
      <c r="K47" s="48">
        <v>0</v>
      </c>
      <c r="L47" s="48">
        <v>0</v>
      </c>
      <c r="M47" s="48">
        <v>0</v>
      </c>
      <c r="N47" s="48">
        <f t="shared" si="21"/>
        <v>38468995</v>
      </c>
      <c r="O47" s="198"/>
      <c r="P47" s="198"/>
      <c r="Q47" s="208"/>
      <c r="S47" s="197">
        <v>33138551.1884958</v>
      </c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</row>
    <row r="48" spans="1:36">
      <c r="A48" s="83" t="s">
        <v>64</v>
      </c>
      <c r="B48" s="48">
        <v>0</v>
      </c>
      <c r="C48" s="48">
        <v>0</v>
      </c>
      <c r="D48" s="48">
        <v>0</v>
      </c>
      <c r="E48" s="48">
        <v>1439963</v>
      </c>
      <c r="F48" s="48">
        <v>2148477</v>
      </c>
      <c r="G48" s="48">
        <v>0</v>
      </c>
      <c r="H48" s="48">
        <v>0</v>
      </c>
      <c r="I48" s="48">
        <v>0</v>
      </c>
      <c r="J48" s="48">
        <v>0</v>
      </c>
      <c r="K48" s="48">
        <v>0</v>
      </c>
      <c r="L48" s="48">
        <v>0</v>
      </c>
      <c r="M48" s="48">
        <v>0</v>
      </c>
      <c r="N48" s="48">
        <f>SUM(B48:M48)</f>
        <v>3588440</v>
      </c>
      <c r="O48" s="198"/>
      <c r="P48" s="198"/>
      <c r="Q48" s="208"/>
      <c r="S48" s="197">
        <v>2791570.7082621153</v>
      </c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</row>
    <row r="49" spans="1:35">
      <c r="A49" s="83" t="s">
        <v>65</v>
      </c>
      <c r="B49" s="48">
        <v>0</v>
      </c>
      <c r="C49" s="48">
        <v>0</v>
      </c>
      <c r="D49" s="73">
        <v>817896</v>
      </c>
      <c r="E49" s="48">
        <v>0</v>
      </c>
      <c r="F49" s="48">
        <v>450500</v>
      </c>
      <c r="G49" s="48">
        <v>0</v>
      </c>
      <c r="H49" s="48">
        <v>0</v>
      </c>
      <c r="I49" s="48">
        <v>0</v>
      </c>
      <c r="J49" s="48">
        <v>0</v>
      </c>
      <c r="K49" s="48">
        <v>0</v>
      </c>
      <c r="L49" s="48">
        <v>0</v>
      </c>
      <c r="M49" s="48">
        <v>0</v>
      </c>
      <c r="N49" s="48">
        <f t="shared" si="21"/>
        <v>1268396</v>
      </c>
      <c r="O49" s="198"/>
      <c r="P49" s="198"/>
      <c r="Q49" s="208"/>
      <c r="S49" s="197">
        <v>-1231350.2872761763</v>
      </c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</row>
    <row r="50" spans="1:35">
      <c r="A50" s="83" t="s">
        <v>68</v>
      </c>
      <c r="B50" s="48">
        <v>120350231</v>
      </c>
      <c r="C50" s="48">
        <v>2065</v>
      </c>
      <c r="D50" s="73">
        <v>58640899</v>
      </c>
      <c r="E50" s="48">
        <v>0</v>
      </c>
      <c r="F50" s="48">
        <v>54597030</v>
      </c>
      <c r="G50" s="48">
        <v>0</v>
      </c>
      <c r="H50" s="48">
        <v>0</v>
      </c>
      <c r="I50" s="48">
        <v>0</v>
      </c>
      <c r="J50" s="48">
        <v>0</v>
      </c>
      <c r="K50" s="48">
        <v>0</v>
      </c>
      <c r="L50" s="48">
        <v>0</v>
      </c>
      <c r="M50" s="48">
        <v>0</v>
      </c>
      <c r="N50" s="48">
        <f t="shared" si="21"/>
        <v>233590225</v>
      </c>
      <c r="O50" s="198"/>
      <c r="P50" s="198"/>
      <c r="Q50" s="208"/>
      <c r="R50" s="192"/>
      <c r="S50" s="197">
        <v>90097883.673705012</v>
      </c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</row>
    <row r="51" spans="1:35">
      <c r="A51" s="83" t="s">
        <v>69</v>
      </c>
      <c r="B51" s="48">
        <v>0</v>
      </c>
      <c r="C51" s="48">
        <v>0</v>
      </c>
      <c r="D51" s="48">
        <v>0</v>
      </c>
      <c r="E51" s="48">
        <v>18987162</v>
      </c>
      <c r="F51" s="48">
        <v>0</v>
      </c>
      <c r="G51" s="48">
        <v>0</v>
      </c>
      <c r="H51" s="48">
        <v>0</v>
      </c>
      <c r="I51" s="48">
        <v>0</v>
      </c>
      <c r="J51" s="48">
        <v>0</v>
      </c>
      <c r="K51" s="48">
        <v>0</v>
      </c>
      <c r="L51" s="48">
        <v>0</v>
      </c>
      <c r="M51" s="48">
        <v>0</v>
      </c>
      <c r="N51" s="48">
        <f t="shared" si="21"/>
        <v>18987162</v>
      </c>
      <c r="O51" s="198"/>
      <c r="P51" s="198"/>
      <c r="Q51" s="208"/>
      <c r="R51" s="192"/>
      <c r="S51" s="197">
        <v>15957239.955664909</v>
      </c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</row>
    <row r="52" spans="1:35">
      <c r="A52" s="83" t="s">
        <v>73</v>
      </c>
      <c r="B52" s="48">
        <f>19382633+29411034</f>
        <v>48793667</v>
      </c>
      <c r="C52" s="48">
        <v>0</v>
      </c>
      <c r="D52" s="73">
        <v>20410494</v>
      </c>
      <c r="E52" s="48">
        <v>30054634</v>
      </c>
      <c r="F52" s="48">
        <v>17833590</v>
      </c>
      <c r="G52" s="48">
        <v>15920715</v>
      </c>
      <c r="H52" s="48">
        <v>0</v>
      </c>
      <c r="I52" s="48">
        <v>0</v>
      </c>
      <c r="J52" s="48">
        <v>0</v>
      </c>
      <c r="K52" s="48">
        <v>0</v>
      </c>
      <c r="L52" s="48">
        <v>0</v>
      </c>
      <c r="M52" s="48">
        <v>0</v>
      </c>
      <c r="N52" s="48">
        <f t="shared" si="21"/>
        <v>133013100</v>
      </c>
      <c r="O52" s="198"/>
      <c r="P52" s="198"/>
      <c r="Q52" s="208"/>
      <c r="R52" s="192"/>
      <c r="S52" s="197">
        <v>31397562.878742471</v>
      </c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</row>
    <row r="53" spans="1:35">
      <c r="A53" s="83" t="s">
        <v>74</v>
      </c>
      <c r="B53" s="48">
        <v>0</v>
      </c>
      <c r="C53" s="48">
        <v>0</v>
      </c>
      <c r="D53" s="48">
        <v>0.32</v>
      </c>
      <c r="E53" s="48">
        <v>0</v>
      </c>
      <c r="F53" s="48">
        <v>0</v>
      </c>
      <c r="G53" s="48">
        <v>612721</v>
      </c>
      <c r="H53" s="48">
        <v>0</v>
      </c>
      <c r="I53" s="48">
        <v>0</v>
      </c>
      <c r="J53" s="48">
        <v>0</v>
      </c>
      <c r="K53" s="48">
        <v>0</v>
      </c>
      <c r="L53" s="48">
        <v>0</v>
      </c>
      <c r="M53" s="48">
        <v>0</v>
      </c>
      <c r="N53" s="48">
        <f t="shared" ref="N53:N65" si="22">SUM(B53:M53)</f>
        <v>612721.31999999995</v>
      </c>
      <c r="O53" s="198"/>
      <c r="P53" s="198"/>
      <c r="Q53" s="208"/>
      <c r="R53" s="192"/>
      <c r="S53" s="197">
        <v>-1065391.4851531973</v>
      </c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</row>
    <row r="54" spans="1:35">
      <c r="A54" s="83" t="s">
        <v>85</v>
      </c>
      <c r="B54" s="48">
        <v>0</v>
      </c>
      <c r="C54" s="48">
        <v>0</v>
      </c>
      <c r="D54" s="48">
        <v>0</v>
      </c>
      <c r="E54" s="48">
        <v>0</v>
      </c>
      <c r="F54" s="48">
        <v>0</v>
      </c>
      <c r="G54" s="48">
        <v>0</v>
      </c>
      <c r="H54" s="48">
        <v>0</v>
      </c>
      <c r="I54" s="48">
        <v>0</v>
      </c>
      <c r="J54" s="48">
        <v>0</v>
      </c>
      <c r="K54" s="48">
        <v>0</v>
      </c>
      <c r="L54" s="48">
        <v>0</v>
      </c>
      <c r="M54" s="48">
        <v>0</v>
      </c>
      <c r="N54" s="48">
        <f t="shared" si="22"/>
        <v>0</v>
      </c>
      <c r="O54" s="198"/>
      <c r="P54" s="198"/>
      <c r="Q54" s="208"/>
      <c r="R54" s="192"/>
      <c r="S54" s="197">
        <v>970228.83484680275</v>
      </c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</row>
    <row r="55" spans="1:35">
      <c r="A55" s="83" t="s">
        <v>86</v>
      </c>
      <c r="B55" s="48">
        <v>1910183</v>
      </c>
      <c r="C55" s="48">
        <v>2616090</v>
      </c>
      <c r="D55" s="48">
        <v>0</v>
      </c>
      <c r="E55" s="48">
        <v>8071595</v>
      </c>
      <c r="F55" s="48">
        <v>0</v>
      </c>
      <c r="G55" s="48">
        <v>0</v>
      </c>
      <c r="H55" s="48">
        <v>0</v>
      </c>
      <c r="I55" s="48">
        <v>0</v>
      </c>
      <c r="J55" s="48">
        <v>0</v>
      </c>
      <c r="K55" s="48">
        <v>0</v>
      </c>
      <c r="L55" s="48">
        <v>0</v>
      </c>
      <c r="M55" s="48">
        <v>0</v>
      </c>
      <c r="N55" s="48">
        <f t="shared" si="22"/>
        <v>12597868</v>
      </c>
      <c r="O55" s="198"/>
      <c r="P55" s="198"/>
      <c r="Q55" s="208"/>
      <c r="R55" s="192"/>
      <c r="S55" s="197">
        <v>-7066317.8348036055</v>
      </c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</row>
    <row r="56" spans="1:35">
      <c r="A56" s="83" t="s">
        <v>87</v>
      </c>
      <c r="B56" s="48">
        <f>13973051+1956164</f>
        <v>15929215</v>
      </c>
      <c r="C56" s="84">
        <v>2299240</v>
      </c>
      <c r="D56" s="48">
        <v>0</v>
      </c>
      <c r="E56" s="48">
        <v>36110981</v>
      </c>
      <c r="F56" s="48">
        <v>0</v>
      </c>
      <c r="G56" s="48">
        <v>0</v>
      </c>
      <c r="H56" s="48">
        <v>0</v>
      </c>
      <c r="I56" s="48">
        <v>0</v>
      </c>
      <c r="J56" s="48">
        <v>0</v>
      </c>
      <c r="K56" s="48">
        <v>0</v>
      </c>
      <c r="L56" s="48">
        <v>0</v>
      </c>
      <c r="M56" s="48">
        <v>0</v>
      </c>
      <c r="N56" s="48">
        <f t="shared" si="22"/>
        <v>54339436</v>
      </c>
      <c r="O56" s="198"/>
      <c r="P56" s="198"/>
      <c r="Q56" s="208"/>
      <c r="R56" s="192"/>
      <c r="S56" s="197">
        <v>1095038.2533678359</v>
      </c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</row>
    <row r="57" spans="1:35">
      <c r="A57" s="83" t="s">
        <v>90</v>
      </c>
      <c r="B57" s="48">
        <v>0</v>
      </c>
      <c r="C57" s="48">
        <v>0</v>
      </c>
      <c r="D57" s="48"/>
      <c r="E57" s="48">
        <v>5089749</v>
      </c>
      <c r="F57" s="48">
        <v>7583995</v>
      </c>
      <c r="G57" s="48">
        <v>5849287</v>
      </c>
      <c r="H57" s="48">
        <v>0</v>
      </c>
      <c r="I57" s="48">
        <v>0</v>
      </c>
      <c r="J57" s="48">
        <v>0</v>
      </c>
      <c r="K57" s="48">
        <v>0</v>
      </c>
      <c r="L57" s="48">
        <v>0</v>
      </c>
      <c r="M57" s="48">
        <v>0</v>
      </c>
      <c r="N57" s="48">
        <f t="shared" si="22"/>
        <v>18523031</v>
      </c>
      <c r="O57" s="198"/>
      <c r="P57" s="198"/>
      <c r="Q57" s="208"/>
      <c r="R57" s="192"/>
      <c r="S57" s="197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</row>
    <row r="58" spans="1:35">
      <c r="A58" s="47" t="s">
        <v>93</v>
      </c>
      <c r="B58" s="48">
        <v>0</v>
      </c>
      <c r="C58" s="48">
        <v>0</v>
      </c>
      <c r="D58" s="48"/>
      <c r="E58" s="48">
        <v>0</v>
      </c>
      <c r="F58" s="48">
        <v>0</v>
      </c>
      <c r="G58" s="48">
        <v>0</v>
      </c>
      <c r="H58" s="48">
        <v>0</v>
      </c>
      <c r="I58" s="48">
        <v>0</v>
      </c>
      <c r="J58" s="48">
        <v>0</v>
      </c>
      <c r="K58" s="48">
        <v>0</v>
      </c>
      <c r="L58" s="48">
        <v>0</v>
      </c>
      <c r="M58" s="48">
        <v>0</v>
      </c>
      <c r="N58" s="48">
        <f t="shared" si="22"/>
        <v>0</v>
      </c>
      <c r="O58" s="198"/>
      <c r="P58" s="198"/>
      <c r="Q58" s="208"/>
      <c r="R58" s="192"/>
      <c r="S58" s="197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</row>
    <row r="59" spans="1:35">
      <c r="A59" s="47" t="s">
        <v>94</v>
      </c>
      <c r="B59" s="48">
        <v>0</v>
      </c>
      <c r="C59" s="48">
        <v>0</v>
      </c>
      <c r="D59" s="48">
        <v>0</v>
      </c>
      <c r="E59" s="48">
        <v>0</v>
      </c>
      <c r="F59" s="48">
        <v>0</v>
      </c>
      <c r="G59" s="48">
        <v>0</v>
      </c>
      <c r="H59" s="48">
        <v>0</v>
      </c>
      <c r="I59" s="48">
        <v>0</v>
      </c>
      <c r="J59" s="48">
        <v>0</v>
      </c>
      <c r="K59" s="48">
        <v>0</v>
      </c>
      <c r="L59" s="48">
        <v>0</v>
      </c>
      <c r="M59" s="48">
        <v>0</v>
      </c>
      <c r="N59" s="48">
        <f t="shared" si="22"/>
        <v>0</v>
      </c>
      <c r="O59" s="198"/>
      <c r="P59" s="198"/>
      <c r="Q59" s="208"/>
      <c r="R59" s="192"/>
      <c r="S59" s="197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</row>
    <row r="60" spans="1:35">
      <c r="A60" s="83" t="s">
        <v>95</v>
      </c>
      <c r="B60" s="48">
        <v>0</v>
      </c>
      <c r="C60" s="48">
        <v>0</v>
      </c>
      <c r="D60" s="48">
        <v>0</v>
      </c>
      <c r="E60" s="48">
        <v>0</v>
      </c>
      <c r="F60" s="48">
        <v>0</v>
      </c>
      <c r="G60" s="48">
        <v>0</v>
      </c>
      <c r="H60" s="48">
        <v>0</v>
      </c>
      <c r="I60" s="48">
        <v>0</v>
      </c>
      <c r="J60" s="48">
        <v>0</v>
      </c>
      <c r="K60" s="48">
        <v>0</v>
      </c>
      <c r="L60" s="48">
        <v>0</v>
      </c>
      <c r="M60" s="48">
        <v>0</v>
      </c>
      <c r="N60" s="48">
        <f t="shared" si="22"/>
        <v>0</v>
      </c>
      <c r="O60" s="198"/>
      <c r="P60" s="198"/>
      <c r="Q60" s="208"/>
      <c r="R60" s="192"/>
      <c r="S60" s="197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</row>
    <row r="61" spans="1:35">
      <c r="A61" s="185" t="s">
        <v>127</v>
      </c>
      <c r="B61" s="48"/>
      <c r="C61" s="48"/>
      <c r="D61" s="48"/>
      <c r="E61" s="48"/>
      <c r="F61" s="48">
        <v>0</v>
      </c>
      <c r="G61" s="48">
        <v>0</v>
      </c>
      <c r="H61" s="48">
        <v>0</v>
      </c>
      <c r="I61" s="48">
        <v>0</v>
      </c>
      <c r="J61" s="48">
        <v>0</v>
      </c>
      <c r="K61" s="48">
        <v>0</v>
      </c>
      <c r="L61" s="48">
        <v>0</v>
      </c>
      <c r="M61" s="48">
        <v>0</v>
      </c>
      <c r="N61" s="48">
        <f t="shared" si="22"/>
        <v>0</v>
      </c>
      <c r="O61" s="198"/>
      <c r="P61" s="198"/>
      <c r="Q61" s="208"/>
      <c r="R61" s="192"/>
      <c r="S61" s="197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</row>
    <row r="62" spans="1:35">
      <c r="A62" s="185" t="s">
        <v>128</v>
      </c>
      <c r="B62" s="48"/>
      <c r="C62" s="48"/>
      <c r="D62" s="48"/>
      <c r="E62" s="48"/>
      <c r="F62" s="48">
        <v>0</v>
      </c>
      <c r="G62" s="48">
        <v>0</v>
      </c>
      <c r="H62" s="48">
        <v>0</v>
      </c>
      <c r="I62" s="48">
        <v>0</v>
      </c>
      <c r="J62" s="48">
        <v>0</v>
      </c>
      <c r="K62" s="48">
        <v>0</v>
      </c>
      <c r="L62" s="48">
        <v>0</v>
      </c>
      <c r="M62" s="48">
        <v>0</v>
      </c>
      <c r="N62" s="48">
        <f t="shared" si="22"/>
        <v>0</v>
      </c>
      <c r="O62" s="198"/>
      <c r="P62" s="198"/>
      <c r="Q62" s="208"/>
      <c r="R62" s="192"/>
      <c r="S62" s="197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</row>
    <row r="63" spans="1:35">
      <c r="A63" s="185" t="s">
        <v>129</v>
      </c>
      <c r="B63" s="48"/>
      <c r="C63" s="48"/>
      <c r="D63" s="48"/>
      <c r="E63" s="48"/>
      <c r="F63" s="48">
        <v>0</v>
      </c>
      <c r="G63" s="48">
        <v>0</v>
      </c>
      <c r="H63" s="48">
        <v>0</v>
      </c>
      <c r="I63" s="48">
        <v>0</v>
      </c>
      <c r="J63" s="48">
        <v>0</v>
      </c>
      <c r="K63" s="48">
        <v>0</v>
      </c>
      <c r="L63" s="48">
        <v>0</v>
      </c>
      <c r="M63" s="48">
        <v>0</v>
      </c>
      <c r="N63" s="48">
        <f t="shared" si="22"/>
        <v>0</v>
      </c>
      <c r="O63" s="198"/>
      <c r="P63" s="198"/>
      <c r="Q63" s="208"/>
      <c r="R63" s="192"/>
      <c r="S63" s="197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</row>
    <row r="64" spans="1:35">
      <c r="A64" s="185" t="s">
        <v>130</v>
      </c>
      <c r="B64" s="48"/>
      <c r="C64" s="48"/>
      <c r="D64" s="48"/>
      <c r="E64" s="48"/>
      <c r="F64" s="48">
        <v>407864</v>
      </c>
      <c r="G64" s="48">
        <v>0</v>
      </c>
      <c r="H64" s="48">
        <v>0</v>
      </c>
      <c r="I64" s="48">
        <v>0</v>
      </c>
      <c r="J64" s="48">
        <v>0</v>
      </c>
      <c r="K64" s="48">
        <v>0</v>
      </c>
      <c r="L64" s="48">
        <v>0</v>
      </c>
      <c r="M64" s="48">
        <v>0</v>
      </c>
      <c r="N64" s="48">
        <f t="shared" si="22"/>
        <v>407864</v>
      </c>
      <c r="O64" s="198"/>
      <c r="P64" s="198"/>
      <c r="Q64" s="208"/>
      <c r="R64" s="192"/>
      <c r="S64" s="197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</row>
    <row r="65" spans="1:37">
      <c r="A65" s="226" t="s">
        <v>132</v>
      </c>
      <c r="B65" s="225">
        <v>0</v>
      </c>
      <c r="C65" s="48">
        <v>0</v>
      </c>
      <c r="D65" s="48">
        <v>0</v>
      </c>
      <c r="E65" s="48">
        <v>0</v>
      </c>
      <c r="F65" s="48">
        <v>0</v>
      </c>
      <c r="G65" s="48">
        <v>0</v>
      </c>
      <c r="H65" s="48">
        <v>0</v>
      </c>
      <c r="I65" s="48">
        <v>0</v>
      </c>
      <c r="J65" s="48">
        <v>0</v>
      </c>
      <c r="K65" s="48">
        <v>0</v>
      </c>
      <c r="L65" s="48">
        <v>0</v>
      </c>
      <c r="M65" s="48">
        <v>0</v>
      </c>
      <c r="N65" s="48">
        <f t="shared" si="22"/>
        <v>0</v>
      </c>
      <c r="P65" s="52"/>
      <c r="Q65" s="208"/>
      <c r="R65" s="192"/>
      <c r="S65" s="228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52"/>
    </row>
    <row r="66" spans="1:37" ht="15.75" thickBot="1">
      <c r="A66" s="85" t="s">
        <v>37</v>
      </c>
      <c r="B66" s="86">
        <f>SUM(B32:B65)</f>
        <v>206109383</v>
      </c>
      <c r="C66" s="86">
        <f>SUM(C32:C65)</f>
        <v>86267863</v>
      </c>
      <c r="D66" s="86">
        <f>SUM(D32:D65)</f>
        <v>134997276.03999999</v>
      </c>
      <c r="E66" s="86">
        <f>SUM(E32:E65)</f>
        <v>146320939</v>
      </c>
      <c r="F66" s="86">
        <f>SUM(F32:F65)</f>
        <v>113037477</v>
      </c>
      <c r="G66" s="86">
        <f t="shared" ref="G66:N66" si="23">SUM(G32:G65)</f>
        <v>61573110</v>
      </c>
      <c r="H66" s="86">
        <f t="shared" si="23"/>
        <v>0</v>
      </c>
      <c r="I66" s="86">
        <f t="shared" si="23"/>
        <v>0</v>
      </c>
      <c r="J66" s="86">
        <f t="shared" si="23"/>
        <v>0</v>
      </c>
      <c r="K66" s="86">
        <f t="shared" si="23"/>
        <v>0</v>
      </c>
      <c r="L66" s="86">
        <f t="shared" si="23"/>
        <v>0</v>
      </c>
      <c r="M66" s="86">
        <f t="shared" si="23"/>
        <v>0</v>
      </c>
      <c r="N66" s="86">
        <f t="shared" si="23"/>
        <v>748306048.04000008</v>
      </c>
      <c r="O66" s="198"/>
      <c r="P66" s="198"/>
      <c r="Q66" s="208"/>
      <c r="R66" s="192"/>
      <c r="S66" s="197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</row>
    <row r="67" spans="1:37" ht="15.75" thickTop="1">
      <c r="A67" s="81" t="s">
        <v>38</v>
      </c>
      <c r="B67" s="84"/>
      <c r="C67" s="84"/>
      <c r="D67" s="84"/>
      <c r="E67" s="84"/>
      <c r="F67" s="84"/>
      <c r="G67" s="84"/>
      <c r="H67" s="84"/>
      <c r="I67" s="84"/>
      <c r="J67" s="84"/>
      <c r="K67" s="84"/>
      <c r="L67" s="84"/>
      <c r="M67" s="84"/>
      <c r="N67" s="84"/>
      <c r="O67" s="198"/>
      <c r="P67" s="198"/>
      <c r="Q67" s="208"/>
      <c r="R67" s="192"/>
      <c r="S67" s="197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</row>
    <row r="68" spans="1:37">
      <c r="A68" s="47" t="s">
        <v>39</v>
      </c>
      <c r="B68" s="48">
        <v>0</v>
      </c>
      <c r="C68" s="49">
        <v>0</v>
      </c>
      <c r="D68" s="49">
        <v>0</v>
      </c>
      <c r="E68" s="49">
        <v>0</v>
      </c>
      <c r="F68" s="49">
        <v>0</v>
      </c>
      <c r="G68" s="49">
        <v>0</v>
      </c>
      <c r="H68" s="49">
        <v>0</v>
      </c>
      <c r="I68" s="49">
        <v>0</v>
      </c>
      <c r="J68" s="49">
        <v>0</v>
      </c>
      <c r="K68" s="49">
        <v>0</v>
      </c>
      <c r="L68" s="49">
        <v>0</v>
      </c>
      <c r="M68" s="49">
        <v>0</v>
      </c>
      <c r="N68" s="48">
        <f t="shared" ref="N68:N78" si="24">SUM(B68:M68)</f>
        <v>0</v>
      </c>
      <c r="O68" s="198"/>
      <c r="P68" s="198"/>
      <c r="Q68" s="208"/>
      <c r="R68" s="192"/>
      <c r="S68" s="197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52"/>
    </row>
    <row r="69" spans="1:37">
      <c r="A69" s="47" t="s">
        <v>40</v>
      </c>
      <c r="B69" s="48">
        <v>0</v>
      </c>
      <c r="C69" s="49">
        <v>0</v>
      </c>
      <c r="D69" s="49">
        <v>0</v>
      </c>
      <c r="E69" s="49">
        <v>0</v>
      </c>
      <c r="F69" s="49">
        <v>0</v>
      </c>
      <c r="G69" s="49">
        <v>0</v>
      </c>
      <c r="H69" s="49">
        <v>0</v>
      </c>
      <c r="I69" s="49">
        <v>0</v>
      </c>
      <c r="J69" s="49">
        <v>0</v>
      </c>
      <c r="K69" s="49">
        <v>0</v>
      </c>
      <c r="L69" s="49">
        <v>0</v>
      </c>
      <c r="M69" s="49">
        <v>0</v>
      </c>
      <c r="N69" s="48">
        <f t="shared" si="24"/>
        <v>0</v>
      </c>
      <c r="O69" s="198"/>
      <c r="P69" s="198"/>
      <c r="Q69" s="208"/>
      <c r="R69" s="192"/>
      <c r="S69" s="197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52"/>
    </row>
    <row r="70" spans="1:37">
      <c r="A70" s="47" t="s">
        <v>41</v>
      </c>
      <c r="B70" s="48">
        <v>0</v>
      </c>
      <c r="C70" s="49">
        <v>0</v>
      </c>
      <c r="D70" s="71">
        <v>428292</v>
      </c>
      <c r="E70" s="49">
        <v>0</v>
      </c>
      <c r="F70" s="49">
        <v>0</v>
      </c>
      <c r="G70" s="49">
        <v>0</v>
      </c>
      <c r="H70" s="49">
        <v>0</v>
      </c>
      <c r="I70" s="49">
        <v>0</v>
      </c>
      <c r="J70" s="49">
        <v>0</v>
      </c>
      <c r="K70" s="49">
        <v>0</v>
      </c>
      <c r="L70" s="49">
        <v>0</v>
      </c>
      <c r="M70" s="49">
        <v>0</v>
      </c>
      <c r="N70" s="48">
        <f t="shared" si="24"/>
        <v>428292</v>
      </c>
      <c r="O70" s="198"/>
      <c r="P70" s="198"/>
      <c r="Q70" s="208"/>
      <c r="R70" s="192"/>
      <c r="S70" s="197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52"/>
    </row>
    <row r="71" spans="1:37">
      <c r="A71" s="53" t="s">
        <v>42</v>
      </c>
      <c r="B71" s="48">
        <v>798285</v>
      </c>
      <c r="C71" s="49">
        <v>0</v>
      </c>
      <c r="D71" s="71">
        <v>304.42</v>
      </c>
      <c r="E71" s="49">
        <v>0</v>
      </c>
      <c r="F71" s="49">
        <v>0</v>
      </c>
      <c r="G71" s="49">
        <v>0</v>
      </c>
      <c r="H71" s="49">
        <v>0</v>
      </c>
      <c r="I71" s="49">
        <v>0</v>
      </c>
      <c r="J71" s="49">
        <v>0</v>
      </c>
      <c r="K71" s="49">
        <v>0</v>
      </c>
      <c r="L71" s="49">
        <v>0</v>
      </c>
      <c r="M71" s="49">
        <v>0</v>
      </c>
      <c r="N71" s="48">
        <f t="shared" si="24"/>
        <v>798589.42</v>
      </c>
      <c r="O71" s="198"/>
      <c r="P71" s="198"/>
      <c r="Q71" s="208"/>
      <c r="R71" s="192"/>
      <c r="S71" s="197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52"/>
    </row>
    <row r="72" spans="1:37">
      <c r="A72" s="53" t="s">
        <v>43</v>
      </c>
      <c r="B72" s="48">
        <v>0</v>
      </c>
      <c r="C72" s="49">
        <v>0</v>
      </c>
      <c r="D72" s="49">
        <v>0</v>
      </c>
      <c r="E72" s="49">
        <v>0</v>
      </c>
      <c r="F72" s="49">
        <v>0</v>
      </c>
      <c r="G72" s="49">
        <v>3187164.9800000004</v>
      </c>
      <c r="H72" s="49">
        <v>0</v>
      </c>
      <c r="I72" s="49">
        <v>0</v>
      </c>
      <c r="J72" s="49">
        <v>0</v>
      </c>
      <c r="K72" s="49">
        <v>0</v>
      </c>
      <c r="L72" s="49">
        <v>0</v>
      </c>
      <c r="M72" s="49">
        <v>0</v>
      </c>
      <c r="N72" s="48">
        <f t="shared" si="24"/>
        <v>3187164.9800000004</v>
      </c>
      <c r="O72" s="198"/>
      <c r="P72" s="198"/>
      <c r="Q72" s="208"/>
      <c r="R72" s="192"/>
      <c r="S72" s="197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52"/>
    </row>
    <row r="73" spans="1:37">
      <c r="A73" s="53" t="s">
        <v>44</v>
      </c>
      <c r="B73" s="48">
        <v>0</v>
      </c>
      <c r="C73" s="49">
        <v>0</v>
      </c>
      <c r="D73" s="49">
        <v>0</v>
      </c>
      <c r="E73" s="49">
        <v>0</v>
      </c>
      <c r="F73" s="49">
        <v>0</v>
      </c>
      <c r="G73" s="49">
        <v>0</v>
      </c>
      <c r="H73" s="49">
        <v>0</v>
      </c>
      <c r="I73" s="49">
        <v>0</v>
      </c>
      <c r="J73" s="49">
        <v>0</v>
      </c>
      <c r="K73" s="49">
        <v>0</v>
      </c>
      <c r="L73" s="49">
        <v>0</v>
      </c>
      <c r="M73" s="49">
        <v>0</v>
      </c>
      <c r="N73" s="48">
        <f t="shared" si="24"/>
        <v>0</v>
      </c>
      <c r="O73" s="198"/>
      <c r="P73" s="198"/>
      <c r="Q73" s="208"/>
      <c r="R73" s="192"/>
      <c r="S73" s="197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52"/>
    </row>
    <row r="74" spans="1:37">
      <c r="A74" s="53" t="s">
        <v>45</v>
      </c>
      <c r="B74" s="48">
        <v>0</v>
      </c>
      <c r="C74" s="49">
        <v>2448050</v>
      </c>
      <c r="D74" s="49">
        <v>0</v>
      </c>
      <c r="E74" s="49">
        <v>0</v>
      </c>
      <c r="F74" s="49">
        <v>0</v>
      </c>
      <c r="G74" s="49">
        <v>0</v>
      </c>
      <c r="H74" s="49">
        <v>0</v>
      </c>
      <c r="I74" s="49">
        <v>0</v>
      </c>
      <c r="J74" s="49">
        <v>0</v>
      </c>
      <c r="K74" s="49">
        <v>0</v>
      </c>
      <c r="L74" s="49">
        <v>0</v>
      </c>
      <c r="M74" s="49">
        <v>0</v>
      </c>
      <c r="N74" s="48">
        <f t="shared" si="24"/>
        <v>2448050</v>
      </c>
      <c r="O74" s="198"/>
      <c r="P74" s="198"/>
      <c r="Q74" s="208"/>
      <c r="R74" s="192"/>
      <c r="S74" s="197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52"/>
    </row>
    <row r="75" spans="1:37">
      <c r="A75" s="53" t="s">
        <v>46</v>
      </c>
      <c r="B75" s="48">
        <v>0</v>
      </c>
      <c r="C75" s="49">
        <v>0</v>
      </c>
      <c r="D75" s="49">
        <v>0</v>
      </c>
      <c r="E75" s="49">
        <v>0</v>
      </c>
      <c r="F75" s="49">
        <v>0</v>
      </c>
      <c r="G75" s="49">
        <v>0</v>
      </c>
      <c r="H75" s="49">
        <v>0</v>
      </c>
      <c r="I75" s="49">
        <v>0</v>
      </c>
      <c r="J75" s="49">
        <v>0</v>
      </c>
      <c r="K75" s="49">
        <v>0</v>
      </c>
      <c r="L75" s="49">
        <v>0</v>
      </c>
      <c r="M75" s="49">
        <v>0</v>
      </c>
      <c r="N75" s="48">
        <f t="shared" si="24"/>
        <v>0</v>
      </c>
      <c r="O75" s="198"/>
      <c r="P75" s="198"/>
      <c r="Q75" s="208"/>
      <c r="R75" s="192"/>
      <c r="S75" s="197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52"/>
    </row>
    <row r="76" spans="1:37">
      <c r="A76" s="53" t="s">
        <v>47</v>
      </c>
      <c r="B76" s="48">
        <v>0</v>
      </c>
      <c r="C76" s="49">
        <v>0</v>
      </c>
      <c r="D76" s="49">
        <v>0</v>
      </c>
      <c r="E76" s="49">
        <v>0</v>
      </c>
      <c r="F76" s="49">
        <v>0</v>
      </c>
      <c r="G76" s="49">
        <v>0</v>
      </c>
      <c r="H76" s="49">
        <v>0</v>
      </c>
      <c r="I76" s="49">
        <v>0</v>
      </c>
      <c r="J76" s="49">
        <v>0</v>
      </c>
      <c r="K76" s="49">
        <v>0</v>
      </c>
      <c r="L76" s="49">
        <v>0</v>
      </c>
      <c r="M76" s="49">
        <v>0</v>
      </c>
      <c r="N76" s="48">
        <f t="shared" si="24"/>
        <v>0</v>
      </c>
      <c r="O76" s="198"/>
      <c r="P76" s="198"/>
      <c r="Q76" s="208"/>
      <c r="R76" s="192"/>
      <c r="S76" s="197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52"/>
    </row>
    <row r="77" spans="1:37">
      <c r="A77" s="47" t="s">
        <v>36</v>
      </c>
      <c r="B77" s="48">
        <v>0</v>
      </c>
      <c r="C77" s="49">
        <v>0</v>
      </c>
      <c r="D77" s="49">
        <v>0</v>
      </c>
      <c r="E77" s="49">
        <v>0</v>
      </c>
      <c r="F77" s="49">
        <v>0</v>
      </c>
      <c r="G77" s="49">
        <v>0</v>
      </c>
      <c r="H77" s="49">
        <v>0</v>
      </c>
      <c r="I77" s="49">
        <v>0</v>
      </c>
      <c r="J77" s="49">
        <v>0</v>
      </c>
      <c r="K77" s="49">
        <v>0</v>
      </c>
      <c r="L77" s="49">
        <v>0</v>
      </c>
      <c r="M77" s="49">
        <v>0</v>
      </c>
      <c r="N77" s="48">
        <f t="shared" si="24"/>
        <v>0</v>
      </c>
      <c r="O77" s="198"/>
      <c r="P77" s="198"/>
      <c r="Q77" s="208"/>
      <c r="R77" s="192"/>
      <c r="S77" s="197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52"/>
    </row>
    <row r="78" spans="1:37">
      <c r="A78" s="47" t="s">
        <v>66</v>
      </c>
      <c r="B78" s="48">
        <v>0</v>
      </c>
      <c r="C78" s="49">
        <v>0</v>
      </c>
      <c r="D78" s="49">
        <v>0</v>
      </c>
      <c r="E78" s="49">
        <v>0</v>
      </c>
      <c r="F78" s="49">
        <v>0</v>
      </c>
      <c r="G78" s="49">
        <v>0</v>
      </c>
      <c r="H78" s="49">
        <v>0</v>
      </c>
      <c r="I78" s="49">
        <v>0</v>
      </c>
      <c r="J78" s="49">
        <v>0</v>
      </c>
      <c r="K78" s="49">
        <v>0</v>
      </c>
      <c r="L78" s="49">
        <v>0</v>
      </c>
      <c r="M78" s="49">
        <v>0</v>
      </c>
      <c r="N78" s="48">
        <f t="shared" si="24"/>
        <v>0</v>
      </c>
      <c r="O78" s="198"/>
      <c r="P78" s="198"/>
      <c r="Q78" s="208"/>
      <c r="R78" s="192"/>
      <c r="S78" s="197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52"/>
    </row>
    <row r="79" spans="1:37" ht="15.75" thickBot="1">
      <c r="A79" s="85" t="s">
        <v>37</v>
      </c>
      <c r="B79" s="86">
        <f>SUM(B68:B78)</f>
        <v>798285</v>
      </c>
      <c r="C79" s="86">
        <f t="shared" ref="C79:M79" si="25">SUM(C68:C78)</f>
        <v>2448050</v>
      </c>
      <c r="D79" s="86">
        <f t="shared" si="25"/>
        <v>428596.42</v>
      </c>
      <c r="E79" s="86">
        <f t="shared" si="25"/>
        <v>0</v>
      </c>
      <c r="F79" s="86">
        <f t="shared" si="25"/>
        <v>0</v>
      </c>
      <c r="G79" s="86">
        <f t="shared" si="25"/>
        <v>3187164.9800000004</v>
      </c>
      <c r="H79" s="86">
        <f t="shared" si="25"/>
        <v>0</v>
      </c>
      <c r="I79" s="86">
        <f t="shared" si="25"/>
        <v>0</v>
      </c>
      <c r="J79" s="86">
        <f t="shared" si="25"/>
        <v>0</v>
      </c>
      <c r="K79" s="86">
        <f t="shared" si="25"/>
        <v>0</v>
      </c>
      <c r="L79" s="86">
        <f>SUM(L68:L78)</f>
        <v>0</v>
      </c>
      <c r="M79" s="86">
        <f t="shared" si="25"/>
        <v>0</v>
      </c>
      <c r="N79" s="86">
        <f>SUM(N68:N78)</f>
        <v>6862096.4000000004</v>
      </c>
      <c r="O79" s="198"/>
      <c r="P79" s="198"/>
      <c r="Q79" s="208"/>
      <c r="R79" s="192"/>
      <c r="S79" s="197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52"/>
    </row>
    <row r="80" spans="1:37" ht="15.75" thickTop="1">
      <c r="A80" s="81" t="s">
        <v>48</v>
      </c>
      <c r="B80" s="84"/>
      <c r="C80" s="66"/>
      <c r="D80" s="66"/>
      <c r="E80" s="66"/>
      <c r="F80" s="66"/>
      <c r="G80" s="66"/>
      <c r="H80" s="66"/>
      <c r="I80" s="66"/>
      <c r="J80" s="66"/>
      <c r="K80" s="66"/>
      <c r="L80" s="66"/>
      <c r="M80" s="66"/>
      <c r="N80" s="84"/>
      <c r="O80" s="198"/>
      <c r="P80" s="198"/>
      <c r="Q80" s="208"/>
      <c r="R80" s="192"/>
      <c r="S80" s="197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52"/>
    </row>
    <row r="81" spans="1:37" s="113" customFormat="1">
      <c r="A81" s="47" t="s">
        <v>49</v>
      </c>
      <c r="B81" s="48">
        <v>0</v>
      </c>
      <c r="C81" s="49">
        <v>0</v>
      </c>
      <c r="D81" s="71">
        <v>4745820.0193475503</v>
      </c>
      <c r="E81" s="49">
        <v>0</v>
      </c>
      <c r="F81" s="49"/>
      <c r="G81" s="49">
        <v>0</v>
      </c>
      <c r="H81" s="49">
        <v>0</v>
      </c>
      <c r="I81" s="49">
        <v>0</v>
      </c>
      <c r="J81" s="49">
        <v>0</v>
      </c>
      <c r="K81" s="49">
        <v>0</v>
      </c>
      <c r="L81" s="49">
        <v>0</v>
      </c>
      <c r="M81" s="49">
        <v>0</v>
      </c>
      <c r="N81" s="48">
        <f>SUM(B81:M81)</f>
        <v>4745820.0193475503</v>
      </c>
      <c r="O81" s="198"/>
      <c r="P81" s="198"/>
      <c r="Q81" s="208"/>
      <c r="R81" s="192"/>
      <c r="S81" s="197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</row>
    <row r="82" spans="1:37" s="113" customFormat="1">
      <c r="A82" s="47" t="s">
        <v>67</v>
      </c>
      <c r="B82" s="48">
        <v>0</v>
      </c>
      <c r="C82" s="49">
        <v>0</v>
      </c>
      <c r="D82" s="49">
        <v>0</v>
      </c>
      <c r="E82" s="49">
        <v>0</v>
      </c>
      <c r="F82" s="49">
        <v>0</v>
      </c>
      <c r="G82" s="49">
        <v>0</v>
      </c>
      <c r="H82" s="49">
        <v>0</v>
      </c>
      <c r="I82" s="49">
        <v>0</v>
      </c>
      <c r="J82" s="49">
        <v>0</v>
      </c>
      <c r="K82" s="49">
        <v>0</v>
      </c>
      <c r="L82" s="49">
        <v>0</v>
      </c>
      <c r="M82" s="49">
        <v>0</v>
      </c>
      <c r="N82" s="48">
        <f>SUM(B82:M82)</f>
        <v>0</v>
      </c>
      <c r="O82" s="198"/>
      <c r="P82" s="198"/>
      <c r="Q82" s="208"/>
      <c r="R82" s="192"/>
      <c r="S82" s="197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</row>
    <row r="83" spans="1:37" s="113" customFormat="1">
      <c r="A83" s="47" t="s">
        <v>50</v>
      </c>
      <c r="B83" s="48">
        <v>0</v>
      </c>
      <c r="C83" s="49">
        <v>0</v>
      </c>
      <c r="D83" s="49">
        <v>0</v>
      </c>
      <c r="E83" s="49">
        <v>0</v>
      </c>
      <c r="F83" s="49">
        <v>0</v>
      </c>
      <c r="G83" s="49">
        <v>0</v>
      </c>
      <c r="H83" s="49">
        <v>0</v>
      </c>
      <c r="I83" s="49">
        <v>0</v>
      </c>
      <c r="J83" s="49">
        <v>0</v>
      </c>
      <c r="K83" s="49">
        <v>0</v>
      </c>
      <c r="L83" s="49">
        <v>0</v>
      </c>
      <c r="M83" s="49">
        <v>0</v>
      </c>
      <c r="N83" s="48">
        <f>SUM(B83:M83)</f>
        <v>0</v>
      </c>
      <c r="O83" s="198"/>
      <c r="P83" s="198"/>
      <c r="Q83" s="208"/>
      <c r="R83" s="192"/>
      <c r="S83" s="197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</row>
    <row r="84" spans="1:37" s="113" customFormat="1">
      <c r="A84" s="47" t="s">
        <v>50</v>
      </c>
      <c r="B84" s="48">
        <v>0</v>
      </c>
      <c r="C84" s="49">
        <v>0</v>
      </c>
      <c r="D84" s="49">
        <v>0</v>
      </c>
      <c r="E84" s="49">
        <v>0</v>
      </c>
      <c r="F84" s="49">
        <v>0</v>
      </c>
      <c r="G84" s="49">
        <v>0</v>
      </c>
      <c r="H84" s="49">
        <v>0</v>
      </c>
      <c r="I84" s="49">
        <v>0</v>
      </c>
      <c r="J84" s="49">
        <v>0</v>
      </c>
      <c r="K84" s="49">
        <v>0</v>
      </c>
      <c r="L84" s="49">
        <v>0</v>
      </c>
      <c r="M84" s="49">
        <v>0</v>
      </c>
      <c r="N84" s="48">
        <f>SUM(B84:M84)</f>
        <v>0</v>
      </c>
      <c r="O84" s="198"/>
      <c r="P84" s="198"/>
      <c r="Q84" s="208"/>
      <c r="R84" s="192"/>
      <c r="S84" s="197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</row>
    <row r="85" spans="1:37" s="113" customFormat="1">
      <c r="A85" s="47" t="s">
        <v>50</v>
      </c>
      <c r="B85" s="48">
        <v>0</v>
      </c>
      <c r="C85" s="49">
        <v>0</v>
      </c>
      <c r="D85" s="49">
        <v>0</v>
      </c>
      <c r="E85" s="49">
        <v>0</v>
      </c>
      <c r="F85" s="49">
        <v>0</v>
      </c>
      <c r="G85" s="49">
        <v>0</v>
      </c>
      <c r="H85" s="49">
        <v>0</v>
      </c>
      <c r="I85" s="49">
        <v>0</v>
      </c>
      <c r="J85" s="49">
        <v>0</v>
      </c>
      <c r="K85" s="49">
        <v>0</v>
      </c>
      <c r="L85" s="49">
        <v>0</v>
      </c>
      <c r="M85" s="49">
        <v>0</v>
      </c>
      <c r="N85" s="48">
        <f>SUM(B85:M85)</f>
        <v>0</v>
      </c>
      <c r="O85" s="198"/>
      <c r="P85" s="198"/>
      <c r="Q85" s="208"/>
      <c r="R85" s="192"/>
      <c r="S85" s="197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</row>
    <row r="86" spans="1:37" ht="15.75" thickBot="1">
      <c r="A86" s="85" t="s">
        <v>37</v>
      </c>
      <c r="B86" s="87">
        <f>SUM(B81:B85)</f>
        <v>0</v>
      </c>
      <c r="C86" s="87">
        <f t="shared" ref="C86:M86" si="26">SUM(C81:C85)</f>
        <v>0</v>
      </c>
      <c r="D86" s="68">
        <f t="shared" si="26"/>
        <v>4745820.0193475503</v>
      </c>
      <c r="E86" s="87">
        <f t="shared" si="26"/>
        <v>0</v>
      </c>
      <c r="F86" s="87">
        <f t="shared" si="26"/>
        <v>0</v>
      </c>
      <c r="G86" s="87">
        <f t="shared" si="26"/>
        <v>0</v>
      </c>
      <c r="H86" s="87">
        <f t="shared" si="26"/>
        <v>0</v>
      </c>
      <c r="I86" s="87">
        <f t="shared" si="26"/>
        <v>0</v>
      </c>
      <c r="J86" s="87">
        <f t="shared" si="26"/>
        <v>0</v>
      </c>
      <c r="K86" s="87">
        <f t="shared" si="26"/>
        <v>0</v>
      </c>
      <c r="L86" s="87">
        <f t="shared" si="26"/>
        <v>0</v>
      </c>
      <c r="M86" s="87">
        <f t="shared" si="26"/>
        <v>0</v>
      </c>
      <c r="N86" s="87">
        <f>SUM(N81:N85)</f>
        <v>4745820.0193475503</v>
      </c>
      <c r="O86" s="198"/>
      <c r="P86" s="198"/>
      <c r="Q86" s="208"/>
      <c r="R86" s="215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6"/>
      <c r="AK86" s="17"/>
    </row>
    <row r="87" spans="1:37" ht="16.5" thickTop="1" thickBot="1">
      <c r="A87" s="80" t="s">
        <v>51</v>
      </c>
      <c r="B87" s="68">
        <f t="shared" ref="B87:G87" si="27">B66+B79</f>
        <v>206907668</v>
      </c>
      <c r="C87" s="68">
        <f t="shared" si="27"/>
        <v>88715913</v>
      </c>
      <c r="D87" s="68">
        <f t="shared" si="27"/>
        <v>135425872.45999998</v>
      </c>
      <c r="E87" s="68">
        <f t="shared" si="27"/>
        <v>146320939</v>
      </c>
      <c r="F87" s="68">
        <f t="shared" si="27"/>
        <v>113037477</v>
      </c>
      <c r="G87" s="68">
        <f t="shared" si="27"/>
        <v>64760274.980000004</v>
      </c>
      <c r="H87" s="68">
        <f t="shared" ref="H87:M87" si="28">H66+H86+H79</f>
        <v>0</v>
      </c>
      <c r="I87" s="68">
        <f t="shared" si="28"/>
        <v>0</v>
      </c>
      <c r="J87" s="68">
        <f>J66+J86+J79</f>
        <v>0</v>
      </c>
      <c r="K87" s="68">
        <f t="shared" si="28"/>
        <v>0</v>
      </c>
      <c r="L87" s="68">
        <f t="shared" si="28"/>
        <v>0</v>
      </c>
      <c r="M87" s="68">
        <f t="shared" si="28"/>
        <v>0</v>
      </c>
      <c r="N87" s="68">
        <f>N66+N86+N79</f>
        <v>759913964.45934761</v>
      </c>
      <c r="O87" s="198"/>
      <c r="P87" s="198"/>
      <c r="Q87" s="208"/>
      <c r="R87" s="111"/>
      <c r="S87" s="12"/>
      <c r="T87" s="12"/>
      <c r="U87" s="16"/>
      <c r="V87" s="16"/>
      <c r="W87" s="16"/>
      <c r="X87" s="16"/>
      <c r="Y87" s="16"/>
      <c r="Z87" s="16"/>
      <c r="AA87" s="16"/>
      <c r="AB87" s="16"/>
      <c r="AC87" s="16"/>
      <c r="AD87" s="16"/>
      <c r="AE87" s="16"/>
      <c r="AF87" s="16"/>
      <c r="AG87" s="16"/>
      <c r="AH87" s="16"/>
      <c r="AI87" s="16"/>
      <c r="AJ87" s="17"/>
      <c r="AK87" s="17"/>
    </row>
    <row r="88" spans="1:37" ht="16.5" thickTop="1" thickBot="1">
      <c r="A88" s="80" t="s">
        <v>52</v>
      </c>
      <c r="B88" s="68">
        <f t="shared" ref="B88:M88" si="29">B66+B128</f>
        <v>103943100.47016397</v>
      </c>
      <c r="C88" s="68">
        <f t="shared" si="29"/>
        <v>96767566.515476868</v>
      </c>
      <c r="D88" s="68">
        <f>D66+D128</f>
        <v>159055844.47906399</v>
      </c>
      <c r="E88" s="68">
        <f>E66+E128</f>
        <v>143333811.96097729</v>
      </c>
      <c r="F88" s="68">
        <f t="shared" si="29"/>
        <v>120505434.87787242</v>
      </c>
      <c r="G88" s="68">
        <f t="shared" si="29"/>
        <v>86888601.205808192</v>
      </c>
      <c r="H88" s="68">
        <f t="shared" si="29"/>
        <v>0</v>
      </c>
      <c r="I88" s="68">
        <f t="shared" si="29"/>
        <v>0</v>
      </c>
      <c r="J88" s="68">
        <f t="shared" si="29"/>
        <v>0</v>
      </c>
      <c r="K88" s="68">
        <f t="shared" si="29"/>
        <v>0</v>
      </c>
      <c r="L88" s="68">
        <f t="shared" si="29"/>
        <v>0</v>
      </c>
      <c r="M88" s="68">
        <f t="shared" si="29"/>
        <v>0</v>
      </c>
      <c r="N88" s="68">
        <f>SUM(B88:M88)</f>
        <v>710494359.5093627</v>
      </c>
      <c r="O88" s="198"/>
      <c r="P88" s="198"/>
      <c r="Q88" s="208"/>
      <c r="R88" s="192"/>
      <c r="S88" s="12"/>
      <c r="T88" s="12"/>
      <c r="U88" s="17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17"/>
      <c r="AI88" s="17"/>
    </row>
    <row r="89" spans="1:37" ht="16.5" thickTop="1" thickBot="1">
      <c r="A89" s="80" t="s">
        <v>53</v>
      </c>
      <c r="B89" s="68">
        <f>B88+B86+B141+B79</f>
        <v>103943100.47016397</v>
      </c>
      <c r="C89" s="68">
        <f t="shared" ref="C89:M89" si="30">C88+C86+C141+C79</f>
        <v>96767566.515476868</v>
      </c>
      <c r="D89" s="68">
        <f>D88+D86+D141+D79</f>
        <v>163801664.49841154</v>
      </c>
      <c r="E89" s="68">
        <f t="shared" si="30"/>
        <v>143333811.96097729</v>
      </c>
      <c r="F89" s="68">
        <f t="shared" si="30"/>
        <v>120505434.87787242</v>
      </c>
      <c r="G89" s="68">
        <f t="shared" si="30"/>
        <v>86888601.205808192</v>
      </c>
      <c r="H89" s="68">
        <f t="shared" si="30"/>
        <v>0</v>
      </c>
      <c r="I89" s="68">
        <f t="shared" si="30"/>
        <v>0</v>
      </c>
      <c r="J89" s="68">
        <f t="shared" si="30"/>
        <v>0</v>
      </c>
      <c r="K89" s="68">
        <f t="shared" si="30"/>
        <v>0</v>
      </c>
      <c r="L89" s="68">
        <f t="shared" si="30"/>
        <v>0</v>
      </c>
      <c r="M89" s="68">
        <f t="shared" si="30"/>
        <v>0</v>
      </c>
      <c r="N89" s="68">
        <f>N88+N86+N141+N79</f>
        <v>715240179.52871025</v>
      </c>
      <c r="O89" s="198"/>
      <c r="P89" s="198"/>
      <c r="Q89" s="208"/>
      <c r="R89" s="195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</row>
    <row r="90" spans="1:37" ht="15.75" thickTop="1">
      <c r="A90" s="6"/>
      <c r="B90" s="58"/>
      <c r="G90" s="11"/>
      <c r="N90" s="57"/>
      <c r="O90" s="198"/>
      <c r="P90" s="198"/>
      <c r="Q90" s="208"/>
      <c r="R90" s="194"/>
      <c r="S90" s="12"/>
      <c r="T90" s="12"/>
      <c r="U90" s="191"/>
      <c r="V90" s="191"/>
      <c r="W90" s="191"/>
      <c r="X90" s="191"/>
      <c r="Y90" s="191"/>
      <c r="Z90" s="191"/>
      <c r="AA90" s="191"/>
      <c r="AB90" s="191"/>
      <c r="AC90" s="191"/>
      <c r="AD90" s="191"/>
      <c r="AE90" s="191"/>
      <c r="AF90" s="191"/>
      <c r="AG90" s="191"/>
      <c r="AH90" s="191"/>
      <c r="AI90" s="191"/>
    </row>
    <row r="91" spans="1:37">
      <c r="A91" s="178" t="s">
        <v>77</v>
      </c>
      <c r="B91" s="441">
        <v>42736</v>
      </c>
      <c r="C91" s="441">
        <v>42767</v>
      </c>
      <c r="D91" s="441">
        <v>42795</v>
      </c>
      <c r="E91" s="441">
        <v>42826</v>
      </c>
      <c r="F91" s="437">
        <v>42856</v>
      </c>
      <c r="G91" s="437">
        <v>42887</v>
      </c>
      <c r="H91" s="437">
        <v>42917</v>
      </c>
      <c r="I91" s="437">
        <v>42948</v>
      </c>
      <c r="J91" s="437">
        <v>42979</v>
      </c>
      <c r="K91" s="437">
        <v>43009</v>
      </c>
      <c r="L91" s="437">
        <v>43040</v>
      </c>
      <c r="M91" s="437">
        <v>43070</v>
      </c>
      <c r="N91" s="437" t="s">
        <v>15</v>
      </c>
      <c r="O91" s="198"/>
      <c r="P91" s="198"/>
      <c r="Q91" s="208"/>
      <c r="R91" s="200"/>
      <c r="S91" s="12"/>
      <c r="T91" s="12"/>
      <c r="U91" s="191"/>
      <c r="V91" s="191"/>
      <c r="W91" s="191"/>
      <c r="X91" s="191"/>
      <c r="Y91" s="191"/>
      <c r="Z91" s="191"/>
      <c r="AA91" s="191"/>
      <c r="AB91" s="191"/>
      <c r="AC91" s="191"/>
      <c r="AD91" s="191"/>
      <c r="AE91" s="191"/>
      <c r="AF91" s="191"/>
      <c r="AG91" s="191"/>
      <c r="AH91" s="191"/>
      <c r="AI91" s="191"/>
    </row>
    <row r="92" spans="1:37" ht="15.75" thickBot="1">
      <c r="A92" s="179" t="s">
        <v>34</v>
      </c>
      <c r="B92" s="442"/>
      <c r="C92" s="442"/>
      <c r="D92" s="442"/>
      <c r="E92" s="442"/>
      <c r="F92" s="438"/>
      <c r="G92" s="438"/>
      <c r="H92" s="438"/>
      <c r="I92" s="438"/>
      <c r="J92" s="438"/>
      <c r="K92" s="438"/>
      <c r="L92" s="438"/>
      <c r="M92" s="438"/>
      <c r="N92" s="438"/>
      <c r="O92" s="198"/>
      <c r="P92" s="198"/>
      <c r="Q92" s="208"/>
      <c r="R92" s="192"/>
      <c r="S92" s="12"/>
      <c r="T92" s="12"/>
    </row>
    <row r="93" spans="1:37" ht="15.75" thickTop="1">
      <c r="A93" s="180" t="s">
        <v>35</v>
      </c>
      <c r="B93" s="181"/>
      <c r="C93" s="181"/>
      <c r="D93" s="181"/>
      <c r="E93" s="181"/>
      <c r="F93" s="82"/>
      <c r="G93" s="82"/>
      <c r="H93" s="82"/>
      <c r="I93" s="82"/>
      <c r="J93" s="82"/>
      <c r="K93" s="82"/>
      <c r="L93" s="82"/>
      <c r="M93" s="82"/>
      <c r="N93" s="82"/>
      <c r="O93" s="198"/>
      <c r="P93" s="198"/>
      <c r="Q93" s="208"/>
      <c r="R93" s="192"/>
      <c r="S93" s="12"/>
      <c r="T93" s="12"/>
    </row>
    <row r="94" spans="1:37">
      <c r="A94" s="182" t="str">
        <f t="shared" ref="A94:A107" si="31">A32</f>
        <v>Al Oula</v>
      </c>
      <c r="B94" s="177">
        <v>-792410.43794878991</v>
      </c>
      <c r="C94" s="177">
        <v>1.4901161193847656E-8</v>
      </c>
      <c r="D94" s="177">
        <v>-1032003</v>
      </c>
      <c r="E94" s="177">
        <v>0</v>
      </c>
      <c r="F94" s="177">
        <v>0</v>
      </c>
      <c r="G94" s="177">
        <f>$B$25-($N32+B94+C94+D94+F94+E94)</f>
        <v>-2415325</v>
      </c>
      <c r="H94" s="48">
        <v>0</v>
      </c>
      <c r="I94" s="48">
        <v>0</v>
      </c>
      <c r="J94" s="48">
        <v>0</v>
      </c>
      <c r="K94" s="48">
        <v>0</v>
      </c>
      <c r="L94" s="48">
        <v>0</v>
      </c>
      <c r="M94" s="48">
        <v>0</v>
      </c>
      <c r="N94" s="48">
        <f t="shared" ref="N94:N113" si="32">SUM(B94:M94)</f>
        <v>-4239738.4379487745</v>
      </c>
      <c r="O94" s="198"/>
      <c r="P94" s="198"/>
      <c r="Q94" s="208"/>
      <c r="R94" s="192"/>
      <c r="S94" s="186"/>
    </row>
    <row r="95" spans="1:37">
      <c r="A95" s="182" t="str">
        <f t="shared" si="31"/>
        <v>Hyper Al Sulaimaniya</v>
      </c>
      <c r="B95" s="177">
        <v>318817.41144515574</v>
      </c>
      <c r="C95" s="177">
        <v>-8172973.0829063803</v>
      </c>
      <c r="D95" s="177">
        <v>-1005253.9999999851</v>
      </c>
      <c r="E95" s="177">
        <v>0</v>
      </c>
      <c r="F95" s="177">
        <v>0</v>
      </c>
      <c r="G95" s="177">
        <f>$C$25-($N33+B95+C95+D95+F95+E95)</f>
        <v>0</v>
      </c>
      <c r="H95" s="48">
        <v>0</v>
      </c>
      <c r="I95" s="48">
        <v>0</v>
      </c>
      <c r="J95" s="48">
        <v>0</v>
      </c>
      <c r="K95" s="48">
        <v>0</v>
      </c>
      <c r="L95" s="48">
        <v>0</v>
      </c>
      <c r="M95" s="48">
        <v>0</v>
      </c>
      <c r="N95" s="48">
        <f t="shared" si="32"/>
        <v>-8859409.6714612097</v>
      </c>
      <c r="O95" s="198"/>
      <c r="P95" s="198"/>
      <c r="Q95" s="208"/>
      <c r="R95" s="192"/>
      <c r="S95" s="186"/>
    </row>
    <row r="96" spans="1:37">
      <c r="A96" s="184" t="str">
        <f t="shared" si="31"/>
        <v>New Giza I</v>
      </c>
      <c r="B96" s="177">
        <v>26945.684533178806</v>
      </c>
      <c r="C96" s="177">
        <v>30425.795963436365</v>
      </c>
      <c r="D96" s="177">
        <v>27607.628913978333</v>
      </c>
      <c r="E96" s="177">
        <v>28225.253472834826</v>
      </c>
      <c r="F96" s="177">
        <v>195431.01494216919</v>
      </c>
      <c r="G96" s="177">
        <f>$D$25-($N34+B96+C96+D96+F96+E96)</f>
        <v>29851.820880591869</v>
      </c>
      <c r="H96" s="48">
        <v>0</v>
      </c>
      <c r="I96" s="48">
        <v>0</v>
      </c>
      <c r="J96" s="48">
        <v>0</v>
      </c>
      <c r="K96" s="48">
        <v>0</v>
      </c>
      <c r="L96" s="48">
        <v>0</v>
      </c>
      <c r="M96" s="48">
        <v>0</v>
      </c>
      <c r="N96" s="48">
        <f t="shared" si="32"/>
        <v>338487.1987061894</v>
      </c>
      <c r="O96" s="198"/>
      <c r="P96" s="198"/>
      <c r="Q96" s="208"/>
      <c r="R96" s="192"/>
      <c r="S96" s="186"/>
    </row>
    <row r="97" spans="1:35">
      <c r="A97" s="182" t="str">
        <f t="shared" si="31"/>
        <v>Maxim mall</v>
      </c>
      <c r="B97" s="177">
        <v>937558.93449585314</v>
      </c>
      <c r="C97" s="177">
        <v>1854129.8696803749</v>
      </c>
      <c r="D97" s="177">
        <v>-667243.5578443259</v>
      </c>
      <c r="E97" s="177">
        <v>0</v>
      </c>
      <c r="F97" s="177">
        <v>0</v>
      </c>
      <c r="G97" s="177">
        <f>$E$25-($N35+B97+C97+D97+F97+E97)</f>
        <v>-6942464</v>
      </c>
      <c r="H97" s="48">
        <v>0</v>
      </c>
      <c r="I97" s="48">
        <v>0</v>
      </c>
      <c r="J97" s="48">
        <v>0</v>
      </c>
      <c r="K97" s="48">
        <v>0</v>
      </c>
      <c r="L97" s="48">
        <v>0</v>
      </c>
      <c r="M97" s="48">
        <v>0</v>
      </c>
      <c r="N97" s="48">
        <f t="shared" si="32"/>
        <v>-4818018.7536680978</v>
      </c>
      <c r="O97" s="198"/>
      <c r="P97" s="198"/>
      <c r="Q97" s="208"/>
      <c r="R97" s="192"/>
      <c r="S97" s="186"/>
    </row>
    <row r="98" spans="1:35">
      <c r="A98" s="182" t="str">
        <f t="shared" si="31"/>
        <v>Attaka</v>
      </c>
      <c r="B98" s="177">
        <v>0</v>
      </c>
      <c r="C98" s="177">
        <v>0</v>
      </c>
      <c r="D98" s="177">
        <v>0</v>
      </c>
      <c r="E98" s="177">
        <v>-2.9802322387695313E-8</v>
      </c>
      <c r="F98" s="177">
        <v>2.9802322387695313E-8</v>
      </c>
      <c r="G98" s="177">
        <f>$F$25-($N36+B98+C98+D98+F98+E98)</f>
        <v>0</v>
      </c>
      <c r="H98" s="48">
        <v>0</v>
      </c>
      <c r="I98" s="48">
        <v>0</v>
      </c>
      <c r="J98" s="48">
        <v>0</v>
      </c>
      <c r="K98" s="48">
        <v>0</v>
      </c>
      <c r="L98" s="48">
        <v>0</v>
      </c>
      <c r="M98" s="48">
        <v>0</v>
      </c>
      <c r="N98" s="48">
        <f t="shared" si="32"/>
        <v>0</v>
      </c>
      <c r="O98" s="198"/>
      <c r="P98" s="198"/>
      <c r="Q98" s="208"/>
      <c r="R98" s="192"/>
      <c r="S98" s="186"/>
    </row>
    <row r="99" spans="1:35">
      <c r="A99" s="184" t="str">
        <f t="shared" si="31"/>
        <v>مول مصر</v>
      </c>
      <c r="B99" s="177">
        <v>4765938.2296103761</v>
      </c>
      <c r="C99" s="177">
        <v>746216.28135806322</v>
      </c>
      <c r="D99" s="177">
        <v>2360967.1397521496</v>
      </c>
      <c r="E99" s="177">
        <v>228337.62061327696</v>
      </c>
      <c r="F99" s="177">
        <v>305058.26969465613</v>
      </c>
      <c r="G99" s="177">
        <f>$G$25-($N37+B99+C99+D99+F99+E99)</f>
        <v>-906035.98781964183</v>
      </c>
      <c r="H99" s="48">
        <v>0</v>
      </c>
      <c r="I99" s="48">
        <v>0</v>
      </c>
      <c r="J99" s="48">
        <v>0</v>
      </c>
      <c r="K99" s="48">
        <v>0</v>
      </c>
      <c r="L99" s="48">
        <v>0</v>
      </c>
      <c r="M99" s="48">
        <v>0</v>
      </c>
      <c r="N99" s="48">
        <f t="shared" si="32"/>
        <v>7500481.5532088801</v>
      </c>
      <c r="O99" s="198"/>
      <c r="P99" s="198"/>
      <c r="Q99" s="208"/>
      <c r="R99" s="192"/>
      <c r="S99" s="186"/>
    </row>
    <row r="100" spans="1:35">
      <c r="A100" s="182" t="str">
        <f t="shared" si="31"/>
        <v>مراسى تانك الخزان الجديد PKG22 New</v>
      </c>
      <c r="B100" s="177">
        <v>30634.521799776703</v>
      </c>
      <c r="C100" s="177">
        <v>0</v>
      </c>
      <c r="D100" s="177">
        <v>-1501782.9999999981</v>
      </c>
      <c r="E100" s="177">
        <v>0</v>
      </c>
      <c r="F100" s="177">
        <v>-150621.99999999627</v>
      </c>
      <c r="G100" s="177">
        <f>$H$25-($N38+B100+C100+D100+F100+E100)</f>
        <v>0</v>
      </c>
      <c r="H100" s="48">
        <v>0</v>
      </c>
      <c r="I100" s="48">
        <v>0</v>
      </c>
      <c r="J100" s="48">
        <v>0</v>
      </c>
      <c r="K100" s="48">
        <v>0</v>
      </c>
      <c r="L100" s="48">
        <v>0</v>
      </c>
      <c r="M100" s="48">
        <v>0</v>
      </c>
      <c r="N100" s="48">
        <f t="shared" si="32"/>
        <v>-1621770.4782002177</v>
      </c>
      <c r="O100" s="198"/>
      <c r="P100" s="198"/>
      <c r="Q100" s="208"/>
      <c r="R100" s="192"/>
      <c r="S100" s="186"/>
    </row>
    <row r="101" spans="1:35">
      <c r="A101" s="182" t="str">
        <f t="shared" si="31"/>
        <v>نادي سوديك</v>
      </c>
      <c r="B101" s="177">
        <v>1806125.77132947</v>
      </c>
      <c r="C101" s="177">
        <v>293995.16059892625</v>
      </c>
      <c r="D101" s="177">
        <v>1433157.7755049393</v>
      </c>
      <c r="E101" s="177">
        <v>-852290.6212791726</v>
      </c>
      <c r="F101" s="177">
        <v>1732597.2952938974</v>
      </c>
      <c r="G101" s="177">
        <f>$I$25-($N39+B101+C101+D101+F101+E101)</f>
        <v>41719.503933757544</v>
      </c>
      <c r="H101" s="48">
        <v>0</v>
      </c>
      <c r="I101" s="48">
        <v>0</v>
      </c>
      <c r="J101" s="48">
        <v>0</v>
      </c>
      <c r="K101" s="48">
        <v>0</v>
      </c>
      <c r="L101" s="48">
        <v>0</v>
      </c>
      <c r="M101" s="48">
        <v>0</v>
      </c>
      <c r="N101" s="48">
        <f t="shared" si="32"/>
        <v>4455304.8853818178</v>
      </c>
      <c r="O101" s="198"/>
      <c r="P101" s="198"/>
      <c r="Q101" s="208"/>
      <c r="R101" s="192"/>
      <c r="S101" s="186"/>
    </row>
    <row r="102" spans="1:35">
      <c r="A102" s="182" t="str">
        <f t="shared" si="31"/>
        <v>شرم الشيخ</v>
      </c>
      <c r="B102" s="177">
        <v>-2190344.0727660805</v>
      </c>
      <c r="C102" s="177">
        <v>8901.4718675687909</v>
      </c>
      <c r="D102" s="177">
        <v>183.43780577927828</v>
      </c>
      <c r="E102" s="177">
        <v>0</v>
      </c>
      <c r="F102" s="177">
        <v>-38173.199032589793</v>
      </c>
      <c r="G102" s="177">
        <f>$J$25-($N40+B102+C102+D102+F102+E102)</f>
        <v>248906.24290242046</v>
      </c>
      <c r="H102" s="48">
        <v>0</v>
      </c>
      <c r="I102" s="48">
        <v>0</v>
      </c>
      <c r="J102" s="48">
        <v>0</v>
      </c>
      <c r="K102" s="48">
        <v>0</v>
      </c>
      <c r="L102" s="48">
        <v>0</v>
      </c>
      <c r="M102" s="48">
        <v>0</v>
      </c>
      <c r="N102" s="48">
        <f t="shared" si="32"/>
        <v>-1970526.1192229018</v>
      </c>
      <c r="O102" s="198"/>
      <c r="P102" s="198"/>
      <c r="Q102" s="208"/>
      <c r="R102" s="192"/>
      <c r="S102" s="186"/>
    </row>
    <row r="103" spans="1:35">
      <c r="A103" s="184" t="str">
        <f t="shared" si="31"/>
        <v>عمائر اب تاون 53</v>
      </c>
      <c r="B103" s="177">
        <v>-1289776.9799881056</v>
      </c>
      <c r="C103" s="177">
        <v>2326534.120706588</v>
      </c>
      <c r="D103" s="177">
        <v>18571915.308639586</v>
      </c>
      <c r="E103" s="177">
        <v>10198112.238815665</v>
      </c>
      <c r="F103" s="177">
        <v>-2171709.355559051</v>
      </c>
      <c r="G103" s="177">
        <f>$K$25-($N41+B103+C103+D103+F103+E103)</f>
        <v>-5762951.1193408668</v>
      </c>
      <c r="H103" s="48">
        <v>0</v>
      </c>
      <c r="I103" s="48">
        <v>0</v>
      </c>
      <c r="J103" s="48">
        <v>0</v>
      </c>
      <c r="K103" s="48">
        <v>0</v>
      </c>
      <c r="L103" s="48">
        <v>0</v>
      </c>
      <c r="M103" s="48">
        <v>0</v>
      </c>
      <c r="N103" s="48">
        <f t="shared" si="32"/>
        <v>21872124.213273816</v>
      </c>
      <c r="O103" s="198"/>
      <c r="P103" s="198"/>
      <c r="Q103" s="208"/>
      <c r="R103" s="192"/>
      <c r="S103" s="186"/>
    </row>
    <row r="104" spans="1:35">
      <c r="A104" s="182" t="str">
        <f t="shared" si="31"/>
        <v>New Giza phase 2</v>
      </c>
      <c r="B104" s="177">
        <v>13484727.374627221</v>
      </c>
      <c r="C104" s="177">
        <v>-9745922.4243576676</v>
      </c>
      <c r="D104" s="177">
        <v>5544573.0967427343</v>
      </c>
      <c r="E104" s="177">
        <v>-302826.81454759464</v>
      </c>
      <c r="F104" s="177">
        <v>-2442414.3279058039</v>
      </c>
      <c r="G104" s="177">
        <f>$L$25-($N42+B104+C104+D104+F104+E104)</f>
        <v>-1078778.5515228212</v>
      </c>
      <c r="H104" s="48">
        <v>0</v>
      </c>
      <c r="I104" s="48">
        <v>0</v>
      </c>
      <c r="J104" s="48">
        <v>0</v>
      </c>
      <c r="K104" s="48">
        <v>0</v>
      </c>
      <c r="L104" s="48">
        <v>0</v>
      </c>
      <c r="M104" s="48">
        <v>0</v>
      </c>
      <c r="N104" s="48">
        <f t="shared" si="32"/>
        <v>5459358.3530360684</v>
      </c>
      <c r="O104" s="198"/>
      <c r="P104" s="198"/>
      <c r="Q104" s="208"/>
      <c r="R104" s="192"/>
      <c r="S104" s="186"/>
    </row>
    <row r="105" spans="1:35">
      <c r="A105" s="182" t="str">
        <f t="shared" si="31"/>
        <v>Beni suef</v>
      </c>
      <c r="B105" s="177">
        <v>9668069.4330663159</v>
      </c>
      <c r="C105" s="177">
        <v>-3078882.200820744</v>
      </c>
      <c r="D105" s="177">
        <v>-23576370.050685935</v>
      </c>
      <c r="E105" s="177">
        <v>-12684301.400387459</v>
      </c>
      <c r="F105" s="177">
        <v>5483826.475980401</v>
      </c>
      <c r="G105" s="177">
        <f>$M$25-($N43+B105+C105+D105+F105+E105)</f>
        <v>4717369.9451926947</v>
      </c>
      <c r="H105" s="48">
        <v>0</v>
      </c>
      <c r="I105" s="48">
        <v>0</v>
      </c>
      <c r="J105" s="48">
        <v>0</v>
      </c>
      <c r="K105" s="48">
        <v>0</v>
      </c>
      <c r="L105" s="48">
        <v>0</v>
      </c>
      <c r="M105" s="48">
        <v>0</v>
      </c>
      <c r="N105" s="48">
        <f t="shared" si="32"/>
        <v>-19470287.797654726</v>
      </c>
      <c r="O105" s="198"/>
      <c r="P105" s="198"/>
      <c r="Q105" s="208"/>
      <c r="R105" s="192"/>
      <c r="S105" s="186"/>
    </row>
    <row r="106" spans="1:35">
      <c r="A106" s="182" t="str">
        <f t="shared" si="31"/>
        <v>كوبرى الشيخ بن زايد - كوبرى العاصمة</v>
      </c>
      <c r="B106" s="177">
        <v>-0.73245953395962715</v>
      </c>
      <c r="C106" s="177">
        <v>0</v>
      </c>
      <c r="D106" s="177">
        <v>0</v>
      </c>
      <c r="E106" s="177">
        <v>-1.1175870895385742E-8</v>
      </c>
      <c r="F106" s="177">
        <v>1.4901161193847656E-8</v>
      </c>
      <c r="G106" s="177">
        <f>$N$25-($N44+B106+C106+D106+F106+E106)</f>
        <v>1.4901161193847656E-8</v>
      </c>
      <c r="H106" s="48">
        <v>0</v>
      </c>
      <c r="I106" s="48">
        <v>0</v>
      </c>
      <c r="J106" s="48">
        <v>0</v>
      </c>
      <c r="K106" s="48">
        <v>0</v>
      </c>
      <c r="L106" s="48">
        <v>0</v>
      </c>
      <c r="M106" s="48">
        <v>0</v>
      </c>
      <c r="N106" s="48">
        <f t="shared" si="32"/>
        <v>-0.73245951533317566</v>
      </c>
      <c r="O106" s="198"/>
      <c r="P106" s="198"/>
      <c r="Q106" s="208"/>
      <c r="R106" s="192"/>
      <c r="S106" s="186"/>
    </row>
    <row r="107" spans="1:35">
      <c r="A107" s="182" t="str">
        <f t="shared" si="31"/>
        <v>جبل الزيت - GAMISA</v>
      </c>
      <c r="B107" s="177">
        <v>-409628.42566364631</v>
      </c>
      <c r="C107" s="177">
        <v>223871.74653372169</v>
      </c>
      <c r="D107" s="177">
        <v>4872398.4315766841</v>
      </c>
      <c r="E107" s="73">
        <v>-6901475.3721146137</v>
      </c>
      <c r="F107" s="73">
        <v>2478418.9753649235</v>
      </c>
      <c r="G107" s="73">
        <f>$O$25-($N45+B107+C107+D107+F107+E107)</f>
        <v>-6586241.2166400105</v>
      </c>
      <c r="H107" s="48">
        <v>0</v>
      </c>
      <c r="I107" s="48">
        <v>0</v>
      </c>
      <c r="J107" s="48">
        <v>0</v>
      </c>
      <c r="K107" s="48">
        <v>0</v>
      </c>
      <c r="L107" s="48">
        <v>0</v>
      </c>
      <c r="M107" s="48">
        <v>0</v>
      </c>
      <c r="N107" s="48">
        <f t="shared" si="32"/>
        <v>-6322655.8609429412</v>
      </c>
      <c r="O107" s="198"/>
      <c r="P107" s="198"/>
      <c r="Q107" s="208"/>
      <c r="R107" s="192"/>
      <c r="S107" s="186"/>
    </row>
    <row r="108" spans="1:35">
      <c r="A108" s="182" t="s">
        <v>61</v>
      </c>
      <c r="B108" s="177">
        <v>0.59196461550891399</v>
      </c>
      <c r="C108" s="177">
        <v>0</v>
      </c>
      <c r="D108" s="177">
        <v>0</v>
      </c>
      <c r="E108" s="177">
        <v>0</v>
      </c>
      <c r="F108" s="177">
        <v>0</v>
      </c>
      <c r="G108" s="177">
        <f>$R$25-($N46+B108+C108+D108+F108+E108)</f>
        <v>0</v>
      </c>
      <c r="H108" s="48">
        <v>0</v>
      </c>
      <c r="I108" s="48">
        <v>0</v>
      </c>
      <c r="J108" s="48">
        <v>0</v>
      </c>
      <c r="K108" s="48">
        <v>0</v>
      </c>
      <c r="L108" s="48">
        <v>0</v>
      </c>
      <c r="M108" s="48">
        <v>0</v>
      </c>
      <c r="N108" s="48">
        <f>SUM(B108:M108)</f>
        <v>0.59196461550891399</v>
      </c>
      <c r="O108" s="198"/>
      <c r="P108" s="198"/>
      <c r="Q108" s="208"/>
      <c r="R108" s="192"/>
      <c r="S108" s="186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</row>
    <row r="109" spans="1:35">
      <c r="A109" s="184" t="s">
        <v>62</v>
      </c>
      <c r="B109" s="177">
        <v>5477417.0559441</v>
      </c>
      <c r="C109" s="177">
        <v>-25464640.817662157</v>
      </c>
      <c r="D109" s="177">
        <v>5739030.6356807277</v>
      </c>
      <c r="E109" s="177">
        <v>11408688.216917053</v>
      </c>
      <c r="F109" s="177">
        <v>-158625.79634013772</v>
      </c>
      <c r="G109" s="177">
        <f>$Q$25-($N47+B109+C109+D109+F109+E109)</f>
        <v>2195496.138257727</v>
      </c>
      <c r="H109" s="48">
        <v>0</v>
      </c>
      <c r="I109" s="48">
        <v>0</v>
      </c>
      <c r="J109" s="48">
        <v>0</v>
      </c>
      <c r="K109" s="48">
        <v>0</v>
      </c>
      <c r="L109" s="48">
        <v>0</v>
      </c>
      <c r="M109" s="48">
        <v>0</v>
      </c>
      <c r="N109" s="48">
        <f>SUM(B109:M109)</f>
        <v>-802634.56720268726</v>
      </c>
      <c r="O109" s="198"/>
      <c r="P109" s="198"/>
      <c r="Q109" s="208"/>
      <c r="R109" s="192"/>
      <c r="S109" s="186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</row>
    <row r="110" spans="1:35">
      <c r="A110" s="182" t="s">
        <v>64</v>
      </c>
      <c r="B110" s="177">
        <v>222817.40985463373</v>
      </c>
      <c r="C110" s="177">
        <v>226618.98715309426</v>
      </c>
      <c r="D110" s="177">
        <v>2743267.6278729606</v>
      </c>
      <c r="E110" s="177">
        <v>-224505.71280003246</v>
      </c>
      <c r="F110" s="177">
        <v>-458385.986138165</v>
      </c>
      <c r="G110" s="177">
        <f>$P$25-($N48+B110+C110+D110+F110+E110)</f>
        <v>722202.06303227134</v>
      </c>
      <c r="H110" s="48">
        <v>0</v>
      </c>
      <c r="I110" s="48">
        <v>0</v>
      </c>
      <c r="J110" s="48">
        <v>0</v>
      </c>
      <c r="K110" s="48">
        <v>0</v>
      </c>
      <c r="L110" s="48">
        <v>0</v>
      </c>
      <c r="M110" s="48">
        <v>0</v>
      </c>
      <c r="N110" s="48">
        <f>SUM(B110:M110)</f>
        <v>3232014.3889747625</v>
      </c>
      <c r="O110" s="198"/>
      <c r="P110" s="198"/>
      <c r="Q110" s="208"/>
      <c r="R110" s="192"/>
      <c r="S110" s="186"/>
    </row>
    <row r="111" spans="1:35">
      <c r="A111" s="182" t="s">
        <v>65</v>
      </c>
      <c r="B111" s="177">
        <v>1648.6961684369016</v>
      </c>
      <c r="C111" s="177">
        <v>30.864165402250364</v>
      </c>
      <c r="D111" s="177">
        <v>-816339.8817071321</v>
      </c>
      <c r="E111" s="177">
        <v>0</v>
      </c>
      <c r="F111" s="177">
        <v>-566073.69168579066</v>
      </c>
      <c r="G111" s="177">
        <f>$S$25-($N49+B111+C111+D111+F111+E111)</f>
        <v>1735745.9764962064</v>
      </c>
      <c r="H111" s="48">
        <v>0</v>
      </c>
      <c r="I111" s="48">
        <v>0</v>
      </c>
      <c r="J111" s="48">
        <v>0</v>
      </c>
      <c r="K111" s="48">
        <v>0</v>
      </c>
      <c r="L111" s="48">
        <v>0</v>
      </c>
      <c r="M111" s="48">
        <v>0</v>
      </c>
      <c r="N111" s="48">
        <f t="shared" si="32"/>
        <v>355011.96343712276</v>
      </c>
      <c r="O111" s="198"/>
      <c r="P111" s="198"/>
      <c r="Q111" s="208"/>
      <c r="R111" s="192"/>
      <c r="S111" s="186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</row>
    <row r="112" spans="1:35">
      <c r="A112" s="184" t="s">
        <v>68</v>
      </c>
      <c r="B112" s="177">
        <v>-104050003.44783127</v>
      </c>
      <c r="C112" s="177">
        <v>25507100.305189461</v>
      </c>
      <c r="D112" s="177">
        <v>-25672478.468066186</v>
      </c>
      <c r="E112" s="177">
        <v>27839231.31042698</v>
      </c>
      <c r="F112" s="177">
        <v>-35662592.906287074</v>
      </c>
      <c r="G112" s="177">
        <f>$T$25-($N50+B112+C112+D112+F112+E112)</f>
        <v>17866169.81486851</v>
      </c>
      <c r="H112" s="48">
        <v>0</v>
      </c>
      <c r="I112" s="48">
        <v>0</v>
      </c>
      <c r="J112" s="48">
        <v>0</v>
      </c>
      <c r="K112" s="48">
        <v>0</v>
      </c>
      <c r="L112" s="48">
        <v>0</v>
      </c>
      <c r="M112" s="48">
        <v>0</v>
      </c>
      <c r="N112" s="48">
        <f t="shared" si="32"/>
        <v>-94172573.391699582</v>
      </c>
      <c r="O112" s="198"/>
      <c r="P112" s="198"/>
      <c r="Q112" s="208"/>
      <c r="R112" s="192"/>
      <c r="S112" s="186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</row>
    <row r="113" spans="1:36">
      <c r="A113" s="182" t="s">
        <v>69</v>
      </c>
      <c r="B113" s="177">
        <v>-132676.78510322049</v>
      </c>
      <c r="C113" s="177">
        <v>64419.615840960294</v>
      </c>
      <c r="D113" s="177">
        <v>945863.21006417088</v>
      </c>
      <c r="E113" s="177">
        <v>-18216869.774217121</v>
      </c>
      <c r="F113" s="177">
        <v>806779.52487168834</v>
      </c>
      <c r="G113" s="177">
        <f>$U$25-($N51+B113+C113+D113+F113+E113)</f>
        <v>133705.72235824727</v>
      </c>
      <c r="H113" s="48">
        <v>0</v>
      </c>
      <c r="I113" s="48">
        <v>0</v>
      </c>
      <c r="J113" s="48">
        <v>0</v>
      </c>
      <c r="K113" s="48">
        <v>0</v>
      </c>
      <c r="L113" s="48">
        <v>0</v>
      </c>
      <c r="M113" s="48">
        <v>0</v>
      </c>
      <c r="N113" s="48">
        <f t="shared" si="32"/>
        <v>-16398778.486185273</v>
      </c>
      <c r="O113" s="198"/>
      <c r="P113" s="198"/>
      <c r="Q113" s="208"/>
      <c r="R113" s="192"/>
      <c r="S113" s="186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</row>
    <row r="114" spans="1:36">
      <c r="A114" s="182" t="s">
        <v>73</v>
      </c>
      <c r="B114" s="177">
        <v>-18324358.630861357</v>
      </c>
      <c r="C114" s="177">
        <v>16959679.107814029</v>
      </c>
      <c r="D114" s="177">
        <v>11232991.7916639</v>
      </c>
      <c r="E114" s="177">
        <v>-3783332.7017607689</v>
      </c>
      <c r="F114" s="177">
        <v>17562459.722131178</v>
      </c>
      <c r="G114" s="177">
        <f>$V$25-($N52+B114+C114+D114+F114+E114)</f>
        <v>-1935702.8923830986</v>
      </c>
      <c r="H114" s="48">
        <v>0</v>
      </c>
      <c r="I114" s="48">
        <v>0</v>
      </c>
      <c r="J114" s="48">
        <v>0</v>
      </c>
      <c r="K114" s="48">
        <v>0</v>
      </c>
      <c r="L114" s="48">
        <v>0</v>
      </c>
      <c r="M114" s="48">
        <v>0</v>
      </c>
      <c r="N114" s="48">
        <f t="shared" ref="N114:N127" si="33">SUM(B114:M114)</f>
        <v>21711736.396603882</v>
      </c>
      <c r="O114" s="198"/>
      <c r="P114" s="198"/>
      <c r="Q114" s="208"/>
      <c r="R114" s="192"/>
      <c r="S114" s="186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</row>
    <row r="115" spans="1:36">
      <c r="A115" s="184" t="s">
        <v>74</v>
      </c>
      <c r="B115" s="177">
        <v>38519.472273664549</v>
      </c>
      <c r="C115" s="177">
        <v>721.19038276840001</v>
      </c>
      <c r="D115" s="177">
        <v>-1442.7007655366833</v>
      </c>
      <c r="E115" s="177">
        <v>72525.8394221497</v>
      </c>
      <c r="F115" s="177">
        <v>184.41160156833939</v>
      </c>
      <c r="G115" s="177">
        <f>$W$25-($N53+B115+C115+D115+F115+E115)</f>
        <v>-558482.29365639971</v>
      </c>
      <c r="H115" s="48">
        <v>0</v>
      </c>
      <c r="I115" s="48">
        <v>0</v>
      </c>
      <c r="J115" s="48">
        <v>0</v>
      </c>
      <c r="K115" s="48">
        <v>0</v>
      </c>
      <c r="L115" s="48">
        <v>0</v>
      </c>
      <c r="M115" s="48">
        <v>0</v>
      </c>
      <c r="N115" s="48">
        <f t="shared" si="33"/>
        <v>-447974.08074178541</v>
      </c>
      <c r="O115" s="198"/>
      <c r="P115" s="198"/>
      <c r="Q115" s="208"/>
      <c r="R115" s="192"/>
      <c r="S115" s="186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</row>
    <row r="116" spans="1:36">
      <c r="A116" s="184" t="s">
        <v>85</v>
      </c>
      <c r="B116" s="177">
        <v>131051.83296508483</v>
      </c>
      <c r="C116" s="177">
        <v>63494.907723525641</v>
      </c>
      <c r="D116" s="177">
        <v>87111.168373832654</v>
      </c>
      <c r="E116" s="177">
        <v>20415.231831592449</v>
      </c>
      <c r="F116" s="177">
        <v>77627.96296072012</v>
      </c>
      <c r="G116" s="177">
        <f>$X$25-($N54+B116+C116+D116+F116+E116)</f>
        <v>71336.715139655222</v>
      </c>
      <c r="H116" s="48">
        <v>0</v>
      </c>
      <c r="I116" s="48">
        <v>0</v>
      </c>
      <c r="J116" s="48">
        <v>0</v>
      </c>
      <c r="K116" s="48">
        <v>0</v>
      </c>
      <c r="L116" s="48">
        <v>0</v>
      </c>
      <c r="M116" s="48">
        <v>0</v>
      </c>
      <c r="N116" s="48">
        <f t="shared" si="33"/>
        <v>451037.81899441092</v>
      </c>
      <c r="O116" s="198"/>
      <c r="P116" s="198"/>
      <c r="Q116" s="208"/>
      <c r="R116" s="192"/>
      <c r="S116" s="186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</row>
    <row r="117" spans="1:36">
      <c r="A117" s="182" t="s">
        <v>86</v>
      </c>
      <c r="B117" s="177">
        <v>1223698.5982054472</v>
      </c>
      <c r="C117" s="177">
        <v>970386.47879327647</v>
      </c>
      <c r="D117" s="177">
        <v>1058124.3461444378</v>
      </c>
      <c r="E117" s="73">
        <v>-7366630.974365348</v>
      </c>
      <c r="F117" s="73">
        <v>57293.448797315359</v>
      </c>
      <c r="G117" s="73">
        <f>$Y$25-($N55+B117+C117+D117+F117+E117)</f>
        <v>3834108.6464461312</v>
      </c>
      <c r="H117" s="48">
        <v>0</v>
      </c>
      <c r="I117" s="48">
        <v>0</v>
      </c>
      <c r="J117" s="48">
        <v>0</v>
      </c>
      <c r="K117" s="48">
        <v>0</v>
      </c>
      <c r="L117" s="48">
        <v>0</v>
      </c>
      <c r="M117" s="48">
        <v>0</v>
      </c>
      <c r="N117" s="48">
        <f t="shared" si="33"/>
        <v>-223019.45597874001</v>
      </c>
      <c r="O117" s="198"/>
      <c r="P117" s="198"/>
      <c r="Q117" s="208"/>
      <c r="R117" s="192"/>
      <c r="S117" s="186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</row>
    <row r="118" spans="1:36">
      <c r="A118" s="182" t="s">
        <v>87</v>
      </c>
      <c r="B118" s="177">
        <v>-15234631.725587217</v>
      </c>
      <c r="C118" s="177">
        <v>5296789.7524326826</v>
      </c>
      <c r="D118" s="177">
        <v>12897667.005983518</v>
      </c>
      <c r="E118" s="73">
        <v>-14318942.884290971</v>
      </c>
      <c r="F118" s="73">
        <v>5381515.0304640979</v>
      </c>
      <c r="G118" s="73">
        <f>$Z$25-($N56+B118+C118+D118+F118+E118)</f>
        <v>5652996.7694577277</v>
      </c>
      <c r="H118" s="48">
        <v>0</v>
      </c>
      <c r="I118" s="48">
        <v>0</v>
      </c>
      <c r="J118" s="48">
        <v>0</v>
      </c>
      <c r="K118" s="48">
        <v>0</v>
      </c>
      <c r="L118" s="48">
        <v>0</v>
      </c>
      <c r="M118" s="48">
        <v>0</v>
      </c>
      <c r="N118" s="48">
        <f t="shared" si="33"/>
        <v>-324606.05154016055</v>
      </c>
      <c r="O118" s="198"/>
      <c r="P118" s="198"/>
      <c r="Q118" s="208"/>
      <c r="R118" s="192"/>
      <c r="S118" s="186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</row>
    <row r="119" spans="1:36">
      <c r="A119" s="184" t="s">
        <v>90</v>
      </c>
      <c r="B119" s="177">
        <v>249598.52289495949</v>
      </c>
      <c r="C119" s="177">
        <v>1452211.7102400896</v>
      </c>
      <c r="D119" s="177">
        <v>2131553.8830435872</v>
      </c>
      <c r="E119" s="177">
        <v>1975381.1933712251</v>
      </c>
      <c r="F119" s="177">
        <v>-1812617.1341781113</v>
      </c>
      <c r="G119" s="177">
        <f>$AA$25-($N57+B119+C119+D119+F119+E119)</f>
        <v>-2453302.9694101736</v>
      </c>
      <c r="H119" s="48">
        <v>0</v>
      </c>
      <c r="I119" s="48">
        <v>0</v>
      </c>
      <c r="J119" s="48">
        <v>0</v>
      </c>
      <c r="K119" s="48">
        <v>0</v>
      </c>
      <c r="L119" s="48">
        <v>0</v>
      </c>
      <c r="M119" s="48">
        <v>0</v>
      </c>
      <c r="N119" s="48">
        <f t="shared" si="33"/>
        <v>1542825.2059615767</v>
      </c>
      <c r="O119" s="198"/>
      <c r="P119" s="198"/>
      <c r="Q119" s="208"/>
      <c r="R119" s="192"/>
      <c r="S119" s="186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</row>
    <row r="120" spans="1:36">
      <c r="A120" s="184" t="s">
        <v>93</v>
      </c>
      <c r="B120" s="177">
        <v>1873979.1671948864</v>
      </c>
      <c r="C120" s="177">
        <v>936594.67477983353</v>
      </c>
      <c r="D120" s="177">
        <v>3901810.8213731344</v>
      </c>
      <c r="E120" s="177">
        <v>2406914.774069841</v>
      </c>
      <c r="F120" s="177">
        <v>1993261.0959156379</v>
      </c>
      <c r="G120" s="177">
        <f>$AB$25-($N58+B120+C120+D120+F120+E120)</f>
        <v>3426700.7066666652</v>
      </c>
      <c r="H120" s="48">
        <v>0</v>
      </c>
      <c r="I120" s="48">
        <v>0</v>
      </c>
      <c r="J120" s="48">
        <v>0</v>
      </c>
      <c r="K120" s="48">
        <v>0</v>
      </c>
      <c r="L120" s="48">
        <v>0</v>
      </c>
      <c r="M120" s="48">
        <v>0</v>
      </c>
      <c r="N120" s="48">
        <f t="shared" si="33"/>
        <v>14539261.239999998</v>
      </c>
      <c r="O120" s="198"/>
      <c r="P120" s="198"/>
      <c r="Q120" s="208"/>
      <c r="R120" s="192"/>
      <c r="S120" s="186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</row>
    <row r="121" spans="1:36">
      <c r="A121" s="184" t="s">
        <v>94</v>
      </c>
      <c r="B121" s="177">
        <v>0</v>
      </c>
      <c r="C121" s="177">
        <v>0</v>
      </c>
      <c r="D121" s="177">
        <v>4159367.6120768529</v>
      </c>
      <c r="E121" s="177">
        <v>7080592.6235132683</v>
      </c>
      <c r="F121" s="177">
        <v>13015613.117566327</v>
      </c>
      <c r="G121" s="177">
        <f>$AC$25-($N59+B121+C121+D121+F121+E121)</f>
        <v>4641892.7607502304</v>
      </c>
      <c r="H121" s="48">
        <v>0</v>
      </c>
      <c r="I121" s="48">
        <v>0</v>
      </c>
      <c r="J121" s="48">
        <v>0</v>
      </c>
      <c r="K121" s="48">
        <v>0</v>
      </c>
      <c r="L121" s="48">
        <v>0</v>
      </c>
      <c r="M121" s="48">
        <v>0</v>
      </c>
      <c r="N121" s="48">
        <f t="shared" si="33"/>
        <v>28897466.113906678</v>
      </c>
      <c r="O121" s="198"/>
      <c r="P121" s="198"/>
      <c r="Q121" s="208"/>
      <c r="R121" s="192"/>
      <c r="S121" s="186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</row>
    <row r="122" spans="1:36">
      <c r="A122" s="184" t="s">
        <v>95</v>
      </c>
      <c r="B122" s="177">
        <v>0</v>
      </c>
      <c r="C122" s="177">
        <v>0</v>
      </c>
      <c r="D122" s="177">
        <v>623892.17692013318</v>
      </c>
      <c r="E122" s="177">
        <v>405624.91428653558</v>
      </c>
      <c r="F122" s="177">
        <v>290577.04815269832</v>
      </c>
      <c r="G122" s="177">
        <f>$AD$25-($N60+B122+C122+D122+F122+E122)</f>
        <v>304722.2018625394</v>
      </c>
      <c r="H122" s="48">
        <v>0</v>
      </c>
      <c r="I122" s="48">
        <v>0</v>
      </c>
      <c r="J122" s="48">
        <v>0</v>
      </c>
      <c r="K122" s="48">
        <v>0</v>
      </c>
      <c r="L122" s="48">
        <v>0</v>
      </c>
      <c r="M122" s="48">
        <v>0</v>
      </c>
      <c r="N122" s="48">
        <f t="shared" si="33"/>
        <v>1624816.3412219065</v>
      </c>
      <c r="O122" s="198"/>
      <c r="P122" s="198"/>
      <c r="Q122" s="208"/>
      <c r="R122" s="192"/>
      <c r="S122" s="186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</row>
    <row r="123" spans="1:36">
      <c r="A123" s="224" t="s">
        <v>127</v>
      </c>
      <c r="B123" s="48"/>
      <c r="C123" s="48"/>
      <c r="D123" s="48"/>
      <c r="E123" s="48"/>
      <c r="F123" s="177">
        <v>33831.050508397821</v>
      </c>
      <c r="G123" s="177">
        <f>$AE$25-($N61+B123+C123+D123+F123+E123)</f>
        <v>18393.956509300493</v>
      </c>
      <c r="H123" s="48">
        <v>0</v>
      </c>
      <c r="I123" s="48">
        <v>0</v>
      </c>
      <c r="J123" s="48">
        <v>0</v>
      </c>
      <c r="K123" s="48">
        <v>0</v>
      </c>
      <c r="L123" s="48">
        <v>0</v>
      </c>
      <c r="M123" s="48">
        <v>0</v>
      </c>
      <c r="N123" s="48">
        <f t="shared" si="33"/>
        <v>52225.007017698314</v>
      </c>
      <c r="O123" s="198"/>
      <c r="P123" s="198"/>
      <c r="Q123" s="208"/>
      <c r="R123" s="192"/>
      <c r="S123" s="197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</row>
    <row r="124" spans="1:36">
      <c r="A124" s="224" t="s">
        <v>128</v>
      </c>
      <c r="B124" s="48"/>
      <c r="C124" s="48"/>
      <c r="D124" s="48"/>
      <c r="E124" s="48"/>
      <c r="F124" s="177">
        <v>1724840.4392405064</v>
      </c>
      <c r="G124" s="177">
        <f>$AF$25-($N62+B124+C124+D124+F124+E124)</f>
        <v>2426707.2534177215</v>
      </c>
      <c r="H124" s="48">
        <v>0</v>
      </c>
      <c r="I124" s="48">
        <v>0</v>
      </c>
      <c r="J124" s="48">
        <v>0</v>
      </c>
      <c r="K124" s="48">
        <v>0</v>
      </c>
      <c r="L124" s="48">
        <v>0</v>
      </c>
      <c r="M124" s="48">
        <v>0</v>
      </c>
      <c r="N124" s="48">
        <f t="shared" si="33"/>
        <v>4151547.6926582279</v>
      </c>
      <c r="O124" s="198"/>
      <c r="P124" s="198"/>
      <c r="Q124" s="208"/>
      <c r="R124" s="192"/>
      <c r="S124" s="197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</row>
    <row r="125" spans="1:36">
      <c r="A125" s="224" t="s">
        <v>129</v>
      </c>
      <c r="B125" s="48"/>
      <c r="C125" s="48"/>
      <c r="D125" s="48"/>
      <c r="E125" s="48"/>
      <c r="F125" s="177">
        <v>156022.50262403436</v>
      </c>
      <c r="G125" s="177">
        <f>$AG$25-($N63+B125+C125+D125+F125+E125)</f>
        <v>546330.88888498093</v>
      </c>
      <c r="H125" s="48">
        <v>0</v>
      </c>
      <c r="I125" s="48">
        <v>0</v>
      </c>
      <c r="J125" s="48">
        <v>0</v>
      </c>
      <c r="K125" s="48">
        <v>0</v>
      </c>
      <c r="L125" s="48">
        <v>0</v>
      </c>
      <c r="M125" s="48">
        <v>0</v>
      </c>
      <c r="N125" s="48">
        <f t="shared" si="33"/>
        <v>702353.39150901535</v>
      </c>
      <c r="O125" s="198"/>
      <c r="P125" s="198"/>
      <c r="Q125" s="208"/>
      <c r="R125" s="192"/>
      <c r="S125" s="197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</row>
    <row r="126" spans="1:36">
      <c r="A126" s="224" t="s">
        <v>130</v>
      </c>
      <c r="B126" s="48"/>
      <c r="C126" s="48"/>
      <c r="D126" s="48"/>
      <c r="E126" s="48"/>
      <c r="F126" s="177">
        <v>-366165.11111111112</v>
      </c>
      <c r="G126" s="177">
        <f>$AH$25-($N64+B126+C126+D126+F126+E126)</f>
        <v>66382.966666666674</v>
      </c>
      <c r="H126" s="48">
        <v>0</v>
      </c>
      <c r="I126" s="48">
        <v>0</v>
      </c>
      <c r="J126" s="48">
        <v>0</v>
      </c>
      <c r="K126" s="48">
        <v>0</v>
      </c>
      <c r="L126" s="48">
        <v>0</v>
      </c>
      <c r="M126" s="48">
        <v>0</v>
      </c>
      <c r="N126" s="48">
        <f t="shared" si="33"/>
        <v>-299782.14444444445</v>
      </c>
      <c r="O126" s="198"/>
      <c r="P126" s="198"/>
      <c r="Q126" s="208"/>
      <c r="R126" s="192"/>
      <c r="S126" s="197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</row>
    <row r="127" spans="1:36">
      <c r="A127" s="182" t="s">
        <v>132</v>
      </c>
      <c r="B127" s="177"/>
      <c r="C127" s="177"/>
      <c r="D127" s="177"/>
      <c r="E127" s="177"/>
      <c r="F127" s="177">
        <v>0</v>
      </c>
      <c r="G127" s="177">
        <f>$AI$25-($N65+B127+C127+D127+F127+E127)</f>
        <v>5274035.1428571427</v>
      </c>
      <c r="H127" s="48">
        <v>0</v>
      </c>
      <c r="I127" s="48">
        <v>0</v>
      </c>
      <c r="J127" s="48">
        <v>0</v>
      </c>
      <c r="K127" s="48">
        <v>0</v>
      </c>
      <c r="L127" s="48">
        <v>0</v>
      </c>
      <c r="M127" s="48">
        <v>0</v>
      </c>
      <c r="N127" s="48">
        <f t="shared" si="33"/>
        <v>5274035.1428571427</v>
      </c>
      <c r="P127" s="52"/>
      <c r="Q127" s="208"/>
      <c r="R127" s="192"/>
      <c r="S127" s="228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  <c r="AJ127" s="52"/>
    </row>
    <row r="128" spans="1:36" ht="15.75" thickBot="1">
      <c r="A128" s="183" t="s">
        <v>37</v>
      </c>
      <c r="B128" s="67">
        <f t="shared" ref="B128:N128" si="34">SUM(B94:B127)</f>
        <v>-102166282.52983603</v>
      </c>
      <c r="C128" s="67">
        <f t="shared" si="34"/>
        <v>10499703.515476866</v>
      </c>
      <c r="D128" s="67">
        <f t="shared" si="34"/>
        <v>24058568.439064007</v>
      </c>
      <c r="E128" s="67">
        <f t="shared" si="34"/>
        <v>-2987127.0390227004</v>
      </c>
      <c r="F128" s="67">
        <f t="shared" si="34"/>
        <v>7467957.8778724279</v>
      </c>
      <c r="G128" s="67">
        <f t="shared" si="34"/>
        <v>25315491.205808189</v>
      </c>
      <c r="H128" s="67">
        <f t="shared" si="34"/>
        <v>0</v>
      </c>
      <c r="I128" s="67">
        <f t="shared" si="34"/>
        <v>0</v>
      </c>
      <c r="J128" s="67">
        <f t="shared" si="34"/>
        <v>0</v>
      </c>
      <c r="K128" s="67">
        <f t="shared" si="34"/>
        <v>0</v>
      </c>
      <c r="L128" s="67">
        <f t="shared" si="34"/>
        <v>0</v>
      </c>
      <c r="M128" s="67">
        <f t="shared" si="34"/>
        <v>0</v>
      </c>
      <c r="N128" s="67">
        <f t="shared" si="34"/>
        <v>-37811688.530637234</v>
      </c>
      <c r="O128" s="198"/>
      <c r="P128" s="198"/>
      <c r="Q128" s="208"/>
      <c r="R128" s="192"/>
      <c r="S128" s="186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</row>
    <row r="129" spans="1:35" ht="15.75" thickTop="1">
      <c r="A129" s="45" t="s">
        <v>54</v>
      </c>
      <c r="B129" s="84"/>
      <c r="C129" s="84"/>
      <c r="D129" s="84"/>
      <c r="E129" s="84"/>
      <c r="F129" s="84"/>
      <c r="G129" s="84"/>
      <c r="H129" s="84"/>
      <c r="I129" s="84"/>
      <c r="J129" s="84"/>
      <c r="K129" s="84"/>
      <c r="L129" s="84"/>
      <c r="M129" s="84"/>
      <c r="N129" s="84"/>
      <c r="O129" s="198"/>
      <c r="P129" s="198"/>
      <c r="Q129" s="208"/>
      <c r="R129" s="192"/>
      <c r="S129" s="186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</row>
    <row r="130" spans="1:35">
      <c r="A130" s="47" t="str">
        <f t="shared" ref="A130:A138" si="35">A68</f>
        <v>كباري مراسي pkg#37</v>
      </c>
      <c r="B130" s="48">
        <f t="shared" ref="B130:M130" si="36">B68*-1</f>
        <v>0</v>
      </c>
      <c r="C130" s="48">
        <f>C68*-1</f>
        <v>0</v>
      </c>
      <c r="D130" s="48">
        <f t="shared" si="36"/>
        <v>0</v>
      </c>
      <c r="E130" s="48">
        <f t="shared" si="36"/>
        <v>0</v>
      </c>
      <c r="F130" s="48">
        <f t="shared" si="36"/>
        <v>0</v>
      </c>
      <c r="G130" s="48">
        <f t="shared" si="36"/>
        <v>0</v>
      </c>
      <c r="H130" s="48">
        <f t="shared" si="36"/>
        <v>0</v>
      </c>
      <c r="I130" s="48">
        <f t="shared" si="36"/>
        <v>0</v>
      </c>
      <c r="J130" s="48">
        <f t="shared" si="36"/>
        <v>0</v>
      </c>
      <c r="K130" s="48">
        <f t="shared" si="36"/>
        <v>0</v>
      </c>
      <c r="L130" s="48">
        <f t="shared" si="36"/>
        <v>0</v>
      </c>
      <c r="M130" s="48">
        <f t="shared" si="36"/>
        <v>0</v>
      </c>
      <c r="N130" s="48">
        <f t="shared" ref="N130:N140" si="37">SUM(B130:M130)</f>
        <v>0</v>
      </c>
      <c r="O130" s="198"/>
      <c r="P130" s="198"/>
      <c r="Q130" s="208"/>
      <c r="R130" s="192"/>
      <c r="S130" s="186"/>
    </row>
    <row r="131" spans="1:35">
      <c r="A131" s="47" t="str">
        <f t="shared" si="35"/>
        <v>اب تاون pkg#17</v>
      </c>
      <c r="B131" s="48">
        <f t="shared" ref="B131:F134" si="38">B69*-1</f>
        <v>0</v>
      </c>
      <c r="C131" s="48">
        <f t="shared" si="38"/>
        <v>0</v>
      </c>
      <c r="D131" s="48">
        <f t="shared" si="38"/>
        <v>0</v>
      </c>
      <c r="E131" s="48">
        <f t="shared" si="38"/>
        <v>0</v>
      </c>
      <c r="F131" s="48">
        <f t="shared" si="38"/>
        <v>0</v>
      </c>
      <c r="G131" s="48">
        <v>0</v>
      </c>
      <c r="H131" s="48">
        <f t="shared" ref="H131:I133" si="39">H69*-1</f>
        <v>0</v>
      </c>
      <c r="I131" s="48">
        <f t="shared" si="39"/>
        <v>0</v>
      </c>
      <c r="J131" s="48">
        <v>0</v>
      </c>
      <c r="K131" s="48">
        <f t="shared" ref="K131:L140" si="40">K69*-1</f>
        <v>0</v>
      </c>
      <c r="L131" s="48">
        <f t="shared" si="40"/>
        <v>0</v>
      </c>
      <c r="M131" s="48">
        <v>0</v>
      </c>
      <c r="N131" s="48">
        <f t="shared" si="37"/>
        <v>0</v>
      </c>
      <c r="O131" s="198"/>
      <c r="P131" s="198"/>
      <c r="Q131" s="208"/>
      <c r="R131" s="192"/>
      <c r="S131" s="186"/>
    </row>
    <row r="132" spans="1:35">
      <c r="A132" s="47" t="str">
        <f t="shared" si="35"/>
        <v>اب تاون pkg#32</v>
      </c>
      <c r="B132" s="48">
        <f t="shared" si="38"/>
        <v>0</v>
      </c>
      <c r="C132" s="48">
        <f t="shared" si="38"/>
        <v>0</v>
      </c>
      <c r="D132" s="48">
        <f t="shared" si="38"/>
        <v>-428292</v>
      </c>
      <c r="E132" s="48">
        <f t="shared" si="38"/>
        <v>0</v>
      </c>
      <c r="F132" s="48">
        <f t="shared" si="38"/>
        <v>0</v>
      </c>
      <c r="G132" s="48">
        <f t="shared" ref="G132:G140" si="41">G70*-1</f>
        <v>0</v>
      </c>
      <c r="H132" s="48">
        <f t="shared" si="39"/>
        <v>0</v>
      </c>
      <c r="I132" s="48">
        <f t="shared" si="39"/>
        <v>0</v>
      </c>
      <c r="J132" s="48">
        <f t="shared" ref="J132:J140" si="42">J70*-1</f>
        <v>0</v>
      </c>
      <c r="K132" s="48">
        <f t="shared" si="40"/>
        <v>0</v>
      </c>
      <c r="L132" s="48">
        <f t="shared" si="40"/>
        <v>0</v>
      </c>
      <c r="M132" s="48">
        <f t="shared" ref="M132:M140" si="43">M70*-1</f>
        <v>0</v>
      </c>
      <c r="N132" s="48">
        <f t="shared" si="37"/>
        <v>-428292</v>
      </c>
      <c r="O132" s="198"/>
      <c r="P132" s="198"/>
      <c r="Q132" s="208"/>
      <c r="R132" s="192"/>
      <c r="S132" s="186"/>
    </row>
    <row r="133" spans="1:35">
      <c r="A133" s="47" t="str">
        <f t="shared" si="35"/>
        <v>PKG#45 Civic Center</v>
      </c>
      <c r="B133" s="48">
        <f t="shared" si="38"/>
        <v>-798285</v>
      </c>
      <c r="C133" s="48">
        <f t="shared" si="38"/>
        <v>0</v>
      </c>
      <c r="D133" s="48">
        <f t="shared" si="38"/>
        <v>-304.42</v>
      </c>
      <c r="E133" s="48">
        <f t="shared" si="38"/>
        <v>0</v>
      </c>
      <c r="F133" s="48">
        <f t="shared" si="38"/>
        <v>0</v>
      </c>
      <c r="G133" s="48">
        <f t="shared" si="41"/>
        <v>0</v>
      </c>
      <c r="H133" s="48">
        <f t="shared" si="39"/>
        <v>0</v>
      </c>
      <c r="I133" s="48">
        <f t="shared" si="39"/>
        <v>0</v>
      </c>
      <c r="J133" s="48">
        <f t="shared" si="42"/>
        <v>0</v>
      </c>
      <c r="K133" s="48">
        <f t="shared" si="40"/>
        <v>0</v>
      </c>
      <c r="L133" s="48">
        <f t="shared" si="40"/>
        <v>0</v>
      </c>
      <c r="M133" s="48">
        <f t="shared" si="43"/>
        <v>0</v>
      </c>
      <c r="N133" s="48">
        <f t="shared" si="37"/>
        <v>-798589.42</v>
      </c>
      <c r="O133" s="198"/>
      <c r="P133" s="198"/>
      <c r="Q133" s="208"/>
      <c r="R133" s="192"/>
      <c r="S133" s="186"/>
    </row>
    <row r="134" spans="1:35">
      <c r="A134" s="47" t="str">
        <f t="shared" si="35"/>
        <v xml:space="preserve">Limak </v>
      </c>
      <c r="B134" s="48">
        <f t="shared" si="38"/>
        <v>0</v>
      </c>
      <c r="C134" s="48">
        <f t="shared" si="38"/>
        <v>0</v>
      </c>
      <c r="D134" s="48">
        <f t="shared" si="38"/>
        <v>0</v>
      </c>
      <c r="E134" s="48">
        <f t="shared" si="38"/>
        <v>0</v>
      </c>
      <c r="F134" s="48">
        <f t="shared" si="38"/>
        <v>0</v>
      </c>
      <c r="G134" s="48">
        <f t="shared" si="41"/>
        <v>-3187164.9800000004</v>
      </c>
      <c r="H134" s="48">
        <v>0</v>
      </c>
      <c r="I134" s="48">
        <f t="shared" ref="I134:I140" si="44">I72*-1</f>
        <v>0</v>
      </c>
      <c r="J134" s="48">
        <f t="shared" si="42"/>
        <v>0</v>
      </c>
      <c r="K134" s="48">
        <f t="shared" si="40"/>
        <v>0</v>
      </c>
      <c r="L134" s="48">
        <f t="shared" si="40"/>
        <v>0</v>
      </c>
      <c r="M134" s="48">
        <f t="shared" si="43"/>
        <v>0</v>
      </c>
      <c r="N134" s="48">
        <f t="shared" si="37"/>
        <v>-3187164.9800000004</v>
      </c>
      <c r="O134" s="198"/>
      <c r="P134" s="198"/>
      <c r="Q134" s="208"/>
      <c r="R134" s="192"/>
      <c r="S134" s="186"/>
    </row>
    <row r="135" spans="1:35">
      <c r="A135" s="47" t="str">
        <f t="shared" si="35"/>
        <v>Sodic West Town</v>
      </c>
      <c r="B135" s="48">
        <f t="shared" ref="B135:C140" si="45">B73*-1</f>
        <v>0</v>
      </c>
      <c r="C135" s="48">
        <f t="shared" si="45"/>
        <v>0</v>
      </c>
      <c r="D135" s="48">
        <v>0</v>
      </c>
      <c r="E135" s="48">
        <f t="shared" ref="E135:F140" si="46">E73*-1</f>
        <v>0</v>
      </c>
      <c r="F135" s="48">
        <f t="shared" si="46"/>
        <v>0</v>
      </c>
      <c r="G135" s="48">
        <f t="shared" si="41"/>
        <v>0</v>
      </c>
      <c r="H135" s="48">
        <f t="shared" ref="H135:H140" si="47">H73*-1</f>
        <v>0</v>
      </c>
      <c r="I135" s="48">
        <f t="shared" si="44"/>
        <v>0</v>
      </c>
      <c r="J135" s="48">
        <f t="shared" si="42"/>
        <v>0</v>
      </c>
      <c r="K135" s="48">
        <f t="shared" si="40"/>
        <v>0</v>
      </c>
      <c r="L135" s="48">
        <f t="shared" si="40"/>
        <v>0</v>
      </c>
      <c r="M135" s="48">
        <f t="shared" si="43"/>
        <v>0</v>
      </c>
      <c r="N135" s="48">
        <f t="shared" si="37"/>
        <v>0</v>
      </c>
      <c r="O135" s="198"/>
      <c r="P135" s="198"/>
      <c r="Q135" s="208"/>
      <c r="R135" s="192"/>
      <c r="S135" s="186"/>
    </row>
    <row r="136" spans="1:35">
      <c r="A136" s="47" t="str">
        <f t="shared" si="35"/>
        <v>New Cairo Mall</v>
      </c>
      <c r="B136" s="48">
        <f t="shared" si="45"/>
        <v>0</v>
      </c>
      <c r="C136" s="48">
        <f t="shared" si="45"/>
        <v>-2448050</v>
      </c>
      <c r="D136" s="48">
        <v>0</v>
      </c>
      <c r="E136" s="48">
        <f t="shared" si="46"/>
        <v>0</v>
      </c>
      <c r="F136" s="48">
        <f t="shared" si="46"/>
        <v>0</v>
      </c>
      <c r="G136" s="48">
        <f t="shared" si="41"/>
        <v>0</v>
      </c>
      <c r="H136" s="48">
        <f t="shared" si="47"/>
        <v>0</v>
      </c>
      <c r="I136" s="48">
        <f t="shared" si="44"/>
        <v>0</v>
      </c>
      <c r="J136" s="48">
        <f t="shared" si="42"/>
        <v>0</v>
      </c>
      <c r="K136" s="48">
        <f t="shared" si="40"/>
        <v>0</v>
      </c>
      <c r="L136" s="48">
        <f t="shared" si="40"/>
        <v>0</v>
      </c>
      <c r="M136" s="48">
        <f t="shared" si="43"/>
        <v>0</v>
      </c>
      <c r="N136" s="48">
        <f>SUM(B136:M136)</f>
        <v>-2448050</v>
      </c>
      <c r="O136" s="198"/>
      <c r="P136" s="198"/>
      <c r="Q136" s="208"/>
      <c r="R136" s="192"/>
      <c r="S136" s="186"/>
    </row>
    <row r="137" spans="1:35">
      <c r="A137" s="47" t="str">
        <f t="shared" si="35"/>
        <v xml:space="preserve">El Wahatt </v>
      </c>
      <c r="B137" s="48">
        <f t="shared" si="45"/>
        <v>0</v>
      </c>
      <c r="C137" s="48">
        <f t="shared" si="45"/>
        <v>0</v>
      </c>
      <c r="D137" s="48">
        <v>0</v>
      </c>
      <c r="E137" s="48">
        <f t="shared" si="46"/>
        <v>0</v>
      </c>
      <c r="F137" s="48">
        <f t="shared" si="46"/>
        <v>0</v>
      </c>
      <c r="G137" s="48">
        <f t="shared" si="41"/>
        <v>0</v>
      </c>
      <c r="H137" s="48">
        <f t="shared" si="47"/>
        <v>0</v>
      </c>
      <c r="I137" s="48">
        <f t="shared" si="44"/>
        <v>0</v>
      </c>
      <c r="J137" s="48">
        <f t="shared" si="42"/>
        <v>0</v>
      </c>
      <c r="K137" s="48">
        <f t="shared" si="40"/>
        <v>0</v>
      </c>
      <c r="L137" s="48">
        <f t="shared" si="40"/>
        <v>0</v>
      </c>
      <c r="M137" s="48">
        <f t="shared" si="43"/>
        <v>0</v>
      </c>
      <c r="N137" s="48">
        <f>SUM(B137:M137)</f>
        <v>0</v>
      </c>
      <c r="O137" s="198"/>
      <c r="P137" s="198"/>
      <c r="Q137" s="208"/>
      <c r="R137" s="192"/>
      <c r="S137" s="186"/>
    </row>
    <row r="138" spans="1:35">
      <c r="A138" s="47" t="str">
        <f t="shared" si="35"/>
        <v>Kasrawy II</v>
      </c>
      <c r="B138" s="48">
        <f t="shared" si="45"/>
        <v>0</v>
      </c>
      <c r="C138" s="48">
        <f t="shared" si="45"/>
        <v>0</v>
      </c>
      <c r="D138" s="48">
        <v>0</v>
      </c>
      <c r="E138" s="48">
        <f t="shared" si="46"/>
        <v>0</v>
      </c>
      <c r="F138" s="48">
        <f t="shared" si="46"/>
        <v>0</v>
      </c>
      <c r="G138" s="48">
        <f t="shared" si="41"/>
        <v>0</v>
      </c>
      <c r="H138" s="48">
        <f t="shared" si="47"/>
        <v>0</v>
      </c>
      <c r="I138" s="48">
        <f t="shared" si="44"/>
        <v>0</v>
      </c>
      <c r="J138" s="48">
        <f t="shared" si="42"/>
        <v>0</v>
      </c>
      <c r="K138" s="48">
        <f t="shared" si="40"/>
        <v>0</v>
      </c>
      <c r="L138" s="48">
        <f t="shared" si="40"/>
        <v>0</v>
      </c>
      <c r="M138" s="48">
        <f t="shared" si="43"/>
        <v>0</v>
      </c>
      <c r="N138" s="48">
        <f t="shared" si="37"/>
        <v>0</v>
      </c>
      <c r="O138" s="198"/>
      <c r="P138" s="198"/>
      <c r="Q138" s="208"/>
      <c r="R138" s="192"/>
      <c r="S138" s="186"/>
    </row>
    <row r="139" spans="1:35">
      <c r="A139" s="47" t="s">
        <v>36</v>
      </c>
      <c r="B139" s="48">
        <f t="shared" si="45"/>
        <v>0</v>
      </c>
      <c r="C139" s="48">
        <f t="shared" si="45"/>
        <v>0</v>
      </c>
      <c r="D139" s="48">
        <v>0</v>
      </c>
      <c r="E139" s="48">
        <f t="shared" si="46"/>
        <v>0</v>
      </c>
      <c r="F139" s="48">
        <f t="shared" si="46"/>
        <v>0</v>
      </c>
      <c r="G139" s="48">
        <f t="shared" si="41"/>
        <v>0</v>
      </c>
      <c r="H139" s="48">
        <f t="shared" si="47"/>
        <v>0</v>
      </c>
      <c r="I139" s="48">
        <f t="shared" si="44"/>
        <v>0</v>
      </c>
      <c r="J139" s="48">
        <f t="shared" si="42"/>
        <v>0</v>
      </c>
      <c r="K139" s="48">
        <f t="shared" si="40"/>
        <v>0</v>
      </c>
      <c r="L139" s="48">
        <f t="shared" si="40"/>
        <v>0</v>
      </c>
      <c r="M139" s="48">
        <f t="shared" si="43"/>
        <v>0</v>
      </c>
      <c r="N139" s="48">
        <f t="shared" si="37"/>
        <v>0</v>
      </c>
      <c r="O139" s="198"/>
      <c r="P139" s="198"/>
      <c r="Q139" s="208"/>
      <c r="R139" s="192"/>
      <c r="S139" s="186"/>
    </row>
    <row r="140" spans="1:35">
      <c r="A140" s="47" t="s">
        <v>66</v>
      </c>
      <c r="B140" s="48">
        <f t="shared" si="45"/>
        <v>0</v>
      </c>
      <c r="C140" s="48">
        <f t="shared" si="45"/>
        <v>0</v>
      </c>
      <c r="D140" s="48">
        <v>0</v>
      </c>
      <c r="E140" s="48">
        <f t="shared" si="46"/>
        <v>0</v>
      </c>
      <c r="F140" s="48">
        <f t="shared" si="46"/>
        <v>0</v>
      </c>
      <c r="G140" s="48">
        <f t="shared" si="41"/>
        <v>0</v>
      </c>
      <c r="H140" s="48">
        <f t="shared" si="47"/>
        <v>0</v>
      </c>
      <c r="I140" s="48">
        <f t="shared" si="44"/>
        <v>0</v>
      </c>
      <c r="J140" s="48">
        <f t="shared" si="42"/>
        <v>0</v>
      </c>
      <c r="K140" s="48">
        <f t="shared" si="40"/>
        <v>0</v>
      </c>
      <c r="L140" s="48">
        <f t="shared" si="40"/>
        <v>0</v>
      </c>
      <c r="M140" s="48">
        <f t="shared" si="43"/>
        <v>0</v>
      </c>
      <c r="N140" s="48">
        <f t="shared" si="37"/>
        <v>0</v>
      </c>
      <c r="O140" s="198"/>
      <c r="P140" s="198"/>
      <c r="Q140" s="208"/>
      <c r="R140" s="192"/>
      <c r="S140" s="186"/>
    </row>
    <row r="141" spans="1:35" ht="15.75" thickBot="1">
      <c r="A141" s="85" t="s">
        <v>37</v>
      </c>
      <c r="B141" s="87">
        <f t="shared" ref="B141:G141" si="48">SUM(B130:B140)</f>
        <v>-798285</v>
      </c>
      <c r="C141" s="87">
        <f t="shared" si="48"/>
        <v>-2448050</v>
      </c>
      <c r="D141" s="87">
        <f t="shared" si="48"/>
        <v>-428596.42</v>
      </c>
      <c r="E141" s="87">
        <f t="shared" si="48"/>
        <v>0</v>
      </c>
      <c r="F141" s="87">
        <f t="shared" si="48"/>
        <v>0</v>
      </c>
      <c r="G141" s="87">
        <f t="shared" si="48"/>
        <v>-3187164.9800000004</v>
      </c>
      <c r="H141" s="87">
        <f t="shared" ref="H141:M141" si="49">SUM(H130:H138)</f>
        <v>0</v>
      </c>
      <c r="I141" s="87">
        <f t="shared" si="49"/>
        <v>0</v>
      </c>
      <c r="J141" s="87">
        <f t="shared" si="49"/>
        <v>0</v>
      </c>
      <c r="K141" s="87">
        <f t="shared" si="49"/>
        <v>0</v>
      </c>
      <c r="L141" s="87">
        <f t="shared" si="49"/>
        <v>0</v>
      </c>
      <c r="M141" s="87">
        <f t="shared" si="49"/>
        <v>0</v>
      </c>
      <c r="N141" s="87">
        <f>SUM(N130:N140)</f>
        <v>-6862096.4000000004</v>
      </c>
      <c r="O141" s="198"/>
      <c r="P141" s="198"/>
      <c r="Q141" s="208"/>
      <c r="R141" s="192"/>
      <c r="S141" s="186"/>
    </row>
    <row r="142" spans="1:35" ht="16.5" thickTop="1" thickBot="1">
      <c r="A142" s="80" t="s">
        <v>15</v>
      </c>
      <c r="B142" s="68">
        <f t="shared" ref="B142:M142" si="50">B128+B141</f>
        <v>-102964567.52983603</v>
      </c>
      <c r="C142" s="68">
        <f t="shared" si="50"/>
        <v>8051653.5154768657</v>
      </c>
      <c r="D142" s="68">
        <f t="shared" si="50"/>
        <v>23629972.019064005</v>
      </c>
      <c r="E142" s="68">
        <f t="shared" si="50"/>
        <v>-2987127.0390227004</v>
      </c>
      <c r="F142" s="68">
        <f t="shared" si="50"/>
        <v>7467957.8778724279</v>
      </c>
      <c r="G142" s="68">
        <f t="shared" si="50"/>
        <v>22128326.225808188</v>
      </c>
      <c r="H142" s="68">
        <f t="shared" si="50"/>
        <v>0</v>
      </c>
      <c r="I142" s="68">
        <f t="shared" si="50"/>
        <v>0</v>
      </c>
      <c r="J142" s="68">
        <f t="shared" si="50"/>
        <v>0</v>
      </c>
      <c r="K142" s="68">
        <f t="shared" si="50"/>
        <v>0</v>
      </c>
      <c r="L142" s="68">
        <f>L128+L141</f>
        <v>0</v>
      </c>
      <c r="M142" s="68">
        <f t="shared" si="50"/>
        <v>0</v>
      </c>
      <c r="N142" s="68">
        <f>N128+N141</f>
        <v>-44673784.930637233</v>
      </c>
      <c r="O142" s="198"/>
      <c r="P142" s="198"/>
      <c r="Q142" s="208"/>
      <c r="R142" s="192"/>
      <c r="S142" s="186"/>
    </row>
    <row r="143" spans="1:35" ht="15.75" thickTop="1">
      <c r="A143" s="6"/>
      <c r="B143" s="12"/>
      <c r="E143" s="11"/>
      <c r="O143" s="198"/>
      <c r="P143" s="198"/>
      <c r="Q143" s="208"/>
      <c r="R143" s="192"/>
      <c r="S143" s="186"/>
    </row>
    <row r="144" spans="1:35">
      <c r="A144" s="439" t="s">
        <v>55</v>
      </c>
      <c r="B144" s="437">
        <v>42736</v>
      </c>
      <c r="C144" s="437">
        <v>42767</v>
      </c>
      <c r="D144" s="437">
        <v>42795</v>
      </c>
      <c r="E144" s="437">
        <v>42826</v>
      </c>
      <c r="F144" s="437">
        <v>42856</v>
      </c>
      <c r="G144" s="437">
        <v>42887</v>
      </c>
      <c r="H144" s="437">
        <v>42917</v>
      </c>
      <c r="I144" s="437">
        <v>42948</v>
      </c>
      <c r="J144" s="437">
        <v>42979</v>
      </c>
      <c r="K144" s="437">
        <v>43009</v>
      </c>
      <c r="L144" s="437">
        <v>43040</v>
      </c>
      <c r="M144" s="437">
        <v>43070</v>
      </c>
      <c r="N144" s="437" t="str">
        <f>N29</f>
        <v>Total</v>
      </c>
      <c r="O144" s="198"/>
      <c r="P144" s="198"/>
      <c r="Q144" s="208"/>
      <c r="R144" s="192"/>
      <c r="S144" s="186"/>
    </row>
    <row r="145" spans="1:19" ht="15.75" thickBot="1">
      <c r="A145" s="440"/>
      <c r="B145" s="438"/>
      <c r="C145" s="438"/>
      <c r="D145" s="438"/>
      <c r="E145" s="438"/>
      <c r="F145" s="438"/>
      <c r="G145" s="438"/>
      <c r="H145" s="438"/>
      <c r="I145" s="438"/>
      <c r="J145" s="438"/>
      <c r="K145" s="438"/>
      <c r="L145" s="438"/>
      <c r="M145" s="438"/>
      <c r="N145" s="438"/>
      <c r="O145" s="198"/>
      <c r="P145" s="198"/>
      <c r="Q145" s="208"/>
      <c r="R145" s="192"/>
      <c r="S145" s="186"/>
    </row>
    <row r="146" spans="1:19" ht="15.75" thickTop="1">
      <c r="A146" s="81" t="s">
        <v>35</v>
      </c>
      <c r="B146" s="82"/>
      <c r="C146" s="82"/>
      <c r="D146" s="82"/>
      <c r="E146" s="82"/>
      <c r="F146" s="82"/>
      <c r="G146" s="82"/>
      <c r="H146" s="82"/>
      <c r="I146" s="82"/>
      <c r="J146" s="82"/>
      <c r="K146" s="82"/>
      <c r="L146" s="82"/>
      <c r="M146" s="82"/>
      <c r="N146" s="82"/>
      <c r="O146" s="198"/>
      <c r="P146" s="198"/>
      <c r="Q146" s="208"/>
      <c r="R146" s="192"/>
      <c r="S146" s="186"/>
    </row>
    <row r="147" spans="1:19">
      <c r="A147" s="47" t="str">
        <f t="shared" ref="A147:A160" si="51">A32</f>
        <v>Al Oula</v>
      </c>
      <c r="B147" s="48">
        <v>900495.66999999993</v>
      </c>
      <c r="C147" s="48">
        <f>161294.46+465894.3</f>
        <v>627188.76</v>
      </c>
      <c r="D147" s="48">
        <v>304298.30000000005</v>
      </c>
      <c r="E147" s="48">
        <v>134966.52999999997</v>
      </c>
      <c r="F147" s="48">
        <v>27653.550000000003</v>
      </c>
      <c r="G147" s="48">
        <v>1297122.6599999999</v>
      </c>
      <c r="H147" s="48">
        <v>0</v>
      </c>
      <c r="I147" s="48">
        <v>0</v>
      </c>
      <c r="J147" s="48">
        <v>0</v>
      </c>
      <c r="K147" s="48">
        <v>0</v>
      </c>
      <c r="L147" s="48">
        <v>0</v>
      </c>
      <c r="M147" s="48">
        <v>0</v>
      </c>
      <c r="N147" s="48">
        <f>SUM(B147:M147)</f>
        <v>3291725.4699999997</v>
      </c>
      <c r="O147" s="198"/>
      <c r="P147" s="198"/>
      <c r="Q147" s="208"/>
      <c r="R147" s="192"/>
      <c r="S147" s="186"/>
    </row>
    <row r="148" spans="1:19">
      <c r="A148" s="47" t="str">
        <f t="shared" si="51"/>
        <v>Hyper Al Sulaimaniya</v>
      </c>
      <c r="B148" s="48">
        <v>309320.33</v>
      </c>
      <c r="C148" s="48">
        <v>2296943.3199999998</v>
      </c>
      <c r="D148" s="48">
        <v>1944985.2200000002</v>
      </c>
      <c r="E148" s="48">
        <v>9668.2399999999907</v>
      </c>
      <c r="F148" s="48">
        <v>1207802.0299999998</v>
      </c>
      <c r="G148" s="48">
        <v>-931867.25</v>
      </c>
      <c r="H148" s="48">
        <v>0</v>
      </c>
      <c r="I148" s="48">
        <v>0</v>
      </c>
      <c r="J148" s="48">
        <v>0</v>
      </c>
      <c r="K148" s="48">
        <v>0</v>
      </c>
      <c r="L148" s="48">
        <v>0</v>
      </c>
      <c r="M148" s="48">
        <v>0</v>
      </c>
      <c r="N148" s="48">
        <f t="shared" ref="N148:N167" si="52">SUM(B148:M148)</f>
        <v>4836851.8900000006</v>
      </c>
      <c r="O148" s="198"/>
      <c r="P148" s="198"/>
      <c r="Q148" s="208"/>
      <c r="R148" s="192"/>
      <c r="S148" s="186"/>
    </row>
    <row r="149" spans="1:19">
      <c r="A149" s="47" t="str">
        <f t="shared" si="51"/>
        <v>New Giza I</v>
      </c>
      <c r="B149" s="48">
        <v>27859.01</v>
      </c>
      <c r="C149" s="48">
        <v>31457.08</v>
      </c>
      <c r="D149" s="48">
        <v>28545.190000000002</v>
      </c>
      <c r="E149" s="48">
        <v>29181.949999999997</v>
      </c>
      <c r="F149" s="48">
        <v>202055.15999999997</v>
      </c>
      <c r="G149" s="48">
        <v>30863.65</v>
      </c>
      <c r="H149" s="48">
        <v>0</v>
      </c>
      <c r="I149" s="48">
        <v>0</v>
      </c>
      <c r="J149" s="48">
        <v>0</v>
      </c>
      <c r="K149" s="48">
        <v>0</v>
      </c>
      <c r="L149" s="48">
        <v>0</v>
      </c>
      <c r="M149" s="48">
        <v>0</v>
      </c>
      <c r="N149" s="48">
        <f t="shared" si="52"/>
        <v>349962.04</v>
      </c>
      <c r="O149" s="198"/>
      <c r="P149" s="198"/>
      <c r="Q149" s="208"/>
      <c r="R149" s="192"/>
      <c r="S149" s="186"/>
    </row>
    <row r="150" spans="1:19">
      <c r="A150" s="47" t="str">
        <f t="shared" si="51"/>
        <v>Maxim mall</v>
      </c>
      <c r="B150" s="48">
        <v>903676.76</v>
      </c>
      <c r="C150" s="48">
        <v>1787124</v>
      </c>
      <c r="D150" s="48">
        <f>2612956.75+61319.31</f>
        <v>2674276.06</v>
      </c>
      <c r="E150" s="48">
        <v>-2542826.6199999996</v>
      </c>
      <c r="F150" s="48">
        <v>3122908.5300000003</v>
      </c>
      <c r="G150" s="48">
        <v>673420.46</v>
      </c>
      <c r="H150" s="48">
        <v>0</v>
      </c>
      <c r="I150" s="48">
        <v>0</v>
      </c>
      <c r="J150" s="48">
        <v>0</v>
      </c>
      <c r="K150" s="48">
        <v>0</v>
      </c>
      <c r="L150" s="48">
        <v>0</v>
      </c>
      <c r="M150" s="48">
        <v>0</v>
      </c>
      <c r="N150" s="48">
        <f t="shared" si="52"/>
        <v>6618579.1900000004</v>
      </c>
      <c r="O150" s="198"/>
      <c r="P150" s="198"/>
      <c r="Q150" s="208"/>
      <c r="R150" s="192"/>
      <c r="S150" s="186"/>
    </row>
    <row r="151" spans="1:19">
      <c r="A151" s="47" t="str">
        <f t="shared" si="51"/>
        <v>Attaka</v>
      </c>
      <c r="B151" s="48">
        <v>-74201.52</v>
      </c>
      <c r="C151" s="48">
        <v>7946.59</v>
      </c>
      <c r="D151" s="48">
        <v>0</v>
      </c>
      <c r="E151" s="48">
        <v>350.69</v>
      </c>
      <c r="F151" s="48">
        <v>-7956.1399999999994</v>
      </c>
      <c r="G151" s="48">
        <v>519202.85</v>
      </c>
      <c r="H151" s="48">
        <v>0</v>
      </c>
      <c r="I151" s="48">
        <v>0</v>
      </c>
      <c r="J151" s="48">
        <v>0</v>
      </c>
      <c r="K151" s="48">
        <v>0</v>
      </c>
      <c r="L151" s="48">
        <v>0</v>
      </c>
      <c r="M151" s="48">
        <v>0</v>
      </c>
      <c r="N151" s="48">
        <f t="shared" si="52"/>
        <v>445342.47</v>
      </c>
      <c r="O151" s="198"/>
      <c r="P151" s="198"/>
      <c r="Q151" s="208"/>
      <c r="R151" s="192"/>
      <c r="S151" s="186"/>
    </row>
    <row r="152" spans="1:19">
      <c r="A152" s="47" t="str">
        <f t="shared" si="51"/>
        <v>مول مصر</v>
      </c>
      <c r="B152" s="48">
        <v>3973438.17</v>
      </c>
      <c r="C152" s="48">
        <v>622132.32999999996</v>
      </c>
      <c r="D152" s="48">
        <f>1861550.32+106825.37</f>
        <v>1968375.69</v>
      </c>
      <c r="E152" s="48">
        <v>190368.69</v>
      </c>
      <c r="F152" s="48">
        <v>254331.90999999997</v>
      </c>
      <c r="G152" s="48">
        <v>-755376.54999999993</v>
      </c>
      <c r="H152" s="48">
        <v>0</v>
      </c>
      <c r="I152" s="48">
        <v>0</v>
      </c>
      <c r="J152" s="48">
        <v>0</v>
      </c>
      <c r="K152" s="48">
        <v>0</v>
      </c>
      <c r="L152" s="48">
        <v>0</v>
      </c>
      <c r="M152" s="48">
        <v>0</v>
      </c>
      <c r="N152" s="48">
        <f t="shared" si="52"/>
        <v>6253270.2400000002</v>
      </c>
      <c r="O152" s="198"/>
      <c r="P152" s="198"/>
      <c r="Q152" s="208"/>
      <c r="R152" s="192"/>
      <c r="S152" s="186"/>
    </row>
    <row r="153" spans="1:19">
      <c r="A153" s="47" t="str">
        <f t="shared" si="51"/>
        <v>مراسى تانك الخزان الجديد PKG22 New</v>
      </c>
      <c r="B153" s="48">
        <v>145726.59000000003</v>
      </c>
      <c r="C153" s="48">
        <v>27555.94</v>
      </c>
      <c r="D153" s="48">
        <v>272430.75999999995</v>
      </c>
      <c r="E153" s="48">
        <v>286245.93999999994</v>
      </c>
      <c r="F153" s="48">
        <v>8218.6900000000023</v>
      </c>
      <c r="G153" s="48">
        <v>150677.32</v>
      </c>
      <c r="H153" s="48">
        <v>0</v>
      </c>
      <c r="I153" s="48">
        <v>0</v>
      </c>
      <c r="J153" s="48">
        <v>0</v>
      </c>
      <c r="K153" s="48">
        <v>0</v>
      </c>
      <c r="L153" s="48">
        <v>0</v>
      </c>
      <c r="M153" s="48">
        <v>0</v>
      </c>
      <c r="N153" s="48">
        <f t="shared" si="52"/>
        <v>890855.24</v>
      </c>
      <c r="O153" s="198"/>
      <c r="P153" s="198"/>
      <c r="Q153" s="208"/>
      <c r="R153" s="192"/>
      <c r="S153" s="186"/>
    </row>
    <row r="154" spans="1:19">
      <c r="A154" s="47" t="str">
        <f t="shared" si="51"/>
        <v>نادي سوديك</v>
      </c>
      <c r="B154" s="48">
        <v>2163652.66</v>
      </c>
      <c r="C154" s="48">
        <f>4788748.22+199476.05</f>
        <v>4988224.2699999996</v>
      </c>
      <c r="D154" s="48">
        <f>3704070.15+25262.15</f>
        <v>3729332.3</v>
      </c>
      <c r="E154" s="48">
        <v>2464620.54</v>
      </c>
      <c r="F154" s="48">
        <v>1611528.4600000002</v>
      </c>
      <c r="G154" s="48">
        <v>2053470.98</v>
      </c>
      <c r="H154" s="48">
        <v>0</v>
      </c>
      <c r="I154" s="48">
        <v>0</v>
      </c>
      <c r="J154" s="48">
        <v>0</v>
      </c>
      <c r="K154" s="48">
        <v>0</v>
      </c>
      <c r="L154" s="48">
        <v>0</v>
      </c>
      <c r="M154" s="48">
        <v>0</v>
      </c>
      <c r="N154" s="48">
        <f t="shared" si="52"/>
        <v>17010829.210000001</v>
      </c>
      <c r="O154" s="198"/>
      <c r="P154" s="198"/>
      <c r="Q154" s="208"/>
      <c r="R154" s="192"/>
      <c r="S154" s="186"/>
    </row>
    <row r="155" spans="1:19">
      <c r="A155" s="47" t="str">
        <f t="shared" si="51"/>
        <v>شرم الشيخ</v>
      </c>
      <c r="B155" s="48">
        <v>-196237.66999999998</v>
      </c>
      <c r="C155" s="48">
        <v>7946.59</v>
      </c>
      <c r="D155" s="48">
        <v>163.75999999998021</v>
      </c>
      <c r="E155" s="48">
        <v>0</v>
      </c>
      <c r="F155" s="48">
        <v>-34078.269999999997</v>
      </c>
      <c r="G155" s="48">
        <v>0</v>
      </c>
      <c r="H155" s="48">
        <v>0</v>
      </c>
      <c r="I155" s="48">
        <v>0</v>
      </c>
      <c r="J155" s="48">
        <v>0</v>
      </c>
      <c r="K155" s="48">
        <v>0</v>
      </c>
      <c r="L155" s="48">
        <v>0</v>
      </c>
      <c r="M155" s="48">
        <v>0</v>
      </c>
      <c r="N155" s="48">
        <f t="shared" si="52"/>
        <v>-222205.59</v>
      </c>
      <c r="O155" s="198"/>
      <c r="P155" s="198"/>
      <c r="Q155" s="208"/>
      <c r="R155" s="192"/>
      <c r="S155" s="186"/>
    </row>
    <row r="156" spans="1:19">
      <c r="A156" s="47" t="str">
        <f t="shared" si="51"/>
        <v>عمائر اب تاون 53</v>
      </c>
      <c r="B156" s="48">
        <v>7895359.75</v>
      </c>
      <c r="C156" s="48">
        <f>10002799.43+70.97+62300</f>
        <v>10065170.4</v>
      </c>
      <c r="D156" s="48">
        <f>17827311.66+271955.47+48280.91</f>
        <v>18147548.039999999</v>
      </c>
      <c r="E156" s="48">
        <v>15530218.330000002</v>
      </c>
      <c r="F156" s="48">
        <v>10315350.640000001</v>
      </c>
      <c r="G156" s="48">
        <v>8714570.9500000011</v>
      </c>
      <c r="H156" s="48">
        <v>0</v>
      </c>
      <c r="I156" s="48">
        <v>0</v>
      </c>
      <c r="J156" s="48">
        <v>0</v>
      </c>
      <c r="K156" s="48">
        <v>0</v>
      </c>
      <c r="L156" s="48">
        <v>0</v>
      </c>
      <c r="M156" s="48">
        <v>0</v>
      </c>
      <c r="N156" s="48">
        <f t="shared" si="52"/>
        <v>70668218.109999999</v>
      </c>
      <c r="O156" s="198"/>
      <c r="P156" s="198"/>
      <c r="Q156" s="208"/>
      <c r="R156" s="192"/>
      <c r="S156" s="186"/>
    </row>
    <row r="157" spans="1:19">
      <c r="A157" s="47" t="str">
        <f t="shared" si="51"/>
        <v>New Giza phase 2</v>
      </c>
      <c r="B157" s="48">
        <v>13039540.93</v>
      </c>
      <c r="C157" s="48">
        <f>3920869.07+670920.01</f>
        <v>4591789.08</v>
      </c>
      <c r="D157" s="48">
        <f>5169278.65+192245.23</f>
        <v>5361523.8800000008</v>
      </c>
      <c r="E157" s="48">
        <v>5365959.53</v>
      </c>
      <c r="F157" s="48">
        <v>4479927.28</v>
      </c>
      <c r="G157" s="48">
        <v>5096005.3699999992</v>
      </c>
      <c r="H157" s="48">
        <v>0</v>
      </c>
      <c r="I157" s="48">
        <v>0</v>
      </c>
      <c r="J157" s="48">
        <v>0</v>
      </c>
      <c r="K157" s="48">
        <v>0</v>
      </c>
      <c r="L157" s="48">
        <v>0</v>
      </c>
      <c r="M157" s="48">
        <v>0</v>
      </c>
      <c r="N157" s="48">
        <f t="shared" si="52"/>
        <v>37934746.07</v>
      </c>
      <c r="O157" s="198"/>
      <c r="P157" s="198"/>
      <c r="Q157" s="208"/>
      <c r="R157" s="192"/>
      <c r="S157" s="186"/>
    </row>
    <row r="158" spans="1:19">
      <c r="A158" s="47" t="str">
        <f t="shared" si="51"/>
        <v>Beni suef</v>
      </c>
      <c r="B158" s="48">
        <v>10188430.689999999</v>
      </c>
      <c r="C158" s="48">
        <f>7397759.85+601200.7</f>
        <v>7998960.5499999998</v>
      </c>
      <c r="D158" s="48">
        <f>21489615.94+419604.46-15973.56</f>
        <v>21893246.840000004</v>
      </c>
      <c r="E158" s="48">
        <v>5751333.6499999994</v>
      </c>
      <c r="F158" s="48">
        <v>6427569.9900000002</v>
      </c>
      <c r="G158" s="48">
        <v>8812913.3099999987</v>
      </c>
      <c r="H158" s="48">
        <v>0</v>
      </c>
      <c r="I158" s="48">
        <v>0</v>
      </c>
      <c r="J158" s="48">
        <v>0</v>
      </c>
      <c r="K158" s="48">
        <v>0</v>
      </c>
      <c r="L158" s="48">
        <v>0</v>
      </c>
      <c r="M158" s="48">
        <v>0</v>
      </c>
      <c r="N158" s="48">
        <f t="shared" si="52"/>
        <v>61072455.030000001</v>
      </c>
      <c r="O158" s="198"/>
      <c r="P158" s="198"/>
      <c r="Q158" s="208"/>
      <c r="R158" s="192"/>
      <c r="S158" s="186"/>
    </row>
    <row r="159" spans="1:19">
      <c r="A159" s="47" t="str">
        <f t="shared" si="51"/>
        <v>كوبرى الشيخ بن زايد - كوبرى العاصمة</v>
      </c>
      <c r="B159" s="48">
        <v>-205713</v>
      </c>
      <c r="C159" s="48">
        <v>-317716.56</v>
      </c>
      <c r="D159" s="48">
        <f>408458.13+148242.39</f>
        <v>556700.52</v>
      </c>
      <c r="E159" s="48">
        <v>-2623777.21</v>
      </c>
      <c r="F159" s="48">
        <v>293738.3</v>
      </c>
      <c r="G159" s="48">
        <v>449335.5</v>
      </c>
      <c r="H159" s="48">
        <v>0</v>
      </c>
      <c r="I159" s="48">
        <v>0</v>
      </c>
      <c r="J159" s="48">
        <v>0</v>
      </c>
      <c r="K159" s="48">
        <v>0</v>
      </c>
      <c r="L159" s="48">
        <v>0</v>
      </c>
      <c r="M159" s="48">
        <v>0</v>
      </c>
      <c r="N159" s="48">
        <f t="shared" si="52"/>
        <v>-1847432.4500000002</v>
      </c>
      <c r="O159" s="198"/>
      <c r="P159" s="198"/>
      <c r="Q159" s="208"/>
      <c r="R159" s="192"/>
      <c r="S159" s="186"/>
    </row>
    <row r="160" spans="1:19">
      <c r="A160" s="47" t="str">
        <f t="shared" si="51"/>
        <v>جبل الزيت - GAMISA</v>
      </c>
      <c r="B160" s="48">
        <v>1910207.62</v>
      </c>
      <c r="C160" s="48">
        <f>1019006.4+541940.19</f>
        <v>1560946.5899999999</v>
      </c>
      <c r="D160" s="48">
        <f>1604087.87+63644.73</f>
        <v>1667732.6</v>
      </c>
      <c r="E160" s="48">
        <v>2821431.1900000004</v>
      </c>
      <c r="F160" s="48">
        <v>1782262.33</v>
      </c>
      <c r="G160" s="48">
        <v>-4736249.09</v>
      </c>
      <c r="H160" s="48">
        <v>0</v>
      </c>
      <c r="I160" s="48">
        <v>0</v>
      </c>
      <c r="J160" s="48">
        <v>0</v>
      </c>
      <c r="K160" s="48">
        <v>0</v>
      </c>
      <c r="L160" s="48">
        <v>0</v>
      </c>
      <c r="M160" s="48">
        <v>0</v>
      </c>
      <c r="N160" s="48">
        <f t="shared" si="52"/>
        <v>5006331.2400000021</v>
      </c>
      <c r="O160" s="198"/>
      <c r="P160" s="198"/>
      <c r="Q160" s="208"/>
      <c r="R160" s="192"/>
      <c r="S160" s="186"/>
    </row>
    <row r="161" spans="1:35">
      <c r="A161" s="47" t="s">
        <v>61</v>
      </c>
      <c r="B161" s="48">
        <v>677.59</v>
      </c>
      <c r="C161" s="48">
        <v>107.72</v>
      </c>
      <c r="D161" s="48">
        <v>-10.400000000000091</v>
      </c>
      <c r="E161" s="48">
        <v>664.91</v>
      </c>
      <c r="F161" s="48"/>
      <c r="G161" s="48">
        <v>80</v>
      </c>
      <c r="H161" s="48">
        <v>0</v>
      </c>
      <c r="I161" s="48">
        <v>0</v>
      </c>
      <c r="J161" s="48">
        <v>0</v>
      </c>
      <c r="K161" s="48">
        <v>0</v>
      </c>
      <c r="L161" s="48">
        <v>0</v>
      </c>
      <c r="M161" s="48">
        <v>0</v>
      </c>
      <c r="N161" s="48">
        <f t="shared" si="52"/>
        <v>1519.82</v>
      </c>
      <c r="O161" s="198"/>
      <c r="P161" s="198"/>
      <c r="Q161" s="208"/>
      <c r="R161" s="192"/>
      <c r="S161" s="186"/>
    </row>
    <row r="162" spans="1:35">
      <c r="A162" s="47" t="s">
        <v>62</v>
      </c>
      <c r="B162" s="48">
        <v>4615492.24</v>
      </c>
      <c r="C162" s="48">
        <f>2361958.17+117531.23</f>
        <v>2479489.4</v>
      </c>
      <c r="D162" s="48">
        <v>4835938.379999999</v>
      </c>
      <c r="E162" s="48">
        <v>9613420.2299999986</v>
      </c>
      <c r="F162" s="48">
        <v>8344838.7599999998</v>
      </c>
      <c r="G162" s="48">
        <v>1850013.48</v>
      </c>
      <c r="H162" s="48">
        <v>0</v>
      </c>
      <c r="I162" s="48">
        <v>0</v>
      </c>
      <c r="J162" s="48">
        <v>0</v>
      </c>
      <c r="K162" s="48">
        <v>0</v>
      </c>
      <c r="L162" s="48">
        <v>0</v>
      </c>
      <c r="M162" s="48">
        <v>0</v>
      </c>
      <c r="N162" s="48">
        <f t="shared" si="52"/>
        <v>31739192.489999998</v>
      </c>
      <c r="O162" s="198"/>
      <c r="P162" s="198"/>
      <c r="Q162" s="208"/>
      <c r="R162" s="192"/>
      <c r="S162" s="186"/>
    </row>
    <row r="163" spans="1:35">
      <c r="A163" s="47" t="s">
        <v>64</v>
      </c>
      <c r="B163" s="48">
        <v>226848.89</v>
      </c>
      <c r="C163" s="48">
        <v>230719.25</v>
      </c>
      <c r="D163" s="48">
        <v>2792902.1199999996</v>
      </c>
      <c r="E163" s="48">
        <v>1237448.8</v>
      </c>
      <c r="F163" s="48">
        <v>1720670.17</v>
      </c>
      <c r="G163" s="48">
        <v>735269.01</v>
      </c>
      <c r="H163" s="48">
        <v>0</v>
      </c>
      <c r="I163" s="48">
        <v>0</v>
      </c>
      <c r="J163" s="48">
        <v>0</v>
      </c>
      <c r="K163" s="48">
        <v>0</v>
      </c>
      <c r="L163" s="48">
        <v>0</v>
      </c>
      <c r="M163" s="48">
        <v>0</v>
      </c>
      <c r="N163" s="48">
        <f t="shared" si="52"/>
        <v>6943858.2399999993</v>
      </c>
      <c r="O163" s="198"/>
      <c r="P163" s="198"/>
      <c r="Q163" s="208"/>
      <c r="R163" s="192"/>
      <c r="S163" s="186"/>
    </row>
    <row r="164" spans="1:35">
      <c r="A164" s="47" t="s">
        <v>65</v>
      </c>
      <c r="B164" s="48">
        <v>1127.6500000000001</v>
      </c>
      <c r="C164" s="48">
        <v>21.11</v>
      </c>
      <c r="D164" s="48">
        <v>1064.3300000000002</v>
      </c>
      <c r="E164" s="48">
        <v>0</v>
      </c>
      <c r="F164" s="48"/>
      <c r="G164" s="48">
        <v>1277365</v>
      </c>
      <c r="H164" s="48">
        <v>0</v>
      </c>
      <c r="I164" s="48">
        <v>0</v>
      </c>
      <c r="J164" s="48">
        <v>0</v>
      </c>
      <c r="K164" s="48">
        <v>0</v>
      </c>
      <c r="L164" s="48">
        <v>0</v>
      </c>
      <c r="M164" s="48">
        <v>0</v>
      </c>
      <c r="N164" s="48">
        <f t="shared" si="52"/>
        <v>1279578.0900000001</v>
      </c>
      <c r="O164" s="198"/>
      <c r="P164" s="198"/>
      <c r="Q164" s="208"/>
      <c r="R164" s="192"/>
      <c r="S164" s="186"/>
    </row>
    <row r="165" spans="1:35">
      <c r="A165" s="47" t="s">
        <v>70</v>
      </c>
      <c r="B165" s="48">
        <v>14968025.76</v>
      </c>
      <c r="C165" s="48">
        <f>18796470.51+109212.5+4518642.95</f>
        <v>23424325.960000001</v>
      </c>
      <c r="D165" s="48">
        <f>29301474.83+972468.66</f>
        <v>30273943.489999998</v>
      </c>
      <c r="E165" s="48">
        <v>25563957.93</v>
      </c>
      <c r="F165" s="48">
        <v>17386943.91</v>
      </c>
      <c r="G165" s="48">
        <v>16405985.08</v>
      </c>
      <c r="H165" s="48">
        <v>0</v>
      </c>
      <c r="I165" s="48">
        <v>0</v>
      </c>
      <c r="J165" s="48">
        <v>0</v>
      </c>
      <c r="K165" s="48">
        <v>0</v>
      </c>
      <c r="L165" s="48">
        <v>0</v>
      </c>
      <c r="M165" s="48">
        <v>0</v>
      </c>
      <c r="N165" s="48">
        <f t="shared" si="52"/>
        <v>128023182.12999998</v>
      </c>
      <c r="O165" s="198"/>
      <c r="P165" s="198"/>
      <c r="Q165" s="208"/>
      <c r="R165" s="192"/>
      <c r="S165" s="186"/>
    </row>
    <row r="166" spans="1:35">
      <c r="A166" s="47" t="s">
        <v>71</v>
      </c>
      <c r="B166" s="48">
        <v>-118442.85</v>
      </c>
      <c r="C166" s="48">
        <v>57508.5</v>
      </c>
      <c r="D166" s="48">
        <v>844388.37</v>
      </c>
      <c r="E166" s="48">
        <v>687653.13</v>
      </c>
      <c r="F166" s="48">
        <v>720225.97</v>
      </c>
      <c r="G166" s="48">
        <v>119361.4</v>
      </c>
      <c r="H166" s="48">
        <v>0</v>
      </c>
      <c r="I166" s="48">
        <v>0</v>
      </c>
      <c r="J166" s="48">
        <v>0</v>
      </c>
      <c r="K166" s="48">
        <v>0</v>
      </c>
      <c r="L166" s="48">
        <v>0</v>
      </c>
      <c r="M166" s="48">
        <v>0</v>
      </c>
      <c r="N166" s="48">
        <f t="shared" si="52"/>
        <v>2310694.52</v>
      </c>
      <c r="O166" s="198"/>
      <c r="P166" s="198"/>
      <c r="Q166" s="208"/>
      <c r="R166" s="192"/>
      <c r="S166" s="186"/>
    </row>
    <row r="167" spans="1:35">
      <c r="A167" s="47" t="s">
        <v>72</v>
      </c>
      <c r="B167" s="48">
        <v>27684221.140000001</v>
      </c>
      <c r="C167" s="48">
        <f>15285357.32+124100</f>
        <v>15409457.32</v>
      </c>
      <c r="D167" s="48">
        <f>28463430.02+287641.31</f>
        <v>28751071.329999998</v>
      </c>
      <c r="E167" s="48">
        <v>23869938.43</v>
      </c>
      <c r="F167" s="48">
        <v>16535608.32</v>
      </c>
      <c r="G167" s="48">
        <v>15452604.539999999</v>
      </c>
      <c r="H167" s="48">
        <v>0</v>
      </c>
      <c r="I167" s="48">
        <v>0</v>
      </c>
      <c r="J167" s="48">
        <v>0</v>
      </c>
      <c r="K167" s="48">
        <v>0</v>
      </c>
      <c r="L167" s="48">
        <v>0</v>
      </c>
      <c r="M167" s="48">
        <v>0</v>
      </c>
      <c r="N167" s="48">
        <f t="shared" si="52"/>
        <v>127702901.07999998</v>
      </c>
      <c r="O167" s="198"/>
      <c r="P167" s="198"/>
      <c r="Q167" s="208"/>
      <c r="R167" s="192"/>
      <c r="S167" s="186"/>
    </row>
    <row r="168" spans="1:35">
      <c r="A168" s="47" t="s">
        <v>74</v>
      </c>
      <c r="B168" s="48">
        <v>35509.21</v>
      </c>
      <c r="C168" s="48">
        <v>664.83</v>
      </c>
      <c r="D168" s="48">
        <v>-1329.6600000000035</v>
      </c>
      <c r="E168" s="48">
        <v>66858.009999999995</v>
      </c>
      <c r="F168" s="48">
        <v>170</v>
      </c>
      <c r="G168" s="48">
        <v>50000</v>
      </c>
      <c r="H168" s="48">
        <v>0</v>
      </c>
      <c r="I168" s="48">
        <v>0</v>
      </c>
      <c r="J168" s="48">
        <v>0</v>
      </c>
      <c r="K168" s="48">
        <v>0</v>
      </c>
      <c r="L168" s="48">
        <v>0</v>
      </c>
      <c r="M168" s="48">
        <v>0</v>
      </c>
      <c r="N168" s="48">
        <f t="shared" ref="N168:N175" si="53">SUM(B168:M168)</f>
        <v>151872.38999999998</v>
      </c>
      <c r="O168" s="198"/>
      <c r="P168" s="198"/>
      <c r="Q168" s="208"/>
      <c r="R168" s="192"/>
      <c r="S168" s="186"/>
    </row>
    <row r="169" spans="1:35">
      <c r="A169" s="47" t="s">
        <v>85</v>
      </c>
      <c r="B169" s="48">
        <v>124677.43999999999</v>
      </c>
      <c r="C169" s="48">
        <v>60406.5</v>
      </c>
      <c r="D169" s="48">
        <v>82874.06</v>
      </c>
      <c r="E169" s="48">
        <v>19422.229999999996</v>
      </c>
      <c r="F169" s="48">
        <v>73852.12</v>
      </c>
      <c r="G169" s="48">
        <v>67866.880000000005</v>
      </c>
      <c r="H169" s="48">
        <v>0</v>
      </c>
      <c r="I169" s="48">
        <v>0</v>
      </c>
      <c r="J169" s="48">
        <v>0</v>
      </c>
      <c r="K169" s="48">
        <v>0</v>
      </c>
      <c r="L169" s="48">
        <v>0</v>
      </c>
      <c r="M169" s="48">
        <v>0</v>
      </c>
      <c r="N169" s="48">
        <f t="shared" si="53"/>
        <v>429099.23</v>
      </c>
      <c r="O169" s="198"/>
      <c r="P169" s="198"/>
      <c r="Q169" s="208"/>
      <c r="R169" s="192"/>
      <c r="S169" s="186"/>
    </row>
    <row r="170" spans="1:35">
      <c r="A170" s="47" t="s">
        <v>86</v>
      </c>
      <c r="B170" s="48">
        <v>2590864.27</v>
      </c>
      <c r="C170" s="48">
        <f>2565709.39+399327.25</f>
        <v>2965036.64</v>
      </c>
      <c r="D170" s="48">
        <v>1261108.7999999998</v>
      </c>
      <c r="E170" s="48">
        <v>535809.82000000007</v>
      </c>
      <c r="F170" s="48">
        <v>49107.199999999997</v>
      </c>
      <c r="G170" s="48">
        <v>3286280.44</v>
      </c>
      <c r="H170" s="48">
        <v>0</v>
      </c>
      <c r="I170" s="48">
        <v>0</v>
      </c>
      <c r="J170" s="48">
        <v>0</v>
      </c>
      <c r="K170" s="48">
        <v>0</v>
      </c>
      <c r="L170" s="48">
        <v>0</v>
      </c>
      <c r="M170" s="48">
        <v>0</v>
      </c>
      <c r="N170" s="48">
        <f t="shared" si="53"/>
        <v>10688207.17</v>
      </c>
      <c r="O170" s="198"/>
      <c r="P170" s="198"/>
      <c r="Q170" s="208"/>
      <c r="R170" s="192"/>
      <c r="S170" s="186"/>
    </row>
    <row r="171" spans="1:35">
      <c r="A171" s="47" t="s">
        <v>87</v>
      </c>
      <c r="B171" s="48">
        <v>563050.37</v>
      </c>
      <c r="C171" s="48">
        <f>5146347.64+1011225.57</f>
        <v>6157573.21</v>
      </c>
      <c r="D171" s="48">
        <v>11925055.6</v>
      </c>
      <c r="E171" s="48">
        <v>11127961.119999999</v>
      </c>
      <c r="F171" s="48">
        <v>3750144.83</v>
      </c>
      <c r="G171" s="48">
        <v>3939328.6999999997</v>
      </c>
      <c r="H171" s="48">
        <v>0</v>
      </c>
      <c r="I171" s="48">
        <v>0</v>
      </c>
      <c r="J171" s="48">
        <v>0</v>
      </c>
      <c r="K171" s="48">
        <v>0</v>
      </c>
      <c r="L171" s="48">
        <v>0</v>
      </c>
      <c r="M171" s="48">
        <v>0</v>
      </c>
      <c r="N171" s="48">
        <f t="shared" si="53"/>
        <v>37463113.829999998</v>
      </c>
      <c r="O171" s="198"/>
      <c r="P171" s="198"/>
      <c r="Q171" s="208"/>
      <c r="R171" s="192"/>
      <c r="S171" s="186"/>
    </row>
    <row r="172" spans="1:35">
      <c r="A172" s="47" t="s">
        <v>90</v>
      </c>
      <c r="B172" s="48">
        <v>229635.19</v>
      </c>
      <c r="C172" s="48">
        <f>1080549.3+255511.94</f>
        <v>1336061.24</v>
      </c>
      <c r="D172" s="48">
        <v>1961068.4200000002</v>
      </c>
      <c r="E172" s="48">
        <v>6500048.54</v>
      </c>
      <c r="F172" s="48">
        <v>5309772.82</v>
      </c>
      <c r="G172" s="48">
        <v>3124367.2</v>
      </c>
      <c r="H172" s="48">
        <v>0</v>
      </c>
      <c r="I172" s="48">
        <v>0</v>
      </c>
      <c r="J172" s="48">
        <v>0</v>
      </c>
      <c r="K172" s="48">
        <v>0</v>
      </c>
      <c r="L172" s="48">
        <v>0</v>
      </c>
      <c r="M172" s="48">
        <v>0</v>
      </c>
      <c r="N172" s="48">
        <f t="shared" si="53"/>
        <v>18460953.41</v>
      </c>
      <c r="O172" s="198"/>
      <c r="P172" s="198"/>
      <c r="Q172" s="208"/>
      <c r="R172" s="192"/>
      <c r="S172" s="186"/>
    </row>
    <row r="173" spans="1:35">
      <c r="A173" s="47" t="s">
        <v>126</v>
      </c>
      <c r="B173" s="48">
        <v>1403009.14</v>
      </c>
      <c r="C173" s="48">
        <v>701208.91</v>
      </c>
      <c r="D173" s="48">
        <v>2921204.4300000006</v>
      </c>
      <c r="E173" s="48">
        <v>1802006.92</v>
      </c>
      <c r="F173" s="48">
        <v>1506991</v>
      </c>
      <c r="G173" s="48">
        <v>2570025.5299999998</v>
      </c>
      <c r="H173" s="48">
        <v>0</v>
      </c>
      <c r="I173" s="48">
        <v>0</v>
      </c>
      <c r="J173" s="48">
        <v>0</v>
      </c>
      <c r="K173" s="48">
        <v>0</v>
      </c>
      <c r="L173" s="48">
        <v>0</v>
      </c>
      <c r="M173" s="48">
        <v>0</v>
      </c>
      <c r="N173" s="48">
        <f t="shared" si="53"/>
        <v>10904445.93</v>
      </c>
      <c r="O173" s="198"/>
      <c r="P173" s="198"/>
      <c r="Q173" s="208"/>
      <c r="R173" s="192"/>
      <c r="S173" s="186"/>
    </row>
    <row r="174" spans="1:35">
      <c r="A174" s="47" t="s">
        <v>94</v>
      </c>
      <c r="B174" s="48">
        <v>0</v>
      </c>
      <c r="C174" s="48">
        <v>0</v>
      </c>
      <c r="D174" s="48">
        <v>3636951.04</v>
      </c>
      <c r="E174" s="48">
        <v>6191270.1899999995</v>
      </c>
      <c r="F174" s="48">
        <v>11380852.109999999</v>
      </c>
      <c r="G174" s="48">
        <v>4058871.0300000003</v>
      </c>
      <c r="H174" s="48">
        <v>0</v>
      </c>
      <c r="I174" s="48">
        <v>0</v>
      </c>
      <c r="J174" s="48">
        <v>0</v>
      </c>
      <c r="K174" s="48">
        <v>0</v>
      </c>
      <c r="L174" s="48">
        <v>0</v>
      </c>
      <c r="M174" s="48">
        <v>0</v>
      </c>
      <c r="N174" s="48">
        <f t="shared" si="53"/>
        <v>25267944.370000001</v>
      </c>
      <c r="O174" s="198"/>
      <c r="P174" s="198"/>
      <c r="Q174" s="208"/>
      <c r="R174" s="192"/>
      <c r="S174" s="186"/>
    </row>
    <row r="175" spans="1:35">
      <c r="A175" s="83" t="s">
        <v>95</v>
      </c>
      <c r="B175" s="48">
        <v>0</v>
      </c>
      <c r="C175" s="48">
        <v>0</v>
      </c>
      <c r="D175" s="48">
        <v>593545.91</v>
      </c>
      <c r="E175" s="48">
        <v>385895.22</v>
      </c>
      <c r="F175" s="48">
        <v>276443.31</v>
      </c>
      <c r="G175" s="48">
        <v>289900.44</v>
      </c>
      <c r="H175" s="48">
        <v>0</v>
      </c>
      <c r="I175" s="48">
        <v>0</v>
      </c>
      <c r="J175" s="48">
        <v>0</v>
      </c>
      <c r="K175" s="48">
        <v>0</v>
      </c>
      <c r="L175" s="48">
        <v>0</v>
      </c>
      <c r="M175" s="48">
        <v>0</v>
      </c>
      <c r="N175" s="48">
        <f t="shared" si="53"/>
        <v>1545784.88</v>
      </c>
      <c r="O175" s="198"/>
      <c r="P175" s="198"/>
      <c r="Q175" s="208"/>
      <c r="R175" s="192"/>
      <c r="S175" s="186"/>
    </row>
    <row r="176" spans="1:35">
      <c r="A176" s="185" t="s">
        <v>127</v>
      </c>
      <c r="B176" s="48"/>
      <c r="C176" s="48"/>
      <c r="D176" s="48"/>
      <c r="E176" s="48"/>
      <c r="F176" s="48">
        <v>32185.5</v>
      </c>
      <c r="G176" s="48">
        <v>17499.27</v>
      </c>
      <c r="H176" s="48">
        <v>0</v>
      </c>
      <c r="I176" s="48">
        <v>0</v>
      </c>
      <c r="J176" s="48">
        <v>0</v>
      </c>
      <c r="K176" s="48">
        <v>0</v>
      </c>
      <c r="L176" s="48">
        <v>0</v>
      </c>
      <c r="M176" s="48">
        <v>0</v>
      </c>
      <c r="N176" s="48">
        <f>SUM(B176:M176)</f>
        <v>49684.770000000004</v>
      </c>
      <c r="O176" s="198"/>
      <c r="P176" s="198"/>
      <c r="Q176" s="208"/>
      <c r="R176" s="192"/>
      <c r="S176" s="197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</row>
    <row r="177" spans="1:36">
      <c r="A177" s="185" t="s">
        <v>128</v>
      </c>
      <c r="B177" s="48"/>
      <c r="C177" s="48"/>
      <c r="D177" s="48"/>
      <c r="E177" s="48"/>
      <c r="F177" s="48">
        <v>1584446.4500000002</v>
      </c>
      <c r="G177" s="48">
        <v>2229184.5699999998</v>
      </c>
      <c r="H177" s="48">
        <v>0</v>
      </c>
      <c r="I177" s="48">
        <v>0</v>
      </c>
      <c r="J177" s="48">
        <v>0</v>
      </c>
      <c r="K177" s="48">
        <v>0</v>
      </c>
      <c r="L177" s="48">
        <v>0</v>
      </c>
      <c r="M177" s="48">
        <v>0</v>
      </c>
      <c r="N177" s="48">
        <f>SUM(B177:M177)</f>
        <v>3813631.02</v>
      </c>
      <c r="O177" s="198"/>
      <c r="P177" s="198"/>
      <c r="Q177" s="208"/>
      <c r="R177" s="192"/>
      <c r="S177" s="197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</row>
    <row r="178" spans="1:36">
      <c r="A178" s="185" t="s">
        <v>129</v>
      </c>
      <c r="B178" s="48"/>
      <c r="C178" s="48"/>
      <c r="D178" s="48"/>
      <c r="E178" s="48"/>
      <c r="F178" s="48">
        <v>145280</v>
      </c>
      <c r="G178" s="48">
        <v>508714.77</v>
      </c>
      <c r="H178" s="48">
        <v>0</v>
      </c>
      <c r="I178" s="48">
        <v>0</v>
      </c>
      <c r="J178" s="48">
        <v>0</v>
      </c>
      <c r="K178" s="48">
        <v>0</v>
      </c>
      <c r="L178" s="48">
        <v>0</v>
      </c>
      <c r="M178" s="48">
        <v>0</v>
      </c>
      <c r="N178" s="48">
        <f>SUM(B178:M178)</f>
        <v>653994.77</v>
      </c>
      <c r="O178" s="198"/>
      <c r="P178" s="198"/>
      <c r="Q178" s="208"/>
      <c r="R178" s="192"/>
      <c r="S178" s="197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</row>
    <row r="179" spans="1:36">
      <c r="A179" s="185" t="s">
        <v>130</v>
      </c>
      <c r="B179" s="48"/>
      <c r="C179" s="48"/>
      <c r="D179" s="48"/>
      <c r="E179" s="48"/>
      <c r="F179" s="48">
        <v>37529</v>
      </c>
      <c r="G179" s="48">
        <v>59744.67</v>
      </c>
      <c r="H179" s="48">
        <v>0</v>
      </c>
      <c r="I179" s="48">
        <v>0</v>
      </c>
      <c r="J179" s="48">
        <v>0</v>
      </c>
      <c r="K179" s="48">
        <v>0</v>
      </c>
      <c r="L179" s="48">
        <v>0</v>
      </c>
      <c r="M179" s="48">
        <v>0</v>
      </c>
      <c r="N179" s="48">
        <f>SUM(B179:M179)</f>
        <v>97273.67</v>
      </c>
      <c r="O179" s="198"/>
      <c r="P179" s="198"/>
      <c r="Q179" s="208"/>
      <c r="R179" s="192"/>
      <c r="S179" s="197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</row>
    <row r="180" spans="1:36">
      <c r="A180" s="47" t="s">
        <v>132</v>
      </c>
      <c r="B180" s="48">
        <v>0</v>
      </c>
      <c r="C180" s="48">
        <v>0</v>
      </c>
      <c r="D180" s="48">
        <v>0</v>
      </c>
      <c r="E180" s="48">
        <v>0</v>
      </c>
      <c r="F180" s="48">
        <v>0</v>
      </c>
      <c r="G180" s="48">
        <f>574767.41+3117057.19</f>
        <v>3691824.6</v>
      </c>
      <c r="H180" s="48">
        <v>0</v>
      </c>
      <c r="I180" s="48">
        <v>0</v>
      </c>
      <c r="J180" s="48">
        <v>0</v>
      </c>
      <c r="K180" s="48">
        <v>0</v>
      </c>
      <c r="L180" s="48">
        <v>0</v>
      </c>
      <c r="M180" s="48">
        <v>0</v>
      </c>
      <c r="N180" s="48">
        <f>SUM(B180:M180)</f>
        <v>3691824.6</v>
      </c>
      <c r="P180" s="52"/>
      <c r="Q180" s="208"/>
      <c r="R180" s="192"/>
      <c r="S180" s="228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  <c r="AJ180" s="52"/>
    </row>
    <row r="181" spans="1:36" ht="15.75" thickBot="1">
      <c r="A181" s="106" t="s">
        <v>37</v>
      </c>
      <c r="B181" s="67">
        <f t="shared" ref="B181:N181" si="54">SUM(B147:B180)</f>
        <v>93306252.029999986</v>
      </c>
      <c r="C181" s="67">
        <f t="shared" si="54"/>
        <v>87118249.529999971</v>
      </c>
      <c r="D181" s="67">
        <f t="shared" si="54"/>
        <v>148428935.38</v>
      </c>
      <c r="E181" s="67">
        <f t="shared" si="54"/>
        <v>115020096.93000001</v>
      </c>
      <c r="F181" s="67">
        <f t="shared" si="54"/>
        <v>98546373.930000007</v>
      </c>
      <c r="G181" s="67">
        <f t="shared" si="54"/>
        <v>81108376.769999981</v>
      </c>
      <c r="H181" s="67">
        <f t="shared" si="54"/>
        <v>0</v>
      </c>
      <c r="I181" s="67">
        <f t="shared" si="54"/>
        <v>0</v>
      </c>
      <c r="J181" s="67">
        <f t="shared" si="54"/>
        <v>0</v>
      </c>
      <c r="K181" s="67">
        <f t="shared" si="54"/>
        <v>0</v>
      </c>
      <c r="L181" s="67">
        <f t="shared" si="54"/>
        <v>0</v>
      </c>
      <c r="M181" s="67">
        <f t="shared" si="54"/>
        <v>0</v>
      </c>
      <c r="N181" s="67">
        <f t="shared" si="54"/>
        <v>623528284.56999981</v>
      </c>
      <c r="O181" s="198"/>
      <c r="P181" s="198"/>
      <c r="Q181" s="208"/>
      <c r="R181" s="192"/>
      <c r="S181" s="186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  <c r="AJ181" s="12"/>
    </row>
    <row r="182" spans="1:36" ht="15.75" thickTop="1">
      <c r="A182" s="81" t="str">
        <f t="shared" ref="A182:A191" si="55">A67</f>
        <v>Closed Projects</v>
      </c>
      <c r="B182" s="84"/>
      <c r="C182" s="84"/>
      <c r="D182" s="84"/>
      <c r="E182" s="84"/>
      <c r="F182" s="84"/>
      <c r="G182" s="66"/>
      <c r="H182" s="84"/>
      <c r="I182" s="84"/>
      <c r="J182" s="84"/>
      <c r="K182" s="84"/>
      <c r="L182" s="84"/>
      <c r="M182" s="84"/>
      <c r="N182" s="48"/>
      <c r="O182" s="198"/>
      <c r="P182" s="198"/>
      <c r="Q182" s="208"/>
      <c r="R182" s="192"/>
      <c r="S182" s="186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  <c r="AJ182" s="11"/>
    </row>
    <row r="183" spans="1:36">
      <c r="A183" s="47" t="str">
        <f t="shared" si="55"/>
        <v>كباري مراسي pkg#37</v>
      </c>
      <c r="B183" s="48">
        <v>0</v>
      </c>
      <c r="C183" s="48">
        <v>0</v>
      </c>
      <c r="D183" s="48">
        <v>0</v>
      </c>
      <c r="E183" s="48">
        <v>0</v>
      </c>
      <c r="F183" s="48"/>
      <c r="G183" s="48">
        <v>0</v>
      </c>
      <c r="H183" s="48">
        <v>0</v>
      </c>
      <c r="I183" s="48">
        <v>0</v>
      </c>
      <c r="J183" s="48">
        <v>0</v>
      </c>
      <c r="K183" s="48">
        <v>0</v>
      </c>
      <c r="L183" s="48">
        <v>0</v>
      </c>
      <c r="M183" s="48">
        <v>0</v>
      </c>
      <c r="N183" s="48">
        <f t="shared" ref="N183:N193" si="56">SUM(B183:M183)</f>
        <v>0</v>
      </c>
      <c r="O183" s="198"/>
      <c r="P183" s="198"/>
      <c r="Q183" s="208"/>
      <c r="R183" s="192"/>
      <c r="S183" s="186"/>
    </row>
    <row r="184" spans="1:36">
      <c r="A184" s="47" t="str">
        <f t="shared" si="55"/>
        <v>اب تاون pkg#17</v>
      </c>
      <c r="B184" s="48">
        <v>24197.03</v>
      </c>
      <c r="C184" s="48">
        <v>453.03</v>
      </c>
      <c r="D184" s="48">
        <v>321534.43</v>
      </c>
      <c r="E184" s="48">
        <v>9192.6800000000021</v>
      </c>
      <c r="F184" s="48">
        <v>20326.830000000002</v>
      </c>
      <c r="G184" s="48">
        <v>20326.830000000002</v>
      </c>
      <c r="H184" s="48">
        <v>0</v>
      </c>
      <c r="I184" s="48">
        <v>0</v>
      </c>
      <c r="J184" s="48">
        <v>0</v>
      </c>
      <c r="K184" s="48">
        <v>0</v>
      </c>
      <c r="L184" s="48">
        <v>0</v>
      </c>
      <c r="M184" s="48">
        <v>0</v>
      </c>
      <c r="N184" s="48">
        <f t="shared" si="56"/>
        <v>396030.83</v>
      </c>
      <c r="O184" s="198"/>
      <c r="P184" s="198"/>
      <c r="Q184" s="208"/>
      <c r="R184" s="192"/>
      <c r="S184" s="186"/>
    </row>
    <row r="185" spans="1:36">
      <c r="A185" s="47" t="str">
        <f t="shared" si="55"/>
        <v>اب تاون pkg#32</v>
      </c>
      <c r="B185" s="48">
        <v>52318.560000000005</v>
      </c>
      <c r="C185" s="48">
        <v>54224.55</v>
      </c>
      <c r="D185" s="48">
        <v>67053.129999999976</v>
      </c>
      <c r="E185" s="48">
        <v>0</v>
      </c>
      <c r="F185" s="48"/>
      <c r="G185" s="48">
        <v>0</v>
      </c>
      <c r="H185" s="48">
        <v>0</v>
      </c>
      <c r="I185" s="48">
        <v>0</v>
      </c>
      <c r="J185" s="48">
        <v>0</v>
      </c>
      <c r="K185" s="48">
        <v>0</v>
      </c>
      <c r="L185" s="48">
        <v>0</v>
      </c>
      <c r="M185" s="48">
        <v>0</v>
      </c>
      <c r="N185" s="48">
        <f t="shared" si="56"/>
        <v>173596.24</v>
      </c>
      <c r="O185" s="198"/>
      <c r="P185" s="198"/>
      <c r="Q185" s="208"/>
      <c r="R185" s="192"/>
      <c r="S185" s="186"/>
    </row>
    <row r="186" spans="1:36">
      <c r="A186" s="47" t="str">
        <f t="shared" si="55"/>
        <v>PKG#45 Civic Center</v>
      </c>
      <c r="B186" s="48">
        <v>-119162.64000000001</v>
      </c>
      <c r="C186" s="48">
        <v>25314.43</v>
      </c>
      <c r="D186" s="48">
        <v>90286.020000000019</v>
      </c>
      <c r="E186" s="48">
        <v>65373.01</v>
      </c>
      <c r="F186" s="48">
        <v>252426.79</v>
      </c>
      <c r="G186" s="48">
        <v>13746.63</v>
      </c>
      <c r="H186" s="48">
        <v>0</v>
      </c>
      <c r="I186" s="48">
        <v>0</v>
      </c>
      <c r="J186" s="48">
        <v>0</v>
      </c>
      <c r="K186" s="48">
        <v>0</v>
      </c>
      <c r="L186" s="48">
        <v>0</v>
      </c>
      <c r="M186" s="48">
        <v>0</v>
      </c>
      <c r="N186" s="48">
        <f t="shared" si="56"/>
        <v>327984.24</v>
      </c>
      <c r="O186" s="198"/>
      <c r="P186" s="198"/>
      <c r="Q186" s="208"/>
      <c r="R186" s="192"/>
      <c r="S186" s="186"/>
    </row>
    <row r="187" spans="1:36">
      <c r="A187" s="47" t="str">
        <f t="shared" si="55"/>
        <v xml:space="preserve">Limak </v>
      </c>
      <c r="B187" s="48">
        <v>28898.3</v>
      </c>
      <c r="C187" s="48">
        <v>621.04999999999995</v>
      </c>
      <c r="D187" s="48">
        <v>-1082.0999999999985</v>
      </c>
      <c r="E187" s="48">
        <v>0</v>
      </c>
      <c r="F187" s="48">
        <v>6874.96</v>
      </c>
      <c r="G187" s="48">
        <v>3212833.32</v>
      </c>
      <c r="H187" s="48">
        <v>0</v>
      </c>
      <c r="I187" s="48">
        <v>0</v>
      </c>
      <c r="J187" s="48">
        <v>0</v>
      </c>
      <c r="K187" s="48">
        <v>0</v>
      </c>
      <c r="L187" s="48">
        <v>0</v>
      </c>
      <c r="M187" s="48">
        <v>0</v>
      </c>
      <c r="N187" s="48">
        <f t="shared" si="56"/>
        <v>3248145.53</v>
      </c>
      <c r="O187" s="198"/>
      <c r="P187" s="198"/>
      <c r="Q187" s="208"/>
      <c r="R187" s="192"/>
      <c r="S187" s="186"/>
    </row>
    <row r="188" spans="1:36">
      <c r="A188" s="47" t="str">
        <f t="shared" si="55"/>
        <v>Sodic West Town</v>
      </c>
      <c r="B188" s="48">
        <v>0</v>
      </c>
      <c r="C188" s="48">
        <v>0</v>
      </c>
      <c r="D188" s="48">
        <v>36912.35</v>
      </c>
      <c r="E188" s="48">
        <v>0</v>
      </c>
      <c r="F188" s="48"/>
      <c r="G188" s="48">
        <v>227542.45</v>
      </c>
      <c r="H188" s="48">
        <v>0</v>
      </c>
      <c r="I188" s="48">
        <v>0</v>
      </c>
      <c r="J188" s="48">
        <v>0</v>
      </c>
      <c r="K188" s="48">
        <v>0</v>
      </c>
      <c r="L188" s="48">
        <v>0</v>
      </c>
      <c r="M188" s="48">
        <v>0</v>
      </c>
      <c r="N188" s="48">
        <f t="shared" si="56"/>
        <v>264454.8</v>
      </c>
      <c r="O188" s="198"/>
      <c r="P188" s="198"/>
      <c r="Q188" s="208"/>
      <c r="R188" s="192"/>
      <c r="S188" s="186"/>
    </row>
    <row r="189" spans="1:36">
      <c r="A189" s="47" t="str">
        <f t="shared" si="55"/>
        <v>New Cairo Mall</v>
      </c>
      <c r="B189" s="48">
        <v>894383.1799999997</v>
      </c>
      <c r="C189" s="48">
        <v>736998.9</v>
      </c>
      <c r="D189" s="48">
        <v>45142.44000000041</v>
      </c>
      <c r="E189" s="48">
        <v>62072</v>
      </c>
      <c r="F189" s="48">
        <v>325829.84999999998</v>
      </c>
      <c r="G189" s="48">
        <v>0</v>
      </c>
      <c r="H189" s="48">
        <v>0</v>
      </c>
      <c r="I189" s="48">
        <v>0</v>
      </c>
      <c r="J189" s="48">
        <v>0</v>
      </c>
      <c r="K189" s="48">
        <v>0</v>
      </c>
      <c r="L189" s="48">
        <v>0</v>
      </c>
      <c r="M189" s="48">
        <v>0</v>
      </c>
      <c r="N189" s="48">
        <f t="shared" si="56"/>
        <v>2064426.37</v>
      </c>
      <c r="O189" s="198"/>
      <c r="P189" s="198"/>
      <c r="Q189" s="208"/>
      <c r="R189" s="192"/>
      <c r="S189" s="186"/>
    </row>
    <row r="190" spans="1:36">
      <c r="A190" s="47" t="str">
        <f t="shared" si="55"/>
        <v xml:space="preserve">El Wahatt </v>
      </c>
      <c r="B190" s="48">
        <v>0</v>
      </c>
      <c r="C190" s="48">
        <v>0</v>
      </c>
      <c r="D190" s="48">
        <v>0</v>
      </c>
      <c r="E190" s="48">
        <v>0</v>
      </c>
      <c r="F190" s="48"/>
      <c r="G190" s="48">
        <v>0</v>
      </c>
      <c r="H190" s="48">
        <v>0</v>
      </c>
      <c r="I190" s="48">
        <v>0</v>
      </c>
      <c r="J190" s="48">
        <v>0</v>
      </c>
      <c r="K190" s="48">
        <v>0</v>
      </c>
      <c r="L190" s="48">
        <v>0</v>
      </c>
      <c r="M190" s="48">
        <v>0</v>
      </c>
      <c r="N190" s="48">
        <f t="shared" si="56"/>
        <v>0</v>
      </c>
      <c r="O190" s="198"/>
      <c r="P190" s="198"/>
      <c r="Q190" s="208"/>
      <c r="R190" s="192"/>
      <c r="S190" s="186"/>
    </row>
    <row r="191" spans="1:36">
      <c r="A191" s="47" t="str">
        <f t="shared" si="55"/>
        <v>Kasrawy II</v>
      </c>
      <c r="B191" s="48">
        <v>0</v>
      </c>
      <c r="C191" s="48">
        <v>0</v>
      </c>
      <c r="D191" s="48">
        <v>0</v>
      </c>
      <c r="E191" s="48">
        <v>0</v>
      </c>
      <c r="F191" s="48"/>
      <c r="G191" s="48">
        <v>0</v>
      </c>
      <c r="H191" s="48">
        <v>0</v>
      </c>
      <c r="I191" s="48">
        <v>0</v>
      </c>
      <c r="J191" s="48">
        <v>0</v>
      </c>
      <c r="K191" s="48">
        <v>0</v>
      </c>
      <c r="L191" s="48">
        <v>0</v>
      </c>
      <c r="M191" s="48">
        <v>0</v>
      </c>
      <c r="N191" s="48">
        <f t="shared" si="56"/>
        <v>0</v>
      </c>
      <c r="O191" s="198"/>
      <c r="P191" s="198"/>
      <c r="Q191" s="208"/>
      <c r="R191" s="192"/>
      <c r="S191" s="186"/>
    </row>
    <row r="192" spans="1:36">
      <c r="A192" s="47" t="s">
        <v>36</v>
      </c>
      <c r="B192" s="48">
        <f>7877.49+4500</f>
        <v>12377.49</v>
      </c>
      <c r="C192" s="48">
        <v>147.49</v>
      </c>
      <c r="D192" s="48">
        <v>-294.97999999999956</v>
      </c>
      <c r="E192" s="48">
        <v>-1209975</v>
      </c>
      <c r="F192" s="48">
        <v>-13950</v>
      </c>
      <c r="G192" s="48">
        <v>0</v>
      </c>
      <c r="H192" s="48">
        <v>0</v>
      </c>
      <c r="I192" s="48">
        <v>0</v>
      </c>
      <c r="J192" s="48">
        <v>0</v>
      </c>
      <c r="K192" s="48">
        <v>0</v>
      </c>
      <c r="L192" s="48">
        <v>0</v>
      </c>
      <c r="M192" s="48">
        <v>0</v>
      </c>
      <c r="N192" s="48">
        <f t="shared" si="56"/>
        <v>-1211695</v>
      </c>
      <c r="O192" s="198"/>
      <c r="P192" s="198"/>
      <c r="Q192" s="208"/>
      <c r="R192" s="192"/>
      <c r="S192" s="186"/>
    </row>
    <row r="193" spans="1:36">
      <c r="A193" s="47" t="s">
        <v>56</v>
      </c>
      <c r="B193" s="48">
        <v>404125.6700000001</v>
      </c>
      <c r="C193" s="48">
        <f>20545.83+372722.01+148042.95+12924.74+2010</f>
        <v>556245.53</v>
      </c>
      <c r="D193" s="48">
        <v>652563.26999999979</v>
      </c>
      <c r="E193" s="48">
        <f>1022826.34-14590</f>
        <v>1008236.34</v>
      </c>
      <c r="F193" s="48">
        <v>641847.34</v>
      </c>
      <c r="G193" s="48">
        <f>-3358856.04</f>
        <v>-3358856.04</v>
      </c>
      <c r="H193" s="48">
        <v>0</v>
      </c>
      <c r="I193" s="48">
        <v>0</v>
      </c>
      <c r="J193" s="48">
        <v>0</v>
      </c>
      <c r="K193" s="48">
        <v>0</v>
      </c>
      <c r="L193" s="48">
        <v>0</v>
      </c>
      <c r="M193" s="48">
        <v>0</v>
      </c>
      <c r="N193" s="48">
        <f t="shared" si="56"/>
        <v>-95837.89000000013</v>
      </c>
      <c r="O193" s="198"/>
      <c r="P193" s="198"/>
      <c r="Q193" s="208"/>
      <c r="R193" s="192"/>
      <c r="S193" s="186"/>
      <c r="T193" s="12"/>
    </row>
    <row r="194" spans="1:36" ht="15.75" thickBot="1">
      <c r="A194" s="106" t="s">
        <v>37</v>
      </c>
      <c r="B194" s="67">
        <f>SUM(B183:B193)</f>
        <v>1297137.5899999999</v>
      </c>
      <c r="C194" s="67">
        <f t="shared" ref="C194:M194" si="57">SUM(C183:C193)</f>
        <v>1374004.98</v>
      </c>
      <c r="D194" s="67">
        <f t="shared" si="57"/>
        <v>1212114.56</v>
      </c>
      <c r="E194" s="67">
        <f t="shared" si="57"/>
        <v>-65100.970000000088</v>
      </c>
      <c r="F194" s="67">
        <f>SUM(F183:F193)</f>
        <v>1233355.77</v>
      </c>
      <c r="G194" s="67">
        <f t="shared" si="57"/>
        <v>115593.18999999994</v>
      </c>
      <c r="H194" s="67">
        <f t="shared" si="57"/>
        <v>0</v>
      </c>
      <c r="I194" s="67">
        <f t="shared" si="57"/>
        <v>0</v>
      </c>
      <c r="J194" s="67">
        <f t="shared" si="57"/>
        <v>0</v>
      </c>
      <c r="K194" s="67">
        <f t="shared" si="57"/>
        <v>0</v>
      </c>
      <c r="L194" s="67">
        <f t="shared" si="57"/>
        <v>0</v>
      </c>
      <c r="M194" s="67">
        <f t="shared" si="57"/>
        <v>0</v>
      </c>
      <c r="N194" s="67">
        <f>SUM(N183:N193)</f>
        <v>5167105.1199999992</v>
      </c>
      <c r="O194" s="198"/>
      <c r="P194" s="198"/>
      <c r="Q194" s="208"/>
      <c r="R194" s="192"/>
      <c r="S194" s="186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  <c r="AJ194" s="11"/>
    </row>
    <row r="195" spans="1:36" ht="16.5" thickTop="1" thickBot="1">
      <c r="A195" s="50"/>
      <c r="B195" s="59"/>
      <c r="C195" s="59"/>
      <c r="D195" s="59"/>
      <c r="E195" s="59"/>
      <c r="F195" s="59"/>
      <c r="G195" s="67"/>
      <c r="H195" s="59"/>
      <c r="I195" s="59"/>
      <c r="J195" s="59"/>
      <c r="K195" s="59"/>
      <c r="L195" s="59"/>
      <c r="M195" s="59"/>
      <c r="N195" s="59"/>
      <c r="O195" s="198"/>
      <c r="P195" s="198"/>
      <c r="Q195" s="208"/>
      <c r="R195" s="192"/>
      <c r="S195" s="186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  <c r="AJ195" s="11"/>
    </row>
    <row r="196" spans="1:36" ht="15.75" thickTop="1">
      <c r="A196" s="60" t="str">
        <f t="shared" ref="A196:A201" si="58">A80</f>
        <v>Trade Activities</v>
      </c>
      <c r="B196" s="48"/>
      <c r="C196" s="48"/>
      <c r="D196" s="49"/>
      <c r="E196" s="49"/>
      <c r="F196" s="49"/>
      <c r="G196" s="49"/>
      <c r="H196" s="49"/>
      <c r="I196" s="49"/>
      <c r="J196" s="49"/>
      <c r="K196" s="49"/>
      <c r="L196" s="49"/>
      <c r="M196" s="49"/>
      <c r="N196" s="48" t="s">
        <v>20</v>
      </c>
      <c r="O196" s="198"/>
      <c r="P196" s="198"/>
      <c r="Q196" s="208"/>
      <c r="R196" s="192"/>
      <c r="S196" s="186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  <c r="AJ196" s="11"/>
    </row>
    <row r="197" spans="1:36">
      <c r="A197" s="47" t="str">
        <f t="shared" si="58"/>
        <v>ابناء مصر للتعمير</v>
      </c>
      <c r="B197" s="49">
        <v>481197.34</v>
      </c>
      <c r="C197" s="49">
        <v>348124.35</v>
      </c>
      <c r="D197" s="49">
        <v>-18018.639999999898</v>
      </c>
      <c r="E197" s="49">
        <v>81441.36</v>
      </c>
      <c r="F197" s="49">
        <v>1463570.15</v>
      </c>
      <c r="G197" s="49">
        <v>15254.46</v>
      </c>
      <c r="H197" s="49">
        <v>0</v>
      </c>
      <c r="I197" s="49">
        <v>0</v>
      </c>
      <c r="J197" s="49">
        <v>0</v>
      </c>
      <c r="K197" s="49">
        <v>0</v>
      </c>
      <c r="L197" s="49">
        <v>0</v>
      </c>
      <c r="M197" s="49">
        <v>0</v>
      </c>
      <c r="N197" s="48">
        <f>SUM(B197:M197)</f>
        <v>2371569.02</v>
      </c>
      <c r="O197" s="198"/>
      <c r="P197" s="198"/>
      <c r="Q197" s="208"/>
      <c r="R197" s="192"/>
      <c r="S197" s="186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  <c r="AJ197" s="11"/>
    </row>
    <row r="198" spans="1:36">
      <c r="A198" s="47" t="str">
        <f t="shared" si="58"/>
        <v>شركة الحلول</v>
      </c>
      <c r="B198" s="48">
        <v>0</v>
      </c>
      <c r="C198" s="48">
        <v>0</v>
      </c>
      <c r="D198" s="49">
        <v>0</v>
      </c>
      <c r="E198" s="49">
        <v>0</v>
      </c>
      <c r="F198" s="49">
        <v>0</v>
      </c>
      <c r="G198" s="49">
        <v>0</v>
      </c>
      <c r="H198" s="49">
        <v>0</v>
      </c>
      <c r="I198" s="49">
        <v>0</v>
      </c>
      <c r="J198" s="49">
        <v>0</v>
      </c>
      <c r="K198" s="49">
        <v>0</v>
      </c>
      <c r="L198" s="49">
        <v>0</v>
      </c>
      <c r="M198" s="49">
        <v>0</v>
      </c>
      <c r="N198" s="48">
        <f>SUM(B198:M198)</f>
        <v>0</v>
      </c>
      <c r="O198" s="198"/>
      <c r="P198" s="198"/>
      <c r="Q198" s="208"/>
      <c r="R198" s="192"/>
      <c r="S198" s="186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  <c r="AJ198" s="11"/>
    </row>
    <row r="199" spans="1:36">
      <c r="A199" s="47" t="str">
        <f t="shared" si="58"/>
        <v>New Client</v>
      </c>
      <c r="B199" s="48">
        <v>0</v>
      </c>
      <c r="C199" s="48">
        <v>0</v>
      </c>
      <c r="D199" s="49">
        <v>0</v>
      </c>
      <c r="E199" s="49">
        <v>0</v>
      </c>
      <c r="F199" s="49">
        <v>0</v>
      </c>
      <c r="G199" s="49">
        <v>0</v>
      </c>
      <c r="H199" s="49">
        <v>0</v>
      </c>
      <c r="I199" s="49">
        <v>0</v>
      </c>
      <c r="J199" s="49">
        <v>0</v>
      </c>
      <c r="K199" s="49">
        <v>0</v>
      </c>
      <c r="L199" s="49">
        <v>0</v>
      </c>
      <c r="M199" s="49">
        <v>0</v>
      </c>
      <c r="N199" s="48">
        <f>SUM(B199:M199)</f>
        <v>0</v>
      </c>
      <c r="O199" s="198"/>
      <c r="P199" s="198"/>
      <c r="Q199" s="208"/>
      <c r="R199" s="192"/>
      <c r="S199" s="186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  <c r="AJ199" s="11"/>
    </row>
    <row r="200" spans="1:36">
      <c r="A200" s="47" t="str">
        <f t="shared" si="58"/>
        <v>New Client</v>
      </c>
      <c r="B200" s="48">
        <v>0</v>
      </c>
      <c r="C200" s="48">
        <v>0</v>
      </c>
      <c r="D200" s="49">
        <v>0</v>
      </c>
      <c r="E200" s="49">
        <v>0</v>
      </c>
      <c r="F200" s="49">
        <v>0</v>
      </c>
      <c r="G200" s="49">
        <v>0</v>
      </c>
      <c r="H200" s="49">
        <v>0</v>
      </c>
      <c r="I200" s="49">
        <v>0</v>
      </c>
      <c r="J200" s="49">
        <v>0</v>
      </c>
      <c r="K200" s="49">
        <v>0</v>
      </c>
      <c r="L200" s="49">
        <v>0</v>
      </c>
      <c r="M200" s="49">
        <v>0</v>
      </c>
      <c r="N200" s="48">
        <f>SUM(B200:M200)</f>
        <v>0</v>
      </c>
      <c r="O200" s="198"/>
      <c r="P200" s="198"/>
      <c r="Q200" s="208"/>
      <c r="R200" s="192"/>
      <c r="S200" s="186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  <c r="AJ200" s="11"/>
    </row>
    <row r="201" spans="1:36">
      <c r="A201" s="47" t="str">
        <f t="shared" si="58"/>
        <v>New Client</v>
      </c>
      <c r="B201" s="48">
        <v>0</v>
      </c>
      <c r="C201" s="48">
        <v>0</v>
      </c>
      <c r="D201" s="49">
        <v>0</v>
      </c>
      <c r="E201" s="49">
        <v>0</v>
      </c>
      <c r="F201" s="49">
        <v>0</v>
      </c>
      <c r="G201" s="49">
        <v>0</v>
      </c>
      <c r="H201" s="49">
        <v>0</v>
      </c>
      <c r="I201" s="49">
        <v>0</v>
      </c>
      <c r="J201" s="49">
        <v>0</v>
      </c>
      <c r="K201" s="49">
        <v>0</v>
      </c>
      <c r="L201" s="49">
        <v>0</v>
      </c>
      <c r="M201" s="49">
        <v>0</v>
      </c>
      <c r="N201" s="48">
        <f>SUM(B201:M201)</f>
        <v>0</v>
      </c>
      <c r="O201" s="198"/>
      <c r="P201" s="198"/>
      <c r="Q201" s="208"/>
      <c r="R201" s="192"/>
      <c r="S201" s="186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  <c r="AJ201" s="11"/>
    </row>
    <row r="202" spans="1:36" ht="15.75" thickBot="1">
      <c r="A202" s="107" t="s">
        <v>37</v>
      </c>
      <c r="B202" s="59">
        <f t="shared" ref="B202:G202" si="59">SUM(B197:B201)</f>
        <v>481197.34</v>
      </c>
      <c r="C202" s="59">
        <f t="shared" si="59"/>
        <v>348124.35</v>
      </c>
      <c r="D202" s="59">
        <f t="shared" si="59"/>
        <v>-18018.639999999898</v>
      </c>
      <c r="E202" s="59">
        <f t="shared" si="59"/>
        <v>81441.36</v>
      </c>
      <c r="F202" s="59">
        <f t="shared" si="59"/>
        <v>1463570.15</v>
      </c>
      <c r="G202" s="114">
        <f t="shared" si="59"/>
        <v>15254.46</v>
      </c>
      <c r="H202" s="59">
        <f t="shared" ref="H202:M202" si="60">SUM(H197:H201)</f>
        <v>0</v>
      </c>
      <c r="I202" s="59">
        <f t="shared" si="60"/>
        <v>0</v>
      </c>
      <c r="J202" s="59">
        <f t="shared" si="60"/>
        <v>0</v>
      </c>
      <c r="K202" s="59">
        <f t="shared" si="60"/>
        <v>0</v>
      </c>
      <c r="L202" s="59">
        <f t="shared" si="60"/>
        <v>0</v>
      </c>
      <c r="M202" s="59">
        <f t="shared" si="60"/>
        <v>0</v>
      </c>
      <c r="N202" s="59">
        <f>SUM(N197:N201)</f>
        <v>2371569.02</v>
      </c>
      <c r="O202" s="198"/>
      <c r="P202" s="198"/>
      <c r="Q202" s="208"/>
      <c r="R202" s="192"/>
      <c r="S202" s="186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  <c r="AJ202" s="11"/>
    </row>
    <row r="203" spans="1:36" ht="16.5" thickTop="1" thickBot="1">
      <c r="A203" s="44" t="s">
        <v>15</v>
      </c>
      <c r="B203" s="9">
        <f t="shared" ref="B203:M203" si="61">B181+B194+B202</f>
        <v>95084586.959999993</v>
      </c>
      <c r="C203" s="9">
        <f>C181+C194+C202</f>
        <v>88840378.85999997</v>
      </c>
      <c r="D203" s="9">
        <f t="shared" si="61"/>
        <v>149623031.30000001</v>
      </c>
      <c r="E203" s="9">
        <f t="shared" si="61"/>
        <v>115036437.32000001</v>
      </c>
      <c r="F203" s="9">
        <f>F181+F194+F202</f>
        <v>101243299.85000001</v>
      </c>
      <c r="G203" s="115">
        <f t="shared" si="61"/>
        <v>81239224.419999972</v>
      </c>
      <c r="H203" s="9">
        <f t="shared" si="61"/>
        <v>0</v>
      </c>
      <c r="I203" s="9">
        <f t="shared" si="61"/>
        <v>0</v>
      </c>
      <c r="J203" s="9">
        <f t="shared" si="61"/>
        <v>0</v>
      </c>
      <c r="K203" s="9">
        <f t="shared" si="61"/>
        <v>0</v>
      </c>
      <c r="L203" s="9">
        <f t="shared" si="61"/>
        <v>0</v>
      </c>
      <c r="M203" s="9">
        <f t="shared" si="61"/>
        <v>0</v>
      </c>
      <c r="N203" s="9">
        <f>N181+N194+N202</f>
        <v>631066958.7099998</v>
      </c>
      <c r="O203" s="198"/>
      <c r="P203" s="198"/>
      <c r="Q203" s="208"/>
      <c r="R203" s="192"/>
      <c r="S203" s="186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  <c r="AJ203" s="17"/>
    </row>
    <row r="204" spans="1:36" ht="15.75" thickTop="1">
      <c r="B204" s="11">
        <v>95084587.409999996</v>
      </c>
      <c r="C204" s="48">
        <v>88840378.430000007</v>
      </c>
      <c r="D204" s="49">
        <v>149623031</v>
      </c>
      <c r="E204" s="49">
        <v>115036437</v>
      </c>
      <c r="F204" s="196">
        <v>101249373.85000001</v>
      </c>
      <c r="G204" s="227">
        <v>81233150.400000006</v>
      </c>
      <c r="H204" s="11"/>
      <c r="N204" s="175">
        <v>631066958.54999995</v>
      </c>
      <c r="O204" s="198"/>
      <c r="P204" s="198"/>
      <c r="Q204" s="208"/>
      <c r="R204" s="192"/>
      <c r="S204" s="186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</row>
    <row r="205" spans="1:36">
      <c r="B205" s="11">
        <f>+B204-B203</f>
        <v>0.45000000298023224</v>
      </c>
      <c r="C205" s="11">
        <f>+C203-C204</f>
        <v>0.42999996244907379</v>
      </c>
      <c r="D205" s="11">
        <f>+D203-D204</f>
        <v>0.30000001192092896</v>
      </c>
      <c r="E205" s="11">
        <f>+E203-E204</f>
        <v>0.32000000774860382</v>
      </c>
      <c r="F205" s="11">
        <f>+F203-F204</f>
        <v>-6074</v>
      </c>
      <c r="G205" s="11">
        <f>+G203-G204</f>
        <v>6074.0199999660254</v>
      </c>
      <c r="H205" s="11"/>
      <c r="N205" s="11">
        <f>+N203-N204</f>
        <v>0.15999984741210938</v>
      </c>
      <c r="O205" s="198"/>
      <c r="P205" s="198"/>
      <c r="Q205" s="208"/>
      <c r="R205" s="192"/>
      <c r="S205" s="186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</row>
    <row r="206" spans="1:36">
      <c r="A206" s="435" t="s">
        <v>57</v>
      </c>
      <c r="B206" s="432">
        <f t="shared" ref="B206:N206" si="62">B29</f>
        <v>42736</v>
      </c>
      <c r="C206" s="432">
        <f t="shared" si="62"/>
        <v>42767</v>
      </c>
      <c r="D206" s="432">
        <f t="shared" si="62"/>
        <v>42795</v>
      </c>
      <c r="E206" s="432">
        <f t="shared" si="62"/>
        <v>42826</v>
      </c>
      <c r="F206" s="432">
        <f t="shared" si="62"/>
        <v>42856</v>
      </c>
      <c r="G206" s="432">
        <f t="shared" si="62"/>
        <v>42887</v>
      </c>
      <c r="H206" s="432">
        <f t="shared" si="62"/>
        <v>42917</v>
      </c>
      <c r="I206" s="432">
        <f t="shared" si="62"/>
        <v>42948</v>
      </c>
      <c r="J206" s="432">
        <f t="shared" si="62"/>
        <v>42979</v>
      </c>
      <c r="K206" s="432">
        <f t="shared" si="62"/>
        <v>43009</v>
      </c>
      <c r="L206" s="432">
        <f t="shared" si="62"/>
        <v>43040</v>
      </c>
      <c r="M206" s="432">
        <f t="shared" si="62"/>
        <v>43070</v>
      </c>
      <c r="N206" s="432" t="str">
        <f t="shared" si="62"/>
        <v>Total</v>
      </c>
      <c r="O206" s="198"/>
      <c r="P206" s="198"/>
      <c r="Q206" s="208"/>
      <c r="R206" s="192"/>
      <c r="S206" s="186"/>
      <c r="T206" s="17"/>
      <c r="U206" s="17"/>
      <c r="V206" s="17"/>
      <c r="W206" s="17"/>
      <c r="X206" s="17"/>
      <c r="Y206" s="17"/>
      <c r="Z206" s="17"/>
      <c r="AA206" s="17"/>
      <c r="AB206" s="17"/>
      <c r="AC206" s="17"/>
      <c r="AD206" s="17"/>
      <c r="AE206" s="17"/>
      <c r="AF206" s="17"/>
      <c r="AG206" s="17"/>
      <c r="AH206" s="17"/>
      <c r="AI206" s="17"/>
    </row>
    <row r="207" spans="1:36" ht="15.75" thickBot="1">
      <c r="A207" s="436"/>
      <c r="B207" s="433"/>
      <c r="C207" s="433"/>
      <c r="D207" s="433"/>
      <c r="E207" s="433"/>
      <c r="F207" s="433"/>
      <c r="G207" s="433"/>
      <c r="H207" s="433"/>
      <c r="I207" s="433"/>
      <c r="J207" s="433"/>
      <c r="K207" s="433"/>
      <c r="L207" s="433"/>
      <c r="M207" s="433"/>
      <c r="N207" s="433"/>
      <c r="O207" s="198"/>
      <c r="P207" s="198"/>
      <c r="Q207" s="208"/>
      <c r="R207" s="192"/>
      <c r="S207" s="186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</row>
    <row r="208" spans="1:36" ht="15.75" thickTop="1">
      <c r="A208" s="61" t="s">
        <v>58</v>
      </c>
      <c r="B208" s="62">
        <v>0</v>
      </c>
      <c r="C208" s="62">
        <v>0</v>
      </c>
      <c r="D208" s="62">
        <v>0</v>
      </c>
      <c r="E208" s="62">
        <v>0</v>
      </c>
      <c r="F208" s="62">
        <v>0</v>
      </c>
      <c r="G208" s="62">
        <v>0</v>
      </c>
      <c r="H208" s="62">
        <v>0</v>
      </c>
      <c r="I208" s="62">
        <v>0</v>
      </c>
      <c r="J208" s="62">
        <v>0</v>
      </c>
      <c r="K208" s="62">
        <v>0</v>
      </c>
      <c r="L208" s="62">
        <v>0</v>
      </c>
      <c r="M208" s="62">
        <v>0</v>
      </c>
      <c r="N208" s="62">
        <v>0</v>
      </c>
      <c r="O208" s="198"/>
      <c r="P208" s="198"/>
      <c r="Q208" s="208"/>
      <c r="R208" s="192"/>
      <c r="S208" s="186"/>
    </row>
    <row r="209" spans="1:19">
      <c r="A209" s="61" t="s">
        <v>59</v>
      </c>
      <c r="B209" s="62">
        <v>0</v>
      </c>
      <c r="C209" s="62">
        <v>0</v>
      </c>
      <c r="D209" s="62">
        <v>0</v>
      </c>
      <c r="E209" s="62">
        <v>0</v>
      </c>
      <c r="F209" s="62">
        <v>0</v>
      </c>
      <c r="G209" s="62">
        <v>0</v>
      </c>
      <c r="H209" s="62">
        <v>0</v>
      </c>
      <c r="I209" s="62">
        <v>0</v>
      </c>
      <c r="J209" s="62">
        <v>0</v>
      </c>
      <c r="K209" s="62">
        <v>0</v>
      </c>
      <c r="L209" s="62">
        <v>0</v>
      </c>
      <c r="M209" s="62">
        <v>0</v>
      </c>
      <c r="N209" s="62">
        <v>0</v>
      </c>
      <c r="O209" s="198"/>
      <c r="P209" s="198"/>
      <c r="Q209" s="208"/>
      <c r="R209" s="192"/>
      <c r="S209" s="186"/>
    </row>
    <row r="210" spans="1:19" ht="15.75" thickBot="1">
      <c r="A210" s="63" t="s">
        <v>60</v>
      </c>
      <c r="B210" s="64">
        <f t="shared" ref="B210:N210" si="63">SUM(B208:B209)</f>
        <v>0</v>
      </c>
      <c r="C210" s="64">
        <f t="shared" si="63"/>
        <v>0</v>
      </c>
      <c r="D210" s="64">
        <f t="shared" si="63"/>
        <v>0</v>
      </c>
      <c r="E210" s="64">
        <f t="shared" si="63"/>
        <v>0</v>
      </c>
      <c r="F210" s="64">
        <f t="shared" si="63"/>
        <v>0</v>
      </c>
      <c r="G210" s="64">
        <f t="shared" si="63"/>
        <v>0</v>
      </c>
      <c r="H210" s="64">
        <f t="shared" si="63"/>
        <v>0</v>
      </c>
      <c r="I210" s="64">
        <f t="shared" si="63"/>
        <v>0</v>
      </c>
      <c r="J210" s="64">
        <f t="shared" si="63"/>
        <v>0</v>
      </c>
      <c r="K210" s="64">
        <f t="shared" si="63"/>
        <v>0</v>
      </c>
      <c r="L210" s="64">
        <f t="shared" si="63"/>
        <v>0</v>
      </c>
      <c r="M210" s="64">
        <f t="shared" si="63"/>
        <v>0</v>
      </c>
      <c r="N210" s="64">
        <f t="shared" si="63"/>
        <v>0</v>
      </c>
      <c r="O210" s="198"/>
      <c r="P210" s="198"/>
      <c r="Q210" s="208"/>
      <c r="R210" s="192"/>
      <c r="S210" s="186"/>
    </row>
    <row r="211" spans="1:19" ht="15.75" thickTop="1">
      <c r="A211" s="45" t="s">
        <v>35</v>
      </c>
      <c r="B211" s="46"/>
      <c r="C211" s="46"/>
      <c r="D211" s="46"/>
      <c r="E211" s="46"/>
      <c r="F211" s="46"/>
      <c r="G211" s="46"/>
      <c r="H211" s="46"/>
      <c r="I211" s="46"/>
      <c r="J211" s="46"/>
      <c r="K211" s="46"/>
      <c r="L211" s="46"/>
      <c r="M211" s="46"/>
      <c r="N211" s="46"/>
      <c r="O211" s="198"/>
      <c r="P211" s="198"/>
      <c r="Q211" s="208"/>
      <c r="R211" s="192"/>
      <c r="S211" s="186"/>
    </row>
    <row r="212" spans="1:19">
      <c r="A212" s="65" t="str">
        <f t="shared" ref="A212:A225" si="64">A147</f>
        <v>Al Oula</v>
      </c>
      <c r="B212" s="48">
        <v>0</v>
      </c>
      <c r="C212" s="48">
        <v>0</v>
      </c>
      <c r="D212" s="48">
        <v>0</v>
      </c>
      <c r="E212" s="48">
        <v>0</v>
      </c>
      <c r="F212" s="48">
        <v>0</v>
      </c>
      <c r="G212" s="48">
        <v>0</v>
      </c>
      <c r="H212" s="48">
        <v>0</v>
      </c>
      <c r="I212" s="48">
        <v>0</v>
      </c>
      <c r="J212" s="48">
        <v>0</v>
      </c>
      <c r="K212" s="48">
        <v>0</v>
      </c>
      <c r="L212" s="48">
        <v>0</v>
      </c>
      <c r="M212" s="48">
        <v>0</v>
      </c>
      <c r="N212" s="48">
        <v>0</v>
      </c>
      <c r="O212" s="198"/>
      <c r="P212" s="198"/>
      <c r="Q212" s="208"/>
      <c r="R212" s="192"/>
      <c r="S212" s="186"/>
    </row>
    <row r="213" spans="1:19">
      <c r="A213" s="65" t="str">
        <f t="shared" si="64"/>
        <v>Hyper Al Sulaimaniya</v>
      </c>
      <c r="B213" s="48">
        <v>0</v>
      </c>
      <c r="C213" s="48">
        <v>0</v>
      </c>
      <c r="D213" s="48">
        <v>0</v>
      </c>
      <c r="E213" s="48">
        <v>0</v>
      </c>
      <c r="F213" s="48">
        <v>0</v>
      </c>
      <c r="G213" s="48">
        <v>0</v>
      </c>
      <c r="H213" s="48">
        <v>0</v>
      </c>
      <c r="I213" s="48">
        <v>0</v>
      </c>
      <c r="J213" s="48">
        <v>0</v>
      </c>
      <c r="K213" s="48">
        <v>0</v>
      </c>
      <c r="L213" s="48">
        <v>0</v>
      </c>
      <c r="M213" s="48">
        <v>0</v>
      </c>
      <c r="N213" s="48">
        <v>0</v>
      </c>
      <c r="O213" s="198"/>
      <c r="P213" s="198"/>
      <c r="Q213" s="208"/>
      <c r="R213" s="192"/>
      <c r="S213" s="186"/>
    </row>
    <row r="214" spans="1:19">
      <c r="A214" s="65" t="str">
        <f t="shared" si="64"/>
        <v>New Giza I</v>
      </c>
      <c r="B214" s="48">
        <v>0</v>
      </c>
      <c r="C214" s="48">
        <v>0</v>
      </c>
      <c r="D214" s="48">
        <v>0</v>
      </c>
      <c r="E214" s="48">
        <v>0</v>
      </c>
      <c r="F214" s="48">
        <v>0</v>
      </c>
      <c r="G214" s="48">
        <v>0</v>
      </c>
      <c r="H214" s="48">
        <v>0</v>
      </c>
      <c r="I214" s="48">
        <v>0</v>
      </c>
      <c r="J214" s="48">
        <v>0</v>
      </c>
      <c r="K214" s="48">
        <v>0</v>
      </c>
      <c r="L214" s="48">
        <v>0</v>
      </c>
      <c r="M214" s="48">
        <v>0</v>
      </c>
      <c r="N214" s="48">
        <v>0</v>
      </c>
      <c r="O214" s="198"/>
      <c r="P214" s="198"/>
      <c r="Q214" s="208"/>
      <c r="R214" s="192"/>
      <c r="S214" s="186"/>
    </row>
    <row r="215" spans="1:19">
      <c r="A215" s="65" t="str">
        <f t="shared" si="64"/>
        <v>Maxim mall</v>
      </c>
      <c r="B215" s="48">
        <v>0</v>
      </c>
      <c r="C215" s="48">
        <v>0</v>
      </c>
      <c r="D215" s="48">
        <v>0</v>
      </c>
      <c r="E215" s="48">
        <v>0</v>
      </c>
      <c r="F215" s="48">
        <v>0</v>
      </c>
      <c r="G215" s="48">
        <v>0</v>
      </c>
      <c r="H215" s="48">
        <v>0</v>
      </c>
      <c r="I215" s="48">
        <v>0</v>
      </c>
      <c r="J215" s="48">
        <v>0</v>
      </c>
      <c r="K215" s="48">
        <v>0</v>
      </c>
      <c r="L215" s="48">
        <v>0</v>
      </c>
      <c r="M215" s="48">
        <v>0</v>
      </c>
      <c r="N215" s="48">
        <v>0</v>
      </c>
      <c r="O215" s="198"/>
      <c r="P215" s="198"/>
      <c r="Q215" s="208"/>
      <c r="R215" s="192"/>
      <c r="S215" s="186"/>
    </row>
    <row r="216" spans="1:19">
      <c r="A216" s="65" t="str">
        <f t="shared" si="64"/>
        <v>Attaka</v>
      </c>
      <c r="B216" s="48">
        <v>0</v>
      </c>
      <c r="C216" s="48">
        <v>0</v>
      </c>
      <c r="D216" s="48">
        <v>0</v>
      </c>
      <c r="E216" s="48">
        <v>0</v>
      </c>
      <c r="F216" s="48">
        <v>0</v>
      </c>
      <c r="G216" s="48">
        <v>0</v>
      </c>
      <c r="H216" s="48">
        <v>0</v>
      </c>
      <c r="I216" s="48">
        <v>0</v>
      </c>
      <c r="J216" s="48">
        <v>0</v>
      </c>
      <c r="K216" s="48">
        <v>0</v>
      </c>
      <c r="L216" s="48">
        <v>0</v>
      </c>
      <c r="M216" s="48">
        <v>0</v>
      </c>
      <c r="N216" s="48">
        <v>0</v>
      </c>
      <c r="O216" s="198"/>
      <c r="P216" s="198"/>
      <c r="Q216" s="208"/>
      <c r="R216" s="192"/>
      <c r="S216" s="186"/>
    </row>
    <row r="217" spans="1:19">
      <c r="A217" s="65" t="str">
        <f t="shared" si="64"/>
        <v>مول مصر</v>
      </c>
      <c r="B217" s="48">
        <v>0</v>
      </c>
      <c r="C217" s="48">
        <v>0</v>
      </c>
      <c r="D217" s="48">
        <v>0</v>
      </c>
      <c r="E217" s="48">
        <v>0</v>
      </c>
      <c r="F217" s="48">
        <v>0</v>
      </c>
      <c r="G217" s="48">
        <v>0</v>
      </c>
      <c r="H217" s="48">
        <v>0</v>
      </c>
      <c r="I217" s="48">
        <v>0</v>
      </c>
      <c r="J217" s="48">
        <v>0</v>
      </c>
      <c r="K217" s="48">
        <v>0</v>
      </c>
      <c r="L217" s="48">
        <v>0</v>
      </c>
      <c r="M217" s="48">
        <v>0</v>
      </c>
      <c r="N217" s="48">
        <v>0</v>
      </c>
      <c r="O217" s="198"/>
      <c r="P217" s="198"/>
      <c r="Q217" s="208"/>
      <c r="R217" s="192"/>
      <c r="S217" s="186"/>
    </row>
    <row r="218" spans="1:19">
      <c r="A218" s="65" t="str">
        <f t="shared" si="64"/>
        <v>مراسى تانك الخزان الجديد PKG22 New</v>
      </c>
      <c r="B218" s="48">
        <v>0</v>
      </c>
      <c r="C218" s="48">
        <v>0</v>
      </c>
      <c r="D218" s="48">
        <v>0</v>
      </c>
      <c r="E218" s="48">
        <v>0</v>
      </c>
      <c r="F218" s="48">
        <v>0</v>
      </c>
      <c r="G218" s="48">
        <v>0</v>
      </c>
      <c r="H218" s="48">
        <v>0</v>
      </c>
      <c r="I218" s="48">
        <v>0</v>
      </c>
      <c r="J218" s="48">
        <v>0</v>
      </c>
      <c r="K218" s="48">
        <v>0</v>
      </c>
      <c r="L218" s="48">
        <v>0</v>
      </c>
      <c r="M218" s="48">
        <v>0</v>
      </c>
      <c r="N218" s="48">
        <v>0</v>
      </c>
      <c r="O218" s="198"/>
      <c r="P218" s="198"/>
      <c r="Q218" s="208"/>
      <c r="R218" s="192"/>
      <c r="S218" s="186"/>
    </row>
    <row r="219" spans="1:19">
      <c r="A219" s="65" t="str">
        <f t="shared" si="64"/>
        <v>نادي سوديك</v>
      </c>
      <c r="B219" s="48">
        <v>0</v>
      </c>
      <c r="C219" s="48">
        <v>0</v>
      </c>
      <c r="D219" s="48">
        <v>0</v>
      </c>
      <c r="E219" s="48">
        <v>0</v>
      </c>
      <c r="F219" s="48">
        <v>0</v>
      </c>
      <c r="G219" s="48">
        <v>0</v>
      </c>
      <c r="H219" s="48">
        <v>0</v>
      </c>
      <c r="I219" s="48">
        <v>0</v>
      </c>
      <c r="J219" s="48">
        <v>0</v>
      </c>
      <c r="K219" s="48">
        <v>0</v>
      </c>
      <c r="L219" s="48">
        <v>0</v>
      </c>
      <c r="M219" s="48">
        <v>0</v>
      </c>
      <c r="N219" s="48">
        <v>0</v>
      </c>
      <c r="O219" s="198"/>
      <c r="P219" s="198"/>
      <c r="Q219" s="208"/>
      <c r="R219" s="192"/>
      <c r="S219" s="186"/>
    </row>
    <row r="220" spans="1:19">
      <c r="A220" s="65" t="str">
        <f t="shared" si="64"/>
        <v>شرم الشيخ</v>
      </c>
      <c r="B220" s="48">
        <v>0</v>
      </c>
      <c r="C220" s="48">
        <v>0</v>
      </c>
      <c r="D220" s="48">
        <v>0</v>
      </c>
      <c r="E220" s="48">
        <v>0</v>
      </c>
      <c r="F220" s="48">
        <v>0</v>
      </c>
      <c r="G220" s="48">
        <v>0</v>
      </c>
      <c r="H220" s="48">
        <v>0</v>
      </c>
      <c r="I220" s="48">
        <v>0</v>
      </c>
      <c r="J220" s="48">
        <v>0</v>
      </c>
      <c r="K220" s="48">
        <v>0</v>
      </c>
      <c r="L220" s="48">
        <v>0</v>
      </c>
      <c r="M220" s="48">
        <v>0</v>
      </c>
      <c r="N220" s="48">
        <v>0</v>
      </c>
      <c r="O220" s="198"/>
      <c r="P220" s="198"/>
      <c r="Q220" s="208"/>
      <c r="R220" s="192"/>
      <c r="S220" s="186"/>
    </row>
    <row r="221" spans="1:19">
      <c r="A221" s="65" t="str">
        <f t="shared" si="64"/>
        <v>عمائر اب تاون 53</v>
      </c>
      <c r="B221" s="48">
        <v>0</v>
      </c>
      <c r="C221" s="48">
        <v>0</v>
      </c>
      <c r="D221" s="48">
        <v>0</v>
      </c>
      <c r="E221" s="48">
        <v>0</v>
      </c>
      <c r="F221" s="48">
        <v>0</v>
      </c>
      <c r="G221" s="48">
        <v>0</v>
      </c>
      <c r="H221" s="48">
        <v>0</v>
      </c>
      <c r="I221" s="48">
        <v>0</v>
      </c>
      <c r="J221" s="48">
        <v>0</v>
      </c>
      <c r="K221" s="48">
        <v>0</v>
      </c>
      <c r="L221" s="48">
        <v>0</v>
      </c>
      <c r="M221" s="48">
        <v>0</v>
      </c>
      <c r="N221" s="48">
        <v>0</v>
      </c>
      <c r="O221" s="198"/>
      <c r="P221" s="198"/>
      <c r="Q221" s="208"/>
      <c r="R221" s="192"/>
      <c r="S221" s="186"/>
    </row>
    <row r="222" spans="1:19">
      <c r="A222" s="65" t="str">
        <f t="shared" si="64"/>
        <v>New Giza phase 2</v>
      </c>
      <c r="B222" s="48">
        <v>0</v>
      </c>
      <c r="C222" s="48">
        <v>0</v>
      </c>
      <c r="D222" s="48">
        <v>0</v>
      </c>
      <c r="E222" s="48">
        <v>0</v>
      </c>
      <c r="F222" s="48">
        <v>0</v>
      </c>
      <c r="G222" s="48">
        <v>0</v>
      </c>
      <c r="H222" s="48">
        <v>0</v>
      </c>
      <c r="I222" s="48">
        <v>0</v>
      </c>
      <c r="J222" s="48">
        <v>0</v>
      </c>
      <c r="K222" s="48">
        <v>0</v>
      </c>
      <c r="L222" s="48">
        <v>0</v>
      </c>
      <c r="M222" s="48">
        <v>0</v>
      </c>
      <c r="N222" s="48">
        <v>0</v>
      </c>
      <c r="O222" s="198"/>
      <c r="P222" s="198"/>
      <c r="Q222" s="208"/>
      <c r="R222" s="192"/>
      <c r="S222" s="186"/>
    </row>
    <row r="223" spans="1:19">
      <c r="A223" s="65" t="str">
        <f t="shared" si="64"/>
        <v>Beni suef</v>
      </c>
      <c r="B223" s="48">
        <v>0</v>
      </c>
      <c r="C223" s="48">
        <v>0</v>
      </c>
      <c r="D223" s="48">
        <v>0</v>
      </c>
      <c r="E223" s="48">
        <v>0</v>
      </c>
      <c r="F223" s="48">
        <v>0</v>
      </c>
      <c r="G223" s="48">
        <v>0</v>
      </c>
      <c r="H223" s="48">
        <v>0</v>
      </c>
      <c r="I223" s="48">
        <v>0</v>
      </c>
      <c r="J223" s="48">
        <v>0</v>
      </c>
      <c r="K223" s="48">
        <v>0</v>
      </c>
      <c r="L223" s="48">
        <v>0</v>
      </c>
      <c r="M223" s="48">
        <v>0</v>
      </c>
      <c r="N223" s="48">
        <v>0</v>
      </c>
      <c r="O223" s="198"/>
      <c r="P223" s="198"/>
      <c r="Q223" s="208"/>
      <c r="R223" s="192"/>
      <c r="S223" s="186"/>
    </row>
    <row r="224" spans="1:19">
      <c r="A224" s="65" t="str">
        <f t="shared" si="64"/>
        <v>كوبرى الشيخ بن زايد - كوبرى العاصمة</v>
      </c>
      <c r="B224" s="48">
        <v>0</v>
      </c>
      <c r="C224" s="48">
        <v>0</v>
      </c>
      <c r="D224" s="48">
        <v>0</v>
      </c>
      <c r="E224" s="48">
        <v>0</v>
      </c>
      <c r="F224" s="48">
        <v>0</v>
      </c>
      <c r="G224" s="48">
        <v>0</v>
      </c>
      <c r="H224" s="48">
        <v>0</v>
      </c>
      <c r="I224" s="48">
        <v>0</v>
      </c>
      <c r="J224" s="48">
        <v>0</v>
      </c>
      <c r="K224" s="48">
        <v>0</v>
      </c>
      <c r="L224" s="48">
        <v>0</v>
      </c>
      <c r="M224" s="48">
        <v>0</v>
      </c>
      <c r="N224" s="48">
        <v>0</v>
      </c>
      <c r="O224" s="198"/>
      <c r="P224" s="198"/>
      <c r="Q224" s="208"/>
      <c r="R224" s="192"/>
      <c r="S224" s="186"/>
    </row>
    <row r="225" spans="1:19">
      <c r="A225" s="65" t="str">
        <f t="shared" si="64"/>
        <v>جبل الزيت - GAMISA</v>
      </c>
      <c r="B225" s="48">
        <v>0</v>
      </c>
      <c r="C225" s="48">
        <v>0</v>
      </c>
      <c r="D225" s="48">
        <v>0</v>
      </c>
      <c r="E225" s="48">
        <v>0</v>
      </c>
      <c r="F225" s="48">
        <v>0</v>
      </c>
      <c r="G225" s="48">
        <v>0</v>
      </c>
      <c r="H225" s="48">
        <v>0</v>
      </c>
      <c r="I225" s="48">
        <v>0</v>
      </c>
      <c r="J225" s="48">
        <v>0</v>
      </c>
      <c r="K225" s="48">
        <v>0</v>
      </c>
      <c r="L225" s="48">
        <v>0</v>
      </c>
      <c r="M225" s="48">
        <v>0</v>
      </c>
      <c r="N225" s="48">
        <v>0</v>
      </c>
      <c r="O225" s="198"/>
      <c r="P225" s="198"/>
      <c r="Q225" s="208"/>
      <c r="R225" s="192"/>
      <c r="S225" s="186"/>
    </row>
    <row r="226" spans="1:19" ht="15.75" thickBot="1">
      <c r="A226" s="50" t="s">
        <v>37</v>
      </c>
      <c r="B226" s="59">
        <f>SUM(B212:B225)</f>
        <v>0</v>
      </c>
      <c r="C226" s="59">
        <f t="shared" ref="C226:N226" si="65">SUM(C212:C225)</f>
        <v>0</v>
      </c>
      <c r="D226" s="59">
        <f t="shared" si="65"/>
        <v>0</v>
      </c>
      <c r="E226" s="59">
        <f t="shared" si="65"/>
        <v>0</v>
      </c>
      <c r="F226" s="59">
        <f t="shared" si="65"/>
        <v>0</v>
      </c>
      <c r="G226" s="59">
        <f t="shared" si="65"/>
        <v>0</v>
      </c>
      <c r="H226" s="59">
        <f t="shared" si="65"/>
        <v>0</v>
      </c>
      <c r="I226" s="59">
        <f t="shared" si="65"/>
        <v>0</v>
      </c>
      <c r="J226" s="59">
        <f t="shared" si="65"/>
        <v>0</v>
      </c>
      <c r="K226" s="59">
        <f t="shared" si="65"/>
        <v>0</v>
      </c>
      <c r="L226" s="59">
        <f t="shared" si="65"/>
        <v>0</v>
      </c>
      <c r="M226" s="59">
        <f t="shared" si="65"/>
        <v>0</v>
      </c>
      <c r="N226" s="59">
        <f t="shared" si="65"/>
        <v>0</v>
      </c>
      <c r="O226" s="198"/>
      <c r="P226" s="198"/>
      <c r="Q226" s="208"/>
      <c r="R226" s="192"/>
      <c r="S226" s="186"/>
    </row>
    <row r="227" spans="1:19" ht="15.75" thickTop="1">
      <c r="A227" s="45" t="s">
        <v>48</v>
      </c>
      <c r="B227" s="48"/>
      <c r="C227" s="48"/>
      <c r="D227" s="48"/>
      <c r="E227" s="48"/>
      <c r="F227" s="48"/>
      <c r="G227" s="48"/>
      <c r="H227" s="48"/>
      <c r="I227" s="48"/>
      <c r="J227" s="48"/>
      <c r="K227" s="48"/>
      <c r="L227" s="48"/>
      <c r="M227" s="48"/>
      <c r="N227" s="48"/>
      <c r="O227" s="198"/>
      <c r="P227" s="198"/>
      <c r="Q227" s="208"/>
      <c r="R227" s="192"/>
      <c r="S227" s="186"/>
    </row>
    <row r="228" spans="1:19">
      <c r="A228" s="65" t="str">
        <f t="shared" ref="A228:A234" si="66">A183</f>
        <v>كباري مراسي pkg#37</v>
      </c>
      <c r="B228" s="48">
        <v>0</v>
      </c>
      <c r="C228" s="48">
        <v>0</v>
      </c>
      <c r="D228" s="48">
        <v>0</v>
      </c>
      <c r="E228" s="48">
        <v>0</v>
      </c>
      <c r="F228" s="48">
        <v>0</v>
      </c>
      <c r="G228" s="48">
        <v>0</v>
      </c>
      <c r="H228" s="48">
        <v>0</v>
      </c>
      <c r="I228" s="48">
        <v>0</v>
      </c>
      <c r="J228" s="48">
        <v>0</v>
      </c>
      <c r="K228" s="48">
        <v>0</v>
      </c>
      <c r="L228" s="48">
        <v>0</v>
      </c>
      <c r="M228" s="48">
        <v>0</v>
      </c>
      <c r="N228" s="48">
        <v>0</v>
      </c>
      <c r="O228" s="198"/>
      <c r="P228" s="198"/>
      <c r="Q228" s="208"/>
      <c r="R228" s="192"/>
      <c r="S228" s="186"/>
    </row>
    <row r="229" spans="1:19">
      <c r="A229" s="65" t="str">
        <f t="shared" si="66"/>
        <v>اب تاون pkg#17</v>
      </c>
      <c r="B229" s="48">
        <v>0</v>
      </c>
      <c r="C229" s="48">
        <v>0</v>
      </c>
      <c r="D229" s="48">
        <v>0</v>
      </c>
      <c r="E229" s="48">
        <v>0</v>
      </c>
      <c r="F229" s="48">
        <v>0</v>
      </c>
      <c r="G229" s="48">
        <v>0</v>
      </c>
      <c r="H229" s="48">
        <v>0</v>
      </c>
      <c r="I229" s="48">
        <v>0</v>
      </c>
      <c r="J229" s="48">
        <v>0</v>
      </c>
      <c r="K229" s="48">
        <v>0</v>
      </c>
      <c r="L229" s="48">
        <v>0</v>
      </c>
      <c r="M229" s="48">
        <v>0</v>
      </c>
      <c r="N229" s="48">
        <v>0</v>
      </c>
      <c r="O229" s="198"/>
      <c r="P229" s="198"/>
      <c r="Q229" s="208"/>
      <c r="R229" s="192"/>
      <c r="S229" s="186"/>
    </row>
    <row r="230" spans="1:19">
      <c r="A230" s="65" t="str">
        <f t="shared" si="66"/>
        <v>اب تاون pkg#32</v>
      </c>
      <c r="B230" s="48">
        <v>0</v>
      </c>
      <c r="C230" s="48">
        <v>0</v>
      </c>
      <c r="D230" s="48">
        <v>0</v>
      </c>
      <c r="E230" s="48">
        <v>0</v>
      </c>
      <c r="F230" s="48">
        <v>0</v>
      </c>
      <c r="G230" s="48">
        <v>0</v>
      </c>
      <c r="H230" s="48">
        <v>0</v>
      </c>
      <c r="I230" s="48">
        <v>0</v>
      </c>
      <c r="J230" s="48">
        <v>0</v>
      </c>
      <c r="K230" s="48">
        <v>0</v>
      </c>
      <c r="L230" s="48">
        <v>0</v>
      </c>
      <c r="M230" s="48">
        <v>0</v>
      </c>
      <c r="N230" s="48">
        <v>0</v>
      </c>
      <c r="O230" s="198"/>
      <c r="P230" s="198"/>
      <c r="Q230" s="208"/>
      <c r="R230" s="192"/>
      <c r="S230" s="186"/>
    </row>
    <row r="231" spans="1:19">
      <c r="A231" s="65" t="str">
        <f t="shared" si="66"/>
        <v>PKG#45 Civic Center</v>
      </c>
      <c r="B231" s="48">
        <v>0</v>
      </c>
      <c r="C231" s="48">
        <v>0</v>
      </c>
      <c r="D231" s="48">
        <v>0</v>
      </c>
      <c r="E231" s="48">
        <v>0</v>
      </c>
      <c r="F231" s="48">
        <v>0</v>
      </c>
      <c r="G231" s="48">
        <v>0</v>
      </c>
      <c r="H231" s="48">
        <v>0</v>
      </c>
      <c r="I231" s="48">
        <v>0</v>
      </c>
      <c r="J231" s="48">
        <v>0</v>
      </c>
      <c r="K231" s="48">
        <v>0</v>
      </c>
      <c r="L231" s="48">
        <v>0</v>
      </c>
      <c r="M231" s="48">
        <v>0</v>
      </c>
      <c r="N231" s="48">
        <v>0</v>
      </c>
      <c r="O231" s="198"/>
      <c r="P231" s="198"/>
      <c r="Q231" s="208"/>
      <c r="R231" s="192"/>
      <c r="S231" s="186"/>
    </row>
    <row r="232" spans="1:19">
      <c r="A232" s="65" t="str">
        <f t="shared" si="66"/>
        <v xml:space="preserve">Limak </v>
      </c>
      <c r="B232" s="48">
        <v>0</v>
      </c>
      <c r="C232" s="48">
        <v>0</v>
      </c>
      <c r="D232" s="48">
        <v>0</v>
      </c>
      <c r="E232" s="48">
        <v>0</v>
      </c>
      <c r="F232" s="48">
        <v>0</v>
      </c>
      <c r="G232" s="48">
        <v>0</v>
      </c>
      <c r="H232" s="48">
        <v>0</v>
      </c>
      <c r="I232" s="48">
        <v>0</v>
      </c>
      <c r="J232" s="48">
        <v>0</v>
      </c>
      <c r="K232" s="48">
        <v>0</v>
      </c>
      <c r="L232" s="48">
        <v>0</v>
      </c>
      <c r="M232" s="48">
        <v>0</v>
      </c>
      <c r="N232" s="48">
        <v>0</v>
      </c>
      <c r="O232" s="198"/>
      <c r="P232" s="198"/>
      <c r="Q232" s="208"/>
      <c r="R232" s="192"/>
      <c r="S232" s="186"/>
    </row>
    <row r="233" spans="1:19">
      <c r="A233" s="65" t="str">
        <f t="shared" si="66"/>
        <v>Sodic West Town</v>
      </c>
      <c r="B233" s="48">
        <v>0</v>
      </c>
      <c r="C233" s="48">
        <v>0</v>
      </c>
      <c r="D233" s="48">
        <v>0</v>
      </c>
      <c r="E233" s="48">
        <v>0</v>
      </c>
      <c r="F233" s="48">
        <v>0</v>
      </c>
      <c r="G233" s="48">
        <v>0</v>
      </c>
      <c r="H233" s="48">
        <v>0</v>
      </c>
      <c r="I233" s="48">
        <v>0</v>
      </c>
      <c r="J233" s="48">
        <v>0</v>
      </c>
      <c r="K233" s="48">
        <v>0</v>
      </c>
      <c r="L233" s="48">
        <v>0</v>
      </c>
      <c r="M233" s="48">
        <v>0</v>
      </c>
      <c r="N233" s="48">
        <v>0</v>
      </c>
      <c r="O233" s="198"/>
      <c r="P233" s="198"/>
      <c r="Q233" s="208"/>
      <c r="R233" s="192"/>
      <c r="S233" s="186"/>
    </row>
    <row r="234" spans="1:19">
      <c r="A234" s="65" t="str">
        <f t="shared" si="66"/>
        <v>New Cairo Mall</v>
      </c>
      <c r="B234" s="48">
        <v>0</v>
      </c>
      <c r="C234" s="48">
        <v>0</v>
      </c>
      <c r="D234" s="48">
        <v>0</v>
      </c>
      <c r="E234" s="48">
        <v>0</v>
      </c>
      <c r="F234" s="48">
        <v>0</v>
      </c>
      <c r="G234" s="48">
        <v>0</v>
      </c>
      <c r="H234" s="48">
        <v>0</v>
      </c>
      <c r="I234" s="48">
        <v>0</v>
      </c>
      <c r="J234" s="48">
        <v>0</v>
      </c>
      <c r="K234" s="48">
        <v>0</v>
      </c>
      <c r="L234" s="48">
        <v>0</v>
      </c>
      <c r="M234" s="48">
        <v>0</v>
      </c>
      <c r="N234" s="48">
        <v>0</v>
      </c>
      <c r="O234" s="198"/>
      <c r="P234" s="198"/>
      <c r="Q234" s="208"/>
      <c r="R234" s="192"/>
      <c r="S234" s="186"/>
    </row>
    <row r="235" spans="1:19">
      <c r="A235" s="65" t="str">
        <f>A191</f>
        <v>Kasrawy II</v>
      </c>
      <c r="B235" s="48">
        <v>0</v>
      </c>
      <c r="C235" s="48">
        <v>0</v>
      </c>
      <c r="D235" s="48">
        <v>0</v>
      </c>
      <c r="E235" s="48">
        <v>0</v>
      </c>
      <c r="F235" s="48">
        <v>0</v>
      </c>
      <c r="G235" s="48">
        <v>0</v>
      </c>
      <c r="H235" s="48">
        <v>0</v>
      </c>
      <c r="I235" s="48">
        <v>0</v>
      </c>
      <c r="J235" s="48">
        <v>0</v>
      </c>
      <c r="K235" s="48">
        <v>0</v>
      </c>
      <c r="L235" s="48">
        <v>0</v>
      </c>
      <c r="M235" s="48">
        <v>0</v>
      </c>
      <c r="N235" s="48">
        <v>0</v>
      </c>
      <c r="O235" s="198"/>
      <c r="P235" s="198"/>
      <c r="Q235" s="208"/>
      <c r="R235" s="192"/>
      <c r="S235" s="186"/>
    </row>
    <row r="236" spans="1:19" ht="15.75" thickBot="1">
      <c r="A236" s="50" t="s">
        <v>37</v>
      </c>
      <c r="B236" s="59">
        <f t="shared" ref="B236:N236" si="67">SUM(B228:B235)</f>
        <v>0</v>
      </c>
      <c r="C236" s="59">
        <f t="shared" si="67"/>
        <v>0</v>
      </c>
      <c r="D236" s="59">
        <f t="shared" si="67"/>
        <v>0</v>
      </c>
      <c r="E236" s="59">
        <f t="shared" si="67"/>
        <v>0</v>
      </c>
      <c r="F236" s="59">
        <f t="shared" si="67"/>
        <v>0</v>
      </c>
      <c r="G236" s="59">
        <f t="shared" si="67"/>
        <v>0</v>
      </c>
      <c r="H236" s="59">
        <f t="shared" si="67"/>
        <v>0</v>
      </c>
      <c r="I236" s="59">
        <f t="shared" si="67"/>
        <v>0</v>
      </c>
      <c r="J236" s="59">
        <f t="shared" si="67"/>
        <v>0</v>
      </c>
      <c r="K236" s="59">
        <f t="shared" si="67"/>
        <v>0</v>
      </c>
      <c r="L236" s="59">
        <f t="shared" si="67"/>
        <v>0</v>
      </c>
      <c r="M236" s="59">
        <f t="shared" si="67"/>
        <v>0</v>
      </c>
      <c r="N236" s="59">
        <f t="shared" si="67"/>
        <v>0</v>
      </c>
      <c r="O236" s="198"/>
      <c r="P236" s="198"/>
      <c r="Q236" s="208"/>
      <c r="R236" s="192"/>
      <c r="S236" s="186"/>
    </row>
    <row r="237" spans="1:19" ht="16.5" thickTop="1" thickBot="1">
      <c r="A237" s="44" t="s">
        <v>15</v>
      </c>
      <c r="B237" s="9">
        <f t="shared" ref="B237:N237" si="68">B236+B226</f>
        <v>0</v>
      </c>
      <c r="C237" s="9">
        <f t="shared" si="68"/>
        <v>0</v>
      </c>
      <c r="D237" s="9">
        <f t="shared" si="68"/>
        <v>0</v>
      </c>
      <c r="E237" s="9">
        <f t="shared" si="68"/>
        <v>0</v>
      </c>
      <c r="F237" s="9">
        <f t="shared" si="68"/>
        <v>0</v>
      </c>
      <c r="G237" s="9">
        <f t="shared" si="68"/>
        <v>0</v>
      </c>
      <c r="H237" s="9">
        <f t="shared" si="68"/>
        <v>0</v>
      </c>
      <c r="I237" s="9">
        <f t="shared" si="68"/>
        <v>0</v>
      </c>
      <c r="J237" s="9">
        <f t="shared" si="68"/>
        <v>0</v>
      </c>
      <c r="K237" s="9">
        <f t="shared" si="68"/>
        <v>0</v>
      </c>
      <c r="L237" s="9">
        <f t="shared" si="68"/>
        <v>0</v>
      </c>
      <c r="M237" s="9">
        <f t="shared" si="68"/>
        <v>0</v>
      </c>
      <c r="N237" s="9">
        <f t="shared" si="68"/>
        <v>0</v>
      </c>
      <c r="O237" s="198"/>
      <c r="P237" s="198"/>
      <c r="Q237" s="208"/>
      <c r="R237" s="192"/>
      <c r="S237" s="186"/>
    </row>
    <row r="238" spans="1:19" ht="15.75" thickTop="1">
      <c r="B238" s="11">
        <f>B237-B210</f>
        <v>0</v>
      </c>
      <c r="O238" s="198"/>
      <c r="P238" s="198"/>
      <c r="Q238" s="208"/>
    </row>
    <row r="239" spans="1:19">
      <c r="O239" s="198"/>
      <c r="P239" s="198"/>
      <c r="Q239" s="208"/>
    </row>
    <row r="240" spans="1:19">
      <c r="O240" s="198"/>
      <c r="P240" s="198"/>
      <c r="Q240" s="208"/>
    </row>
    <row r="241" spans="4:17">
      <c r="O241" s="198"/>
      <c r="P241" s="198"/>
      <c r="Q241" s="208"/>
    </row>
    <row r="242" spans="4:17">
      <c r="O242" s="198"/>
      <c r="P242" s="198"/>
      <c r="Q242" s="208"/>
    </row>
    <row r="243" spans="4:17">
      <c r="D243" s="11"/>
      <c r="O243" s="198"/>
      <c r="P243" s="198"/>
      <c r="Q243" s="208"/>
    </row>
    <row r="244" spans="4:17">
      <c r="D244" s="11"/>
      <c r="O244" s="198"/>
      <c r="P244" s="198"/>
      <c r="Q244" s="208"/>
    </row>
    <row r="245" spans="4:17">
      <c r="D245" s="11"/>
    </row>
    <row r="246" spans="4:17">
      <c r="D246" s="11"/>
    </row>
  </sheetData>
  <mergeCells count="93">
    <mergeCell ref="AI1:AI2"/>
    <mergeCell ref="AG1:AG2"/>
    <mergeCell ref="AH1:AH2"/>
    <mergeCell ref="L1:L2"/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AJ1:AJ2"/>
    <mergeCell ref="M1:M2"/>
    <mergeCell ref="N1:N2"/>
    <mergeCell ref="O1:O2"/>
    <mergeCell ref="P1:P2"/>
    <mergeCell ref="Q1:Q2"/>
    <mergeCell ref="R1:R2"/>
    <mergeCell ref="X1:X2"/>
    <mergeCell ref="Y1:Y2"/>
    <mergeCell ref="Z1:Z2"/>
    <mergeCell ref="AA1:AA2"/>
    <mergeCell ref="AB1:AB2"/>
    <mergeCell ref="AC1:AC2"/>
    <mergeCell ref="AD1:AD2"/>
    <mergeCell ref="AE1:AE2"/>
    <mergeCell ref="AF1:AF2"/>
    <mergeCell ref="AK29:AK30"/>
    <mergeCell ref="AM1:AN1"/>
    <mergeCell ref="A28:N28"/>
    <mergeCell ref="B29:B30"/>
    <mergeCell ref="C29:C30"/>
    <mergeCell ref="D29:D30"/>
    <mergeCell ref="E29:E30"/>
    <mergeCell ref="F29:F30"/>
    <mergeCell ref="G29:G30"/>
    <mergeCell ref="H29:H30"/>
    <mergeCell ref="I29:I30"/>
    <mergeCell ref="S1:S2"/>
    <mergeCell ref="T1:T2"/>
    <mergeCell ref="U1:U2"/>
    <mergeCell ref="V1:V2"/>
    <mergeCell ref="W1:W2"/>
    <mergeCell ref="J29:J30"/>
    <mergeCell ref="K29:K30"/>
    <mergeCell ref="L29:L30"/>
    <mergeCell ref="M29:M30"/>
    <mergeCell ref="N29:N30"/>
    <mergeCell ref="B91:B92"/>
    <mergeCell ref="C91:C92"/>
    <mergeCell ref="D91:D92"/>
    <mergeCell ref="E91:E92"/>
    <mergeCell ref="F91:F92"/>
    <mergeCell ref="A144:A145"/>
    <mergeCell ref="B144:B145"/>
    <mergeCell ref="C144:C145"/>
    <mergeCell ref="D144:D145"/>
    <mergeCell ref="E144:E145"/>
    <mergeCell ref="F206:F207"/>
    <mergeCell ref="J144:J145"/>
    <mergeCell ref="K144:K145"/>
    <mergeCell ref="L144:L145"/>
    <mergeCell ref="M144:M145"/>
    <mergeCell ref="M206:M207"/>
    <mergeCell ref="F144:F145"/>
    <mergeCell ref="G144:G145"/>
    <mergeCell ref="H144:H145"/>
    <mergeCell ref="I144:I145"/>
    <mergeCell ref="A206:A207"/>
    <mergeCell ref="B206:B207"/>
    <mergeCell ref="C206:C207"/>
    <mergeCell ref="D206:D207"/>
    <mergeCell ref="E206:E207"/>
    <mergeCell ref="N144:N145"/>
    <mergeCell ref="M91:M92"/>
    <mergeCell ref="G91:G92"/>
    <mergeCell ref="N206:N207"/>
    <mergeCell ref="G206:G207"/>
    <mergeCell ref="H206:H207"/>
    <mergeCell ref="I206:I207"/>
    <mergeCell ref="J206:J207"/>
    <mergeCell ref="K206:K207"/>
    <mergeCell ref="L206:L207"/>
    <mergeCell ref="N91:N92"/>
    <mergeCell ref="H91:H92"/>
    <mergeCell ref="I91:I92"/>
    <mergeCell ref="J91:J92"/>
    <mergeCell ref="K91:K92"/>
    <mergeCell ref="L91:L92"/>
  </mergeCells>
  <hyperlinks>
    <hyperlink ref="AM1:AN1" location="'Trial Balance'!A1" display="Trial Balance" xr:uid="{00000000-0004-0000-0100-000000000000}"/>
  </hyperlinks>
  <printOptions horizontalCentered="1" verticalCentered="1"/>
  <pageMargins left="0" right="0" top="0" bottom="0" header="0" footer="0"/>
  <pageSetup paperSize="8" scale="150" orientation="portrait" r:id="rId1"/>
  <rowBreaks count="2" manualBreakCount="2">
    <brk id="89" max="23" man="1"/>
    <brk id="142" max="23" man="1"/>
  </rowBreaks>
  <ignoredErrors>
    <ignoredError sqref="AC9" emptyCellReferenc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AC209"/>
  <sheetViews>
    <sheetView topLeftCell="A121" zoomScaleNormal="100" workbookViewId="0">
      <selection activeCell="A131" sqref="A131"/>
    </sheetView>
  </sheetViews>
  <sheetFormatPr defaultColWidth="9" defaultRowHeight="15"/>
  <cols>
    <col min="1" max="1" width="40.28515625" bestFit="1" customWidth="1"/>
    <col min="2" max="2" width="14.42578125" hidden="1" customWidth="1"/>
    <col min="3" max="5" width="12.7109375" hidden="1" customWidth="1"/>
    <col min="6" max="6" width="14.7109375" style="52" hidden="1" customWidth="1"/>
    <col min="7" max="7" width="13.85546875" hidden="1" customWidth="1"/>
    <col min="8" max="9" width="12.7109375" hidden="1" customWidth="1"/>
    <col min="10" max="10" width="13.42578125" hidden="1" customWidth="1"/>
    <col min="11" max="13" width="12.7109375" hidden="1" customWidth="1"/>
    <col min="14" max="14" width="15.140625" customWidth="1"/>
    <col min="15" max="15" width="12.42578125" customWidth="1"/>
    <col min="16" max="16" width="27.42578125" bestFit="1" customWidth="1"/>
    <col min="17" max="17" width="17" customWidth="1"/>
    <col min="18" max="18" width="14.140625" customWidth="1"/>
    <col min="19" max="19" width="20.85546875" bestFit="1" customWidth="1"/>
    <col min="20" max="20" width="18.28515625" customWidth="1"/>
    <col min="21" max="21" width="18.85546875" customWidth="1"/>
    <col min="22" max="23" width="15.85546875" customWidth="1"/>
    <col min="24" max="24" width="14.28515625" bestFit="1" customWidth="1"/>
    <col min="25" max="25" width="12.7109375" customWidth="1"/>
    <col min="26" max="26" width="13.85546875" bestFit="1" customWidth="1"/>
  </cols>
  <sheetData>
    <row r="1" spans="1:29" ht="20.100000000000001" hidden="1" customHeight="1">
      <c r="A1" s="426" t="s">
        <v>0</v>
      </c>
      <c r="B1" s="428" t="s">
        <v>1</v>
      </c>
      <c r="C1" s="424" t="s">
        <v>2</v>
      </c>
      <c r="D1" s="424" t="s">
        <v>75</v>
      </c>
      <c r="E1" s="424" t="s">
        <v>4</v>
      </c>
      <c r="F1" s="424" t="s">
        <v>5</v>
      </c>
      <c r="G1" s="424" t="s">
        <v>6</v>
      </c>
      <c r="H1" s="424" t="s">
        <v>7</v>
      </c>
      <c r="I1" s="424" t="s">
        <v>8</v>
      </c>
      <c r="J1" s="424" t="s">
        <v>9</v>
      </c>
      <c r="K1" s="424" t="s">
        <v>10</v>
      </c>
      <c r="L1" s="424" t="s">
        <v>11</v>
      </c>
      <c r="M1" s="424" t="s">
        <v>12</v>
      </c>
      <c r="N1" s="424" t="s">
        <v>13</v>
      </c>
      <c r="O1" s="424" t="s">
        <v>14</v>
      </c>
      <c r="P1" s="424" t="s">
        <v>64</v>
      </c>
      <c r="Q1" s="424" t="s">
        <v>62</v>
      </c>
      <c r="R1" s="424" t="s">
        <v>61</v>
      </c>
      <c r="S1" s="424" t="s">
        <v>65</v>
      </c>
      <c r="T1" s="424" t="s">
        <v>68</v>
      </c>
      <c r="U1" s="424" t="s">
        <v>71</v>
      </c>
      <c r="V1" s="424" t="s">
        <v>73</v>
      </c>
      <c r="W1" s="424" t="s">
        <v>74</v>
      </c>
      <c r="X1" s="428" t="s">
        <v>15</v>
      </c>
      <c r="AA1" s="420" t="s">
        <v>16</v>
      </c>
      <c r="AB1" s="420"/>
    </row>
    <row r="2" spans="1:29" ht="20.100000000000001" hidden="1" customHeight="1">
      <c r="A2" s="427"/>
      <c r="B2" s="429"/>
      <c r="C2" s="425"/>
      <c r="D2" s="425"/>
      <c r="E2" s="425"/>
      <c r="F2" s="425"/>
      <c r="G2" s="425"/>
      <c r="H2" s="425"/>
      <c r="I2" s="425"/>
      <c r="J2" s="425"/>
      <c r="K2" s="425"/>
      <c r="L2" s="425"/>
      <c r="M2" s="425"/>
      <c r="N2" s="425"/>
      <c r="O2" s="425"/>
      <c r="P2" s="425"/>
      <c r="Q2" s="425"/>
      <c r="R2" s="425"/>
      <c r="S2" s="425"/>
      <c r="T2" s="425"/>
      <c r="U2" s="425"/>
      <c r="V2" s="425"/>
      <c r="W2" s="425"/>
      <c r="X2" s="429"/>
    </row>
    <row r="3" spans="1:29" ht="20.100000000000001" hidden="1" customHeight="1">
      <c r="A3" s="1" t="s">
        <v>17</v>
      </c>
      <c r="B3" s="2">
        <v>33000000</v>
      </c>
      <c r="C3" s="3">
        <v>65143328.030000001</v>
      </c>
      <c r="D3" s="4">
        <v>162482670</v>
      </c>
      <c r="E3" s="4">
        <v>57304000</v>
      </c>
      <c r="F3" s="4">
        <v>149999784</v>
      </c>
      <c r="G3" s="4">
        <v>186777525</v>
      </c>
      <c r="H3" s="4">
        <v>16510059.279999999</v>
      </c>
      <c r="I3" s="4">
        <v>34207969</v>
      </c>
      <c r="J3" s="4">
        <v>15492289.890000001</v>
      </c>
      <c r="K3" s="4">
        <v>288918027</v>
      </c>
      <c r="L3" s="4">
        <v>144891598</v>
      </c>
      <c r="M3" s="4">
        <v>35402400</v>
      </c>
      <c r="N3" s="4">
        <v>103000000</v>
      </c>
      <c r="O3" s="4">
        <v>116000000</v>
      </c>
      <c r="P3" s="4">
        <v>37657920</v>
      </c>
      <c r="Q3" s="4">
        <v>128555539.35860059</v>
      </c>
      <c r="R3" s="4">
        <v>3312000</v>
      </c>
      <c r="S3" s="4">
        <v>4817500</v>
      </c>
      <c r="T3" s="4">
        <v>391011409.52999997</v>
      </c>
      <c r="U3" s="4">
        <v>40857015</v>
      </c>
      <c r="V3" s="4">
        <v>206723720</v>
      </c>
      <c r="W3" s="4">
        <v>2517009</v>
      </c>
      <c r="X3" s="5">
        <f>SUM(B3:W3)</f>
        <v>2224581763.0886002</v>
      </c>
      <c r="AC3" s="6"/>
    </row>
    <row r="4" spans="1:29" ht="20.100000000000001" hidden="1" customHeight="1">
      <c r="A4" s="1" t="s">
        <v>18</v>
      </c>
      <c r="B4" s="3">
        <f>27627323+7372677+4000000</f>
        <v>39000000</v>
      </c>
      <c r="C4" s="3">
        <f>4624271+32038401</f>
        <v>36662672</v>
      </c>
      <c r="D4" s="3">
        <f>13311632.41-3612303.59599999</f>
        <v>9699328.8140000105</v>
      </c>
      <c r="E4" s="3">
        <v>42269205</v>
      </c>
      <c r="F4" s="3">
        <f>36874316-2674100+174873</f>
        <v>34375089</v>
      </c>
      <c r="G4" s="3">
        <v>-21948549</v>
      </c>
      <c r="H4" s="3">
        <v>0</v>
      </c>
      <c r="I4" s="3">
        <v>32427521</v>
      </c>
      <c r="J4" s="3">
        <f>19181531-199218.363275021</f>
        <v>18982312.636724979</v>
      </c>
      <c r="K4" s="3">
        <v>-18307366</v>
      </c>
      <c r="L4" s="3">
        <v>0</v>
      </c>
      <c r="M4" s="3">
        <f>387328262-88675523</f>
        <v>298652739</v>
      </c>
      <c r="N4" s="3">
        <f>24602400-(127602400-88000000)</f>
        <v>-15000000</v>
      </c>
      <c r="O4" s="3">
        <v>0</v>
      </c>
      <c r="P4" s="3">
        <v>3277015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5">
        <f>SUM(B4:W4)</f>
        <v>460089967.45072496</v>
      </c>
      <c r="AC4" s="7"/>
    </row>
    <row r="5" spans="1:29" ht="20.100000000000001" hidden="1" customHeight="1" thickBot="1">
      <c r="A5" s="8" t="s">
        <v>19</v>
      </c>
      <c r="B5" s="9">
        <f t="shared" ref="B5:Q5" si="0">SUM(B3:B4)</f>
        <v>72000000</v>
      </c>
      <c r="C5" s="9">
        <f t="shared" si="0"/>
        <v>101806000.03</v>
      </c>
      <c r="D5" s="9">
        <f t="shared" si="0"/>
        <v>172181998.81400001</v>
      </c>
      <c r="E5" s="9">
        <f t="shared" si="0"/>
        <v>99573205</v>
      </c>
      <c r="F5" s="9">
        <f t="shared" si="0"/>
        <v>184374873</v>
      </c>
      <c r="G5" s="9">
        <f t="shared" si="0"/>
        <v>164828976</v>
      </c>
      <c r="H5" s="9">
        <f t="shared" si="0"/>
        <v>16510059.279999999</v>
      </c>
      <c r="I5" s="9">
        <f t="shared" si="0"/>
        <v>66635490</v>
      </c>
      <c r="J5" s="9">
        <f t="shared" si="0"/>
        <v>34474602.526724979</v>
      </c>
      <c r="K5" s="9">
        <f t="shared" si="0"/>
        <v>270610661</v>
      </c>
      <c r="L5" s="9">
        <f t="shared" si="0"/>
        <v>144891598</v>
      </c>
      <c r="M5" s="9">
        <f t="shared" si="0"/>
        <v>334055139</v>
      </c>
      <c r="N5" s="9">
        <f t="shared" si="0"/>
        <v>88000000</v>
      </c>
      <c r="O5" s="9">
        <f t="shared" si="0"/>
        <v>116000000</v>
      </c>
      <c r="P5" s="9">
        <f t="shared" si="0"/>
        <v>40934935</v>
      </c>
      <c r="Q5" s="9">
        <f t="shared" si="0"/>
        <v>128555539.35860059</v>
      </c>
      <c r="R5" s="9">
        <f t="shared" ref="R5:X5" si="1">SUM(R3:R4)</f>
        <v>3312000</v>
      </c>
      <c r="S5" s="9">
        <f t="shared" si="1"/>
        <v>4817500</v>
      </c>
      <c r="T5" s="9">
        <f t="shared" si="1"/>
        <v>391011409.52999997</v>
      </c>
      <c r="U5" s="9">
        <f t="shared" si="1"/>
        <v>40857015</v>
      </c>
      <c r="V5" s="9">
        <f t="shared" si="1"/>
        <v>206723720</v>
      </c>
      <c r="W5" s="9">
        <f t="shared" si="1"/>
        <v>2517009</v>
      </c>
      <c r="X5" s="10">
        <f t="shared" si="1"/>
        <v>2684671730.5393252</v>
      </c>
      <c r="Y5" s="11" t="s">
        <v>20</v>
      </c>
      <c r="Z5" s="6"/>
      <c r="AC5" s="12"/>
    </row>
    <row r="6" spans="1:29" ht="20.100000000000001" hidden="1" customHeight="1" thickTop="1">
      <c r="A6" s="13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5"/>
      <c r="AB6" s="6"/>
      <c r="AC6" s="16"/>
    </row>
    <row r="7" spans="1:29" ht="20.100000000000001" hidden="1" customHeight="1">
      <c r="A7" s="1" t="s">
        <v>21</v>
      </c>
      <c r="B7" s="3">
        <v>30000000</v>
      </c>
      <c r="C7" s="3">
        <v>63597605.63170369</v>
      </c>
      <c r="D7" s="3">
        <v>157051086</v>
      </c>
      <c r="E7" s="3">
        <v>55087640</v>
      </c>
      <c r="F7" s="3">
        <v>110000000</v>
      </c>
      <c r="G7" s="3">
        <v>173629627.08250004</v>
      </c>
      <c r="H7" s="3">
        <v>15612624.567045338</v>
      </c>
      <c r="I7" s="3">
        <v>33484323</v>
      </c>
      <c r="J7" s="3">
        <v>13982628</v>
      </c>
      <c r="K7" s="3">
        <v>266252587.52250001</v>
      </c>
      <c r="L7" s="3">
        <v>137108129</v>
      </c>
      <c r="M7" s="3">
        <v>31526907</v>
      </c>
      <c r="N7" s="3">
        <v>95465467</v>
      </c>
      <c r="O7" s="3">
        <v>105254776</v>
      </c>
      <c r="P7" s="3">
        <v>34313058</v>
      </c>
      <c r="Q7" s="3">
        <v>114041436.62099126</v>
      </c>
      <c r="R7" s="3">
        <v>2544000</v>
      </c>
      <c r="S7" s="3">
        <f>2850000+445000</f>
        <v>3295000</v>
      </c>
      <c r="T7" s="3">
        <v>360486756.24588495</v>
      </c>
      <c r="U7" s="3">
        <v>36473760.612500004</v>
      </c>
      <c r="V7" s="3">
        <v>187827866.32466066</v>
      </c>
      <c r="W7" s="3">
        <v>2320307</v>
      </c>
      <c r="X7" s="5">
        <f>SUM(B7:W7)</f>
        <v>2029355585.6077857</v>
      </c>
      <c r="Y7" s="6" t="s">
        <v>20</v>
      </c>
      <c r="AB7" s="6"/>
      <c r="AC7" s="17"/>
    </row>
    <row r="8" spans="1:29" ht="20.100000000000001" hidden="1" customHeight="1">
      <c r="A8" s="18" t="s">
        <v>22</v>
      </c>
      <c r="B8" s="3">
        <f>1404109.88+28537410</f>
        <v>29941519.879999999</v>
      </c>
      <c r="C8" s="3">
        <f>5500748+28402394</f>
        <v>33903142</v>
      </c>
      <c r="D8" s="3">
        <f>21966159.5327405-999128.348119527</f>
        <v>20967031.184620973</v>
      </c>
      <c r="E8" s="3">
        <f>39208040.5305692+793982+1031201.02943081</f>
        <v>41033223.56000001</v>
      </c>
      <c r="F8" s="3">
        <f>F12+F13-F7</f>
        <v>-18005265.144788548</v>
      </c>
      <c r="G8" s="3">
        <f>-26751778.2672585-4973370.10324159</f>
        <v>-31725148.370500088</v>
      </c>
      <c r="H8" s="3">
        <v>0</v>
      </c>
      <c r="I8" s="3">
        <v>29184769</v>
      </c>
      <c r="J8" s="3">
        <f>17312367.2709347-383821.20776654</f>
        <v>16928546.063168161</v>
      </c>
      <c r="K8" s="3">
        <f>-18321157.6113+8717232</f>
        <v>-9603925.6112999991</v>
      </c>
      <c r="L8" s="3">
        <v>3000000</v>
      </c>
      <c r="M8" s="3">
        <f>347021779.13362-98812189.0591156</f>
        <v>248209590.07450444</v>
      </c>
      <c r="N8" s="3">
        <f>12519975.8-(107985443-75485577)</f>
        <v>-19979890.199999999</v>
      </c>
      <c r="O8" s="3">
        <v>-19154173.069999993</v>
      </c>
      <c r="P8" s="3">
        <v>3862521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5">
        <f>SUM(B8:W8)</f>
        <v>328561940.36570495</v>
      </c>
      <c r="Z8" s="19" t="s">
        <v>20</v>
      </c>
      <c r="AA8" s="11"/>
      <c r="AC8" s="17"/>
    </row>
    <row r="9" spans="1:29" ht="20.100000000000001" hidden="1" customHeight="1" thickBot="1">
      <c r="A9" s="8" t="s">
        <v>23</v>
      </c>
      <c r="B9" s="9">
        <f>SUM(B7:B8)</f>
        <v>59941519.879999995</v>
      </c>
      <c r="C9" s="9">
        <f>SUM(C7:C8)</f>
        <v>97500747.63170369</v>
      </c>
      <c r="D9" s="9">
        <f>SUM(D7:D8)</f>
        <v>178018117.18462098</v>
      </c>
      <c r="E9" s="9">
        <f>SUM(E7:E8)</f>
        <v>96120863.560000002</v>
      </c>
      <c r="F9" s="9">
        <f>SUM(F7:F8)</f>
        <v>91994734.855211452</v>
      </c>
      <c r="G9" s="9">
        <f t="shared" ref="G9:U9" si="2">SUM(G7:G8)</f>
        <v>141904478.71199995</v>
      </c>
      <c r="H9" s="9">
        <f t="shared" si="2"/>
        <v>15612624.567045338</v>
      </c>
      <c r="I9" s="9">
        <f t="shared" si="2"/>
        <v>62669092</v>
      </c>
      <c r="J9" s="9">
        <f t="shared" si="2"/>
        <v>30911174.063168161</v>
      </c>
      <c r="K9" s="9">
        <f t="shared" si="2"/>
        <v>256648661.91120002</v>
      </c>
      <c r="L9" s="9">
        <f t="shared" si="2"/>
        <v>140108129</v>
      </c>
      <c r="M9" s="9">
        <f t="shared" si="2"/>
        <v>279736497.07450444</v>
      </c>
      <c r="N9" s="9">
        <f t="shared" si="2"/>
        <v>75485576.799999997</v>
      </c>
      <c r="O9" s="9">
        <f t="shared" si="2"/>
        <v>86100602.930000007</v>
      </c>
      <c r="P9" s="9">
        <f t="shared" si="2"/>
        <v>38175579</v>
      </c>
      <c r="Q9" s="9">
        <f t="shared" si="2"/>
        <v>114041436.62099126</v>
      </c>
      <c r="R9" s="9">
        <f>SUM(R7:R8)</f>
        <v>2544000</v>
      </c>
      <c r="S9" s="9">
        <f t="shared" si="2"/>
        <v>3295000</v>
      </c>
      <c r="T9" s="9">
        <f t="shared" si="2"/>
        <v>360486756.24588495</v>
      </c>
      <c r="U9" s="9">
        <f t="shared" si="2"/>
        <v>36473760.612500004</v>
      </c>
      <c r="V9" s="9">
        <f>SUM(V7:V8)</f>
        <v>187827866.32466066</v>
      </c>
      <c r="W9" s="9">
        <f>SUM(W7:W8)</f>
        <v>2320307</v>
      </c>
      <c r="X9" s="10">
        <f>SUM(X7:X8)</f>
        <v>2357917525.9734907</v>
      </c>
      <c r="Y9" s="11"/>
      <c r="Z9" s="6"/>
      <c r="AC9" s="16"/>
    </row>
    <row r="10" spans="1:29" ht="20.100000000000001" hidden="1" customHeight="1" thickTop="1">
      <c r="A10" s="20" t="s">
        <v>24</v>
      </c>
      <c r="B10" s="21">
        <f>B5-B9</f>
        <v>12058480.120000005</v>
      </c>
      <c r="C10" s="21">
        <f t="shared" ref="C10:W10" si="3">C5-C9</f>
        <v>4305252.3982963115</v>
      </c>
      <c r="D10" s="21">
        <f t="shared" si="3"/>
        <v>-5836118.370620966</v>
      </c>
      <c r="E10" s="21">
        <f t="shared" si="3"/>
        <v>3452341.4399999976</v>
      </c>
      <c r="F10" s="21">
        <f t="shared" si="3"/>
        <v>92380138.144788548</v>
      </c>
      <c r="G10" s="21">
        <f t="shared" si="3"/>
        <v>22924497.288000047</v>
      </c>
      <c r="H10" s="21">
        <f t="shared" si="3"/>
        <v>897434.71295466088</v>
      </c>
      <c r="I10" s="21">
        <f t="shared" si="3"/>
        <v>3966398</v>
      </c>
      <c r="J10" s="21">
        <f t="shared" si="3"/>
        <v>3563428.4635568187</v>
      </c>
      <c r="K10" s="21">
        <f t="shared" si="3"/>
        <v>13961999.088799983</v>
      </c>
      <c r="L10" s="21">
        <f t="shared" si="3"/>
        <v>4783469</v>
      </c>
      <c r="M10" s="21">
        <f t="shared" si="3"/>
        <v>54318641.925495565</v>
      </c>
      <c r="N10" s="21">
        <f t="shared" si="3"/>
        <v>12514423.200000003</v>
      </c>
      <c r="O10" s="21">
        <f t="shared" si="3"/>
        <v>29899397.069999993</v>
      </c>
      <c r="P10" s="21">
        <f t="shared" si="3"/>
        <v>2759356</v>
      </c>
      <c r="Q10" s="21">
        <f t="shared" si="3"/>
        <v>14514102.737609327</v>
      </c>
      <c r="R10" s="21">
        <f>R5-R9</f>
        <v>768000</v>
      </c>
      <c r="S10" s="21">
        <f t="shared" si="3"/>
        <v>1522500</v>
      </c>
      <c r="T10" s="21">
        <f t="shared" si="3"/>
        <v>30524653.284115016</v>
      </c>
      <c r="U10" s="21">
        <f t="shared" si="3"/>
        <v>4383254.3874999955</v>
      </c>
      <c r="V10" s="21">
        <f t="shared" si="3"/>
        <v>18895853.675339341</v>
      </c>
      <c r="W10" s="21">
        <f t="shared" si="3"/>
        <v>196702</v>
      </c>
      <c r="X10" s="22">
        <f>SUM(B10:W10)</f>
        <v>326754204.56583464</v>
      </c>
      <c r="AA10" s="11"/>
      <c r="AC10" s="16"/>
    </row>
    <row r="11" spans="1:29" ht="20.100000000000001" hidden="1" customHeight="1">
      <c r="A11" s="1"/>
      <c r="B11" s="23"/>
      <c r="C11" s="3"/>
      <c r="D11" s="3"/>
      <c r="E11" s="3"/>
      <c r="F11" s="3"/>
      <c r="G11" s="3"/>
      <c r="H11" s="3"/>
      <c r="I11" s="3" t="s">
        <v>20</v>
      </c>
      <c r="J11" s="3" t="s">
        <v>20</v>
      </c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24"/>
      <c r="Z11" s="11"/>
      <c r="AC11" s="17"/>
    </row>
    <row r="12" spans="1:29" ht="20.100000000000001" hidden="1" customHeight="1">
      <c r="A12" s="18" t="s">
        <v>25</v>
      </c>
      <c r="B12" s="3">
        <v>47932563.871178709</v>
      </c>
      <c r="C12" s="3">
        <v>84545900.204888374</v>
      </c>
      <c r="D12" s="3">
        <v>155682611.54478461</v>
      </c>
      <c r="E12" s="3">
        <v>36325080.791289553</v>
      </c>
      <c r="F12" s="3">
        <v>88445914.055211455</v>
      </c>
      <c r="G12" s="3">
        <v>60816719.235740691</v>
      </c>
      <c r="H12" s="3">
        <v>7577984.8528124634</v>
      </c>
      <c r="I12" s="3">
        <v>12220225.726490799</v>
      </c>
      <c r="J12" s="3">
        <v>13885758.799601741</v>
      </c>
      <c r="K12" s="3">
        <v>42296563.127918445</v>
      </c>
      <c r="L12" s="3">
        <v>21503119.256620791</v>
      </c>
      <c r="M12" s="3">
        <v>32080291.608869329</v>
      </c>
      <c r="N12" s="3">
        <v>11225623.298316371</v>
      </c>
      <c r="O12" s="3">
        <v>1248305.75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5">
        <f>SUM(B12:W12)</f>
        <v>615786662.12372327</v>
      </c>
      <c r="AC12" s="25"/>
    </row>
    <row r="13" spans="1:29" ht="20.100000000000001" hidden="1" customHeight="1">
      <c r="A13" s="18" t="s">
        <v>26</v>
      </c>
      <c r="B13" s="3">
        <f>$N$124</f>
        <v>8753043.4399999976</v>
      </c>
      <c r="C13" s="3">
        <f>$N$125</f>
        <v>10182576.100000001</v>
      </c>
      <c r="D13" s="3">
        <f>$N$126</f>
        <v>13150561.670000002</v>
      </c>
      <c r="E13" s="3">
        <f>$N$127</f>
        <v>30513256.199999996</v>
      </c>
      <c r="F13" s="3">
        <f>$N$128</f>
        <v>3548820.799999997</v>
      </c>
      <c r="G13" s="3">
        <f>$N$129</f>
        <v>44947831.119999997</v>
      </c>
      <c r="H13" s="3">
        <f>$N$130</f>
        <v>3754742.61</v>
      </c>
      <c r="I13" s="3">
        <f>$N$131</f>
        <v>16499394.020000001</v>
      </c>
      <c r="J13" s="3">
        <f>$N$132</f>
        <v>8429457.290000001</v>
      </c>
      <c r="K13" s="3">
        <f>$N$133</f>
        <v>41077090.18</v>
      </c>
      <c r="L13" s="3">
        <f>$N$134</f>
        <v>38591998.019999996</v>
      </c>
      <c r="M13" s="3">
        <f>$N$135</f>
        <v>113258196.21000001</v>
      </c>
      <c r="N13" s="3">
        <f>$N$136</f>
        <v>41627740.920000009</v>
      </c>
      <c r="O13" s="3">
        <f>$N$137</f>
        <v>30939137.289999999</v>
      </c>
      <c r="P13" s="3">
        <f>$N$140</f>
        <v>1680480.32</v>
      </c>
      <c r="Q13" s="3">
        <f>$N$139</f>
        <v>7149920.4500000002</v>
      </c>
      <c r="R13" s="3">
        <f>$N$138</f>
        <v>327145.08</v>
      </c>
      <c r="S13" s="3">
        <f>$N$141</f>
        <v>441710.28</v>
      </c>
      <c r="T13" s="3">
        <f>$N$142</f>
        <v>24253615.360000003</v>
      </c>
      <c r="U13" s="3">
        <f>$N$143</f>
        <v>2516989.2200000002</v>
      </c>
      <c r="V13" s="3">
        <f>$N$144</f>
        <v>3899115.93</v>
      </c>
      <c r="W13" s="3">
        <f>$N$145</f>
        <v>172387.39</v>
      </c>
      <c r="X13" s="5">
        <f>SUM(B13:W13)</f>
        <v>445715209.89999998</v>
      </c>
      <c r="Z13" s="11" t="s">
        <v>20</v>
      </c>
      <c r="AC13" s="16"/>
    </row>
    <row r="14" spans="1:29" ht="20.100000000000001" hidden="1" customHeight="1">
      <c r="A14" s="1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26"/>
      <c r="AC14" s="16"/>
    </row>
    <row r="15" spans="1:29" ht="20.100000000000001" hidden="1" customHeight="1">
      <c r="A15" s="27" t="s">
        <v>27</v>
      </c>
      <c r="B15" s="28">
        <f t="shared" ref="B15:W15" si="4">B12/B9</f>
        <v>0.79965546364418805</v>
      </c>
      <c r="C15" s="29">
        <f t="shared" si="4"/>
        <v>0.86713078882481442</v>
      </c>
      <c r="D15" s="28">
        <f t="shared" si="4"/>
        <v>0.87453240157195677</v>
      </c>
      <c r="E15" s="28">
        <f t="shared" si="4"/>
        <v>0.37791047069208783</v>
      </c>
      <c r="F15" s="28">
        <f t="shared" si="4"/>
        <v>0.96142365315161338</v>
      </c>
      <c r="G15" s="28">
        <f t="shared" si="4"/>
        <v>0.42857505124394507</v>
      </c>
      <c r="H15" s="28">
        <f t="shared" si="4"/>
        <v>0.48537546139473869</v>
      </c>
      <c r="I15" s="28">
        <f t="shared" si="4"/>
        <v>0.19499605525624655</v>
      </c>
      <c r="J15" s="28">
        <f t="shared" si="4"/>
        <v>0.44921486227684737</v>
      </c>
      <c r="K15" s="28">
        <f t="shared" si="4"/>
        <v>0.16480336508652041</v>
      </c>
      <c r="L15" s="28">
        <f t="shared" si="4"/>
        <v>0.15347517242643924</v>
      </c>
      <c r="M15" s="28">
        <f t="shared" si="4"/>
        <v>0.11468039367178152</v>
      </c>
      <c r="N15" s="28">
        <f t="shared" si="4"/>
        <v>0.14871216163663695</v>
      </c>
      <c r="O15" s="28">
        <f t="shared" si="4"/>
        <v>1.4498223096240982E-2</v>
      </c>
      <c r="P15" s="28">
        <f t="shared" si="4"/>
        <v>0</v>
      </c>
      <c r="Q15" s="28">
        <f t="shared" si="4"/>
        <v>0</v>
      </c>
      <c r="R15" s="28">
        <f t="shared" si="4"/>
        <v>0</v>
      </c>
      <c r="S15" s="28">
        <f t="shared" si="4"/>
        <v>0</v>
      </c>
      <c r="T15" s="28">
        <f t="shared" si="4"/>
        <v>0</v>
      </c>
      <c r="U15" s="28">
        <f t="shared" si="4"/>
        <v>0</v>
      </c>
      <c r="V15" s="28">
        <f t="shared" si="4"/>
        <v>0</v>
      </c>
      <c r="W15" s="28">
        <f t="shared" si="4"/>
        <v>0</v>
      </c>
      <c r="X15" s="30">
        <f>X12/X9</f>
        <v>0.26115699779172274</v>
      </c>
      <c r="AC15" s="16"/>
    </row>
    <row r="16" spans="1:29" ht="20.100000000000001" hidden="1" customHeight="1">
      <c r="A16" s="27" t="s">
        <v>28</v>
      </c>
      <c r="B16" s="28">
        <f t="shared" ref="B16:W16" si="5">B13/B9</f>
        <v>0.14602638467498263</v>
      </c>
      <c r="C16" s="29">
        <f t="shared" si="5"/>
        <v>0.10443587713258723</v>
      </c>
      <c r="D16" s="28">
        <f t="shared" si="5"/>
        <v>7.3872041104454972E-2</v>
      </c>
      <c r="E16" s="28">
        <f t="shared" si="5"/>
        <v>0.31744675474074563</v>
      </c>
      <c r="F16" s="28">
        <f t="shared" si="5"/>
        <v>3.8576346848386601E-2</v>
      </c>
      <c r="G16" s="28">
        <f t="shared" si="5"/>
        <v>0.31674709303025717</v>
      </c>
      <c r="H16" s="28">
        <f t="shared" si="5"/>
        <v>0.24049400495579701</v>
      </c>
      <c r="I16" s="28">
        <f t="shared" si="5"/>
        <v>0.26327801302753839</v>
      </c>
      <c r="J16" s="28">
        <f t="shared" si="5"/>
        <v>0.27269935696308667</v>
      </c>
      <c r="K16" s="28">
        <f t="shared" si="5"/>
        <v>0.1600518384709623</v>
      </c>
      <c r="L16" s="28">
        <f t="shared" si="5"/>
        <v>0.27544438924025599</v>
      </c>
      <c r="M16" s="28">
        <f t="shared" si="5"/>
        <v>0.40487457802059723</v>
      </c>
      <c r="N16" s="28">
        <f t="shared" si="5"/>
        <v>0.55146615664464271</v>
      </c>
      <c r="O16" s="28">
        <f t="shared" si="5"/>
        <v>0.35933705731600496</v>
      </c>
      <c r="P16" s="28">
        <f t="shared" si="5"/>
        <v>4.4019772954851585E-2</v>
      </c>
      <c r="Q16" s="28">
        <f t="shared" si="5"/>
        <v>6.2695811819367564E-2</v>
      </c>
      <c r="R16" s="28">
        <f>R13/R9</f>
        <v>0.1285947641509434</v>
      </c>
      <c r="S16" s="28">
        <f t="shared" si="5"/>
        <v>0.13405471320182094</v>
      </c>
      <c r="T16" s="28">
        <f t="shared" si="5"/>
        <v>6.7280184194774745E-2</v>
      </c>
      <c r="U16" s="28">
        <f t="shared" si="5"/>
        <v>6.9008217900552796E-2</v>
      </c>
      <c r="V16" s="28">
        <f t="shared" si="5"/>
        <v>2.075898537472802E-2</v>
      </c>
      <c r="W16" s="28">
        <f t="shared" si="5"/>
        <v>7.4295078194394112E-2</v>
      </c>
      <c r="X16" s="30">
        <f>X13/X9</f>
        <v>0.18902917722534923</v>
      </c>
      <c r="AC16" s="16"/>
    </row>
    <row r="17" spans="1:29" ht="20.100000000000001" hidden="1" customHeight="1">
      <c r="A17" s="31" t="s">
        <v>29</v>
      </c>
      <c r="B17" s="32">
        <f t="shared" ref="B17:W17" si="6">SUM(B15:B16)</f>
        <v>0.94568184831917068</v>
      </c>
      <c r="C17" s="33">
        <f t="shared" si="6"/>
        <v>0.9715666659574016</v>
      </c>
      <c r="D17" s="32">
        <f t="shared" si="6"/>
        <v>0.94840444267641177</v>
      </c>
      <c r="E17" s="32">
        <f t="shared" si="6"/>
        <v>0.69535722543283351</v>
      </c>
      <c r="F17" s="32">
        <f t="shared" si="6"/>
        <v>1</v>
      </c>
      <c r="G17" s="32">
        <f t="shared" si="6"/>
        <v>0.74532214427420218</v>
      </c>
      <c r="H17" s="32">
        <f t="shared" si="6"/>
        <v>0.72586946635053573</v>
      </c>
      <c r="I17" s="32">
        <f t="shared" si="6"/>
        <v>0.45827406828378492</v>
      </c>
      <c r="J17" s="32">
        <f t="shared" si="6"/>
        <v>0.72191421923993404</v>
      </c>
      <c r="K17" s="32">
        <f t="shared" si="6"/>
        <v>0.32485520355748271</v>
      </c>
      <c r="L17" s="32">
        <f t="shared" si="6"/>
        <v>0.4289195616666952</v>
      </c>
      <c r="M17" s="32">
        <f t="shared" si="6"/>
        <v>0.51955497169237874</v>
      </c>
      <c r="N17" s="32">
        <f t="shared" si="6"/>
        <v>0.70017831828127963</v>
      </c>
      <c r="O17" s="32">
        <f t="shared" si="6"/>
        <v>0.37383528041224595</v>
      </c>
      <c r="P17" s="32">
        <f t="shared" si="6"/>
        <v>4.4019772954851585E-2</v>
      </c>
      <c r="Q17" s="32">
        <f t="shared" si="6"/>
        <v>6.2695811819367564E-2</v>
      </c>
      <c r="R17" s="32">
        <f t="shared" si="6"/>
        <v>0.1285947641509434</v>
      </c>
      <c r="S17" s="32">
        <f t="shared" si="6"/>
        <v>0.13405471320182094</v>
      </c>
      <c r="T17" s="32">
        <f t="shared" si="6"/>
        <v>6.7280184194774745E-2</v>
      </c>
      <c r="U17" s="32">
        <f t="shared" si="6"/>
        <v>6.9008217900552796E-2</v>
      </c>
      <c r="V17" s="32">
        <f t="shared" si="6"/>
        <v>2.075898537472802E-2</v>
      </c>
      <c r="W17" s="32">
        <f t="shared" si="6"/>
        <v>7.4295078194394112E-2</v>
      </c>
      <c r="X17" s="34">
        <f>SUM(X15:X16)</f>
        <v>0.45018617501707198</v>
      </c>
      <c r="AC17" s="35"/>
    </row>
    <row r="18" spans="1:29" ht="20.100000000000001" hidden="1" customHeight="1">
      <c r="A18" s="20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24"/>
      <c r="AC18" s="35"/>
    </row>
    <row r="19" spans="1:29" ht="20.100000000000001" hidden="1" customHeight="1">
      <c r="A19" s="31" t="s">
        <v>30</v>
      </c>
      <c r="B19" s="3">
        <f>B17*B5</f>
        <v>68089093.078980282</v>
      </c>
      <c r="C19" s="4">
        <f t="shared" ref="C19:W19" si="7">C17*C5</f>
        <v>98911316.023606226</v>
      </c>
      <c r="D19" s="4">
        <f t="shared" si="7"/>
        <v>163298172.62410226</v>
      </c>
      <c r="E19" s="4">
        <f t="shared" si="7"/>
        <v>69238947.556254745</v>
      </c>
      <c r="F19" s="4">
        <f t="shared" si="7"/>
        <v>184374873</v>
      </c>
      <c r="G19" s="4">
        <f t="shared" si="7"/>
        <v>122850685.830841</v>
      </c>
      <c r="H19" s="4">
        <f t="shared" si="7"/>
        <v>11984147.91898931</v>
      </c>
      <c r="I19" s="4">
        <f t="shared" si="7"/>
        <v>30537317.094383467</v>
      </c>
      <c r="J19" s="4">
        <f t="shared" si="7"/>
        <v>24887705.766687721</v>
      </c>
      <c r="K19" s="4">
        <f t="shared" si="7"/>
        <v>87909281.363979951</v>
      </c>
      <c r="L19" s="4">
        <f t="shared" si="7"/>
        <v>62146840.703347012</v>
      </c>
      <c r="M19" s="4">
        <f t="shared" si="7"/>
        <v>173560008.28683865</v>
      </c>
      <c r="N19" s="4">
        <f t="shared" si="7"/>
        <v>61615692.008752607</v>
      </c>
      <c r="O19" s="4">
        <f t="shared" si="7"/>
        <v>43364892.527820528</v>
      </c>
      <c r="P19" s="4">
        <f t="shared" si="7"/>
        <v>1801946.5446216075</v>
      </c>
      <c r="Q19" s="4">
        <f t="shared" si="7"/>
        <v>8059893.9039641228</v>
      </c>
      <c r="R19" s="4">
        <f>R17*R5</f>
        <v>425905.85886792454</v>
      </c>
      <c r="S19" s="4">
        <f t="shared" si="7"/>
        <v>645808.58084977244</v>
      </c>
      <c r="T19" s="4">
        <f t="shared" si="7"/>
        <v>26307319.6554369</v>
      </c>
      <c r="U19" s="4">
        <f t="shared" si="7"/>
        <v>2819469.793886154</v>
      </c>
      <c r="V19" s="4">
        <f t="shared" si="7"/>
        <v>4291374.6800893703</v>
      </c>
      <c r="W19" s="4">
        <f t="shared" si="7"/>
        <v>187001.38047099372</v>
      </c>
      <c r="X19" s="5">
        <f t="shared" ref="X19:X24" si="8">SUM(B19:W19)</f>
        <v>1247307694.182771</v>
      </c>
      <c r="AC19" s="36"/>
    </row>
    <row r="20" spans="1:29" ht="20.100000000000001" hidden="1" customHeight="1">
      <c r="A20" s="37">
        <v>2015</v>
      </c>
      <c r="B20" s="3">
        <v>21550245.035993785</v>
      </c>
      <c r="C20" s="3">
        <v>58330254.273919702</v>
      </c>
      <c r="D20" s="3">
        <v>131211720.3057501</v>
      </c>
      <c r="E20" s="3">
        <v>37462470.465750702</v>
      </c>
      <c r="F20" s="3">
        <v>150142037.88959643</v>
      </c>
      <c r="G20" s="3">
        <v>65421993.287321992</v>
      </c>
      <c r="H20" s="3">
        <v>8013577.6406844873</v>
      </c>
      <c r="I20" s="3">
        <v>12993657.690067064</v>
      </c>
      <c r="J20" s="3">
        <v>15384962.016156662</v>
      </c>
      <c r="K20" s="3">
        <v>45897167.35341195</v>
      </c>
      <c r="L20" s="3">
        <v>22723826.32452346</v>
      </c>
      <c r="M20" s="3">
        <v>35824514.535980992</v>
      </c>
      <c r="N20" s="3">
        <v>12111596.329661135</v>
      </c>
      <c r="O20" s="3">
        <v>1375742.4841225257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5">
        <f t="shared" si="8"/>
        <v>618443765.63294089</v>
      </c>
      <c r="AC20" s="16"/>
    </row>
    <row r="21" spans="1:29" ht="20.100000000000001" hidden="1" customHeight="1">
      <c r="A21" s="37">
        <v>2014</v>
      </c>
      <c r="B21" s="3">
        <v>27590161</v>
      </c>
      <c r="C21" s="3">
        <v>30977537</v>
      </c>
      <c r="D21" s="3">
        <v>21668054</v>
      </c>
      <c r="E21" s="3">
        <v>575362.67000000004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5">
        <f t="shared" si="8"/>
        <v>80811114.670000002</v>
      </c>
      <c r="AC21" s="16"/>
    </row>
    <row r="22" spans="1:29" ht="20.100000000000001" hidden="1" customHeight="1">
      <c r="A22" s="37">
        <v>2013</v>
      </c>
      <c r="B22" s="3">
        <v>5206901.4250000026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5">
        <f t="shared" si="8"/>
        <v>5206901.4250000026</v>
      </c>
      <c r="AC22" s="16"/>
    </row>
    <row r="23" spans="1:29" ht="20.100000000000001" hidden="1" customHeight="1">
      <c r="A23" s="37">
        <v>2012</v>
      </c>
      <c r="B23" s="3">
        <v>3773153.1797278509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5">
        <f t="shared" si="8"/>
        <v>3773153.1797278509</v>
      </c>
      <c r="AC23" s="16"/>
    </row>
    <row r="24" spans="1:29" ht="15.75" hidden="1" thickBot="1">
      <c r="A24" s="38" t="s">
        <v>31</v>
      </c>
      <c r="B24" s="39">
        <f>B19-B20-B21-B22-B23</f>
        <v>9968632.4382586442</v>
      </c>
      <c r="C24" s="39">
        <f t="shared" ref="C24:W24" si="9">C19-C20-C21-C22-C23</f>
        <v>9603524.7496865243</v>
      </c>
      <c r="D24" s="39">
        <f t="shared" si="9"/>
        <v>10418398.318352163</v>
      </c>
      <c r="E24" s="39">
        <f t="shared" si="9"/>
        <v>31201114.420504041</v>
      </c>
      <c r="F24" s="39">
        <f t="shared" si="9"/>
        <v>34232835.110403568</v>
      </c>
      <c r="G24" s="39">
        <f t="shared" si="9"/>
        <v>57428692.543519013</v>
      </c>
      <c r="H24" s="39">
        <f t="shared" si="9"/>
        <v>3970570.2783048227</v>
      </c>
      <c r="I24" s="39">
        <f t="shared" si="9"/>
        <v>17543659.404316403</v>
      </c>
      <c r="J24" s="39">
        <f t="shared" si="9"/>
        <v>9502743.7505310588</v>
      </c>
      <c r="K24" s="39">
        <f t="shared" si="9"/>
        <v>42012114.010568</v>
      </c>
      <c r="L24" s="39">
        <f t="shared" si="9"/>
        <v>39423014.378823549</v>
      </c>
      <c r="M24" s="39">
        <f t="shared" si="9"/>
        <v>137735493.75085765</v>
      </c>
      <c r="N24" s="39">
        <f t="shared" si="9"/>
        <v>49504095.679091468</v>
      </c>
      <c r="O24" s="39">
        <f t="shared" si="9"/>
        <v>41989150.043698005</v>
      </c>
      <c r="P24" s="39">
        <f t="shared" si="9"/>
        <v>1801946.5446216075</v>
      </c>
      <c r="Q24" s="39">
        <f t="shared" si="9"/>
        <v>8059893.9039641228</v>
      </c>
      <c r="R24" s="39">
        <f t="shared" si="9"/>
        <v>425905.85886792454</v>
      </c>
      <c r="S24" s="39">
        <f t="shared" si="9"/>
        <v>645808.58084977244</v>
      </c>
      <c r="T24" s="39">
        <f t="shared" si="9"/>
        <v>26307319.6554369</v>
      </c>
      <c r="U24" s="39">
        <f t="shared" si="9"/>
        <v>2819469.793886154</v>
      </c>
      <c r="V24" s="39">
        <f t="shared" si="9"/>
        <v>4291374.6800893703</v>
      </c>
      <c r="W24" s="39">
        <f t="shared" si="9"/>
        <v>187001.38047099372</v>
      </c>
      <c r="X24" s="40">
        <f t="shared" si="8"/>
        <v>539072759.27510166</v>
      </c>
      <c r="Y24" s="11"/>
      <c r="AC24" s="16"/>
    </row>
    <row r="25" spans="1:29" hidden="1">
      <c r="B25" s="41">
        <f t="shared" ref="B25:X25" si="10">B24/B5</f>
        <v>0.13845322830914783</v>
      </c>
      <c r="C25" s="41">
        <f t="shared" si="10"/>
        <v>9.4331618439547529E-2</v>
      </c>
      <c r="D25" s="41">
        <f t="shared" si="10"/>
        <v>6.0508057695431106E-2</v>
      </c>
      <c r="E25" s="41">
        <f t="shared" si="10"/>
        <v>0.31334849993533942</v>
      </c>
      <c r="F25" s="41">
        <f t="shared" si="10"/>
        <v>0.18566974204995693</v>
      </c>
      <c r="G25" s="41">
        <f t="shared" si="10"/>
        <v>0.34841381616979172</v>
      </c>
      <c r="H25" s="41">
        <f t="shared" si="10"/>
        <v>0.24049400495579704</v>
      </c>
      <c r="I25" s="41">
        <f t="shared" si="10"/>
        <v>0.26327801302753839</v>
      </c>
      <c r="J25" s="41">
        <f t="shared" si="10"/>
        <v>0.27564476611918753</v>
      </c>
      <c r="K25" s="41">
        <f t="shared" si="10"/>
        <v>0.15524929378361779</v>
      </c>
      <c r="L25" s="41">
        <f t="shared" si="10"/>
        <v>0.27208626948005327</v>
      </c>
      <c r="M25" s="41">
        <f t="shared" si="10"/>
        <v>0.41231365026495714</v>
      </c>
      <c r="N25" s="41">
        <f t="shared" si="10"/>
        <v>0.56254654180785757</v>
      </c>
      <c r="O25" s="41">
        <f t="shared" si="10"/>
        <v>0.36197543141118971</v>
      </c>
      <c r="P25" s="41">
        <f t="shared" si="10"/>
        <v>4.4019772954851585E-2</v>
      </c>
      <c r="Q25" s="41">
        <f t="shared" si="10"/>
        <v>6.2695811819367564E-2</v>
      </c>
      <c r="R25" s="41">
        <f t="shared" si="10"/>
        <v>0.1285947641509434</v>
      </c>
      <c r="S25" s="41">
        <f t="shared" si="10"/>
        <v>0.13405471320182094</v>
      </c>
      <c r="T25" s="41">
        <f t="shared" si="10"/>
        <v>6.7280184194774745E-2</v>
      </c>
      <c r="U25" s="41">
        <f t="shared" si="10"/>
        <v>6.9008217900552796E-2</v>
      </c>
      <c r="V25" s="41">
        <f t="shared" si="10"/>
        <v>2.075898537472802E-2</v>
      </c>
      <c r="W25" s="41">
        <f>W24/W5</f>
        <v>7.4295078194394112E-2</v>
      </c>
      <c r="X25" s="41">
        <f t="shared" si="10"/>
        <v>0.20079652686878297</v>
      </c>
      <c r="AC25" s="16"/>
    </row>
    <row r="26" spans="1:29" hidden="1"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>
        <f>X24-N54</f>
        <v>-190715963.15489829</v>
      </c>
      <c r="AC26" s="25"/>
    </row>
    <row r="27" spans="1:29" ht="25.5" hidden="1" customHeight="1">
      <c r="A27" s="421" t="s">
        <v>32</v>
      </c>
      <c r="B27" s="421"/>
      <c r="C27" s="421"/>
      <c r="D27" s="421"/>
      <c r="E27" s="421"/>
      <c r="F27" s="421"/>
      <c r="G27" s="421"/>
      <c r="H27" s="421"/>
      <c r="I27" s="421"/>
      <c r="J27" s="421"/>
      <c r="K27" s="421"/>
      <c r="L27" s="421"/>
      <c r="M27" s="421"/>
      <c r="N27" s="421"/>
    </row>
    <row r="28" spans="1:29" hidden="1">
      <c r="A28" s="42" t="s">
        <v>33</v>
      </c>
      <c r="B28" s="432">
        <v>42370</v>
      </c>
      <c r="C28" s="432">
        <v>42401</v>
      </c>
      <c r="D28" s="432">
        <v>42430</v>
      </c>
      <c r="E28" s="432">
        <v>42461</v>
      </c>
      <c r="F28" s="432">
        <v>42491</v>
      </c>
      <c r="G28" s="432">
        <v>42522</v>
      </c>
      <c r="H28" s="432">
        <v>42552</v>
      </c>
      <c r="I28" s="432">
        <v>42583</v>
      </c>
      <c r="J28" s="432">
        <v>42614</v>
      </c>
      <c r="K28" s="432">
        <v>42644</v>
      </c>
      <c r="L28" s="432">
        <v>42675</v>
      </c>
      <c r="M28" s="432">
        <v>42705</v>
      </c>
      <c r="N28" s="432" t="s">
        <v>15</v>
      </c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4"/>
    </row>
    <row r="29" spans="1:29" ht="15.75" hidden="1" thickBot="1">
      <c r="A29" s="44" t="s">
        <v>34</v>
      </c>
      <c r="B29" s="433"/>
      <c r="C29" s="433"/>
      <c r="D29" s="433"/>
      <c r="E29" s="433"/>
      <c r="F29" s="433"/>
      <c r="G29" s="433"/>
      <c r="H29" s="433"/>
      <c r="I29" s="433"/>
      <c r="J29" s="433"/>
      <c r="K29" s="433"/>
      <c r="L29" s="433"/>
      <c r="M29" s="433"/>
      <c r="N29" s="43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4"/>
    </row>
    <row r="30" spans="1:29" hidden="1">
      <c r="A30" s="45" t="s">
        <v>35</v>
      </c>
      <c r="B30" s="46"/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</row>
    <row r="31" spans="1:29" hidden="1">
      <c r="A31" s="47" t="str">
        <f>B1</f>
        <v>Al Oula</v>
      </c>
      <c r="B31" s="48">
        <v>0</v>
      </c>
      <c r="C31" s="49">
        <v>0</v>
      </c>
      <c r="D31" s="49">
        <v>5147052</v>
      </c>
      <c r="E31" s="49">
        <v>0</v>
      </c>
      <c r="F31" s="49">
        <v>2373550</v>
      </c>
      <c r="G31" s="49">
        <v>3060951</v>
      </c>
      <c r="H31" s="49">
        <v>0</v>
      </c>
      <c r="I31" s="49">
        <v>747529</v>
      </c>
      <c r="J31" s="77">
        <v>1162802</v>
      </c>
      <c r="K31" s="49">
        <v>0</v>
      </c>
      <c r="L31" s="49">
        <v>0</v>
      </c>
      <c r="M31" s="49">
        <v>0</v>
      </c>
      <c r="N31" s="48">
        <f t="shared" ref="N31:N53" si="11">SUM(B31:M31)</f>
        <v>12491884</v>
      </c>
      <c r="O31" s="72"/>
      <c r="P31" s="75"/>
      <c r="Q31" s="76"/>
      <c r="R31" s="12"/>
      <c r="S31" s="12"/>
      <c r="T31" s="12"/>
      <c r="U31" s="12"/>
      <c r="V31" s="12"/>
      <c r="W31" s="12"/>
      <c r="X31" s="12"/>
    </row>
    <row r="32" spans="1:29" hidden="1">
      <c r="A32" s="47" t="str">
        <f>C1</f>
        <v>Hyper Al Sulaimaniya</v>
      </c>
      <c r="B32" s="48">
        <v>0</v>
      </c>
      <c r="C32" s="49">
        <v>0</v>
      </c>
      <c r="D32" s="49">
        <v>0</v>
      </c>
      <c r="E32" s="49">
        <v>0</v>
      </c>
      <c r="F32" s="49">
        <v>0</v>
      </c>
      <c r="G32" s="49">
        <v>0</v>
      </c>
      <c r="H32" s="49">
        <v>0</v>
      </c>
      <c r="I32" s="49">
        <v>0</v>
      </c>
      <c r="J32" s="77">
        <v>14811302</v>
      </c>
      <c r="K32" s="49">
        <v>0</v>
      </c>
      <c r="L32" s="49">
        <v>0</v>
      </c>
      <c r="M32" s="49">
        <v>0</v>
      </c>
      <c r="N32" s="48">
        <f t="shared" si="11"/>
        <v>14811302</v>
      </c>
      <c r="O32" s="72"/>
      <c r="P32" s="75"/>
      <c r="Q32" s="76"/>
      <c r="R32" s="12"/>
      <c r="S32" s="12"/>
      <c r="T32" s="12"/>
      <c r="U32" s="12"/>
      <c r="V32" s="12"/>
      <c r="W32" s="12"/>
      <c r="X32" s="12"/>
    </row>
    <row r="33" spans="1:24" hidden="1">
      <c r="A33" s="47" t="str">
        <f>D1</f>
        <v>New Giza I</v>
      </c>
      <c r="B33" s="48">
        <v>4099757.46</v>
      </c>
      <c r="C33" s="49">
        <v>0</v>
      </c>
      <c r="D33" s="49">
        <f>7571664.74-1848060.73</f>
        <v>5723604.0099999998</v>
      </c>
      <c r="E33" s="49">
        <v>486605.53</v>
      </c>
      <c r="F33" s="49">
        <v>2045554</v>
      </c>
      <c r="G33" s="49">
        <v>0</v>
      </c>
      <c r="H33" s="49">
        <v>-118426.49</v>
      </c>
      <c r="I33" s="49">
        <v>7821956.96</v>
      </c>
      <c r="J33" s="77">
        <v>1993825.98</v>
      </c>
      <c r="K33" s="49">
        <v>0</v>
      </c>
      <c r="L33" s="49">
        <v>0</v>
      </c>
      <c r="M33" s="49">
        <v>0</v>
      </c>
      <c r="N33" s="48">
        <f t="shared" si="11"/>
        <v>22052877.449999999</v>
      </c>
      <c r="O33" s="72"/>
      <c r="P33" s="75"/>
      <c r="Q33" s="76"/>
      <c r="R33" s="12"/>
      <c r="S33" s="12"/>
      <c r="T33" s="12"/>
      <c r="U33" s="12"/>
      <c r="V33" s="12"/>
      <c r="W33" s="12"/>
      <c r="X33" s="12"/>
    </row>
    <row r="34" spans="1:24" hidden="1">
      <c r="A34" s="47" t="str">
        <f>E1</f>
        <v>Maxim mall</v>
      </c>
      <c r="B34" s="48">
        <v>2562304.1800000002</v>
      </c>
      <c r="C34" s="49">
        <f>4289375.56+6208410.6</f>
        <v>10497786.16</v>
      </c>
      <c r="D34" s="49">
        <v>3538507.9</v>
      </c>
      <c r="E34" s="49">
        <v>5914679.5800000001</v>
      </c>
      <c r="F34" s="49">
        <v>4894978</v>
      </c>
      <c r="G34" s="49">
        <v>4641121.5</v>
      </c>
      <c r="H34" s="49">
        <v>0</v>
      </c>
      <c r="I34" s="49">
        <v>0</v>
      </c>
      <c r="J34" s="77">
        <v>17975385.309999999</v>
      </c>
      <c r="K34" s="49">
        <v>0</v>
      </c>
      <c r="L34" s="49">
        <v>0</v>
      </c>
      <c r="M34" s="49">
        <v>0</v>
      </c>
      <c r="N34" s="48">
        <f t="shared" si="11"/>
        <v>50024762.629999995</v>
      </c>
      <c r="O34" s="72"/>
      <c r="P34" s="75"/>
      <c r="Q34" s="76"/>
      <c r="R34" s="12"/>
      <c r="S34" s="12"/>
      <c r="T34" s="12"/>
      <c r="U34" s="12"/>
      <c r="V34" s="12"/>
      <c r="W34" s="12"/>
      <c r="X34" s="12"/>
    </row>
    <row r="35" spans="1:24" hidden="1">
      <c r="A35" s="47" t="str">
        <f>F1</f>
        <v>Attaka</v>
      </c>
      <c r="B35" s="48">
        <v>137802</v>
      </c>
      <c r="C35" s="49">
        <f>2732628+10657131</f>
        <v>13389759</v>
      </c>
      <c r="D35" s="49">
        <v>0</v>
      </c>
      <c r="E35" s="49">
        <v>0</v>
      </c>
      <c r="F35" s="49">
        <v>452519</v>
      </c>
      <c r="G35" s="49">
        <v>14655332</v>
      </c>
      <c r="H35" s="49">
        <v>0</v>
      </c>
      <c r="I35" s="49">
        <v>258782</v>
      </c>
      <c r="J35" s="49">
        <v>0</v>
      </c>
      <c r="K35" s="49">
        <v>0</v>
      </c>
      <c r="L35" s="49">
        <v>0</v>
      </c>
      <c r="M35" s="49">
        <v>0</v>
      </c>
      <c r="N35" s="48">
        <f t="shared" si="11"/>
        <v>28894194</v>
      </c>
      <c r="O35" s="72"/>
      <c r="P35" s="75"/>
      <c r="Q35" s="76"/>
      <c r="R35" s="12"/>
      <c r="S35" s="12"/>
      <c r="T35" s="12"/>
      <c r="U35" s="12"/>
      <c r="V35" s="12"/>
      <c r="W35" s="12"/>
      <c r="X35" s="12"/>
    </row>
    <row r="36" spans="1:24" hidden="1">
      <c r="A36" s="47" t="str">
        <f>G1</f>
        <v>مول مصر</v>
      </c>
      <c r="B36" s="48">
        <v>0</v>
      </c>
      <c r="C36" s="49">
        <v>0</v>
      </c>
      <c r="D36" s="49">
        <v>0</v>
      </c>
      <c r="E36" s="49">
        <v>0</v>
      </c>
      <c r="F36" s="49">
        <v>22665950</v>
      </c>
      <c r="G36" s="49">
        <v>71594431.290000007</v>
      </c>
      <c r="H36" s="49">
        <v>0</v>
      </c>
      <c r="I36" s="49">
        <v>0</v>
      </c>
      <c r="J36" s="77">
        <v>23125689</v>
      </c>
      <c r="K36" s="49">
        <v>0</v>
      </c>
      <c r="L36" s="49">
        <v>0</v>
      </c>
      <c r="M36" s="49">
        <v>0</v>
      </c>
      <c r="N36" s="48">
        <f t="shared" si="11"/>
        <v>117386070.29000001</v>
      </c>
      <c r="O36" s="72"/>
      <c r="P36" s="75"/>
      <c r="Q36" s="76"/>
      <c r="R36" s="12"/>
      <c r="S36" s="12"/>
      <c r="T36" s="12"/>
      <c r="U36" s="12"/>
      <c r="V36" s="12"/>
      <c r="W36" s="12"/>
      <c r="X36" s="12"/>
    </row>
    <row r="37" spans="1:24" hidden="1">
      <c r="A37" s="47" t="str">
        <f>H1</f>
        <v>مراسى تانك الخزان الجديد PKG22 New</v>
      </c>
      <c r="B37" s="48">
        <v>857796</v>
      </c>
      <c r="C37" s="49">
        <v>0</v>
      </c>
      <c r="D37" s="49">
        <v>896457</v>
      </c>
      <c r="E37" s="49">
        <v>0</v>
      </c>
      <c r="F37" s="49">
        <v>0</v>
      </c>
      <c r="G37" s="49">
        <v>1344233</v>
      </c>
      <c r="H37" s="49">
        <v>924823</v>
      </c>
      <c r="I37" s="49">
        <v>0</v>
      </c>
      <c r="J37" s="77">
        <v>1712527</v>
      </c>
      <c r="K37" s="49">
        <v>0</v>
      </c>
      <c r="L37" s="49">
        <v>0</v>
      </c>
      <c r="M37" s="49">
        <v>0</v>
      </c>
      <c r="N37" s="48">
        <f t="shared" si="11"/>
        <v>5735836</v>
      </c>
      <c r="O37" s="72"/>
      <c r="P37" s="75"/>
      <c r="Q37" s="76"/>
      <c r="R37" s="12"/>
      <c r="S37" s="12"/>
      <c r="T37" s="12"/>
      <c r="U37" s="12"/>
      <c r="V37" s="12"/>
      <c r="W37" s="12"/>
      <c r="X37" s="12"/>
    </row>
    <row r="38" spans="1:24" hidden="1">
      <c r="A38" s="47" t="str">
        <f>I1</f>
        <v>نادي سوديك</v>
      </c>
      <c r="B38" s="48">
        <v>5873689.8399999999</v>
      </c>
      <c r="C38" s="49">
        <v>-619050.98</v>
      </c>
      <c r="D38" s="49">
        <v>2692512.76</v>
      </c>
      <c r="E38" s="49">
        <v>2758942.7</v>
      </c>
      <c r="F38" s="49">
        <v>2981570</v>
      </c>
      <c r="G38" s="49">
        <v>2034590.5</v>
      </c>
      <c r="H38" s="49">
        <v>1822839</v>
      </c>
      <c r="I38" s="49">
        <v>2620813.2400000002</v>
      </c>
      <c r="J38" s="77">
        <v>1908994</v>
      </c>
      <c r="K38" s="49">
        <v>0</v>
      </c>
      <c r="L38" s="49">
        <v>0</v>
      </c>
      <c r="M38" s="49">
        <v>0</v>
      </c>
      <c r="N38" s="48">
        <f t="shared" si="11"/>
        <v>22074901.060000002</v>
      </c>
      <c r="O38" s="72"/>
      <c r="P38" s="75"/>
      <c r="Q38" s="76"/>
      <c r="R38" s="12"/>
      <c r="S38" s="12"/>
      <c r="T38" s="12"/>
      <c r="U38" s="12"/>
      <c r="V38" s="12"/>
      <c r="W38" s="12"/>
      <c r="X38" s="12"/>
    </row>
    <row r="39" spans="1:24" hidden="1">
      <c r="A39" s="47" t="str">
        <f>J1</f>
        <v>شرم الشيخ</v>
      </c>
      <c r="B39" s="48">
        <v>2509177</v>
      </c>
      <c r="C39" s="49">
        <v>2945219</v>
      </c>
      <c r="D39" s="49">
        <v>0</v>
      </c>
      <c r="E39" s="49">
        <v>2147092</v>
      </c>
      <c r="F39" s="49">
        <v>5372540</v>
      </c>
      <c r="G39" s="49">
        <v>2760718</v>
      </c>
      <c r="H39" s="49">
        <v>1740437.6384839679</v>
      </c>
      <c r="I39" s="49">
        <v>1404691</v>
      </c>
      <c r="J39" s="49">
        <v>854538.36151599884</v>
      </c>
      <c r="K39" s="49">
        <v>0</v>
      </c>
      <c r="L39" s="49">
        <v>0</v>
      </c>
      <c r="M39" s="49">
        <v>0</v>
      </c>
      <c r="N39" s="48">
        <f t="shared" si="11"/>
        <v>19734412.999999966</v>
      </c>
      <c r="O39" s="72">
        <f>19734413-18879874.638484</f>
        <v>854538.36151599884</v>
      </c>
      <c r="P39" s="75"/>
      <c r="Q39" s="76"/>
      <c r="R39" s="12"/>
      <c r="S39" s="12"/>
      <c r="T39" s="12"/>
      <c r="U39" s="12"/>
      <c r="V39" s="12"/>
      <c r="W39" s="12"/>
      <c r="X39" s="12"/>
    </row>
    <row r="40" spans="1:24" hidden="1">
      <c r="A40" s="47" t="str">
        <f>K1</f>
        <v>عمائر اب تاون 53</v>
      </c>
      <c r="B40" s="48">
        <v>10056533.76</v>
      </c>
      <c r="C40" s="49">
        <v>6046517.9800000004</v>
      </c>
      <c r="D40" s="49">
        <v>0</v>
      </c>
      <c r="E40" s="49">
        <v>9769442.3499999996</v>
      </c>
      <c r="F40" s="49">
        <v>9548964</v>
      </c>
      <c r="G40" s="49">
        <v>6058192.8499999996</v>
      </c>
      <c r="H40" s="49">
        <v>4724237.78</v>
      </c>
      <c r="I40" s="49">
        <v>3444820.2</v>
      </c>
      <c r="J40" s="77">
        <v>6858375</v>
      </c>
      <c r="K40" s="49">
        <v>0</v>
      </c>
      <c r="L40" s="49">
        <v>0</v>
      </c>
      <c r="M40" s="49">
        <v>0</v>
      </c>
      <c r="N40" s="48">
        <f t="shared" si="11"/>
        <v>56507083.920000009</v>
      </c>
      <c r="O40" s="72"/>
      <c r="P40" s="75"/>
      <c r="Q40" s="76"/>
      <c r="R40" s="12"/>
      <c r="S40" s="12"/>
      <c r="T40" s="12"/>
      <c r="U40" s="12"/>
      <c r="V40" s="12"/>
      <c r="W40" s="12"/>
      <c r="X40" s="12"/>
    </row>
    <row r="41" spans="1:24" hidden="1">
      <c r="A41" s="47" t="str">
        <f>L1</f>
        <v>New Giza phase 2</v>
      </c>
      <c r="B41" s="48">
        <v>5682154.3300000001</v>
      </c>
      <c r="C41" s="49">
        <v>5746118.2999999998</v>
      </c>
      <c r="D41" s="49">
        <v>5473408.6500000004</v>
      </c>
      <c r="E41" s="49">
        <v>3968781</v>
      </c>
      <c r="F41" s="49">
        <v>7884396</v>
      </c>
      <c r="G41" s="49">
        <v>4808926.4000000004</v>
      </c>
      <c r="H41" s="49">
        <v>4832877</v>
      </c>
      <c r="I41" s="49">
        <v>0</v>
      </c>
      <c r="J41" s="49">
        <v>0</v>
      </c>
      <c r="K41" s="49">
        <v>0</v>
      </c>
      <c r="L41" s="49">
        <v>0</v>
      </c>
      <c r="M41" s="49">
        <v>0</v>
      </c>
      <c r="N41" s="48">
        <f t="shared" si="11"/>
        <v>38396661.68</v>
      </c>
      <c r="O41" s="72"/>
      <c r="P41" s="75"/>
      <c r="Q41" s="76"/>
      <c r="R41" s="12"/>
      <c r="S41" s="12"/>
      <c r="T41" s="12"/>
      <c r="U41" s="12"/>
      <c r="V41" s="12"/>
      <c r="W41" s="12"/>
      <c r="X41" s="12"/>
    </row>
    <row r="42" spans="1:24" hidden="1">
      <c r="A42" s="47" t="str">
        <f>M1</f>
        <v>Beni suef</v>
      </c>
      <c r="B42" s="48">
        <v>-376305.89</v>
      </c>
      <c r="C42" s="49">
        <f>2077186+14501814</f>
        <v>16579000</v>
      </c>
      <c r="D42" s="49">
        <f>27451033</f>
        <v>27451033</v>
      </c>
      <c r="E42" s="49">
        <v>40278342</v>
      </c>
      <c r="F42" s="49">
        <v>27877387</v>
      </c>
      <c r="G42" s="49">
        <v>33610757</v>
      </c>
      <c r="H42" s="49">
        <v>26158400</v>
      </c>
      <c r="I42" s="49">
        <v>3271250</v>
      </c>
      <c r="J42" s="77">
        <f>4493394+20664475.4</f>
        <v>25157869.399999999</v>
      </c>
      <c r="K42" s="49">
        <v>0</v>
      </c>
      <c r="L42" s="49">
        <v>0</v>
      </c>
      <c r="M42" s="49">
        <v>0</v>
      </c>
      <c r="N42" s="48">
        <f t="shared" si="11"/>
        <v>200007732.51000002</v>
      </c>
      <c r="O42" s="72"/>
      <c r="P42" s="75"/>
      <c r="Q42" s="76"/>
      <c r="R42" s="12"/>
      <c r="U42" s="12"/>
      <c r="V42" s="12"/>
      <c r="W42" s="12"/>
      <c r="X42" s="12"/>
    </row>
    <row r="43" spans="1:24" hidden="1">
      <c r="A43" s="47" t="str">
        <f>N1</f>
        <v>كوبرى الشيخ بن زايد - كوبرى العاصمة</v>
      </c>
      <c r="B43" s="48">
        <v>0</v>
      </c>
      <c r="C43" s="49">
        <v>0</v>
      </c>
      <c r="D43" s="49">
        <v>0</v>
      </c>
      <c r="E43" s="49">
        <v>0</v>
      </c>
      <c r="F43" s="49">
        <v>0</v>
      </c>
      <c r="G43" s="49">
        <v>0</v>
      </c>
      <c r="H43" s="49">
        <v>0</v>
      </c>
      <c r="I43" s="49">
        <v>62185192</v>
      </c>
      <c r="J43" s="49">
        <v>0</v>
      </c>
      <c r="K43" s="49">
        <v>0</v>
      </c>
      <c r="L43" s="49">
        <v>0</v>
      </c>
      <c r="M43" s="49">
        <v>0</v>
      </c>
      <c r="N43" s="48">
        <f t="shared" si="11"/>
        <v>62185192</v>
      </c>
      <c r="O43" s="72"/>
      <c r="P43" s="75"/>
      <c r="Q43" s="76"/>
      <c r="R43" s="12"/>
      <c r="U43" s="12"/>
      <c r="V43" s="12"/>
      <c r="W43" s="12"/>
      <c r="X43" s="12"/>
    </row>
    <row r="44" spans="1:24" hidden="1">
      <c r="A44" s="47" t="str">
        <f>O1</f>
        <v>جبل الزيت - GAMISA</v>
      </c>
      <c r="B44" s="48">
        <v>0</v>
      </c>
      <c r="C44" s="49">
        <v>6596770</v>
      </c>
      <c r="D44" s="49">
        <v>10725650</v>
      </c>
      <c r="E44" s="49">
        <v>5923635</v>
      </c>
      <c r="F44" s="49">
        <v>0</v>
      </c>
      <c r="G44" s="49">
        <v>23237734</v>
      </c>
      <c r="H44" s="49">
        <v>2434403</v>
      </c>
      <c r="I44" s="49">
        <v>10889298.050000001</v>
      </c>
      <c r="J44" s="77">
        <v>11732540</v>
      </c>
      <c r="K44" s="49">
        <v>0</v>
      </c>
      <c r="L44" s="49">
        <v>0</v>
      </c>
      <c r="M44" s="49">
        <v>0</v>
      </c>
      <c r="N44" s="48">
        <f t="shared" si="11"/>
        <v>71540030.049999997</v>
      </c>
      <c r="O44" s="72"/>
      <c r="P44" s="75"/>
      <c r="Q44" s="76"/>
      <c r="R44" s="12"/>
      <c r="U44" s="12"/>
      <c r="V44" s="12"/>
      <c r="W44" s="12"/>
      <c r="X44" s="12"/>
    </row>
    <row r="45" spans="1:24" hidden="1">
      <c r="A45" s="47" t="s">
        <v>61</v>
      </c>
      <c r="B45" s="48">
        <v>0</v>
      </c>
      <c r="C45" s="48">
        <v>0</v>
      </c>
      <c r="D45" s="49">
        <v>0</v>
      </c>
      <c r="E45" s="49">
        <v>0</v>
      </c>
      <c r="F45" s="49">
        <v>0</v>
      </c>
      <c r="G45" s="49">
        <v>1201031</v>
      </c>
      <c r="H45" s="49">
        <v>561277</v>
      </c>
      <c r="I45" s="49">
        <v>0</v>
      </c>
      <c r="J45" s="77">
        <v>2134637</v>
      </c>
      <c r="K45" s="49">
        <v>0</v>
      </c>
      <c r="L45" s="49">
        <v>0</v>
      </c>
      <c r="M45" s="49">
        <v>0</v>
      </c>
      <c r="N45" s="48">
        <f t="shared" si="11"/>
        <v>3896945</v>
      </c>
      <c r="O45" s="72"/>
      <c r="P45" s="75"/>
      <c r="Q45" s="76"/>
      <c r="R45" s="11"/>
      <c r="U45" s="11"/>
      <c r="V45" s="11"/>
      <c r="W45" s="11"/>
    </row>
    <row r="46" spans="1:24" hidden="1">
      <c r="A46" s="47" t="s">
        <v>62</v>
      </c>
      <c r="B46" s="48">
        <v>0</v>
      </c>
      <c r="C46" s="48">
        <v>0</v>
      </c>
      <c r="D46" s="49">
        <v>0</v>
      </c>
      <c r="E46" s="49">
        <v>0</v>
      </c>
      <c r="F46" s="49">
        <v>0</v>
      </c>
      <c r="G46" s="49">
        <v>0</v>
      </c>
      <c r="H46" s="49">
        <v>0</v>
      </c>
      <c r="I46" s="49">
        <v>0</v>
      </c>
      <c r="J46" s="49">
        <v>0</v>
      </c>
      <c r="K46" s="49">
        <v>0</v>
      </c>
      <c r="L46" s="49">
        <v>0</v>
      </c>
      <c r="M46" s="49">
        <v>0</v>
      </c>
      <c r="N46" s="48">
        <f t="shared" si="11"/>
        <v>0</v>
      </c>
      <c r="O46" s="72"/>
      <c r="P46" s="75"/>
      <c r="Q46" s="76"/>
      <c r="S46" s="11"/>
      <c r="T46" s="11"/>
      <c r="U46" s="11"/>
      <c r="V46" s="11"/>
      <c r="W46" s="11"/>
    </row>
    <row r="47" spans="1:24" hidden="1">
      <c r="A47" s="47" t="s">
        <v>63</v>
      </c>
      <c r="B47" s="48">
        <v>0</v>
      </c>
      <c r="C47" s="48">
        <v>0</v>
      </c>
      <c r="D47" s="49">
        <v>0</v>
      </c>
      <c r="E47" s="49">
        <v>0</v>
      </c>
      <c r="F47" s="49">
        <v>0</v>
      </c>
      <c r="G47" s="49">
        <v>0</v>
      </c>
      <c r="H47" s="49">
        <v>0</v>
      </c>
      <c r="I47" s="49">
        <v>0</v>
      </c>
      <c r="J47" s="49">
        <v>0</v>
      </c>
      <c r="K47" s="49">
        <v>0</v>
      </c>
      <c r="L47" s="49">
        <v>0</v>
      </c>
      <c r="M47" s="49">
        <v>0</v>
      </c>
      <c r="N47" s="48">
        <f t="shared" si="11"/>
        <v>0</v>
      </c>
      <c r="O47" s="11"/>
      <c r="P47" s="75"/>
      <c r="Q47" s="76"/>
      <c r="S47" s="12"/>
      <c r="T47" s="12"/>
      <c r="U47" s="11"/>
      <c r="V47" s="11"/>
      <c r="W47" s="11"/>
    </row>
    <row r="48" spans="1:24" hidden="1">
      <c r="A48" s="47" t="s">
        <v>64</v>
      </c>
      <c r="B48" s="48">
        <v>0</v>
      </c>
      <c r="C48" s="48">
        <v>0</v>
      </c>
      <c r="D48" s="49">
        <v>0</v>
      </c>
      <c r="E48" s="49">
        <v>0</v>
      </c>
      <c r="F48" s="49">
        <v>0</v>
      </c>
      <c r="G48" s="49">
        <v>0</v>
      </c>
      <c r="H48" s="49">
        <v>0</v>
      </c>
      <c r="I48" s="49">
        <v>0</v>
      </c>
      <c r="J48" s="49">
        <v>0</v>
      </c>
      <c r="K48" s="49">
        <v>0</v>
      </c>
      <c r="L48" s="49">
        <v>0</v>
      </c>
      <c r="M48" s="49">
        <v>0</v>
      </c>
      <c r="N48" s="48">
        <f t="shared" si="11"/>
        <v>0</v>
      </c>
      <c r="O48" s="72"/>
      <c r="P48" s="75"/>
      <c r="Q48" s="76"/>
      <c r="S48" s="12"/>
      <c r="T48" s="12"/>
      <c r="U48" s="11"/>
      <c r="V48" s="11"/>
      <c r="W48" s="11"/>
    </row>
    <row r="49" spans="1:25" hidden="1">
      <c r="A49" s="47" t="s">
        <v>65</v>
      </c>
      <c r="B49" s="48">
        <v>0</v>
      </c>
      <c r="C49" s="48">
        <v>0</v>
      </c>
      <c r="D49" s="49">
        <v>0</v>
      </c>
      <c r="E49" s="49">
        <v>0</v>
      </c>
      <c r="F49" s="49">
        <v>0</v>
      </c>
      <c r="G49" s="49">
        <v>456707.64</v>
      </c>
      <c r="H49" s="49">
        <v>0</v>
      </c>
      <c r="I49" s="49">
        <v>0</v>
      </c>
      <c r="J49" s="77">
        <v>1404594</v>
      </c>
      <c r="K49" s="49">
        <v>0</v>
      </c>
      <c r="L49" s="49">
        <v>0</v>
      </c>
      <c r="M49" s="49">
        <v>0</v>
      </c>
      <c r="N49" s="48">
        <f t="shared" si="11"/>
        <v>1861301.6400000001</v>
      </c>
      <c r="O49" s="72"/>
      <c r="P49" s="75"/>
      <c r="Q49" s="76"/>
      <c r="S49" s="12"/>
      <c r="T49" s="12"/>
      <c r="U49" s="11"/>
      <c r="V49" s="11"/>
      <c r="W49" s="11"/>
    </row>
    <row r="50" spans="1:25" hidden="1">
      <c r="A50" s="47" t="s">
        <v>68</v>
      </c>
      <c r="B50" s="48">
        <v>0</v>
      </c>
      <c r="C50" s="48">
        <v>0</v>
      </c>
      <c r="D50" s="49">
        <v>0</v>
      </c>
      <c r="E50" s="49">
        <v>0</v>
      </c>
      <c r="F50" s="49">
        <v>0</v>
      </c>
      <c r="G50" s="49">
        <v>0</v>
      </c>
      <c r="H50" s="49">
        <v>0</v>
      </c>
      <c r="I50" s="49">
        <v>0</v>
      </c>
      <c r="J50" s="49">
        <v>0</v>
      </c>
      <c r="K50" s="49">
        <v>0</v>
      </c>
      <c r="L50" s="49">
        <v>0</v>
      </c>
      <c r="M50" s="49">
        <v>0</v>
      </c>
      <c r="N50" s="48">
        <f t="shared" si="11"/>
        <v>0</v>
      </c>
      <c r="O50" s="72"/>
      <c r="P50" s="75"/>
      <c r="Q50" s="76"/>
      <c r="R50" s="11"/>
      <c r="S50" s="11"/>
      <c r="T50" s="11"/>
      <c r="U50" s="11"/>
      <c r="V50" s="11"/>
      <c r="W50" s="11"/>
    </row>
    <row r="51" spans="1:25" hidden="1">
      <c r="A51" s="47" t="s">
        <v>69</v>
      </c>
      <c r="B51" s="48">
        <v>0</v>
      </c>
      <c r="C51" s="48">
        <v>0</v>
      </c>
      <c r="D51" s="49">
        <v>0</v>
      </c>
      <c r="E51" s="49">
        <v>0</v>
      </c>
      <c r="F51" s="49">
        <v>0</v>
      </c>
      <c r="G51" s="49">
        <v>0</v>
      </c>
      <c r="H51" s="49">
        <v>0</v>
      </c>
      <c r="I51" s="49">
        <v>0</v>
      </c>
      <c r="J51" s="49">
        <v>0</v>
      </c>
      <c r="K51" s="49">
        <v>0</v>
      </c>
      <c r="L51" s="49">
        <v>0</v>
      </c>
      <c r="M51" s="49">
        <v>0</v>
      </c>
      <c r="N51" s="48">
        <f t="shared" si="11"/>
        <v>0</v>
      </c>
      <c r="O51" s="72"/>
      <c r="P51" s="75"/>
      <c r="Q51" s="76"/>
      <c r="R51" s="11"/>
      <c r="S51" s="11"/>
      <c r="T51" s="11"/>
      <c r="U51" s="11"/>
      <c r="V51" s="11"/>
      <c r="W51" s="11"/>
    </row>
    <row r="52" spans="1:25" hidden="1">
      <c r="A52" s="47" t="s">
        <v>73</v>
      </c>
      <c r="B52" s="48">
        <v>0</v>
      </c>
      <c r="C52" s="48">
        <v>0</v>
      </c>
      <c r="D52" s="49">
        <v>0</v>
      </c>
      <c r="E52" s="49">
        <v>0</v>
      </c>
      <c r="F52" s="49">
        <v>0</v>
      </c>
      <c r="G52" s="49">
        <v>0</v>
      </c>
      <c r="H52" s="49">
        <v>0</v>
      </c>
      <c r="I52" s="49">
        <v>0</v>
      </c>
      <c r="J52" s="49">
        <v>0</v>
      </c>
      <c r="K52" s="49">
        <v>0</v>
      </c>
      <c r="L52" s="49">
        <v>0</v>
      </c>
      <c r="M52" s="49">
        <v>0</v>
      </c>
      <c r="N52" s="48">
        <f t="shared" si="11"/>
        <v>0</v>
      </c>
      <c r="O52" s="72"/>
      <c r="P52" s="75"/>
      <c r="Q52" s="76"/>
      <c r="R52" s="11"/>
      <c r="S52" s="11"/>
      <c r="T52" s="11"/>
      <c r="U52" s="11"/>
      <c r="V52" s="11"/>
      <c r="W52" s="11"/>
    </row>
    <row r="53" spans="1:25" hidden="1">
      <c r="A53" s="47" t="s">
        <v>74</v>
      </c>
      <c r="B53" s="48">
        <v>0</v>
      </c>
      <c r="C53" s="48">
        <v>0</v>
      </c>
      <c r="D53" s="49">
        <v>0</v>
      </c>
      <c r="E53" s="49">
        <v>0</v>
      </c>
      <c r="F53" s="49">
        <v>0</v>
      </c>
      <c r="G53" s="49">
        <v>0</v>
      </c>
      <c r="H53" s="49">
        <v>0</v>
      </c>
      <c r="I53" s="49">
        <v>0</v>
      </c>
      <c r="J53" s="77">
        <v>2187535.2000000002</v>
      </c>
      <c r="K53" s="49">
        <v>0</v>
      </c>
      <c r="L53" s="49">
        <v>0</v>
      </c>
      <c r="M53" s="49">
        <v>0</v>
      </c>
      <c r="N53" s="48">
        <f t="shared" si="11"/>
        <v>2187535.2000000002</v>
      </c>
      <c r="O53" s="12"/>
      <c r="P53" s="75"/>
      <c r="Q53" s="76"/>
      <c r="R53" s="11"/>
      <c r="S53" s="11"/>
      <c r="T53" s="11"/>
      <c r="U53" s="11"/>
      <c r="V53" s="11"/>
      <c r="W53" s="11"/>
    </row>
    <row r="54" spans="1:25" ht="15.75" hidden="1" thickBot="1">
      <c r="A54" s="50" t="s">
        <v>37</v>
      </c>
      <c r="B54" s="51">
        <f t="shared" ref="B54:L54" si="12">SUM(B31:B53)</f>
        <v>31402908.68</v>
      </c>
      <c r="C54" s="51">
        <f t="shared" si="12"/>
        <v>61182119.460000001</v>
      </c>
      <c r="D54" s="51">
        <f t="shared" si="12"/>
        <v>61648225.32</v>
      </c>
      <c r="E54" s="51">
        <f t="shared" si="12"/>
        <v>71247520.159999996</v>
      </c>
      <c r="F54" s="51">
        <f t="shared" si="12"/>
        <v>86097408</v>
      </c>
      <c r="G54" s="51">
        <f t="shared" si="12"/>
        <v>169464726.18000001</v>
      </c>
      <c r="H54" s="51">
        <f t="shared" si="12"/>
        <v>43080867.928483963</v>
      </c>
      <c r="I54" s="51">
        <f t="shared" si="12"/>
        <v>92644332.450000003</v>
      </c>
      <c r="J54" s="51">
        <f>SUM(J31:J53)</f>
        <v>113020614.251516</v>
      </c>
      <c r="K54" s="51">
        <f t="shared" si="12"/>
        <v>0</v>
      </c>
      <c r="L54" s="51">
        <f t="shared" si="12"/>
        <v>0</v>
      </c>
      <c r="M54" s="51">
        <f>SUM(M31:M53)</f>
        <v>0</v>
      </c>
      <c r="N54" s="51">
        <f>SUM(N31:N53)</f>
        <v>729788722.42999995</v>
      </c>
      <c r="O54" s="12"/>
      <c r="P54" s="12"/>
      <c r="Q54" s="12"/>
      <c r="R54" s="12"/>
      <c r="S54" s="11"/>
      <c r="T54" s="11"/>
      <c r="U54" s="11"/>
      <c r="V54" s="11"/>
      <c r="W54" s="11"/>
      <c r="X54" s="12"/>
      <c r="Y54" s="12"/>
    </row>
    <row r="55" spans="1:25" hidden="1">
      <c r="A55" s="45" t="s">
        <v>38</v>
      </c>
      <c r="B55" s="48"/>
      <c r="C55" s="48"/>
      <c r="D55" s="48"/>
      <c r="E55" s="48"/>
      <c r="F55" s="48"/>
      <c r="G55" s="48"/>
      <c r="H55" s="48"/>
      <c r="I55" s="48"/>
      <c r="J55" s="48"/>
      <c r="K55" s="48"/>
      <c r="L55" s="48"/>
      <c r="M55" s="48"/>
      <c r="N55" s="48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</row>
    <row r="56" spans="1:25" hidden="1">
      <c r="A56" s="47" t="s">
        <v>39</v>
      </c>
      <c r="B56" s="48">
        <v>101636</v>
      </c>
      <c r="C56" s="49">
        <v>0</v>
      </c>
      <c r="D56" s="49">
        <v>0</v>
      </c>
      <c r="E56" s="49">
        <v>0</v>
      </c>
      <c r="F56" s="49">
        <v>0</v>
      </c>
      <c r="G56" s="49">
        <v>0</v>
      </c>
      <c r="H56" s="49">
        <v>0</v>
      </c>
      <c r="I56" s="49">
        <v>0</v>
      </c>
      <c r="J56" s="49">
        <v>0</v>
      </c>
      <c r="K56" s="49">
        <v>0</v>
      </c>
      <c r="L56" s="49">
        <v>0</v>
      </c>
      <c r="M56" s="49">
        <v>0</v>
      </c>
      <c r="N56" s="48">
        <f t="shared" ref="N56:N66" si="13">SUM(B56:M56)</f>
        <v>101636</v>
      </c>
      <c r="O56" s="12"/>
      <c r="P56" s="12"/>
      <c r="Q56" s="12"/>
      <c r="R56" s="12"/>
      <c r="S56" s="12"/>
      <c r="T56" s="12"/>
      <c r="U56" s="12"/>
      <c r="V56" s="12"/>
      <c r="W56" s="12"/>
      <c r="X56" s="52"/>
    </row>
    <row r="57" spans="1:25" hidden="1">
      <c r="A57" s="47" t="s">
        <v>40</v>
      </c>
      <c r="B57" s="48">
        <v>-107619.49</v>
      </c>
      <c r="C57" s="49">
        <v>0</v>
      </c>
      <c r="D57" s="49">
        <v>159382</v>
      </c>
      <c r="E57" s="49">
        <v>0</v>
      </c>
      <c r="F57" s="49">
        <v>0</v>
      </c>
      <c r="G57" s="49">
        <v>279041</v>
      </c>
      <c r="H57" s="49">
        <v>0</v>
      </c>
      <c r="I57" s="49">
        <v>0</v>
      </c>
      <c r="J57" s="49">
        <v>0</v>
      </c>
      <c r="K57" s="49">
        <v>0</v>
      </c>
      <c r="L57" s="49">
        <v>0</v>
      </c>
      <c r="M57" s="49">
        <v>0</v>
      </c>
      <c r="N57" s="48">
        <f t="shared" si="13"/>
        <v>330803.51</v>
      </c>
      <c r="O57" s="12"/>
      <c r="P57" s="12"/>
      <c r="Q57" s="12"/>
      <c r="R57" s="12"/>
      <c r="S57" s="12"/>
      <c r="T57" s="12"/>
      <c r="U57" s="12"/>
      <c r="V57" s="12"/>
      <c r="W57" s="12"/>
      <c r="X57" s="52"/>
    </row>
    <row r="58" spans="1:25" hidden="1">
      <c r="A58" s="47" t="s">
        <v>41</v>
      </c>
      <c r="B58" s="48">
        <v>254298</v>
      </c>
      <c r="C58" s="49">
        <v>0</v>
      </c>
      <c r="D58" s="49">
        <v>0</v>
      </c>
      <c r="E58" s="49">
        <v>0</v>
      </c>
      <c r="F58" s="49">
        <v>0</v>
      </c>
      <c r="G58" s="49">
        <v>552505</v>
      </c>
      <c r="H58" s="49">
        <v>286378.07580174843</v>
      </c>
      <c r="I58" s="49">
        <v>0</v>
      </c>
      <c r="J58" s="49">
        <v>0</v>
      </c>
      <c r="K58" s="49">
        <v>0</v>
      </c>
      <c r="L58" s="49">
        <v>0</v>
      </c>
      <c r="M58" s="49">
        <v>0</v>
      </c>
      <c r="N58" s="48">
        <f t="shared" si="13"/>
        <v>1093181.0758017483</v>
      </c>
      <c r="O58" s="12"/>
      <c r="P58" s="12"/>
      <c r="Q58" s="12"/>
      <c r="R58" s="12"/>
      <c r="S58" s="12"/>
      <c r="T58" s="12"/>
      <c r="U58" s="12"/>
      <c r="V58" s="12"/>
      <c r="W58" s="12"/>
      <c r="X58" s="52"/>
    </row>
    <row r="59" spans="1:25" hidden="1">
      <c r="A59" s="53" t="s">
        <v>42</v>
      </c>
      <c r="B59" s="48">
        <v>1258165</v>
      </c>
      <c r="C59" s="49">
        <v>308208</v>
      </c>
      <c r="D59" s="49">
        <v>769574</v>
      </c>
      <c r="E59" s="49">
        <v>0</v>
      </c>
      <c r="F59" s="49">
        <v>0</v>
      </c>
      <c r="G59" s="49">
        <v>245568</v>
      </c>
      <c r="H59" s="49">
        <v>2103764</v>
      </c>
      <c r="I59" s="49">
        <v>0</v>
      </c>
      <c r="J59" s="49">
        <v>0</v>
      </c>
      <c r="K59" s="49">
        <v>0</v>
      </c>
      <c r="L59" s="49">
        <v>0</v>
      </c>
      <c r="M59" s="49">
        <v>0</v>
      </c>
      <c r="N59" s="48">
        <f t="shared" si="13"/>
        <v>4685279</v>
      </c>
      <c r="O59" s="12"/>
      <c r="P59" s="12"/>
      <c r="Q59" s="12"/>
      <c r="R59" s="12"/>
      <c r="S59" s="12"/>
      <c r="T59" s="12"/>
      <c r="U59" s="12"/>
      <c r="V59" s="12"/>
      <c r="W59" s="12"/>
      <c r="X59" s="52"/>
    </row>
    <row r="60" spans="1:25" hidden="1">
      <c r="A60" s="53" t="s">
        <v>43</v>
      </c>
      <c r="B60" s="48">
        <v>1110732</v>
      </c>
      <c r="C60" s="49">
        <v>0</v>
      </c>
      <c r="D60" s="49">
        <v>0</v>
      </c>
      <c r="E60" s="49">
        <v>0</v>
      </c>
      <c r="F60" s="49">
        <v>0</v>
      </c>
      <c r="G60" s="49">
        <v>0</v>
      </c>
      <c r="H60" s="49">
        <v>0</v>
      </c>
      <c r="I60" s="49">
        <v>0</v>
      </c>
      <c r="J60" s="49">
        <v>0</v>
      </c>
      <c r="K60" s="49">
        <v>0</v>
      </c>
      <c r="L60" s="49">
        <v>0</v>
      </c>
      <c r="M60" s="49">
        <v>0</v>
      </c>
      <c r="N60" s="48">
        <f t="shared" si="13"/>
        <v>1110732</v>
      </c>
      <c r="O60" s="12"/>
      <c r="P60" s="12"/>
      <c r="Q60" s="12"/>
      <c r="R60" s="12"/>
      <c r="S60" s="12"/>
      <c r="T60" s="12"/>
      <c r="U60" s="12"/>
      <c r="V60" s="12"/>
      <c r="W60" s="12"/>
      <c r="X60" s="52"/>
    </row>
    <row r="61" spans="1:25" hidden="1">
      <c r="A61" s="53" t="s">
        <v>44</v>
      </c>
      <c r="B61" s="48">
        <v>627547</v>
      </c>
      <c r="C61" s="49">
        <v>0</v>
      </c>
      <c r="D61" s="49">
        <v>397133</v>
      </c>
      <c r="E61" s="49">
        <v>754074</v>
      </c>
      <c r="F61" s="49">
        <v>0</v>
      </c>
      <c r="G61" s="49">
        <v>1064039</v>
      </c>
      <c r="H61" s="49">
        <v>857110</v>
      </c>
      <c r="I61" s="49">
        <v>1261971.3999999999</v>
      </c>
      <c r="J61" s="49">
        <v>0</v>
      </c>
      <c r="K61" s="49">
        <v>0</v>
      </c>
      <c r="L61" s="49">
        <v>0</v>
      </c>
      <c r="M61" s="49">
        <v>0</v>
      </c>
      <c r="N61" s="48">
        <f t="shared" si="13"/>
        <v>4961874.4000000004</v>
      </c>
      <c r="O61" s="12"/>
      <c r="P61" s="12"/>
      <c r="Q61" s="12"/>
      <c r="R61" s="12"/>
      <c r="S61" s="12"/>
      <c r="T61" s="12"/>
      <c r="U61" s="12"/>
      <c r="V61" s="12"/>
      <c r="W61" s="12"/>
      <c r="X61" s="52"/>
    </row>
    <row r="62" spans="1:25" hidden="1">
      <c r="A62" s="53" t="s">
        <v>45</v>
      </c>
      <c r="B62" s="48">
        <v>3608866</v>
      </c>
      <c r="C62" s="49">
        <v>0</v>
      </c>
      <c r="D62" s="49">
        <v>0</v>
      </c>
      <c r="E62" s="49">
        <v>0</v>
      </c>
      <c r="F62" s="49">
        <v>0</v>
      </c>
      <c r="G62" s="49">
        <v>4446863</v>
      </c>
      <c r="H62" s="49">
        <v>0</v>
      </c>
      <c r="I62" s="49">
        <v>0</v>
      </c>
      <c r="J62" s="49">
        <v>0</v>
      </c>
      <c r="K62" s="49">
        <v>0</v>
      </c>
      <c r="L62" s="49">
        <v>0</v>
      </c>
      <c r="M62" s="49">
        <v>0</v>
      </c>
      <c r="N62" s="48">
        <f t="shared" si="13"/>
        <v>8055729</v>
      </c>
      <c r="O62" s="12"/>
      <c r="P62" s="12"/>
      <c r="Q62" s="12"/>
      <c r="R62" s="12"/>
      <c r="S62" s="12"/>
      <c r="T62" s="12"/>
      <c r="U62" s="12"/>
      <c r="V62" s="12"/>
      <c r="W62" s="12"/>
      <c r="X62" s="52"/>
    </row>
    <row r="63" spans="1:25" hidden="1">
      <c r="A63" s="53" t="s">
        <v>46</v>
      </c>
      <c r="B63" s="48">
        <v>-1787461.1</v>
      </c>
      <c r="C63" s="49">
        <v>0</v>
      </c>
      <c r="D63" s="49">
        <v>1787461.1</v>
      </c>
      <c r="E63" s="49">
        <v>0</v>
      </c>
      <c r="F63" s="49">
        <v>0</v>
      </c>
      <c r="G63" s="49">
        <v>0</v>
      </c>
      <c r="H63" s="49">
        <v>0</v>
      </c>
      <c r="I63" s="49">
        <v>-1823216.79</v>
      </c>
      <c r="J63" s="49">
        <v>0</v>
      </c>
      <c r="K63" s="49">
        <v>0</v>
      </c>
      <c r="L63" s="49">
        <v>0</v>
      </c>
      <c r="M63" s="49">
        <v>0</v>
      </c>
      <c r="N63" s="48">
        <f t="shared" si="13"/>
        <v>-1823216.79</v>
      </c>
      <c r="O63" s="12"/>
      <c r="P63" s="12"/>
      <c r="Q63" s="12"/>
      <c r="R63" s="12"/>
      <c r="S63" s="12"/>
      <c r="T63" s="12"/>
      <c r="U63" s="12"/>
      <c r="V63" s="12"/>
      <c r="W63" s="12"/>
      <c r="X63" s="52"/>
    </row>
    <row r="64" spans="1:25" hidden="1">
      <c r="A64" s="53" t="s">
        <v>47</v>
      </c>
      <c r="B64" s="48">
        <v>0</v>
      </c>
      <c r="C64" s="49">
        <v>410860</v>
      </c>
      <c r="D64" s="49">
        <v>318578</v>
      </c>
      <c r="E64" s="49">
        <v>0</v>
      </c>
      <c r="F64" s="49">
        <v>0</v>
      </c>
      <c r="G64" s="49">
        <v>0</v>
      </c>
      <c r="H64" s="49">
        <v>0</v>
      </c>
      <c r="I64" s="49">
        <v>0</v>
      </c>
      <c r="J64" s="49">
        <v>0</v>
      </c>
      <c r="K64" s="49">
        <v>0</v>
      </c>
      <c r="L64" s="49">
        <v>0</v>
      </c>
      <c r="M64" s="49">
        <v>0</v>
      </c>
      <c r="N64" s="48">
        <f t="shared" si="13"/>
        <v>729438</v>
      </c>
      <c r="O64" s="12"/>
      <c r="P64" s="12"/>
      <c r="Q64" s="12"/>
      <c r="R64" s="12"/>
      <c r="S64" s="12"/>
      <c r="T64" s="12"/>
      <c r="U64" s="12"/>
      <c r="V64" s="12"/>
      <c r="W64" s="12"/>
      <c r="X64" s="52"/>
    </row>
    <row r="65" spans="1:25" hidden="1">
      <c r="A65" s="47" t="s">
        <v>36</v>
      </c>
      <c r="B65" s="48">
        <v>0</v>
      </c>
      <c r="C65" s="49">
        <v>0</v>
      </c>
      <c r="D65" s="49">
        <v>1173484</v>
      </c>
      <c r="E65" s="49">
        <v>3109784</v>
      </c>
      <c r="F65" s="49">
        <v>0</v>
      </c>
      <c r="G65" s="49">
        <v>250519</v>
      </c>
      <c r="H65" s="49">
        <v>0</v>
      </c>
      <c r="I65" s="49">
        <v>0</v>
      </c>
      <c r="J65" s="49">
        <v>0</v>
      </c>
      <c r="K65" s="49">
        <v>0</v>
      </c>
      <c r="L65" s="49">
        <v>0</v>
      </c>
      <c r="M65" s="49">
        <v>0</v>
      </c>
      <c r="N65" s="48">
        <f t="shared" si="13"/>
        <v>4533787</v>
      </c>
      <c r="O65" s="12"/>
      <c r="P65" s="12"/>
      <c r="Q65" s="12"/>
      <c r="R65" s="12"/>
      <c r="S65" s="12"/>
      <c r="T65" s="12"/>
      <c r="U65" s="12"/>
      <c r="V65" s="12"/>
      <c r="W65" s="12"/>
      <c r="X65" s="52"/>
    </row>
    <row r="66" spans="1:25" hidden="1">
      <c r="A66" s="47" t="s">
        <v>66</v>
      </c>
      <c r="B66" s="48">
        <v>0</v>
      </c>
      <c r="C66" s="49">
        <v>0</v>
      </c>
      <c r="D66" s="49">
        <v>0</v>
      </c>
      <c r="E66" s="49">
        <v>0</v>
      </c>
      <c r="F66" s="49">
        <v>0</v>
      </c>
      <c r="G66" s="49">
        <v>14985408</v>
      </c>
      <c r="H66" s="49">
        <v>0</v>
      </c>
      <c r="I66" s="49">
        <v>0</v>
      </c>
      <c r="J66" s="49">
        <v>0</v>
      </c>
      <c r="K66" s="49">
        <v>0</v>
      </c>
      <c r="L66" s="49">
        <v>0</v>
      </c>
      <c r="M66" s="49">
        <v>0</v>
      </c>
      <c r="N66" s="48">
        <f t="shared" si="13"/>
        <v>14985408</v>
      </c>
      <c r="O66" s="12"/>
      <c r="P66" s="12"/>
      <c r="Q66" s="12"/>
      <c r="R66" s="12"/>
      <c r="S66" s="12"/>
      <c r="T66" s="12"/>
      <c r="U66" s="12"/>
      <c r="V66" s="12"/>
      <c r="W66" s="12"/>
      <c r="X66" s="52"/>
    </row>
    <row r="67" spans="1:25" ht="15.75" hidden="1" thickBot="1">
      <c r="A67" s="50" t="s">
        <v>37</v>
      </c>
      <c r="B67" s="51">
        <f>SUM(B56:B66)</f>
        <v>5066163.41</v>
      </c>
      <c r="C67" s="51">
        <f t="shared" ref="C67:M67" si="14">SUM(C56:C66)</f>
        <v>719068</v>
      </c>
      <c r="D67" s="51">
        <f t="shared" si="14"/>
        <v>4605612.0999999996</v>
      </c>
      <c r="E67" s="51">
        <f t="shared" si="14"/>
        <v>3863858</v>
      </c>
      <c r="F67" s="51">
        <f t="shared" si="14"/>
        <v>0</v>
      </c>
      <c r="G67" s="51">
        <f t="shared" si="14"/>
        <v>21823943</v>
      </c>
      <c r="H67" s="51">
        <f t="shared" si="14"/>
        <v>3247252.0758017483</v>
      </c>
      <c r="I67" s="51">
        <f t="shared" si="14"/>
        <v>-561245.39000000013</v>
      </c>
      <c r="J67" s="51">
        <f t="shared" si="14"/>
        <v>0</v>
      </c>
      <c r="K67" s="51">
        <f t="shared" si="14"/>
        <v>0</v>
      </c>
      <c r="L67" s="51">
        <f t="shared" si="14"/>
        <v>0</v>
      </c>
      <c r="M67" s="51">
        <f t="shared" si="14"/>
        <v>0</v>
      </c>
      <c r="N67" s="51">
        <f>SUM(N56:N66)</f>
        <v>38764651.19580175</v>
      </c>
      <c r="O67" s="12">
        <f>N67+N54</f>
        <v>768553373.62580168</v>
      </c>
      <c r="P67" s="12">
        <v>776495331.51999998</v>
      </c>
      <c r="Q67" s="12"/>
      <c r="R67" s="12"/>
      <c r="S67" s="12"/>
      <c r="T67" s="12"/>
      <c r="U67" s="12"/>
      <c r="V67" s="12"/>
      <c r="W67" s="12"/>
      <c r="X67" s="52"/>
    </row>
    <row r="68" spans="1:25" hidden="1">
      <c r="A68" s="45" t="s">
        <v>48</v>
      </c>
      <c r="B68" s="48"/>
      <c r="C68" s="49"/>
      <c r="D68" s="49"/>
      <c r="E68" s="49"/>
      <c r="F68" s="49"/>
      <c r="G68" s="49"/>
      <c r="H68" s="49"/>
      <c r="I68" s="49"/>
      <c r="J68" s="49"/>
      <c r="K68" s="49"/>
      <c r="L68" s="49"/>
      <c r="M68" s="49"/>
      <c r="N68" s="48"/>
      <c r="O68" s="12"/>
      <c r="P68" s="12">
        <v>775271256.25</v>
      </c>
      <c r="Q68" s="12"/>
      <c r="R68" s="12"/>
      <c r="S68" s="12"/>
      <c r="T68" s="12"/>
      <c r="U68" s="12"/>
      <c r="V68" s="12"/>
      <c r="W68" s="12"/>
      <c r="X68" s="52"/>
    </row>
    <row r="69" spans="1:25" hidden="1">
      <c r="A69" s="54" t="s">
        <v>49</v>
      </c>
      <c r="B69" s="48">
        <v>6616932</v>
      </c>
      <c r="C69" s="49">
        <v>0</v>
      </c>
      <c r="D69" s="49">
        <v>0</v>
      </c>
      <c r="E69" s="49">
        <v>0</v>
      </c>
      <c r="F69" s="49">
        <v>0</v>
      </c>
      <c r="G69" s="49">
        <v>0</v>
      </c>
      <c r="H69" s="49">
        <v>0</v>
      </c>
      <c r="I69" s="49">
        <v>0</v>
      </c>
      <c r="J69" s="49">
        <v>0</v>
      </c>
      <c r="K69" s="49">
        <v>0</v>
      </c>
      <c r="L69" s="49">
        <v>0</v>
      </c>
      <c r="M69" s="49">
        <v>0</v>
      </c>
      <c r="N69" s="48">
        <f>SUM(B69:M69)</f>
        <v>6616932</v>
      </c>
      <c r="O69" s="12"/>
      <c r="P69" s="12"/>
      <c r="Q69" s="12"/>
      <c r="R69" s="12"/>
      <c r="S69" s="12"/>
      <c r="T69" s="12"/>
      <c r="U69" s="12"/>
      <c r="V69" s="12"/>
      <c r="W69" s="12"/>
      <c r="X69" s="52"/>
    </row>
    <row r="70" spans="1:25" hidden="1">
      <c r="A70" s="54" t="s">
        <v>67</v>
      </c>
      <c r="B70" s="48">
        <v>0</v>
      </c>
      <c r="C70" s="48">
        <v>0</v>
      </c>
      <c r="D70" s="48">
        <v>0</v>
      </c>
      <c r="E70" s="48">
        <v>0</v>
      </c>
      <c r="F70" s="48">
        <v>0</v>
      </c>
      <c r="G70" s="48">
        <v>49950</v>
      </c>
      <c r="H70" s="48">
        <v>0</v>
      </c>
      <c r="I70" s="48">
        <v>0</v>
      </c>
      <c r="J70" s="78">
        <v>51000</v>
      </c>
      <c r="K70" s="48">
        <v>0</v>
      </c>
      <c r="L70" s="48">
        <v>0</v>
      </c>
      <c r="M70" s="48">
        <v>0</v>
      </c>
      <c r="N70" s="48">
        <f>SUM(B70:M70)</f>
        <v>100950</v>
      </c>
      <c r="O70" s="12"/>
      <c r="P70" s="12"/>
      <c r="Q70" s="12"/>
      <c r="R70" s="12"/>
      <c r="S70" s="12"/>
      <c r="T70" s="12"/>
      <c r="U70" s="12"/>
      <c r="V70" s="12"/>
      <c r="W70" s="12"/>
      <c r="X70" s="52"/>
    </row>
    <row r="71" spans="1:25" hidden="1">
      <c r="A71" s="55" t="s">
        <v>50</v>
      </c>
      <c r="B71" s="48">
        <v>0</v>
      </c>
      <c r="C71" s="48">
        <v>0</v>
      </c>
      <c r="D71" s="48">
        <v>0</v>
      </c>
      <c r="E71" s="48">
        <v>0</v>
      </c>
      <c r="F71" s="48">
        <v>0</v>
      </c>
      <c r="G71" s="48">
        <v>0</v>
      </c>
      <c r="H71" s="48">
        <v>0</v>
      </c>
      <c r="I71" s="48">
        <v>0</v>
      </c>
      <c r="J71" s="48">
        <v>0</v>
      </c>
      <c r="K71" s="48">
        <v>0</v>
      </c>
      <c r="L71" s="48">
        <v>0</v>
      </c>
      <c r="M71" s="48">
        <v>0</v>
      </c>
      <c r="N71" s="48">
        <f>SUM(B71:M71)</f>
        <v>0</v>
      </c>
      <c r="O71" s="12"/>
      <c r="P71" s="12"/>
      <c r="Q71" s="12"/>
      <c r="R71" s="12"/>
      <c r="S71" s="12"/>
      <c r="T71" s="12"/>
      <c r="U71" s="12"/>
      <c r="V71" s="12"/>
      <c r="W71" s="12"/>
      <c r="X71" s="52"/>
    </row>
    <row r="72" spans="1:25" hidden="1">
      <c r="A72" s="55" t="s">
        <v>50</v>
      </c>
      <c r="B72" s="48">
        <v>0</v>
      </c>
      <c r="C72" s="48">
        <v>0</v>
      </c>
      <c r="D72" s="48">
        <v>0</v>
      </c>
      <c r="E72" s="48">
        <v>0</v>
      </c>
      <c r="F72" s="48">
        <v>0</v>
      </c>
      <c r="G72" s="48">
        <v>0</v>
      </c>
      <c r="H72" s="48">
        <v>0</v>
      </c>
      <c r="I72" s="48">
        <v>0</v>
      </c>
      <c r="J72" s="48">
        <v>0</v>
      </c>
      <c r="K72" s="48">
        <v>0</v>
      </c>
      <c r="L72" s="48">
        <v>0</v>
      </c>
      <c r="M72" s="48">
        <v>0</v>
      </c>
      <c r="N72" s="48">
        <f>SUM(B72:M72)</f>
        <v>0</v>
      </c>
      <c r="O72" s="12"/>
      <c r="P72" s="12"/>
      <c r="Q72" s="12"/>
      <c r="R72" s="12"/>
      <c r="S72" s="12"/>
      <c r="T72" s="12"/>
      <c r="U72" s="12"/>
      <c r="V72" s="12"/>
      <c r="W72" s="12"/>
      <c r="X72" s="52"/>
    </row>
    <row r="73" spans="1:25" hidden="1">
      <c r="A73" s="55" t="s">
        <v>50</v>
      </c>
      <c r="B73" s="48">
        <v>0</v>
      </c>
      <c r="C73" s="48">
        <v>0</v>
      </c>
      <c r="D73" s="48">
        <v>0</v>
      </c>
      <c r="E73" s="48">
        <v>0</v>
      </c>
      <c r="F73" s="48">
        <v>0</v>
      </c>
      <c r="G73" s="48">
        <v>0</v>
      </c>
      <c r="H73" s="48">
        <v>0</v>
      </c>
      <c r="I73" s="48">
        <v>0</v>
      </c>
      <c r="J73" s="48">
        <v>0</v>
      </c>
      <c r="K73" s="48">
        <v>0</v>
      </c>
      <c r="L73" s="48">
        <v>0</v>
      </c>
      <c r="M73" s="48">
        <v>0</v>
      </c>
      <c r="N73" s="48">
        <f>SUM(B73:M73)</f>
        <v>0</v>
      </c>
      <c r="O73" s="12"/>
      <c r="P73" s="12"/>
      <c r="Q73" s="12"/>
      <c r="R73" s="12"/>
      <c r="S73" s="12"/>
      <c r="T73" s="12"/>
      <c r="U73" s="12"/>
      <c r="V73" s="12"/>
      <c r="W73" s="12"/>
      <c r="X73" s="52"/>
    </row>
    <row r="74" spans="1:25" ht="15.75" hidden="1" thickBot="1">
      <c r="A74" s="50" t="s">
        <v>37</v>
      </c>
      <c r="B74" s="56">
        <f>SUM(B69:B73)</f>
        <v>6616932</v>
      </c>
      <c r="C74" s="56">
        <f t="shared" ref="C74:M74" si="15">SUM(C69:C73)</f>
        <v>0</v>
      </c>
      <c r="D74" s="56">
        <f t="shared" si="15"/>
        <v>0</v>
      </c>
      <c r="E74" s="56">
        <f t="shared" si="15"/>
        <v>0</v>
      </c>
      <c r="F74" s="56">
        <f t="shared" si="15"/>
        <v>0</v>
      </c>
      <c r="G74" s="56">
        <f t="shared" si="15"/>
        <v>49950</v>
      </c>
      <c r="H74" s="56">
        <f t="shared" si="15"/>
        <v>0</v>
      </c>
      <c r="I74" s="56">
        <f t="shared" si="15"/>
        <v>0</v>
      </c>
      <c r="J74" s="56">
        <f t="shared" si="15"/>
        <v>51000</v>
      </c>
      <c r="K74" s="56">
        <f t="shared" si="15"/>
        <v>0</v>
      </c>
      <c r="L74" s="56">
        <f t="shared" si="15"/>
        <v>0</v>
      </c>
      <c r="M74" s="56">
        <f t="shared" si="15"/>
        <v>0</v>
      </c>
      <c r="N74" s="56">
        <f>SUM(N69:N73)</f>
        <v>6717882</v>
      </c>
      <c r="O74" s="16"/>
      <c r="P74" s="16"/>
      <c r="Q74" s="16"/>
      <c r="R74" s="16"/>
      <c r="S74" s="12"/>
      <c r="T74" s="12"/>
      <c r="U74" s="12"/>
      <c r="V74" s="12"/>
      <c r="W74" s="12"/>
      <c r="X74" s="16"/>
      <c r="Y74" s="17"/>
    </row>
    <row r="75" spans="1:25" ht="15.75" hidden="1" thickBot="1">
      <c r="A75" s="44" t="s">
        <v>51</v>
      </c>
      <c r="B75" s="9">
        <f t="shared" ref="B75:G75" si="16">B54+B67</f>
        <v>36469072.090000004</v>
      </c>
      <c r="C75" s="9">
        <f t="shared" si="16"/>
        <v>61901187.460000001</v>
      </c>
      <c r="D75" s="9">
        <f t="shared" si="16"/>
        <v>66253837.420000002</v>
      </c>
      <c r="E75" s="9">
        <f t="shared" si="16"/>
        <v>75111378.159999996</v>
      </c>
      <c r="F75" s="9">
        <f t="shared" si="16"/>
        <v>86097408</v>
      </c>
      <c r="G75" s="9">
        <f t="shared" si="16"/>
        <v>191288669.18000001</v>
      </c>
      <c r="H75" s="9">
        <f t="shared" ref="H75:M75" si="17">H54+H74+H67</f>
        <v>46328120.004285708</v>
      </c>
      <c r="I75" s="9">
        <f t="shared" si="17"/>
        <v>92083087.060000002</v>
      </c>
      <c r="J75" s="9">
        <f>J54+J74+J67</f>
        <v>113071614.251516</v>
      </c>
      <c r="K75" s="9">
        <f t="shared" si="17"/>
        <v>0</v>
      </c>
      <c r="L75" s="9">
        <f t="shared" si="17"/>
        <v>0</v>
      </c>
      <c r="M75" s="9">
        <f t="shared" si="17"/>
        <v>0</v>
      </c>
      <c r="N75" s="9">
        <f>N54+N74+N67</f>
        <v>775271255.62580168</v>
      </c>
      <c r="O75" s="17"/>
      <c r="P75" s="17"/>
      <c r="Q75" s="17"/>
      <c r="R75" s="17"/>
      <c r="S75" s="16"/>
      <c r="T75" s="16"/>
      <c r="U75" s="16"/>
      <c r="V75" s="16"/>
      <c r="W75" s="16"/>
      <c r="X75" s="17"/>
      <c r="Y75" s="17"/>
    </row>
    <row r="76" spans="1:25" ht="15.75" hidden="1" thickBot="1">
      <c r="A76" s="44" t="s">
        <v>52</v>
      </c>
      <c r="B76" s="9">
        <f>B54+B105</f>
        <v>53651615.325248562</v>
      </c>
      <c r="C76" s="9">
        <f t="shared" ref="C76:J76" si="18">C54+C105</f>
        <v>52014357.943963535</v>
      </c>
      <c r="D76" s="9">
        <f t="shared" si="18"/>
        <v>110749809.88462022</v>
      </c>
      <c r="E76" s="9">
        <f t="shared" si="18"/>
        <v>58703080.857259467</v>
      </c>
      <c r="F76" s="9">
        <f t="shared" si="18"/>
        <v>89081919.694225922</v>
      </c>
      <c r="G76" s="9">
        <f t="shared" si="18"/>
        <v>105652363.46819836</v>
      </c>
      <c r="H76" s="9">
        <f t="shared" si="18"/>
        <v>59709154.451028608</v>
      </c>
      <c r="I76" s="9">
        <f t="shared" si="18"/>
        <v>91351753.583607838</v>
      </c>
      <c r="J76" s="9">
        <f t="shared" si="18"/>
        <v>-81841295.933050826</v>
      </c>
      <c r="K76" s="9">
        <f>K75+K119</f>
        <v>0</v>
      </c>
      <c r="L76" s="9">
        <f>L75+L119</f>
        <v>0</v>
      </c>
      <c r="M76" s="9">
        <f>M75+M119</f>
        <v>0</v>
      </c>
      <c r="N76" s="9">
        <f>SUM(B76:M76)</f>
        <v>539072759.27510154</v>
      </c>
      <c r="O76" s="74">
        <f>N76-O77</f>
        <v>0</v>
      </c>
      <c r="P76" s="11"/>
      <c r="Q76" s="11"/>
      <c r="R76" s="11"/>
      <c r="S76" s="17"/>
      <c r="T76" s="17"/>
      <c r="U76" s="17"/>
      <c r="V76" s="17"/>
      <c r="W76" s="17"/>
    </row>
    <row r="77" spans="1:25" ht="15.75" hidden="1" thickBot="1">
      <c r="A77" s="44" t="s">
        <v>53</v>
      </c>
      <c r="B77" s="9">
        <f t="shared" ref="B77:M77" si="19">B76+B74+B118+B67</f>
        <v>60268547.325248554</v>
      </c>
      <c r="C77" s="9">
        <f t="shared" si="19"/>
        <v>52425217.943963535</v>
      </c>
      <c r="D77" s="9">
        <f t="shared" si="19"/>
        <v>111168287.88462022</v>
      </c>
      <c r="E77" s="9">
        <f t="shared" si="19"/>
        <v>58703080.857259467</v>
      </c>
      <c r="F77" s="9">
        <f t="shared" si="19"/>
        <v>89081919.694225922</v>
      </c>
      <c r="G77" s="9">
        <f t="shared" si="19"/>
        <v>113417327.74819836</v>
      </c>
      <c r="H77" s="9">
        <f t="shared" si="19"/>
        <v>59709154.451028608</v>
      </c>
      <c r="I77" s="9">
        <f>I76+I74+I118+I67</f>
        <v>91351753.583607838</v>
      </c>
      <c r="J77" s="9">
        <f t="shared" si="19"/>
        <v>-81790295.933050826</v>
      </c>
      <c r="K77" s="9">
        <f t="shared" si="19"/>
        <v>0</v>
      </c>
      <c r="L77" s="9">
        <f t="shared" si="19"/>
        <v>0</v>
      </c>
      <c r="M77" s="9">
        <f t="shared" si="19"/>
        <v>0</v>
      </c>
      <c r="N77" s="9">
        <f>N76+N74+N118+N67</f>
        <v>554334993.55510151</v>
      </c>
      <c r="O77" s="40">
        <f>+X24</f>
        <v>539072759.27510166</v>
      </c>
      <c r="P77" s="57">
        <f>720594469.97-N77</f>
        <v>166259476.41489851</v>
      </c>
      <c r="Q77" s="57"/>
      <c r="R77" s="57"/>
      <c r="S77" s="11"/>
      <c r="T77" s="11"/>
      <c r="U77" s="11"/>
      <c r="V77" s="11"/>
      <c r="W77" s="11"/>
    </row>
    <row r="78" spans="1:25" hidden="1">
      <c r="A78" s="6"/>
      <c r="B78" s="58"/>
      <c r="G78" s="11"/>
      <c r="N78" s="57"/>
      <c r="O78" s="57"/>
      <c r="P78" s="57"/>
      <c r="Q78" s="57"/>
      <c r="R78" s="57"/>
      <c r="S78" s="57"/>
      <c r="T78" s="57"/>
      <c r="U78" s="57"/>
      <c r="V78" s="57"/>
      <c r="W78" s="57"/>
    </row>
    <row r="79" spans="1:25" hidden="1">
      <c r="A79" s="42" t="s">
        <v>52</v>
      </c>
      <c r="B79" s="432">
        <v>42370</v>
      </c>
      <c r="C79" s="432">
        <v>42401</v>
      </c>
      <c r="D79" s="432">
        <v>42430</v>
      </c>
      <c r="E79" s="432">
        <v>42461</v>
      </c>
      <c r="F79" s="432">
        <v>42491</v>
      </c>
      <c r="G79" s="432">
        <v>42522</v>
      </c>
      <c r="H79" s="432">
        <v>42552</v>
      </c>
      <c r="I79" s="432">
        <v>42583</v>
      </c>
      <c r="J79" s="432">
        <v>42614</v>
      </c>
      <c r="K79" s="432">
        <v>42644</v>
      </c>
      <c r="L79" s="432">
        <v>42675</v>
      </c>
      <c r="M79" s="432">
        <v>42705</v>
      </c>
      <c r="N79" s="432" t="s">
        <v>15</v>
      </c>
      <c r="S79" s="57"/>
      <c r="T79" s="57"/>
      <c r="U79" s="57"/>
      <c r="V79" s="57"/>
      <c r="W79" s="57"/>
    </row>
    <row r="80" spans="1:25" ht="15.75" hidden="1" thickBot="1">
      <c r="A80" s="44" t="s">
        <v>34</v>
      </c>
      <c r="B80" s="433"/>
      <c r="C80" s="433"/>
      <c r="D80" s="433"/>
      <c r="E80" s="433"/>
      <c r="F80" s="433"/>
      <c r="G80" s="433"/>
      <c r="H80" s="433"/>
      <c r="I80" s="433"/>
      <c r="J80" s="433"/>
      <c r="K80" s="433"/>
      <c r="L80" s="433"/>
      <c r="M80" s="433"/>
      <c r="N80" s="433"/>
    </row>
    <row r="81" spans="1:18" hidden="1">
      <c r="A81" s="45" t="s">
        <v>35</v>
      </c>
      <c r="B81" s="46"/>
      <c r="C81" s="46"/>
      <c r="D81" s="46"/>
      <c r="E81" s="46"/>
      <c r="F81" s="46"/>
      <c r="G81" s="46"/>
      <c r="H81" s="46"/>
      <c r="I81" s="46"/>
      <c r="J81" s="46"/>
      <c r="K81" s="46"/>
      <c r="L81" s="46"/>
      <c r="M81" s="46"/>
      <c r="N81" s="46"/>
    </row>
    <row r="82" spans="1:18" hidden="1">
      <c r="A82" s="47" t="str">
        <f t="shared" ref="A82:A95" si="20">A31</f>
        <v>Al Oula</v>
      </c>
      <c r="B82" s="48">
        <v>886805.80852743564</v>
      </c>
      <c r="C82" s="48">
        <v>991385.46710766107</v>
      </c>
      <c r="D82" s="48">
        <v>1331618.5479888618</v>
      </c>
      <c r="E82" s="48">
        <v>310736.16505979747</v>
      </c>
      <c r="F82" s="48">
        <v>-104797.29134054482</v>
      </c>
      <c r="G82" s="48">
        <v>-4125897.7454880327</v>
      </c>
      <c r="H82" s="48">
        <v>200152.35863699019</v>
      </c>
      <c r="I82" s="48">
        <v>135630.31367649138</v>
      </c>
      <c r="J82" s="48">
        <f>$B$24-($N31+B82+C82+D82+E82+F82+G82+I82+H82)</f>
        <v>-2148885.1859100163</v>
      </c>
      <c r="K82" s="49">
        <v>0</v>
      </c>
      <c r="L82" s="49">
        <v>0</v>
      </c>
      <c r="M82" s="49">
        <v>0</v>
      </c>
      <c r="N82" s="48">
        <f t="shared" ref="N82:N104" si="21">SUM(B82:M82)</f>
        <v>-2523251.5617413563</v>
      </c>
      <c r="O82" s="12"/>
      <c r="R82" s="11"/>
    </row>
    <row r="83" spans="1:18" hidden="1">
      <c r="A83" s="47" t="str">
        <f t="shared" si="20"/>
        <v>Hyper Al Sulaimaniya</v>
      </c>
      <c r="B83" s="48">
        <v>2486680.7262528241</v>
      </c>
      <c r="C83" s="48">
        <v>876208.8313383311</v>
      </c>
      <c r="D83" s="48">
        <v>651040.91917364299</v>
      </c>
      <c r="E83" s="48">
        <v>114353.99452494085</v>
      </c>
      <c r="F83" s="48">
        <v>268062.75501157343</v>
      </c>
      <c r="G83" s="48">
        <v>1131750.85078004</v>
      </c>
      <c r="H83" s="48">
        <v>678008.84908741713</v>
      </c>
      <c r="I83" s="48">
        <v>1389114.4149809033</v>
      </c>
      <c r="J83" s="48">
        <f>$C$24-($N32+B83+C83+D83+E83+F83+G83+I83+H83)</f>
        <v>-12802998.591463149</v>
      </c>
      <c r="K83" s="49">
        <v>0</v>
      </c>
      <c r="L83" s="49">
        <v>0</v>
      </c>
      <c r="M83" s="49">
        <v>0</v>
      </c>
      <c r="N83" s="48">
        <f t="shared" si="21"/>
        <v>-5207777.2503134757</v>
      </c>
      <c r="O83" s="12"/>
      <c r="R83" s="11"/>
    </row>
    <row r="84" spans="1:18" hidden="1">
      <c r="A84" s="47" t="str">
        <f t="shared" si="20"/>
        <v>New Giza I</v>
      </c>
      <c r="B84" s="48">
        <v>-629871.85848232266</v>
      </c>
      <c r="C84" s="48">
        <v>2177675.9907830656</v>
      </c>
      <c r="D84" s="48">
        <v>-3114231.4629205838</v>
      </c>
      <c r="E84" s="48">
        <v>2417485.9763932228</v>
      </c>
      <c r="F84" s="48">
        <v>-894549.65779200196</v>
      </c>
      <c r="G84" s="48">
        <v>906262.77340376377</v>
      </c>
      <c r="H84" s="48">
        <v>306915.62049918622</v>
      </c>
      <c r="I84" s="48">
        <v>-8627707.2010263726</v>
      </c>
      <c r="J84" s="48">
        <f>$D$24-($N33+B84+C84+D84+E84+F84+G84+I84+H84)</f>
        <v>-4176459.3125057928</v>
      </c>
      <c r="K84" s="49">
        <v>0</v>
      </c>
      <c r="L84" s="49">
        <v>0</v>
      </c>
      <c r="M84" s="49">
        <v>0</v>
      </c>
      <c r="N84" s="48">
        <f t="shared" si="21"/>
        <v>-11634479.131647836</v>
      </c>
      <c r="O84" s="12"/>
      <c r="R84" s="11"/>
    </row>
    <row r="85" spans="1:18" hidden="1">
      <c r="A85" s="47" t="str">
        <f t="shared" si="20"/>
        <v>Maxim mall</v>
      </c>
      <c r="B85" s="48">
        <v>109739.11742232135</v>
      </c>
      <c r="C85" s="48">
        <v>-6499450.8039597385</v>
      </c>
      <c r="D85" s="48">
        <v>3925753.9904976245</v>
      </c>
      <c r="E85" s="48">
        <v>-4003919.6036278773</v>
      </c>
      <c r="F85" s="48">
        <v>232812.40654426068</v>
      </c>
      <c r="G85" s="48">
        <v>2575023.7946482971</v>
      </c>
      <c r="H85" s="48">
        <v>1055268.8479506075</v>
      </c>
      <c r="I85" s="48">
        <v>3091891.75538221</v>
      </c>
      <c r="J85" s="48">
        <f>$E$24-($N34+B85+C85+D85+E85+F85+G85+I85+H85)</f>
        <v>-19310767.714353666</v>
      </c>
      <c r="K85" s="49">
        <v>0</v>
      </c>
      <c r="L85" s="49">
        <v>0</v>
      </c>
      <c r="M85" s="49">
        <v>0</v>
      </c>
      <c r="N85" s="48">
        <f t="shared" si="21"/>
        <v>-18823648.209495962</v>
      </c>
      <c r="O85" s="12"/>
      <c r="R85" s="11"/>
    </row>
    <row r="86" spans="1:18" hidden="1">
      <c r="A86" s="47" t="str">
        <f t="shared" si="20"/>
        <v>Attaka</v>
      </c>
      <c r="B86" s="48">
        <v>6006889.910413444</v>
      </c>
      <c r="C86" s="48">
        <v>-7825016.2709956765</v>
      </c>
      <c r="D86" s="48">
        <v>1327167.7998657525</v>
      </c>
      <c r="E86" s="48">
        <v>1025973.4904677272</v>
      </c>
      <c r="F86" s="48">
        <v>3155601.6718761027</v>
      </c>
      <c r="G86" s="48">
        <v>-18031028.791299939</v>
      </c>
      <c r="H86" s="48">
        <v>504489.71761971712</v>
      </c>
      <c r="I86" s="48">
        <v>9776088.0847279429</v>
      </c>
      <c r="J86" s="48">
        <f>$F$24-($N35+B86+C86+D86+E86+F86+G86+I86+H86)</f>
        <v>9398475.4977284968</v>
      </c>
      <c r="K86" s="49">
        <v>0</v>
      </c>
      <c r="L86" s="49">
        <v>0</v>
      </c>
      <c r="M86" s="49">
        <v>0</v>
      </c>
      <c r="N86" s="48">
        <f t="shared" si="21"/>
        <v>5338641.1104035676</v>
      </c>
      <c r="O86" s="12"/>
      <c r="R86" s="11"/>
    </row>
    <row r="87" spans="1:18" hidden="1">
      <c r="A87" s="47" t="str">
        <f t="shared" si="20"/>
        <v>مول مصر</v>
      </c>
      <c r="B87" s="48">
        <v>11031129.458452888</v>
      </c>
      <c r="C87" s="48">
        <v>4796284.7481933981</v>
      </c>
      <c r="D87" s="48">
        <v>8355244.3064692616</v>
      </c>
      <c r="E87" s="48">
        <v>4922414.6349628121</v>
      </c>
      <c r="F87" s="48">
        <v>-6156784.1964471042</v>
      </c>
      <c r="G87" s="48">
        <v>-57109694.966171004</v>
      </c>
      <c r="H87" s="48">
        <v>1262922.7318351716</v>
      </c>
      <c r="I87" s="48">
        <v>5498956.4061908275</v>
      </c>
      <c r="J87" s="48">
        <f>$G$24-($N36+B87+C87+D87+E87+F87+G87+I87+H87)</f>
        <v>-32557850.86996723</v>
      </c>
      <c r="K87" s="49">
        <v>0</v>
      </c>
      <c r="L87" s="49">
        <v>0</v>
      </c>
      <c r="M87" s="49">
        <v>0</v>
      </c>
      <c r="N87" s="48">
        <f t="shared" si="21"/>
        <v>-59957377.746480979</v>
      </c>
      <c r="O87" s="12"/>
      <c r="R87" s="11"/>
    </row>
    <row r="88" spans="1:18" hidden="1">
      <c r="A88" s="47" t="str">
        <f t="shared" si="20"/>
        <v>مراسى تانك الخزان الجديد PKG22 New</v>
      </c>
      <c r="B88" s="48">
        <v>-228485.82514085248</v>
      </c>
      <c r="C88" s="48">
        <v>376372.24745515548</v>
      </c>
      <c r="D88" s="48">
        <v>505870.70814947225</v>
      </c>
      <c r="E88" s="48">
        <v>550488.32804608718</v>
      </c>
      <c r="F88" s="48">
        <v>556911.81872541271</v>
      </c>
      <c r="G88" s="48">
        <v>-378424.02228440903</v>
      </c>
      <c r="H88" s="48">
        <v>252827.50449100696</v>
      </c>
      <c r="I88" s="48">
        <v>705385.18214517459</v>
      </c>
      <c r="J88" s="48">
        <f>$H$24-($N37+B88+C88+D88+E88+F88+G88+I88+H88)</f>
        <v>-4106211.6632822249</v>
      </c>
      <c r="K88" s="49">
        <v>0</v>
      </c>
      <c r="L88" s="49">
        <v>0</v>
      </c>
      <c r="M88" s="49">
        <v>0</v>
      </c>
      <c r="N88" s="48">
        <f t="shared" si="21"/>
        <v>-1765265.7216951773</v>
      </c>
      <c r="O88" s="12"/>
      <c r="R88" s="11"/>
    </row>
    <row r="89" spans="1:18" hidden="1">
      <c r="A89" s="47" t="str">
        <f t="shared" si="20"/>
        <v>نادي سوديك</v>
      </c>
      <c r="B89" s="48">
        <v>-2052499.2515468895</v>
      </c>
      <c r="C89" s="48">
        <v>3392521.7998837084</v>
      </c>
      <c r="D89" s="48">
        <v>805356.47057130747</v>
      </c>
      <c r="E89" s="48">
        <v>500010.86050216295</v>
      </c>
      <c r="F89" s="48">
        <v>-96329.620498474687</v>
      </c>
      <c r="G89" s="48">
        <v>-245621.16586390138</v>
      </c>
      <c r="H89" s="48">
        <v>-557711.43166764453</v>
      </c>
      <c r="I89" s="48">
        <v>886812.63306959346</v>
      </c>
      <c r="J89" s="48">
        <f>$I$24-($N38+B89+C89+D89+E89+F89+G89+I89+H89)</f>
        <v>-7163781.9501334615</v>
      </c>
      <c r="K89" s="49">
        <v>0</v>
      </c>
      <c r="L89" s="49">
        <v>0</v>
      </c>
      <c r="M89" s="49">
        <v>0</v>
      </c>
      <c r="N89" s="48">
        <f t="shared" si="21"/>
        <v>-4531241.6556835994</v>
      </c>
      <c r="O89" s="12"/>
      <c r="R89" s="11"/>
    </row>
    <row r="90" spans="1:18" hidden="1">
      <c r="A90" s="47" t="str">
        <f t="shared" si="20"/>
        <v>شرم الشيخ</v>
      </c>
      <c r="B90" s="48">
        <v>-772233.44484997168</v>
      </c>
      <c r="C90" s="48">
        <v>-1172470.993832197</v>
      </c>
      <c r="D90" s="48">
        <v>3404911.4801081717</v>
      </c>
      <c r="E90" s="48">
        <v>370753.04199061543</v>
      </c>
      <c r="F90" s="48">
        <v>-2713037.0495468266</v>
      </c>
      <c r="G90" s="48">
        <v>-982987.84303386509</v>
      </c>
      <c r="H90" s="48">
        <v>-717397.55214665085</v>
      </c>
      <c r="I90" s="48">
        <v>77570.355646919459</v>
      </c>
      <c r="J90" s="48">
        <f>$J$24-($N39+B90+C90+D90+E90+F90+G90+I90+H90)</f>
        <v>-7726777.243805103</v>
      </c>
      <c r="K90" s="49">
        <v>0</v>
      </c>
      <c r="L90" s="49">
        <v>0</v>
      </c>
      <c r="M90" s="49">
        <v>0</v>
      </c>
      <c r="N90" s="48">
        <f t="shared" si="21"/>
        <v>-10231669.249468908</v>
      </c>
      <c r="O90" s="12"/>
      <c r="R90" s="11"/>
    </row>
    <row r="91" spans="1:18" hidden="1">
      <c r="A91" s="47" t="str">
        <f t="shared" si="20"/>
        <v>عمائر اب تاون 53</v>
      </c>
      <c r="B91" s="48">
        <v>-4480852.4608007316</v>
      </c>
      <c r="C91" s="48">
        <v>1118377.6443293877</v>
      </c>
      <c r="D91" s="48">
        <v>12305849.931450957</v>
      </c>
      <c r="E91" s="48">
        <v>-1968068.76567211</v>
      </c>
      <c r="F91" s="48">
        <v>-655507.03376447409</v>
      </c>
      <c r="G91" s="48">
        <v>-655241.84444926679</v>
      </c>
      <c r="H91" s="48">
        <v>405375.67238920927</v>
      </c>
      <c r="I91" s="48">
        <v>6291302.6034551114</v>
      </c>
      <c r="J91" s="48">
        <f>$K$24-($N40+B91+C91+D91+E91+F91+G91+I91+H91)</f>
        <v>-26856205.656370096</v>
      </c>
      <c r="K91" s="49">
        <v>0</v>
      </c>
      <c r="L91" s="49">
        <v>0</v>
      </c>
      <c r="M91" s="49">
        <v>0</v>
      </c>
      <c r="N91" s="48">
        <f t="shared" si="21"/>
        <v>-14494969.909432013</v>
      </c>
      <c r="O91" s="12"/>
      <c r="R91" s="11"/>
    </row>
    <row r="92" spans="1:18" hidden="1">
      <c r="A92" s="47" t="str">
        <f t="shared" si="20"/>
        <v>New Giza phase 2</v>
      </c>
      <c r="B92" s="48">
        <v>-3650726.7284570578</v>
      </c>
      <c r="C92" s="48">
        <v>-3255455.832645813</v>
      </c>
      <c r="D92" s="48">
        <v>6259703.4131305814</v>
      </c>
      <c r="E92" s="48">
        <v>-707085.35306363925</v>
      </c>
      <c r="F92" s="48">
        <v>55055.495889022946</v>
      </c>
      <c r="G92" s="48">
        <v>4195986.9976882674</v>
      </c>
      <c r="H92" s="48">
        <v>-549184.58601139486</v>
      </c>
      <c r="I92" s="48">
        <v>3184597.4807262272</v>
      </c>
      <c r="J92" s="48">
        <f>$L$24-($N41+B92+C92+D92+E92+F92+G92+I92+H92)</f>
        <v>-4506538.1884326488</v>
      </c>
      <c r="K92" s="49">
        <v>0</v>
      </c>
      <c r="L92" s="49">
        <v>0</v>
      </c>
      <c r="M92" s="49">
        <v>0</v>
      </c>
      <c r="N92" s="48">
        <f t="shared" si="21"/>
        <v>1026352.6988235451</v>
      </c>
      <c r="O92" s="12"/>
      <c r="R92" s="11"/>
    </row>
    <row r="93" spans="1:18" hidden="1">
      <c r="A93" s="47" t="str">
        <f t="shared" si="20"/>
        <v>Beni suef</v>
      </c>
      <c r="B93" s="48">
        <v>10363159.31812083</v>
      </c>
      <c r="C93" s="48">
        <v>-4264973.782350041</v>
      </c>
      <c r="D93" s="48">
        <v>15437487.278347962</v>
      </c>
      <c r="E93" s="48">
        <v>-18849409.700129777</v>
      </c>
      <c r="F93" s="48">
        <v>-2236385.0873993933</v>
      </c>
      <c r="G93" s="48">
        <v>-4350237.5470653772</v>
      </c>
      <c r="H93" s="48">
        <v>-9266162.0609570146</v>
      </c>
      <c r="I93" s="48">
        <v>9259075.166705668</v>
      </c>
      <c r="J93" s="48">
        <f>$M$24-($N42+B93+C93+D93+E93+F93+G93+I93+H93)</f>
        <v>-58364792.344415247</v>
      </c>
      <c r="K93" s="49">
        <v>0</v>
      </c>
      <c r="L93" s="49">
        <v>0</v>
      </c>
      <c r="M93" s="49">
        <v>0</v>
      </c>
      <c r="N93" s="48">
        <f t="shared" si="21"/>
        <v>-62272238.759142391</v>
      </c>
      <c r="O93" s="12"/>
      <c r="R93" s="11"/>
    </row>
    <row r="94" spans="1:18" hidden="1">
      <c r="A94" s="47" t="str">
        <f t="shared" si="20"/>
        <v>كوبرى الشيخ بن زايد - كوبرى العاصمة</v>
      </c>
      <c r="B94" s="48">
        <v>2707098.90645588</v>
      </c>
      <c r="C94" s="48">
        <v>3901532.6255094949</v>
      </c>
      <c r="D94" s="48">
        <v>4119253.5031541847</v>
      </c>
      <c r="E94" s="48">
        <v>6232530.3795978874</v>
      </c>
      <c r="F94" s="48">
        <v>5800869.0343493521</v>
      </c>
      <c r="G94" s="48">
        <v>22733144.1280769</v>
      </c>
      <c r="H94" s="48">
        <v>9416497.6396365166</v>
      </c>
      <c r="I94" s="48">
        <v>-48488168.431714132</v>
      </c>
      <c r="J94" s="48">
        <f>$N$24-($N43+B94+C94+D94+E94+F94+G94+I94+H94)</f>
        <v>-19103854.105974615</v>
      </c>
      <c r="K94" s="49">
        <v>0</v>
      </c>
      <c r="L94" s="49">
        <v>0</v>
      </c>
      <c r="M94" s="49">
        <v>0</v>
      </c>
      <c r="N94" s="48">
        <f t="shared" si="21"/>
        <v>-12681096.320908532</v>
      </c>
      <c r="O94" s="12"/>
      <c r="R94" s="11"/>
    </row>
    <row r="95" spans="1:18" hidden="1">
      <c r="A95" s="47" t="str">
        <f t="shared" si="20"/>
        <v>جبل الزيت - GAMISA</v>
      </c>
      <c r="B95" s="48">
        <v>471872.9688807663</v>
      </c>
      <c r="C95" s="48">
        <v>-3780753.186853203</v>
      </c>
      <c r="D95" s="48">
        <v>-6213442.3213669658</v>
      </c>
      <c r="E95" s="48">
        <v>-3696848.0946723018</v>
      </c>
      <c r="F95" s="48">
        <v>3191263.5766760837</v>
      </c>
      <c r="G95" s="48">
        <v>-12074958.673319813</v>
      </c>
      <c r="H95" s="48">
        <v>2652588.5430916436</v>
      </c>
      <c r="I95" s="48">
        <v>636628.79869832844</v>
      </c>
      <c r="J95" s="48">
        <f>$O$24-($N44+B95+C95+D95+E95+F95+G95+I95+H95)</f>
        <v>-10737231.617436551</v>
      </c>
      <c r="K95" s="49">
        <v>0</v>
      </c>
      <c r="L95" s="49">
        <v>0</v>
      </c>
      <c r="M95" s="49">
        <v>0</v>
      </c>
      <c r="N95" s="48">
        <f t="shared" si="21"/>
        <v>-29550880.00630201</v>
      </c>
      <c r="O95" s="12"/>
      <c r="R95" s="11"/>
    </row>
    <row r="96" spans="1:18" hidden="1">
      <c r="A96" s="47" t="s">
        <v>36</v>
      </c>
      <c r="B96" s="48">
        <v>0</v>
      </c>
      <c r="C96" s="48">
        <v>0</v>
      </c>
      <c r="D96" s="48">
        <v>0</v>
      </c>
      <c r="E96" s="48">
        <v>0</v>
      </c>
      <c r="F96" s="49">
        <v>0</v>
      </c>
      <c r="G96" s="48">
        <v>0</v>
      </c>
      <c r="H96" s="48">
        <v>0</v>
      </c>
      <c r="I96" s="48">
        <v>0</v>
      </c>
      <c r="J96" s="49">
        <v>0</v>
      </c>
      <c r="K96" s="49">
        <v>0</v>
      </c>
      <c r="L96" s="49">
        <v>0</v>
      </c>
      <c r="M96" s="49">
        <v>0</v>
      </c>
      <c r="N96" s="48">
        <f t="shared" si="21"/>
        <v>0</v>
      </c>
      <c r="R96" s="11"/>
    </row>
    <row r="97" spans="1:23" hidden="1">
      <c r="A97" s="47" t="s">
        <v>64</v>
      </c>
      <c r="B97" s="48">
        <v>0</v>
      </c>
      <c r="C97" s="48">
        <v>0</v>
      </c>
      <c r="D97" s="49">
        <v>0</v>
      </c>
      <c r="E97" s="48">
        <v>97413.487224601195</v>
      </c>
      <c r="F97" s="48">
        <v>187192.89847964002</v>
      </c>
      <c r="G97" s="48">
        <v>894329.45367893483</v>
      </c>
      <c r="H97" s="48">
        <v>497430.03576324764</v>
      </c>
      <c r="I97" s="48">
        <v>661463.41295146593</v>
      </c>
      <c r="J97" s="48">
        <f>$P$24-($N46+B97+C97+D97+E97+F97+G97+I97+H97)</f>
        <v>-535882.74347628211</v>
      </c>
      <c r="K97" s="49">
        <v>0</v>
      </c>
      <c r="L97" s="49">
        <v>0</v>
      </c>
      <c r="M97" s="49">
        <v>0</v>
      </c>
      <c r="N97" s="48">
        <f t="shared" si="21"/>
        <v>1801946.5446216075</v>
      </c>
      <c r="O97" s="11"/>
      <c r="R97" s="11"/>
    </row>
    <row r="98" spans="1:23" hidden="1">
      <c r="A98" s="47" t="s">
        <v>62</v>
      </c>
      <c r="B98" s="48">
        <v>0</v>
      </c>
      <c r="C98" s="48">
        <v>0</v>
      </c>
      <c r="D98" s="49">
        <v>0</v>
      </c>
      <c r="E98" s="48">
        <v>124426.72357984877</v>
      </c>
      <c r="F98" s="48">
        <v>1865181.2372735268</v>
      </c>
      <c r="G98" s="48">
        <v>2842483.1042686822</v>
      </c>
      <c r="H98" s="48">
        <v>1639941.5692750728</v>
      </c>
      <c r="I98" s="48">
        <v>2793729.5486916732</v>
      </c>
      <c r="J98" s="48">
        <f>$Q$24-($N47+B98+C98+D98+E98+F98+G98+I98+H98)</f>
        <v>-1205868.2791246809</v>
      </c>
      <c r="K98" s="49">
        <v>0</v>
      </c>
      <c r="L98" s="49">
        <v>0</v>
      </c>
      <c r="M98" s="49">
        <v>0</v>
      </c>
      <c r="N98" s="48">
        <f t="shared" si="21"/>
        <v>8059893.9039641228</v>
      </c>
      <c r="R98" s="11"/>
      <c r="S98" s="11"/>
      <c r="T98" s="11"/>
      <c r="U98" s="11"/>
      <c r="V98" s="11"/>
      <c r="W98" s="11"/>
    </row>
    <row r="99" spans="1:23" hidden="1">
      <c r="A99" s="47" t="s">
        <v>61</v>
      </c>
      <c r="B99" s="48">
        <v>0</v>
      </c>
      <c r="C99" s="48">
        <v>0</v>
      </c>
      <c r="D99" s="49">
        <v>0</v>
      </c>
      <c r="E99" s="48">
        <v>14305.1320754717</v>
      </c>
      <c r="F99" s="48">
        <v>258286.80169811321</v>
      </c>
      <c r="G99" s="48">
        <v>-1122329.613018868</v>
      </c>
      <c r="H99" s="48">
        <v>-451416.68415094342</v>
      </c>
      <c r="I99" s="48">
        <v>196731.78452830191</v>
      </c>
      <c r="J99" s="48">
        <f>$R$24-($N45+B99+C99+D99+E99+F99+G99+I99+H99)</f>
        <v>-2366616.5622641509</v>
      </c>
      <c r="K99" s="49">
        <v>0</v>
      </c>
      <c r="L99" s="49">
        <v>0</v>
      </c>
      <c r="M99" s="49">
        <v>0</v>
      </c>
      <c r="N99" s="48">
        <f t="shared" si="21"/>
        <v>-3471039.1411320753</v>
      </c>
      <c r="R99" s="11"/>
      <c r="S99" s="11"/>
      <c r="T99" s="11"/>
      <c r="U99" s="11"/>
      <c r="V99" s="11"/>
      <c r="W99" s="11"/>
    </row>
    <row r="100" spans="1:23" hidden="1">
      <c r="A100" s="47" t="s">
        <v>65</v>
      </c>
      <c r="B100" s="48">
        <v>0</v>
      </c>
      <c r="C100" s="48">
        <v>0</v>
      </c>
      <c r="D100" s="48">
        <v>0</v>
      </c>
      <c r="E100" s="48">
        <v>0</v>
      </c>
      <c r="F100" s="48">
        <v>270663.93449165398</v>
      </c>
      <c r="G100" s="48">
        <v>-14921.602352048503</v>
      </c>
      <c r="H100" s="48">
        <v>120376.94132018206</v>
      </c>
      <c r="I100" s="48">
        <v>303184.10638087988</v>
      </c>
      <c r="J100" s="48">
        <f>$S$24-($N49+B100+C100+D100+E100+F100+G100+I100+H100)</f>
        <v>-1894796.4389908947</v>
      </c>
      <c r="K100" s="49">
        <v>0</v>
      </c>
      <c r="L100" s="49">
        <v>0</v>
      </c>
      <c r="M100" s="49">
        <v>0</v>
      </c>
      <c r="N100" s="48">
        <f t="shared" si="21"/>
        <v>-1215493.0591502273</v>
      </c>
      <c r="R100" s="11"/>
      <c r="S100" s="11"/>
      <c r="T100" s="11"/>
      <c r="U100" s="11"/>
      <c r="V100" s="11"/>
      <c r="W100" s="11"/>
    </row>
    <row r="101" spans="1:23" hidden="1">
      <c r="A101" s="47" t="s">
        <v>68</v>
      </c>
      <c r="B101" s="48">
        <v>0</v>
      </c>
      <c r="C101" s="48">
        <v>0</v>
      </c>
      <c r="D101" s="48">
        <v>0</v>
      </c>
      <c r="E101" s="48">
        <v>0</v>
      </c>
      <c r="F101" s="48">
        <v>0</v>
      </c>
      <c r="G101" s="48">
        <v>0</v>
      </c>
      <c r="H101" s="48">
        <v>9177362.8058823235</v>
      </c>
      <c r="I101" s="48">
        <v>8577422.7848056108</v>
      </c>
      <c r="J101" s="48">
        <f>$T$24-($N50+B101+C101+D101+E101+F101+G101+I101+H101)</f>
        <v>8552534.0647489652</v>
      </c>
      <c r="K101" s="49">
        <v>0</v>
      </c>
      <c r="L101" s="49">
        <v>0</v>
      </c>
      <c r="M101" s="49">
        <v>0</v>
      </c>
      <c r="N101" s="48">
        <f t="shared" si="21"/>
        <v>26307319.6554369</v>
      </c>
      <c r="O101" s="11"/>
      <c r="R101" s="11"/>
      <c r="S101" s="11"/>
      <c r="T101" s="11"/>
      <c r="U101" s="11"/>
      <c r="V101" s="11"/>
      <c r="W101" s="11"/>
    </row>
    <row r="102" spans="1:23" hidden="1">
      <c r="A102" s="47" t="s">
        <v>69</v>
      </c>
      <c r="B102" s="48">
        <v>0</v>
      </c>
      <c r="C102" s="48">
        <v>0</v>
      </c>
      <c r="D102" s="48">
        <v>0</v>
      </c>
      <c r="E102" s="48">
        <v>0</v>
      </c>
      <c r="F102" s="48">
        <v>0</v>
      </c>
      <c r="G102" s="48">
        <v>0</v>
      </c>
      <c r="H102" s="49">
        <v>0</v>
      </c>
      <c r="I102" s="48">
        <v>1035678.0683330093</v>
      </c>
      <c r="J102" s="48">
        <f>$U$24-($N51+B102+C102+D102+E102+F102+G102+I102+H102)</f>
        <v>1783791.7255531447</v>
      </c>
      <c r="K102" s="49">
        <v>0</v>
      </c>
      <c r="L102" s="49">
        <v>0</v>
      </c>
      <c r="M102" s="49">
        <v>0</v>
      </c>
      <c r="N102" s="48">
        <f t="shared" si="21"/>
        <v>2819469.793886154</v>
      </c>
      <c r="O102" s="11"/>
      <c r="R102" s="11"/>
      <c r="S102" s="11"/>
      <c r="T102" s="11"/>
      <c r="U102" s="11"/>
      <c r="V102" s="11"/>
      <c r="W102" s="11"/>
    </row>
    <row r="103" spans="1:23" hidden="1">
      <c r="A103" s="47" t="s">
        <v>73</v>
      </c>
      <c r="B103" s="48">
        <v>0</v>
      </c>
      <c r="C103" s="48">
        <v>0</v>
      </c>
      <c r="D103" s="48">
        <v>0</v>
      </c>
      <c r="E103" s="48">
        <v>0</v>
      </c>
      <c r="F103" s="48">
        <v>0</v>
      </c>
      <c r="G103" s="48">
        <v>0</v>
      </c>
      <c r="H103" s="49">
        <v>0</v>
      </c>
      <c r="I103" s="48">
        <v>1322033.8652519963</v>
      </c>
      <c r="J103" s="48">
        <f>$V$24-($N52+B103+C103+D103+E103+F103+G103+I103+H103)</f>
        <v>2969340.8148373738</v>
      </c>
      <c r="K103" s="49">
        <v>0</v>
      </c>
      <c r="L103" s="49">
        <v>0</v>
      </c>
      <c r="M103" s="49">
        <v>0</v>
      </c>
      <c r="N103" s="48">
        <f t="shared" si="21"/>
        <v>4291374.6800893703</v>
      </c>
      <c r="O103" s="11"/>
      <c r="R103" s="11"/>
      <c r="S103" s="11"/>
      <c r="T103" s="11"/>
      <c r="U103" s="11"/>
      <c r="V103" s="11"/>
      <c r="W103" s="11"/>
    </row>
    <row r="104" spans="1:23" hidden="1">
      <c r="A104" s="47" t="s">
        <v>74</v>
      </c>
      <c r="B104" s="48">
        <v>0</v>
      </c>
      <c r="C104" s="48">
        <v>0</v>
      </c>
      <c r="D104" s="48">
        <v>0</v>
      </c>
      <c r="E104" s="48">
        <v>0</v>
      </c>
      <c r="F104" s="48">
        <v>0</v>
      </c>
      <c r="G104" s="48">
        <v>0</v>
      </c>
      <c r="H104" s="49">
        <v>0</v>
      </c>
      <c r="I104" s="48">
        <v>0</v>
      </c>
      <c r="J104" s="48">
        <f>$W$24-($N53+B104+C104+D104+E104+F104+G104+I104+H104)</f>
        <v>-2000533.8195290065</v>
      </c>
      <c r="K104" s="49">
        <v>0</v>
      </c>
      <c r="L104" s="49">
        <v>0</v>
      </c>
      <c r="M104" s="49">
        <v>0</v>
      </c>
      <c r="N104" s="48">
        <f t="shared" si="21"/>
        <v>-2000533.8195290065</v>
      </c>
      <c r="O104" s="11"/>
      <c r="R104" s="11"/>
      <c r="S104" s="11"/>
      <c r="T104" s="11"/>
      <c r="U104" s="11"/>
      <c r="V104" s="11"/>
      <c r="W104" s="11"/>
    </row>
    <row r="105" spans="1:23" ht="15.75" hidden="1" thickBot="1">
      <c r="A105" s="50" t="s">
        <v>37</v>
      </c>
      <c r="B105" s="59">
        <f>SUM(B82:B104)</f>
        <v>22248706.645248562</v>
      </c>
      <c r="C105" s="59">
        <f t="shared" ref="C105:M105" si="22">SUM(C82:C104)</f>
        <v>-9167761.5160364658</v>
      </c>
      <c r="D105" s="59">
        <f t="shared" si="22"/>
        <v>49101584.564620227</v>
      </c>
      <c r="E105" s="59">
        <f t="shared" si="22"/>
        <v>-12544439.302740531</v>
      </c>
      <c r="F105" s="59">
        <f t="shared" si="22"/>
        <v>2984511.6942259227</v>
      </c>
      <c r="G105" s="59">
        <f t="shared" si="22"/>
        <v>-63812362.711801641</v>
      </c>
      <c r="H105" s="59">
        <f t="shared" si="22"/>
        <v>16628286.522544645</v>
      </c>
      <c r="I105" s="59">
        <f t="shared" si="22"/>
        <v>-1292578.8663921703</v>
      </c>
      <c r="J105" s="59">
        <f t="shared" si="22"/>
        <v>-194861910.18456683</v>
      </c>
      <c r="K105" s="59">
        <f t="shared" si="22"/>
        <v>0</v>
      </c>
      <c r="L105" s="59">
        <f t="shared" si="22"/>
        <v>0</v>
      </c>
      <c r="M105" s="59">
        <f t="shared" si="22"/>
        <v>0</v>
      </c>
      <c r="N105" s="59">
        <f>SUM(N82:N104)</f>
        <v>-190715963.15489823</v>
      </c>
      <c r="R105" s="11"/>
      <c r="S105" s="11"/>
      <c r="T105" s="11"/>
      <c r="U105" s="11"/>
      <c r="V105" s="11"/>
      <c r="W105" s="11"/>
    </row>
    <row r="106" spans="1:23" hidden="1">
      <c r="A106" s="45" t="s">
        <v>54</v>
      </c>
      <c r="B106" s="48"/>
      <c r="C106" s="48"/>
      <c r="D106" s="48"/>
      <c r="E106" s="48"/>
      <c r="F106" s="48"/>
      <c r="G106" s="48"/>
      <c r="H106" s="48"/>
      <c r="I106" s="48"/>
      <c r="J106" s="48"/>
      <c r="K106" s="48"/>
      <c r="L106" s="48"/>
      <c r="M106" s="48"/>
      <c r="N106" s="48"/>
      <c r="R106" s="11"/>
      <c r="S106" s="11"/>
      <c r="T106" s="11"/>
      <c r="U106" s="11"/>
      <c r="V106" s="11"/>
      <c r="W106" s="11"/>
    </row>
    <row r="107" spans="1:23" hidden="1">
      <c r="A107" s="47" t="str">
        <f t="shared" ref="A107:A115" si="23">A56</f>
        <v>كباري مراسي pkg#37</v>
      </c>
      <c r="B107" s="48">
        <f t="shared" ref="B107:B114" si="24">B56*-1</f>
        <v>-101636</v>
      </c>
      <c r="C107" s="49">
        <v>0</v>
      </c>
      <c r="D107" s="48">
        <f t="shared" ref="D107:J114" si="25">D56*-1</f>
        <v>0</v>
      </c>
      <c r="E107" s="48">
        <f t="shared" si="25"/>
        <v>0</v>
      </c>
      <c r="F107" s="48">
        <f t="shared" si="25"/>
        <v>0</v>
      </c>
      <c r="G107" s="48">
        <f t="shared" si="25"/>
        <v>0</v>
      </c>
      <c r="H107" s="49">
        <v>0</v>
      </c>
      <c r="I107" s="48">
        <f>I56*-1</f>
        <v>0</v>
      </c>
      <c r="J107" s="48">
        <f>J56*-1</f>
        <v>0</v>
      </c>
      <c r="K107" s="49">
        <v>0</v>
      </c>
      <c r="L107" s="49">
        <v>0</v>
      </c>
      <c r="M107" s="49">
        <v>0</v>
      </c>
      <c r="N107" s="48">
        <f t="shared" ref="N107:N117" si="26">SUM(B107:M107)</f>
        <v>-101636</v>
      </c>
      <c r="R107" s="11"/>
    </row>
    <row r="108" spans="1:23" hidden="1">
      <c r="A108" s="47" t="str">
        <f t="shared" si="23"/>
        <v>اب تاون pkg#17</v>
      </c>
      <c r="B108" s="48">
        <f t="shared" si="24"/>
        <v>107619.49</v>
      </c>
      <c r="C108" s="49">
        <v>0</v>
      </c>
      <c r="D108" s="48">
        <f t="shared" si="25"/>
        <v>-159382</v>
      </c>
      <c r="E108" s="48">
        <f t="shared" si="25"/>
        <v>0</v>
      </c>
      <c r="F108" s="48">
        <f t="shared" si="25"/>
        <v>0</v>
      </c>
      <c r="G108" s="48">
        <f t="shared" si="25"/>
        <v>-279041</v>
      </c>
      <c r="H108" s="48">
        <f t="shared" si="25"/>
        <v>0</v>
      </c>
      <c r="I108" s="48">
        <f t="shared" si="25"/>
        <v>0</v>
      </c>
      <c r="J108" s="48">
        <f t="shared" si="25"/>
        <v>0</v>
      </c>
      <c r="K108" s="49">
        <v>0</v>
      </c>
      <c r="L108" s="49">
        <v>0</v>
      </c>
      <c r="M108" s="49">
        <v>0</v>
      </c>
      <c r="N108" s="48">
        <f t="shared" si="26"/>
        <v>-330803.51</v>
      </c>
      <c r="R108" s="11"/>
    </row>
    <row r="109" spans="1:23" hidden="1">
      <c r="A109" s="47" t="str">
        <f t="shared" si="23"/>
        <v>اب تاون pkg#32</v>
      </c>
      <c r="B109" s="48">
        <f t="shared" si="24"/>
        <v>-254298</v>
      </c>
      <c r="C109" s="49">
        <v>0</v>
      </c>
      <c r="D109" s="48">
        <f t="shared" si="25"/>
        <v>0</v>
      </c>
      <c r="E109" s="48">
        <f t="shared" si="25"/>
        <v>0</v>
      </c>
      <c r="F109" s="48">
        <f t="shared" si="25"/>
        <v>0</v>
      </c>
      <c r="G109" s="48">
        <f t="shared" si="25"/>
        <v>-552505</v>
      </c>
      <c r="H109" s="48">
        <f t="shared" si="25"/>
        <v>-286378.07580174843</v>
      </c>
      <c r="I109" s="48">
        <f t="shared" si="25"/>
        <v>0</v>
      </c>
      <c r="J109" s="48">
        <f t="shared" si="25"/>
        <v>0</v>
      </c>
      <c r="K109" s="49">
        <v>0</v>
      </c>
      <c r="L109" s="49">
        <v>0</v>
      </c>
      <c r="M109" s="49">
        <v>0</v>
      </c>
      <c r="N109" s="48">
        <f t="shared" si="26"/>
        <v>-1093181.0758017483</v>
      </c>
      <c r="R109" s="11"/>
    </row>
    <row r="110" spans="1:23" hidden="1">
      <c r="A110" s="47" t="str">
        <f t="shared" si="23"/>
        <v>PKG#45 Civic Center</v>
      </c>
      <c r="B110" s="48">
        <f t="shared" si="24"/>
        <v>-1258165</v>
      </c>
      <c r="C110" s="48">
        <f>C59*-1</f>
        <v>-308208</v>
      </c>
      <c r="D110" s="48">
        <f t="shared" si="25"/>
        <v>-769574</v>
      </c>
      <c r="E110" s="48">
        <f t="shared" si="25"/>
        <v>0</v>
      </c>
      <c r="F110" s="48">
        <f t="shared" si="25"/>
        <v>0</v>
      </c>
      <c r="G110" s="48">
        <f t="shared" si="25"/>
        <v>-245568</v>
      </c>
      <c r="H110" s="48">
        <f>H59*-1</f>
        <v>-2103764</v>
      </c>
      <c r="I110" s="48">
        <f t="shared" si="25"/>
        <v>0</v>
      </c>
      <c r="J110" s="48">
        <f t="shared" si="25"/>
        <v>0</v>
      </c>
      <c r="K110" s="49">
        <v>0</v>
      </c>
      <c r="L110" s="49">
        <v>0</v>
      </c>
      <c r="M110" s="49">
        <v>0</v>
      </c>
      <c r="N110" s="48">
        <f t="shared" si="26"/>
        <v>-4685279</v>
      </c>
      <c r="R110" s="11"/>
    </row>
    <row r="111" spans="1:23" hidden="1">
      <c r="A111" s="47" t="str">
        <f t="shared" si="23"/>
        <v xml:space="preserve">Limak </v>
      </c>
      <c r="B111" s="48">
        <f t="shared" si="24"/>
        <v>-1110732</v>
      </c>
      <c r="C111" s="49">
        <v>0</v>
      </c>
      <c r="D111" s="48">
        <f t="shared" si="25"/>
        <v>0</v>
      </c>
      <c r="E111" s="48">
        <f t="shared" si="25"/>
        <v>0</v>
      </c>
      <c r="F111" s="48">
        <f t="shared" si="25"/>
        <v>0</v>
      </c>
      <c r="G111" s="48">
        <f t="shared" si="25"/>
        <v>0</v>
      </c>
      <c r="H111" s="49">
        <v>0</v>
      </c>
      <c r="I111" s="48">
        <f t="shared" si="25"/>
        <v>0</v>
      </c>
      <c r="J111" s="48">
        <f t="shared" si="25"/>
        <v>0</v>
      </c>
      <c r="K111" s="49">
        <v>0</v>
      </c>
      <c r="L111" s="49">
        <v>0</v>
      </c>
      <c r="M111" s="49">
        <v>0</v>
      </c>
      <c r="N111" s="48">
        <f t="shared" si="26"/>
        <v>-1110732</v>
      </c>
      <c r="R111" s="11"/>
    </row>
    <row r="112" spans="1:23" hidden="1">
      <c r="A112" s="47" t="str">
        <f t="shared" si="23"/>
        <v>Sodic West Town</v>
      </c>
      <c r="B112" s="73">
        <f t="shared" si="24"/>
        <v>-627547</v>
      </c>
      <c r="C112" s="49">
        <v>0</v>
      </c>
      <c r="D112" s="73">
        <v>0</v>
      </c>
      <c r="E112" s="48">
        <f t="shared" si="25"/>
        <v>-754074</v>
      </c>
      <c r="F112" s="48">
        <f t="shared" si="25"/>
        <v>0</v>
      </c>
      <c r="G112" s="73">
        <f>(G61-2751552+2678.25-170219.53)*-1</f>
        <v>1855054.28</v>
      </c>
      <c r="H112" s="48">
        <v>-857110</v>
      </c>
      <c r="I112" s="48">
        <f t="shared" si="25"/>
        <v>-1261971.3999999999</v>
      </c>
      <c r="J112" s="48">
        <f t="shared" si="25"/>
        <v>0</v>
      </c>
      <c r="K112" s="49">
        <v>0</v>
      </c>
      <c r="L112" s="49">
        <v>0</v>
      </c>
      <c r="M112" s="49">
        <v>0</v>
      </c>
      <c r="N112" s="48">
        <f t="shared" si="26"/>
        <v>-1645648.1199999999</v>
      </c>
      <c r="R112" s="11"/>
    </row>
    <row r="113" spans="1:23" hidden="1">
      <c r="A113" s="47" t="str">
        <f t="shared" si="23"/>
        <v>New Cairo Mall</v>
      </c>
      <c r="B113" s="48">
        <f t="shared" si="24"/>
        <v>-3608866</v>
      </c>
      <c r="C113" s="49">
        <v>0</v>
      </c>
      <c r="D113" s="48">
        <f t="shared" si="25"/>
        <v>0</v>
      </c>
      <c r="E113" s="48">
        <f t="shared" si="25"/>
        <v>0</v>
      </c>
      <c r="F113" s="48">
        <f t="shared" si="25"/>
        <v>0</v>
      </c>
      <c r="G113" s="48">
        <f>G62*-1</f>
        <v>-4446863</v>
      </c>
      <c r="H113" s="48">
        <f>H62*-1</f>
        <v>0</v>
      </c>
      <c r="I113" s="48">
        <f t="shared" si="25"/>
        <v>0</v>
      </c>
      <c r="J113" s="48">
        <f t="shared" si="25"/>
        <v>0</v>
      </c>
      <c r="K113" s="49">
        <v>0</v>
      </c>
      <c r="L113" s="49">
        <v>0</v>
      </c>
      <c r="M113" s="49">
        <v>0</v>
      </c>
      <c r="N113" s="48">
        <f t="shared" si="26"/>
        <v>-8055729</v>
      </c>
      <c r="R113" s="11"/>
    </row>
    <row r="114" spans="1:23" hidden="1">
      <c r="A114" s="47" t="str">
        <f t="shared" si="23"/>
        <v xml:space="preserve">El Wahatt </v>
      </c>
      <c r="B114" s="48">
        <f t="shared" si="24"/>
        <v>1787461.1</v>
      </c>
      <c r="C114" s="49">
        <v>0</v>
      </c>
      <c r="D114" s="48">
        <f t="shared" si="25"/>
        <v>-1787461.1</v>
      </c>
      <c r="E114" s="48">
        <f t="shared" si="25"/>
        <v>0</v>
      </c>
      <c r="F114" s="48">
        <f t="shared" si="25"/>
        <v>0</v>
      </c>
      <c r="G114" s="48">
        <f>G63*-1</f>
        <v>0</v>
      </c>
      <c r="H114" s="49">
        <v>0</v>
      </c>
      <c r="I114" s="48">
        <v>1823216.79</v>
      </c>
      <c r="J114" s="48">
        <f t="shared" si="25"/>
        <v>0</v>
      </c>
      <c r="K114" s="49">
        <v>0</v>
      </c>
      <c r="L114" s="49">
        <v>0</v>
      </c>
      <c r="M114" s="49">
        <v>0</v>
      </c>
      <c r="N114" s="48">
        <f t="shared" si="26"/>
        <v>1823216.79</v>
      </c>
      <c r="R114" s="11"/>
    </row>
    <row r="115" spans="1:23" hidden="1">
      <c r="A115" s="47" t="str">
        <f t="shared" si="23"/>
        <v>Kasrawy II</v>
      </c>
      <c r="B115" s="48">
        <v>0</v>
      </c>
      <c r="C115" s="49">
        <v>0</v>
      </c>
      <c r="D115" s="73">
        <f>(D64-21345)*-1</f>
        <v>-297233</v>
      </c>
      <c r="E115" s="48">
        <f t="shared" ref="E115:F117" si="27">E64*-1</f>
        <v>0</v>
      </c>
      <c r="F115" s="48">
        <f t="shared" si="27"/>
        <v>0</v>
      </c>
      <c r="G115" s="48">
        <f>G64*-1</f>
        <v>0</v>
      </c>
      <c r="H115" s="49">
        <v>0</v>
      </c>
      <c r="I115" s="48">
        <f>I64*-1</f>
        <v>0</v>
      </c>
      <c r="J115" s="48">
        <f>J64*-1</f>
        <v>0</v>
      </c>
      <c r="K115" s="49">
        <v>0</v>
      </c>
      <c r="L115" s="49">
        <v>0</v>
      </c>
      <c r="M115" s="49">
        <v>0</v>
      </c>
      <c r="N115" s="48">
        <f t="shared" si="26"/>
        <v>-297233</v>
      </c>
      <c r="R115" s="11"/>
    </row>
    <row r="116" spans="1:23" hidden="1">
      <c r="A116" s="47" t="s">
        <v>36</v>
      </c>
      <c r="B116" s="48">
        <v>0</v>
      </c>
      <c r="C116" s="49">
        <v>0</v>
      </c>
      <c r="D116" s="48">
        <f>D65*-1</f>
        <v>-1173484</v>
      </c>
      <c r="E116" s="48">
        <f t="shared" si="27"/>
        <v>-3109784</v>
      </c>
      <c r="F116" s="48">
        <f t="shared" si="27"/>
        <v>0</v>
      </c>
      <c r="G116" s="73">
        <v>0</v>
      </c>
      <c r="H116" s="48">
        <f t="shared" ref="H116:J117" si="28">H65*-1</f>
        <v>0</v>
      </c>
      <c r="I116" s="48">
        <f t="shared" si="28"/>
        <v>0</v>
      </c>
      <c r="J116" s="48">
        <f t="shared" si="28"/>
        <v>0</v>
      </c>
      <c r="K116" s="49">
        <v>0</v>
      </c>
      <c r="L116" s="49">
        <v>0</v>
      </c>
      <c r="M116" s="49">
        <v>0</v>
      </c>
      <c r="N116" s="48">
        <f t="shared" si="26"/>
        <v>-4283268</v>
      </c>
      <c r="R116" s="11"/>
    </row>
    <row r="117" spans="1:23" hidden="1">
      <c r="A117" s="47" t="s">
        <v>66</v>
      </c>
      <c r="B117" s="48">
        <v>0</v>
      </c>
      <c r="C117" s="49">
        <v>0</v>
      </c>
      <c r="D117" s="48">
        <f>D66*-1</f>
        <v>0</v>
      </c>
      <c r="E117" s="48">
        <f t="shared" si="27"/>
        <v>0</v>
      </c>
      <c r="F117" s="48">
        <f t="shared" si="27"/>
        <v>0</v>
      </c>
      <c r="G117" s="73">
        <f>(G66-4545402)*-1</f>
        <v>-10440006</v>
      </c>
      <c r="H117" s="48">
        <f t="shared" si="28"/>
        <v>0</v>
      </c>
      <c r="I117" s="48">
        <f t="shared" si="28"/>
        <v>0</v>
      </c>
      <c r="J117" s="48">
        <f t="shared" si="28"/>
        <v>0</v>
      </c>
      <c r="K117" s="49">
        <v>0</v>
      </c>
      <c r="L117" s="49">
        <v>0</v>
      </c>
      <c r="M117" s="49">
        <v>0</v>
      </c>
      <c r="N117" s="48">
        <f t="shared" si="26"/>
        <v>-10440006</v>
      </c>
      <c r="R117" s="11"/>
    </row>
    <row r="118" spans="1:23" ht="15.75" hidden="1" thickBot="1">
      <c r="A118" s="50" t="s">
        <v>37</v>
      </c>
      <c r="B118" s="56">
        <f t="shared" ref="B118:G118" si="29">SUM(B107:B117)</f>
        <v>-5066163.41</v>
      </c>
      <c r="C118" s="56">
        <f t="shared" si="29"/>
        <v>-308208</v>
      </c>
      <c r="D118" s="56">
        <f t="shared" si="29"/>
        <v>-4187134.1</v>
      </c>
      <c r="E118" s="56">
        <f t="shared" si="29"/>
        <v>-3863858</v>
      </c>
      <c r="F118" s="56">
        <f t="shared" si="29"/>
        <v>0</v>
      </c>
      <c r="G118" s="56">
        <f t="shared" si="29"/>
        <v>-14108928.719999999</v>
      </c>
      <c r="H118" s="56">
        <f t="shared" ref="H118:M118" si="30">SUM(H107:H115)</f>
        <v>-3247252.0758017483</v>
      </c>
      <c r="I118" s="56">
        <f t="shared" si="30"/>
        <v>561245.39000000013</v>
      </c>
      <c r="J118" s="56">
        <f t="shared" si="30"/>
        <v>0</v>
      </c>
      <c r="K118" s="56">
        <f t="shared" si="30"/>
        <v>0</v>
      </c>
      <c r="L118" s="56">
        <f t="shared" si="30"/>
        <v>0</v>
      </c>
      <c r="M118" s="56">
        <f t="shared" si="30"/>
        <v>0</v>
      </c>
      <c r="N118" s="56">
        <f>SUM(N107:N117)</f>
        <v>-30220298.915801749</v>
      </c>
      <c r="R118" s="11"/>
    </row>
    <row r="119" spans="1:23" ht="15.75" hidden="1" thickBot="1">
      <c r="A119" s="44" t="s">
        <v>15</v>
      </c>
      <c r="B119" s="9">
        <f>B105+B118</f>
        <v>17182543.235248562</v>
      </c>
      <c r="C119" s="9">
        <f t="shared" ref="C119:N119" si="31">C105+C118</f>
        <v>-9475969.5160364658</v>
      </c>
      <c r="D119" s="9">
        <f t="shared" si="31"/>
        <v>44914450.464620225</v>
      </c>
      <c r="E119" s="9">
        <f t="shared" si="31"/>
        <v>-16408297.302740531</v>
      </c>
      <c r="F119" s="9">
        <f t="shared" si="31"/>
        <v>2984511.6942259227</v>
      </c>
      <c r="G119" s="9">
        <f t="shared" si="31"/>
        <v>-77921291.431801647</v>
      </c>
      <c r="H119" s="9">
        <f t="shared" si="31"/>
        <v>13381034.446742896</v>
      </c>
      <c r="I119" s="9">
        <f t="shared" si="31"/>
        <v>-731333.47639217018</v>
      </c>
      <c r="J119" s="9">
        <f t="shared" si="31"/>
        <v>-194861910.18456683</v>
      </c>
      <c r="K119" s="9">
        <f t="shared" si="31"/>
        <v>0</v>
      </c>
      <c r="L119" s="9">
        <f t="shared" si="31"/>
        <v>0</v>
      </c>
      <c r="M119" s="9">
        <f t="shared" si="31"/>
        <v>0</v>
      </c>
      <c r="N119" s="9">
        <f t="shared" si="31"/>
        <v>-220936262.07069999</v>
      </c>
      <c r="R119" s="11"/>
    </row>
    <row r="120" spans="1:23" hidden="1">
      <c r="A120" s="6"/>
      <c r="B120" s="12"/>
    </row>
    <row r="121" spans="1:23">
      <c r="A121" s="435" t="s">
        <v>55</v>
      </c>
      <c r="B121" s="432">
        <f t="shared" ref="B121:N121" si="32">B28</f>
        <v>42370</v>
      </c>
      <c r="C121" s="432">
        <f t="shared" si="32"/>
        <v>42401</v>
      </c>
      <c r="D121" s="432">
        <f t="shared" si="32"/>
        <v>42430</v>
      </c>
      <c r="E121" s="432">
        <f t="shared" si="32"/>
        <v>42461</v>
      </c>
      <c r="F121" s="432">
        <f t="shared" si="32"/>
        <v>42491</v>
      </c>
      <c r="G121" s="432">
        <f t="shared" si="32"/>
        <v>42522</v>
      </c>
      <c r="H121" s="432">
        <f t="shared" si="32"/>
        <v>42552</v>
      </c>
      <c r="I121" s="432">
        <f t="shared" si="32"/>
        <v>42583</v>
      </c>
      <c r="J121" s="432">
        <f t="shared" si="32"/>
        <v>42614</v>
      </c>
      <c r="K121" s="432">
        <f t="shared" si="32"/>
        <v>42644</v>
      </c>
      <c r="L121" s="432">
        <f t="shared" si="32"/>
        <v>42675</v>
      </c>
      <c r="M121" s="432">
        <f t="shared" si="32"/>
        <v>42705</v>
      </c>
      <c r="N121" s="432" t="str">
        <f t="shared" si="32"/>
        <v>Total</v>
      </c>
      <c r="O121" s="455"/>
    </row>
    <row r="122" spans="1:23" ht="15.75" thickBot="1">
      <c r="A122" s="436"/>
      <c r="B122" s="433"/>
      <c r="C122" s="433"/>
      <c r="D122" s="433"/>
      <c r="E122" s="433"/>
      <c r="F122" s="433"/>
      <c r="G122" s="433"/>
      <c r="H122" s="433"/>
      <c r="I122" s="433"/>
      <c r="J122" s="433"/>
      <c r="K122" s="433"/>
      <c r="L122" s="433"/>
      <c r="M122" s="433"/>
      <c r="N122" s="433"/>
      <c r="O122" s="455"/>
    </row>
    <row r="123" spans="1:23" ht="15.75" thickTop="1">
      <c r="A123" s="45" t="s">
        <v>35</v>
      </c>
      <c r="B123" s="46"/>
      <c r="C123" s="46"/>
      <c r="D123" s="46"/>
      <c r="E123" s="46"/>
      <c r="F123" s="46"/>
      <c r="G123" s="46"/>
      <c r="H123" s="46"/>
      <c r="I123" s="46"/>
      <c r="J123" s="46"/>
      <c r="K123" s="46"/>
      <c r="L123" s="46"/>
      <c r="M123" s="46"/>
      <c r="N123" s="46"/>
    </row>
    <row r="124" spans="1:23">
      <c r="A124" s="47" t="str">
        <f t="shared" ref="A124:A137" si="33">A31</f>
        <v>Al Oula</v>
      </c>
      <c r="B124" s="48">
        <v>731358.21</v>
      </c>
      <c r="C124" s="48">
        <v>817606.17</v>
      </c>
      <c r="D124" s="49">
        <f>4544607.71+798421</f>
        <v>5343028.71</v>
      </c>
      <c r="E124" s="49">
        <v>256267.43</v>
      </c>
      <c r="F124" s="49">
        <v>1871064.56</v>
      </c>
      <c r="G124" s="49">
        <v>1578517.7300000002</v>
      </c>
      <c r="H124" s="49">
        <v>172300.01000000164</v>
      </c>
      <c r="I124" s="49">
        <v>760262.63</v>
      </c>
      <c r="J124" s="49">
        <v>478550.56000000006</v>
      </c>
      <c r="K124" s="49">
        <v>0</v>
      </c>
      <c r="L124" s="49">
        <v>0</v>
      </c>
      <c r="M124" s="49">
        <v>0</v>
      </c>
      <c r="N124" s="48">
        <v>8753043.4399999976</v>
      </c>
      <c r="O124" s="11"/>
      <c r="Q124" s="11"/>
      <c r="R124" s="11"/>
    </row>
    <row r="125" spans="1:23">
      <c r="A125" s="47" t="str">
        <f t="shared" si="33"/>
        <v>Hyper Al Sulaimaniya</v>
      </c>
      <c r="B125" s="48">
        <v>2354090.92</v>
      </c>
      <c r="C125" s="48">
        <v>829489.37999999989</v>
      </c>
      <c r="D125" s="49">
        <v>616327.42000000004</v>
      </c>
      <c r="E125" s="49">
        <v>108256.64</v>
      </c>
      <c r="F125" s="49">
        <v>253769.65</v>
      </c>
      <c r="G125" s="49">
        <v>1071405.9000000004</v>
      </c>
      <c r="H125" s="49">
        <v>641857.42000000179</v>
      </c>
      <c r="I125" s="49">
        <v>1315046.8400000001</v>
      </c>
      <c r="J125" s="49">
        <v>5764603.4100000001</v>
      </c>
      <c r="K125" s="49">
        <v>0</v>
      </c>
      <c r="L125" s="49">
        <v>0</v>
      </c>
      <c r="M125" s="49">
        <v>0</v>
      </c>
      <c r="N125" s="48">
        <v>10182576.100000001</v>
      </c>
      <c r="O125" s="11"/>
      <c r="Q125" s="11"/>
      <c r="R125" s="11"/>
    </row>
    <row r="126" spans="1:23">
      <c r="A126" s="47" t="str">
        <f t="shared" si="33"/>
        <v>New Giza I</v>
      </c>
      <c r="B126" s="48">
        <v>3533501.11</v>
      </c>
      <c r="C126" s="48">
        <v>2217600.64</v>
      </c>
      <c r="D126" s="49">
        <v>2657211.75</v>
      </c>
      <c r="E126" s="49">
        <v>2957333.9699999997</v>
      </c>
      <c r="F126" s="49">
        <v>1172106.4000000001</v>
      </c>
      <c r="G126" s="49">
        <v>3507604.82</v>
      </c>
      <c r="H126" s="49">
        <v>194877.97999998927</v>
      </c>
      <c r="I126" s="49">
        <v>-833061.19</v>
      </c>
      <c r="J126" s="49">
        <v>105062.49</v>
      </c>
      <c r="K126" s="49">
        <v>0</v>
      </c>
      <c r="L126" s="49">
        <v>0</v>
      </c>
      <c r="M126" s="49">
        <v>0</v>
      </c>
      <c r="N126" s="48">
        <v>13150561.670000002</v>
      </c>
      <c r="O126" s="11"/>
      <c r="P126" s="11"/>
      <c r="Q126" s="11"/>
      <c r="R126" s="11"/>
      <c r="S126" s="11"/>
      <c r="T126" s="11"/>
      <c r="U126" s="11"/>
      <c r="V126" s="11"/>
      <c r="W126" s="11"/>
    </row>
    <row r="127" spans="1:23">
      <c r="A127" s="47" t="str">
        <f t="shared" si="33"/>
        <v>Maxim mall</v>
      </c>
      <c r="B127" s="48">
        <v>2551727.6</v>
      </c>
      <c r="C127" s="48">
        <v>3818299.91</v>
      </c>
      <c r="D127" s="49">
        <v>7128164.0899999999</v>
      </c>
      <c r="E127" s="49">
        <v>1824723.04</v>
      </c>
      <c r="F127" s="49">
        <v>4896898.3100000005</v>
      </c>
      <c r="G127" s="49">
        <v>7579153.3100000005</v>
      </c>
      <c r="H127" s="49">
        <v>1018681.2100000009</v>
      </c>
      <c r="I127" s="49">
        <v>2984691.5700000003</v>
      </c>
      <c r="J127" s="49">
        <v>7314860.4399999995</v>
      </c>
      <c r="K127" s="49">
        <v>0</v>
      </c>
      <c r="L127" s="49">
        <v>0</v>
      </c>
      <c r="M127" s="49">
        <v>0</v>
      </c>
      <c r="N127" s="48">
        <v>30513256.199999996</v>
      </c>
      <c r="O127" s="11"/>
      <c r="P127" s="11"/>
      <c r="Q127" s="11"/>
      <c r="R127" s="11"/>
      <c r="S127" s="11"/>
      <c r="T127" s="11"/>
      <c r="U127" s="11"/>
      <c r="V127" s="11"/>
      <c r="W127" s="11"/>
    </row>
    <row r="128" spans="1:23">
      <c r="A128" s="47" t="str">
        <f t="shared" si="33"/>
        <v>Attaka</v>
      </c>
      <c r="B128" s="48">
        <v>3619725.03</v>
      </c>
      <c r="C128" s="48">
        <v>3278087.63</v>
      </c>
      <c r="D128" s="49">
        <v>781810.14999999991</v>
      </c>
      <c r="E128" s="49">
        <v>604382.12</v>
      </c>
      <c r="F128" s="49">
        <v>2125477.5500000003</v>
      </c>
      <c r="G128" s="49">
        <v>-3320116.4800000004</v>
      </c>
      <c r="H128" s="49">
        <v>293100.43</v>
      </c>
      <c r="I128" s="49">
        <v>130541.56</v>
      </c>
      <c r="J128" s="49">
        <v>849953.59</v>
      </c>
      <c r="K128" s="49">
        <v>0</v>
      </c>
      <c r="L128" s="49">
        <v>0</v>
      </c>
      <c r="M128" s="49">
        <v>0</v>
      </c>
      <c r="N128" s="48">
        <v>3548820.799999997</v>
      </c>
      <c r="O128" s="11"/>
      <c r="P128" s="11"/>
      <c r="Q128" s="11"/>
      <c r="R128" s="11"/>
      <c r="S128" s="11"/>
      <c r="T128" s="11"/>
      <c r="U128" s="11"/>
      <c r="V128" s="11"/>
      <c r="W128" s="11"/>
    </row>
    <row r="129" spans="1:23">
      <c r="A129" s="47" t="str">
        <f t="shared" si="33"/>
        <v>مول مصر</v>
      </c>
      <c r="B129" s="48">
        <v>10254611.17</v>
      </c>
      <c r="C129" s="48">
        <v>4458658.1399999997</v>
      </c>
      <c r="D129" s="49">
        <v>7767090.5700000003</v>
      </c>
      <c r="E129" s="49">
        <v>4575909.32</v>
      </c>
      <c r="F129" s="49">
        <v>15347030.120000001</v>
      </c>
      <c r="G129" s="49">
        <v>4843430.2599999988</v>
      </c>
      <c r="H129" s="49">
        <v>1087274.8</v>
      </c>
      <c r="I129" s="49">
        <v>4734158.7700000005</v>
      </c>
      <c r="J129" s="49">
        <v>3690228.5399999996</v>
      </c>
      <c r="K129" s="49">
        <v>0</v>
      </c>
      <c r="L129" s="49">
        <v>0</v>
      </c>
      <c r="M129" s="49">
        <v>0</v>
      </c>
      <c r="N129" s="48">
        <v>44947831.119999997</v>
      </c>
      <c r="O129" s="11"/>
      <c r="P129" s="11"/>
      <c r="Q129" s="11"/>
      <c r="R129" s="11"/>
      <c r="S129" s="11"/>
      <c r="T129" s="11"/>
      <c r="U129" s="11"/>
      <c r="V129" s="11"/>
      <c r="W129" s="11"/>
    </row>
    <row r="130" spans="1:23">
      <c r="A130" s="47" t="str">
        <f t="shared" si="33"/>
        <v>مراسى تانك الخزان الجديد PKG22 New</v>
      </c>
      <c r="B130" s="48">
        <v>595102.86</v>
      </c>
      <c r="C130" s="48">
        <v>355913.84</v>
      </c>
      <c r="D130" s="49">
        <f>1157366.6+168735</f>
        <v>1326101.6000000001</v>
      </c>
      <c r="E130" s="49">
        <v>520565.51999999996</v>
      </c>
      <c r="F130" s="49">
        <v>526639.85</v>
      </c>
      <c r="G130" s="49">
        <v>913310.65000000037</v>
      </c>
      <c r="H130" s="49">
        <v>1113637.1399999999</v>
      </c>
      <c r="I130" s="49">
        <v>667042.67000000004</v>
      </c>
      <c r="J130" s="49">
        <v>648432.4</v>
      </c>
      <c r="K130" s="49">
        <v>0</v>
      </c>
      <c r="L130" s="49">
        <v>0</v>
      </c>
      <c r="M130" s="49">
        <v>0</v>
      </c>
      <c r="N130" s="48">
        <f>804248+2950494.61</f>
        <v>3754742.61</v>
      </c>
      <c r="O130" s="11"/>
      <c r="P130" s="11"/>
      <c r="Q130" s="11"/>
      <c r="R130" s="11"/>
      <c r="S130" s="11"/>
      <c r="T130" s="11"/>
      <c r="U130" s="11"/>
      <c r="V130" s="11"/>
      <c r="W130" s="11"/>
    </row>
    <row r="131" spans="1:23">
      <c r="A131" s="47" t="str">
        <f t="shared" si="33"/>
        <v>نادي سوديك</v>
      </c>
      <c r="B131" s="48">
        <v>3593738.78</v>
      </c>
      <c r="C131" s="48">
        <v>2608383.2800000003</v>
      </c>
      <c r="D131" s="49">
        <f>3184592.7+105070.04</f>
        <v>3289662.74</v>
      </c>
      <c r="E131" s="49">
        <v>3064968.2399999998</v>
      </c>
      <c r="F131" s="49">
        <v>2713499.89</v>
      </c>
      <c r="G131" s="49">
        <v>1682483.0699999977</v>
      </c>
      <c r="H131" s="49">
        <v>1189822.3600000001</v>
      </c>
      <c r="I131" s="49">
        <v>3298838.63</v>
      </c>
      <c r="J131" s="49">
        <v>1548381.44</v>
      </c>
      <c r="K131" s="49">
        <v>0</v>
      </c>
      <c r="L131" s="49">
        <v>0</v>
      </c>
      <c r="M131" s="49">
        <v>0</v>
      </c>
      <c r="N131" s="48">
        <v>16499394.020000001</v>
      </c>
      <c r="O131" s="11"/>
      <c r="P131" s="11"/>
      <c r="Q131" s="11"/>
      <c r="R131" s="11"/>
      <c r="S131" s="11"/>
      <c r="T131" s="11"/>
      <c r="U131" s="11"/>
      <c r="V131" s="11"/>
      <c r="W131" s="11"/>
    </row>
    <row r="132" spans="1:23">
      <c r="A132" s="47" t="str">
        <f t="shared" si="33"/>
        <v>شرم الشيخ</v>
      </c>
      <c r="B132" s="48">
        <v>1567685.33</v>
      </c>
      <c r="C132" s="48">
        <v>1600000.78</v>
      </c>
      <c r="D132" s="49">
        <v>3073116.43</v>
      </c>
      <c r="E132" s="49">
        <v>2272491.08</v>
      </c>
      <c r="F132" s="49">
        <v>2400344.9900000002</v>
      </c>
      <c r="G132" s="49">
        <v>1431372.5499999984</v>
      </c>
      <c r="H132" s="49">
        <v>917294.70000000007</v>
      </c>
      <c r="I132" s="49">
        <v>1329049.08</v>
      </c>
      <c r="J132" s="49">
        <v>1021182.7100000001</v>
      </c>
      <c r="K132" s="49">
        <v>0</v>
      </c>
      <c r="L132" s="49">
        <v>0</v>
      </c>
      <c r="M132" s="49">
        <v>0</v>
      </c>
      <c r="N132" s="48">
        <v>8429457.290000001</v>
      </c>
      <c r="O132" s="11"/>
      <c r="P132" s="11"/>
      <c r="Q132" s="11"/>
      <c r="R132" s="11"/>
      <c r="S132" s="11"/>
      <c r="T132" s="11"/>
      <c r="U132" s="11"/>
      <c r="V132" s="11"/>
      <c r="W132" s="11"/>
    </row>
    <row r="133" spans="1:23">
      <c r="A133" s="47" t="str">
        <f t="shared" si="33"/>
        <v>عمائر اب تاون 53</v>
      </c>
      <c r="B133" s="48">
        <v>5138272.57</v>
      </c>
      <c r="C133" s="48">
        <v>6602814.0199999996</v>
      </c>
      <c r="D133" s="49">
        <v>11340463.66</v>
      </c>
      <c r="E133" s="49">
        <v>7189360.6799999997</v>
      </c>
      <c r="F133" s="49">
        <v>8195770.7999999998</v>
      </c>
      <c r="G133" s="49">
        <v>4480556.1399999978</v>
      </c>
      <c r="H133" s="49">
        <v>4699712.84</v>
      </c>
      <c r="I133" s="49">
        <v>8920161.6799999997</v>
      </c>
      <c r="J133" s="49">
        <v>6343828.9000000004</v>
      </c>
      <c r="K133" s="49">
        <v>0</v>
      </c>
      <c r="L133" s="49">
        <v>0</v>
      </c>
      <c r="M133" s="49">
        <v>0</v>
      </c>
      <c r="N133" s="48">
        <v>41077090.18</v>
      </c>
      <c r="O133" s="11"/>
      <c r="P133" s="11"/>
      <c r="Q133" s="11"/>
      <c r="R133" s="11"/>
      <c r="S133" s="11"/>
      <c r="T133" s="11"/>
      <c r="U133" s="11"/>
      <c r="V133" s="11"/>
      <c r="W133" s="11"/>
    </row>
    <row r="134" spans="1:23">
      <c r="A134" s="47" t="str">
        <f t="shared" si="33"/>
        <v>New Giza phase 2</v>
      </c>
      <c r="B134" s="48">
        <v>1922300.82</v>
      </c>
      <c r="C134" s="48">
        <v>2356865.9299999997</v>
      </c>
      <c r="D134" s="49">
        <v>11102818</v>
      </c>
      <c r="E134" s="49">
        <v>3086479.78</v>
      </c>
      <c r="F134" s="49">
        <v>7512950.0599999996</v>
      </c>
      <c r="G134" s="49">
        <v>8521176.1399999969</v>
      </c>
      <c r="H134" s="49">
        <v>4053575.64</v>
      </c>
      <c r="I134" s="49">
        <v>3013523.27</v>
      </c>
      <c r="J134" s="49">
        <v>8111428.6000000006</v>
      </c>
      <c r="K134" s="49">
        <v>0</v>
      </c>
      <c r="L134" s="49">
        <v>0</v>
      </c>
      <c r="M134" s="49">
        <v>0</v>
      </c>
      <c r="N134" s="48">
        <v>38591998.019999996</v>
      </c>
      <c r="O134" s="11"/>
      <c r="P134" s="11"/>
      <c r="Q134" s="11"/>
      <c r="R134" s="11"/>
      <c r="S134" s="11"/>
      <c r="T134" s="11"/>
      <c r="U134" s="11"/>
      <c r="V134" s="11"/>
      <c r="W134" s="11"/>
    </row>
    <row r="135" spans="1:23">
      <c r="A135" s="47" t="str">
        <f t="shared" si="33"/>
        <v>Beni suef</v>
      </c>
      <c r="B135" s="48">
        <v>8943070.8100000005</v>
      </c>
      <c r="C135" s="48">
        <v>11027017.59</v>
      </c>
      <c r="D135" s="49">
        <v>38405998.100000001</v>
      </c>
      <c r="E135" s="49">
        <v>19189273.209999997</v>
      </c>
      <c r="F135" s="49">
        <v>22961115.57</v>
      </c>
      <c r="G135" s="49">
        <v>15900729.400000002</v>
      </c>
      <c r="H135" s="49">
        <v>14145495.51</v>
      </c>
      <c r="I135" s="49">
        <v>10492846.42</v>
      </c>
      <c r="J135" s="49">
        <f>11700677.93-400000-364000</f>
        <v>10936677.93</v>
      </c>
      <c r="K135" s="49">
        <v>0</v>
      </c>
      <c r="L135" s="49">
        <v>0</v>
      </c>
      <c r="M135" s="49">
        <v>0</v>
      </c>
      <c r="N135" s="48">
        <v>113258196.21000001</v>
      </c>
      <c r="O135" s="11"/>
      <c r="P135" s="11"/>
      <c r="Q135" s="11"/>
      <c r="R135" s="11"/>
      <c r="S135" s="11"/>
      <c r="T135" s="11"/>
      <c r="U135" s="11"/>
      <c r="V135" s="11"/>
      <c r="W135" s="11"/>
    </row>
    <row r="136" spans="1:23">
      <c r="A136" s="47" t="str">
        <f t="shared" si="33"/>
        <v>كوبرى الشيخ بن زايد - كوبرى العاصمة</v>
      </c>
      <c r="B136" s="48">
        <v>2509072.44</v>
      </c>
      <c r="C136" s="48">
        <v>3616132.37</v>
      </c>
      <c r="D136" s="49">
        <v>3817926.79</v>
      </c>
      <c r="E136" s="49">
        <v>5776615.7599999998</v>
      </c>
      <c r="F136" s="49">
        <v>5376530.79</v>
      </c>
      <c r="G136" s="49">
        <v>16428060.209999995</v>
      </c>
      <c r="H136" s="49">
        <v>7968852.21</v>
      </c>
      <c r="I136" s="49">
        <v>11591311.41</v>
      </c>
      <c r="J136" s="49">
        <v>-396429.54999999993</v>
      </c>
      <c r="K136" s="49">
        <v>0</v>
      </c>
      <c r="L136" s="49">
        <v>0</v>
      </c>
      <c r="M136" s="49">
        <v>0</v>
      </c>
      <c r="N136" s="48">
        <v>41627740.920000009</v>
      </c>
      <c r="O136" s="11"/>
      <c r="P136" s="11"/>
      <c r="Q136" s="11"/>
      <c r="R136" s="11"/>
      <c r="S136" s="11"/>
      <c r="T136" s="11"/>
      <c r="U136" s="11"/>
      <c r="V136" s="11"/>
      <c r="W136" s="11"/>
    </row>
    <row r="137" spans="1:23">
      <c r="A137" s="47" t="str">
        <f t="shared" si="33"/>
        <v>جبل الزيت - GAMISA</v>
      </c>
      <c r="B137" s="48">
        <v>428162.79</v>
      </c>
      <c r="C137" s="48">
        <v>2555165.6800000002</v>
      </c>
      <c r="D137" s="49">
        <v>4094236.2800000003</v>
      </c>
      <c r="E137" s="49">
        <v>2020516.8699999999</v>
      </c>
      <c r="F137" s="49">
        <v>2895652.87</v>
      </c>
      <c r="G137" s="49">
        <v>5875756.75</v>
      </c>
      <c r="H137" s="49">
        <v>3775802.0600000098</v>
      </c>
      <c r="I137" s="49">
        <v>8555079.75</v>
      </c>
      <c r="J137" s="49">
        <v>3410354.25</v>
      </c>
      <c r="K137" s="49">
        <v>0</v>
      </c>
      <c r="L137" s="49">
        <v>0</v>
      </c>
      <c r="M137" s="49">
        <v>0</v>
      </c>
      <c r="N137" s="48">
        <v>30939137.289999999</v>
      </c>
      <c r="O137" s="11"/>
      <c r="P137" s="11"/>
      <c r="Q137" s="11"/>
      <c r="R137" s="11"/>
      <c r="S137" s="11"/>
      <c r="T137" s="11"/>
      <c r="U137" s="11"/>
      <c r="V137" s="11"/>
      <c r="W137" s="11"/>
    </row>
    <row r="138" spans="1:23">
      <c r="A138" s="47" t="s">
        <v>61</v>
      </c>
      <c r="B138" s="48">
        <v>0</v>
      </c>
      <c r="C138" s="48">
        <v>0</v>
      </c>
      <c r="D138" s="48">
        <v>0</v>
      </c>
      <c r="E138" s="71">
        <v>10988</v>
      </c>
      <c r="F138" s="71">
        <v>198394.21</v>
      </c>
      <c r="G138" s="71">
        <v>60451.789999999986</v>
      </c>
      <c r="H138" s="49">
        <v>84385.46</v>
      </c>
      <c r="I138" s="49">
        <v>151112.82</v>
      </c>
      <c r="J138" s="49">
        <v>225750.37</v>
      </c>
      <c r="K138" s="49">
        <v>0</v>
      </c>
      <c r="L138" s="49">
        <v>0</v>
      </c>
      <c r="M138" s="49">
        <v>0</v>
      </c>
      <c r="N138" s="48">
        <v>327145.08</v>
      </c>
      <c r="O138" s="11"/>
      <c r="P138" s="11"/>
      <c r="Q138" s="11"/>
      <c r="R138" s="11"/>
      <c r="S138" s="11"/>
      <c r="T138" s="11"/>
      <c r="U138" s="11"/>
      <c r="V138" s="11"/>
      <c r="W138" s="11"/>
    </row>
    <row r="139" spans="1:23">
      <c r="A139" s="47" t="s">
        <v>62</v>
      </c>
      <c r="B139" s="48">
        <v>0</v>
      </c>
      <c r="C139" s="48">
        <v>0</v>
      </c>
      <c r="D139" s="48">
        <v>0</v>
      </c>
      <c r="E139" s="49">
        <v>110378.77</v>
      </c>
      <c r="F139" s="49">
        <v>1654599.6300000001</v>
      </c>
      <c r="G139" s="49">
        <v>2521562.7299999995</v>
      </c>
      <c r="H139" s="49">
        <v>1454789.8399999999</v>
      </c>
      <c r="I139" s="49">
        <v>2478313.52</v>
      </c>
      <c r="J139" s="49">
        <v>2241287.5700000003</v>
      </c>
      <c r="K139" s="49">
        <v>0</v>
      </c>
      <c r="L139" s="49">
        <v>0</v>
      </c>
      <c r="M139" s="49">
        <v>0</v>
      </c>
      <c r="N139" s="48">
        <v>7149920.4500000002</v>
      </c>
      <c r="O139" s="11"/>
      <c r="P139" s="11"/>
      <c r="Q139" s="11"/>
      <c r="R139" s="11"/>
      <c r="S139" s="11"/>
      <c r="T139" s="11"/>
      <c r="U139" s="11"/>
      <c r="V139" s="11"/>
      <c r="W139" s="11"/>
    </row>
    <row r="140" spans="1:23">
      <c r="A140" s="47" t="s">
        <v>64</v>
      </c>
      <c r="B140" s="48">
        <v>0</v>
      </c>
      <c r="C140" s="48">
        <v>0</v>
      </c>
      <c r="D140" s="48">
        <v>0</v>
      </c>
      <c r="E140" s="49">
        <v>88761</v>
      </c>
      <c r="F140" s="49">
        <v>170566</v>
      </c>
      <c r="G140" s="49">
        <v>814893.08000000007</v>
      </c>
      <c r="H140" s="49">
        <v>453247.17</v>
      </c>
      <c r="I140" s="49">
        <v>602710.73</v>
      </c>
      <c r="J140" s="49">
        <v>593351.21</v>
      </c>
      <c r="K140" s="49">
        <v>0</v>
      </c>
      <c r="L140" s="49">
        <v>0</v>
      </c>
      <c r="M140" s="49">
        <v>0</v>
      </c>
      <c r="N140" s="48">
        <v>1680480.32</v>
      </c>
      <c r="O140" s="11"/>
      <c r="P140" s="11"/>
      <c r="Q140" s="11"/>
      <c r="R140" s="11"/>
      <c r="S140" s="11"/>
      <c r="T140" s="11"/>
      <c r="U140" s="11"/>
      <c r="V140" s="11"/>
      <c r="W140" s="11"/>
    </row>
    <row r="141" spans="1:23">
      <c r="A141" s="47" t="s">
        <v>65</v>
      </c>
      <c r="B141" s="48">
        <v>0</v>
      </c>
      <c r="C141" s="48">
        <v>0</v>
      </c>
      <c r="D141" s="48">
        <v>0</v>
      </c>
      <c r="E141" s="49">
        <v>0</v>
      </c>
      <c r="F141" s="49">
        <v>185124.58</v>
      </c>
      <c r="G141" s="49">
        <v>302166.06000000006</v>
      </c>
      <c r="H141" s="49">
        <v>82333.58</v>
      </c>
      <c r="I141" s="49">
        <v>207367.23</v>
      </c>
      <c r="J141" s="49">
        <v>82722.28</v>
      </c>
      <c r="K141" s="49">
        <v>0</v>
      </c>
      <c r="L141" s="49">
        <v>0</v>
      </c>
      <c r="M141" s="49">
        <v>0</v>
      </c>
      <c r="N141" s="48">
        <v>441710.28</v>
      </c>
      <c r="O141" s="11"/>
      <c r="P141" s="11"/>
      <c r="Q141" s="11"/>
      <c r="R141" s="11"/>
      <c r="S141" s="11"/>
      <c r="T141" s="11"/>
      <c r="U141" s="11"/>
      <c r="V141" s="11"/>
      <c r="W141" s="11"/>
    </row>
    <row r="142" spans="1:23">
      <c r="A142" s="47" t="s">
        <v>70</v>
      </c>
      <c r="B142" s="48">
        <v>0</v>
      </c>
      <c r="C142" s="48">
        <v>0</v>
      </c>
      <c r="D142" s="48">
        <v>0</v>
      </c>
      <c r="E142" s="48">
        <v>0</v>
      </c>
      <c r="F142" s="48">
        <v>0</v>
      </c>
      <c r="G142" s="48">
        <v>0</v>
      </c>
      <c r="H142" s="49">
        <f>8407299.1+53624.72</f>
        <v>8460923.8200000003</v>
      </c>
      <c r="I142" s="49">
        <v>7907818.6499999994</v>
      </c>
      <c r="J142" s="49">
        <v>12681658.01</v>
      </c>
      <c r="K142" s="49">
        <v>0</v>
      </c>
      <c r="L142" s="49">
        <v>0</v>
      </c>
      <c r="M142" s="49">
        <v>0</v>
      </c>
      <c r="N142" s="48">
        <v>24253615.360000003</v>
      </c>
      <c r="O142" s="11"/>
      <c r="P142" s="11"/>
      <c r="Q142" s="11"/>
      <c r="R142" s="11"/>
      <c r="S142" s="11"/>
      <c r="T142" s="11"/>
      <c r="U142" s="11"/>
      <c r="V142" s="11"/>
      <c r="W142" s="11"/>
    </row>
    <row r="143" spans="1:23">
      <c r="A143" s="47" t="s">
        <v>71</v>
      </c>
      <c r="B143" s="48">
        <v>0</v>
      </c>
      <c r="C143" s="48">
        <v>0</v>
      </c>
      <c r="D143" s="48">
        <v>0</v>
      </c>
      <c r="E143" s="48">
        <v>0</v>
      </c>
      <c r="F143" s="48">
        <v>0</v>
      </c>
      <c r="G143" s="48">
        <v>0</v>
      </c>
      <c r="H143" s="49">
        <v>0</v>
      </c>
      <c r="I143" s="49">
        <v>924567.64</v>
      </c>
      <c r="J143" s="49">
        <v>2237252.8199999998</v>
      </c>
      <c r="K143" s="49">
        <v>0</v>
      </c>
      <c r="L143" s="49">
        <v>0</v>
      </c>
      <c r="M143" s="49">
        <v>0</v>
      </c>
      <c r="N143" s="48">
        <v>2516989.2200000002</v>
      </c>
      <c r="O143" s="11"/>
      <c r="P143" s="11"/>
      <c r="Q143" s="11"/>
      <c r="R143" s="11"/>
      <c r="S143" s="11"/>
      <c r="T143" s="11"/>
      <c r="U143" s="11"/>
      <c r="V143" s="11"/>
      <c r="W143" s="11"/>
    </row>
    <row r="144" spans="1:23">
      <c r="A144" s="47" t="s">
        <v>72</v>
      </c>
      <c r="B144" s="48">
        <v>0</v>
      </c>
      <c r="C144" s="48">
        <v>0</v>
      </c>
      <c r="D144" s="48">
        <v>0</v>
      </c>
      <c r="E144" s="48">
        <v>0</v>
      </c>
      <c r="F144" s="48">
        <v>0</v>
      </c>
      <c r="G144" s="48">
        <v>0</v>
      </c>
      <c r="H144" s="49">
        <v>0</v>
      </c>
      <c r="I144" s="49">
        <v>1201191.6199999999</v>
      </c>
      <c r="J144" s="49">
        <v>5074433.3199999994</v>
      </c>
      <c r="K144" s="49">
        <v>0</v>
      </c>
      <c r="L144" s="49">
        <v>0</v>
      </c>
      <c r="M144" s="49">
        <v>0</v>
      </c>
      <c r="N144" s="48">
        <v>3899115.93</v>
      </c>
      <c r="O144" s="11"/>
      <c r="P144" s="11"/>
      <c r="Q144" s="11"/>
      <c r="R144" s="11"/>
      <c r="S144" s="11"/>
      <c r="T144" s="11"/>
      <c r="U144" s="11"/>
      <c r="V144" s="11"/>
      <c r="W144" s="11"/>
    </row>
    <row r="145" spans="1:24">
      <c r="A145" s="47" t="s">
        <v>74</v>
      </c>
      <c r="B145" s="48">
        <v>0</v>
      </c>
      <c r="C145" s="48">
        <v>0</v>
      </c>
      <c r="D145" s="48">
        <v>0</v>
      </c>
      <c r="E145" s="48">
        <v>0</v>
      </c>
      <c r="F145" s="48">
        <v>0</v>
      </c>
      <c r="G145" s="48">
        <v>0</v>
      </c>
      <c r="H145" s="49">
        <v>0</v>
      </c>
      <c r="I145" s="49">
        <v>0</v>
      </c>
      <c r="J145" s="49">
        <v>268820.39</v>
      </c>
      <c r="K145" s="49">
        <v>0</v>
      </c>
      <c r="L145" s="49">
        <v>0</v>
      </c>
      <c r="M145" s="49">
        <v>0</v>
      </c>
      <c r="N145" s="48">
        <v>172387.39</v>
      </c>
      <c r="O145" s="11"/>
      <c r="P145" s="11"/>
      <c r="Q145" s="11"/>
      <c r="R145" s="11"/>
      <c r="S145" s="11"/>
      <c r="T145" s="11"/>
      <c r="U145" s="11"/>
      <c r="V145" s="11"/>
      <c r="W145" s="11"/>
    </row>
    <row r="146" spans="1:24" ht="15.75" thickBot="1">
      <c r="A146" s="50" t="s">
        <v>37</v>
      </c>
      <c r="B146" s="59">
        <f t="shared" ref="B146:G146" si="34">SUM(B124:B141)</f>
        <v>47742420.439999998</v>
      </c>
      <c r="C146" s="59">
        <f t="shared" si="34"/>
        <v>46142035.359999999</v>
      </c>
      <c r="D146" s="59">
        <f t="shared" si="34"/>
        <v>100743956.29000001</v>
      </c>
      <c r="E146" s="59">
        <f t="shared" si="34"/>
        <v>53657271.43</v>
      </c>
      <c r="F146" s="67">
        <f t="shared" si="34"/>
        <v>80457535.829999998</v>
      </c>
      <c r="G146" s="67">
        <f t="shared" si="34"/>
        <v>74192514.109999999</v>
      </c>
      <c r="H146" s="59">
        <f t="shared" ref="H146:M146" si="35">SUM(H124:H145)</f>
        <v>51807964.18</v>
      </c>
      <c r="I146" s="59">
        <f t="shared" si="35"/>
        <v>70432575.300000012</v>
      </c>
      <c r="J146" s="59">
        <f t="shared" si="35"/>
        <v>73232391.679999992</v>
      </c>
      <c r="K146" s="59">
        <f t="shared" si="35"/>
        <v>0</v>
      </c>
      <c r="L146" s="59">
        <f t="shared" si="35"/>
        <v>0</v>
      </c>
      <c r="M146" s="59">
        <f t="shared" si="35"/>
        <v>0</v>
      </c>
      <c r="N146" s="59">
        <f>SUM(N123:N145)</f>
        <v>445715209.89999998</v>
      </c>
      <c r="O146" s="12"/>
      <c r="P146" s="11"/>
      <c r="Q146" s="12"/>
      <c r="R146" s="12"/>
      <c r="S146" s="11"/>
      <c r="T146" s="11"/>
      <c r="U146" s="11"/>
      <c r="V146" s="11"/>
      <c r="W146" s="11"/>
      <c r="X146" s="12"/>
    </row>
    <row r="147" spans="1:24" ht="15.75" thickTop="1">
      <c r="A147" s="45" t="str">
        <f t="shared" ref="A147:A156" si="36">A55</f>
        <v>Closed Projects</v>
      </c>
      <c r="B147" s="48"/>
      <c r="C147" s="48"/>
      <c r="D147" s="48"/>
      <c r="E147" s="48"/>
      <c r="F147" s="48"/>
      <c r="G147" s="49"/>
      <c r="H147" s="48"/>
      <c r="I147" s="48"/>
      <c r="J147" s="48"/>
      <c r="K147" s="48"/>
      <c r="L147" s="48"/>
      <c r="M147" s="48"/>
      <c r="N147" s="48"/>
      <c r="O147" s="11"/>
      <c r="P147" s="11"/>
      <c r="Q147" s="11"/>
      <c r="R147" s="11"/>
      <c r="S147" s="11"/>
      <c r="T147" s="11"/>
      <c r="U147" s="11"/>
      <c r="V147" s="11"/>
      <c r="W147" s="11"/>
      <c r="X147" s="11"/>
    </row>
    <row r="148" spans="1:24">
      <c r="A148" s="54" t="str">
        <f t="shared" si="36"/>
        <v>كباري مراسي pkg#37</v>
      </c>
      <c r="B148" s="48">
        <v>0</v>
      </c>
      <c r="C148" s="48">
        <v>11317.87</v>
      </c>
      <c r="D148" s="49">
        <f>9539+52478</f>
        <v>62017</v>
      </c>
      <c r="E148" s="49">
        <v>0</v>
      </c>
      <c r="F148" s="49">
        <v>0</v>
      </c>
      <c r="G148" s="49">
        <v>506.33000000000175</v>
      </c>
      <c r="H148" s="49">
        <v>0</v>
      </c>
      <c r="I148" s="49">
        <v>-248430.71</v>
      </c>
      <c r="J148" s="49">
        <v>0</v>
      </c>
      <c r="K148" s="49">
        <v>0</v>
      </c>
      <c r="L148" s="49">
        <v>0</v>
      </c>
      <c r="M148" s="49">
        <v>0</v>
      </c>
      <c r="N148" s="48">
        <v>-244604.38</v>
      </c>
      <c r="O148" s="11"/>
      <c r="P148" s="11"/>
      <c r="Q148" s="11"/>
      <c r="R148" s="11"/>
      <c r="S148" s="11"/>
      <c r="T148" s="11"/>
      <c r="U148" s="11"/>
      <c r="V148" s="11"/>
      <c r="W148" s="11"/>
    </row>
    <row r="149" spans="1:24">
      <c r="A149" s="54" t="str">
        <f t="shared" si="36"/>
        <v>اب تاون pkg#17</v>
      </c>
      <c r="B149" s="48">
        <v>248856.65</v>
      </c>
      <c r="C149" s="48">
        <v>3203.47</v>
      </c>
      <c r="D149" s="49">
        <v>-228908.31999999998</v>
      </c>
      <c r="E149" s="49">
        <v>4565.63</v>
      </c>
      <c r="F149" s="49">
        <v>3166.67</v>
      </c>
      <c r="G149" s="49">
        <v>132212.28</v>
      </c>
      <c r="H149" s="49">
        <v>3166.6699999999255</v>
      </c>
      <c r="I149" s="49">
        <v>23499.240000000005</v>
      </c>
      <c r="J149" s="49">
        <v>3210.51</v>
      </c>
      <c r="K149" s="49">
        <v>0</v>
      </c>
      <c r="L149" s="49">
        <v>0</v>
      </c>
      <c r="M149" s="49">
        <v>0</v>
      </c>
      <c r="N149" s="48">
        <v>130786.80000000005</v>
      </c>
      <c r="O149" s="11"/>
      <c r="P149" s="11"/>
      <c r="Q149" s="11"/>
      <c r="R149" s="11"/>
      <c r="S149" s="12"/>
      <c r="T149" s="12"/>
      <c r="U149" s="12"/>
      <c r="V149" s="12"/>
      <c r="W149" s="12"/>
    </row>
    <row r="150" spans="1:24">
      <c r="A150" s="54" t="str">
        <f t="shared" si="36"/>
        <v>اب تاون pkg#32</v>
      </c>
      <c r="B150" s="48">
        <v>362029.54</v>
      </c>
      <c r="C150" s="48">
        <v>199721.77</v>
      </c>
      <c r="D150" s="49">
        <v>223402.45</v>
      </c>
      <c r="E150" s="49">
        <v>104932.31</v>
      </c>
      <c r="F150" s="49">
        <v>372390.8</v>
      </c>
      <c r="G150" s="49">
        <v>100683.51999999974</v>
      </c>
      <c r="H150" s="49">
        <v>124539.22999999858</v>
      </c>
      <c r="I150" s="49">
        <v>42562.79</v>
      </c>
      <c r="J150" s="49">
        <v>54611.31</v>
      </c>
      <c r="K150" s="49">
        <v>0</v>
      </c>
      <c r="L150" s="49">
        <v>0</v>
      </c>
      <c r="M150" s="49">
        <v>0</v>
      </c>
      <c r="N150" s="48">
        <v>841757.81999999937</v>
      </c>
      <c r="O150" s="11"/>
      <c r="P150" s="11"/>
      <c r="Q150" s="11"/>
      <c r="R150" s="11"/>
      <c r="S150" s="11"/>
      <c r="T150" s="11"/>
      <c r="U150" s="11"/>
      <c r="V150" s="11"/>
      <c r="W150" s="11"/>
    </row>
    <row r="151" spans="1:24">
      <c r="A151" s="54" t="str">
        <f t="shared" si="36"/>
        <v>PKG#45 Civic Center</v>
      </c>
      <c r="B151" s="48">
        <v>768053.81</v>
      </c>
      <c r="C151" s="48">
        <v>439971.19</v>
      </c>
      <c r="D151" s="49">
        <f>683724.78+169189</f>
        <v>852913.78</v>
      </c>
      <c r="E151" s="49">
        <v>282463.31</v>
      </c>
      <c r="F151" s="49">
        <v>544816.68000000005</v>
      </c>
      <c r="G151" s="49">
        <v>732243.41000000027</v>
      </c>
      <c r="H151" s="49">
        <v>787182.35000000149</v>
      </c>
      <c r="I151" s="49">
        <v>308796.18</v>
      </c>
      <c r="J151" s="49">
        <v>255926.64</v>
      </c>
      <c r="K151" s="49">
        <v>0</v>
      </c>
      <c r="L151" s="49">
        <v>0</v>
      </c>
      <c r="M151" s="49">
        <v>0</v>
      </c>
      <c r="N151" s="48">
        <v>2438770.04</v>
      </c>
      <c r="O151" s="11"/>
      <c r="P151" s="11"/>
      <c r="Q151" s="11"/>
      <c r="R151" s="11"/>
      <c r="S151" s="11"/>
      <c r="T151" s="11"/>
      <c r="U151" s="11"/>
      <c r="V151" s="11"/>
      <c r="W151" s="11"/>
    </row>
    <row r="152" spans="1:24">
      <c r="A152" s="54" t="str">
        <f t="shared" si="36"/>
        <v xml:space="preserve">Limak </v>
      </c>
      <c r="B152" s="48">
        <v>439705</v>
      </c>
      <c r="C152" s="48">
        <v>187720.9</v>
      </c>
      <c r="D152" s="49">
        <v>202557.39</v>
      </c>
      <c r="E152" s="49">
        <v>128107.53</v>
      </c>
      <c r="F152" s="49">
        <v>59918.67</v>
      </c>
      <c r="G152" s="49">
        <v>-434247.49000000011</v>
      </c>
      <c r="H152" s="49">
        <v>88087.39999999851</v>
      </c>
      <c r="I152" s="49">
        <v>9802.77</v>
      </c>
      <c r="J152" s="49">
        <v>18940.439999999999</v>
      </c>
      <c r="K152" s="49">
        <v>0</v>
      </c>
      <c r="L152" s="49">
        <v>0</v>
      </c>
      <c r="M152" s="49">
        <v>0</v>
      </c>
      <c r="N152" s="48">
        <v>-89635.020000003278</v>
      </c>
      <c r="O152" s="11"/>
      <c r="P152" s="11"/>
      <c r="Q152" s="11"/>
      <c r="R152" s="11"/>
      <c r="S152" s="11"/>
      <c r="T152" s="11"/>
      <c r="U152" s="11"/>
      <c r="V152" s="11"/>
      <c r="W152" s="11"/>
    </row>
    <row r="153" spans="1:24">
      <c r="A153" s="54" t="str">
        <f t="shared" si="36"/>
        <v>Sodic West Town</v>
      </c>
      <c r="B153" s="48">
        <v>132805.94</v>
      </c>
      <c r="C153" s="48">
        <v>178294.44</v>
      </c>
      <c r="D153" s="49">
        <f>134813.26+154762</f>
        <v>289575.26</v>
      </c>
      <c r="E153" s="49">
        <v>254336.73</v>
      </c>
      <c r="F153" s="49">
        <v>537986.56999999995</v>
      </c>
      <c r="G153" s="49">
        <v>293537.14</v>
      </c>
      <c r="H153" s="49">
        <v>352518.59999999963</v>
      </c>
      <c r="I153" s="49">
        <v>260165.79</v>
      </c>
      <c r="J153" s="49">
        <v>280649.49</v>
      </c>
      <c r="K153" s="49">
        <v>0</v>
      </c>
      <c r="L153" s="49">
        <v>0</v>
      </c>
      <c r="M153" s="49">
        <v>0</v>
      </c>
      <c r="N153" s="48">
        <v>1823938.85</v>
      </c>
      <c r="O153" s="11"/>
      <c r="P153" s="11"/>
      <c r="Q153" s="11"/>
      <c r="R153" s="11"/>
      <c r="S153" s="11"/>
      <c r="T153" s="11"/>
      <c r="U153" s="11"/>
      <c r="V153" s="11"/>
      <c r="W153" s="11"/>
    </row>
    <row r="154" spans="1:24">
      <c r="A154" s="54" t="str">
        <f t="shared" si="36"/>
        <v>New Cairo Mall</v>
      </c>
      <c r="B154" s="48">
        <v>274993.26</v>
      </c>
      <c r="C154" s="48">
        <v>116410.23</v>
      </c>
      <c r="D154" s="49">
        <f>108026.75+380740</f>
        <v>488766.75</v>
      </c>
      <c r="E154" s="49">
        <v>27239.66</v>
      </c>
      <c r="F154" s="49">
        <v>562522.49</v>
      </c>
      <c r="G154" s="49">
        <v>-4927005.84</v>
      </c>
      <c r="H154" s="49">
        <v>274847.6400000006</v>
      </c>
      <c r="I154" s="49">
        <v>28734.259999999995</v>
      </c>
      <c r="J154" s="49">
        <v>641.91</v>
      </c>
      <c r="K154" s="49">
        <v>0</v>
      </c>
      <c r="L154" s="49">
        <v>0</v>
      </c>
      <c r="M154" s="49">
        <v>0</v>
      </c>
      <c r="N154" s="48">
        <v>-4850130.1099999994</v>
      </c>
      <c r="O154" s="11"/>
      <c r="P154" s="11"/>
      <c r="Q154" s="11"/>
      <c r="R154" s="11"/>
      <c r="S154" s="11"/>
      <c r="T154" s="11"/>
      <c r="U154" s="11"/>
      <c r="V154" s="11"/>
      <c r="W154" s="11"/>
    </row>
    <row r="155" spans="1:24">
      <c r="A155" s="54" t="str">
        <f t="shared" si="36"/>
        <v xml:space="preserve">El Wahatt </v>
      </c>
      <c r="B155" s="48">
        <v>0</v>
      </c>
      <c r="C155" s="48">
        <v>165336.07</v>
      </c>
      <c r="D155" s="49">
        <v>125002.85</v>
      </c>
      <c r="E155" s="49">
        <v>0</v>
      </c>
      <c r="F155" s="49">
        <v>0</v>
      </c>
      <c r="G155" s="49">
        <v>874447.42</v>
      </c>
      <c r="H155" s="49">
        <v>11116.080000000075</v>
      </c>
      <c r="I155" s="49">
        <v>2789.48</v>
      </c>
      <c r="J155" s="49">
        <v>0</v>
      </c>
      <c r="K155" s="49">
        <v>0</v>
      </c>
      <c r="L155" s="49">
        <v>0</v>
      </c>
      <c r="M155" s="49">
        <v>0</v>
      </c>
      <c r="N155" s="48">
        <v>477354.49000000022</v>
      </c>
      <c r="O155" s="11"/>
      <c r="P155" s="11"/>
      <c r="Q155" s="11"/>
      <c r="R155" s="11"/>
      <c r="S155" s="11"/>
      <c r="T155" s="11"/>
      <c r="U155" s="11"/>
      <c r="V155" s="11"/>
      <c r="W155" s="11"/>
    </row>
    <row r="156" spans="1:24">
      <c r="A156" s="54" t="str">
        <f t="shared" si="36"/>
        <v>Kasrawy II</v>
      </c>
      <c r="B156" s="48">
        <v>0</v>
      </c>
      <c r="C156" s="48">
        <v>0</v>
      </c>
      <c r="D156" s="49">
        <v>-254478.69000000006</v>
      </c>
      <c r="E156" s="49">
        <v>1554.06</v>
      </c>
      <c r="F156" s="49">
        <v>-31010.220000000008</v>
      </c>
      <c r="G156" s="49">
        <v>-229930.62000000011</v>
      </c>
      <c r="H156" s="49">
        <v>-94.859999999869615</v>
      </c>
      <c r="I156" s="49">
        <v>20219.14</v>
      </c>
      <c r="J156" s="49">
        <v>5957.61</v>
      </c>
      <c r="K156" s="49">
        <v>0</v>
      </c>
      <c r="L156" s="49">
        <v>0</v>
      </c>
      <c r="M156" s="49">
        <v>0</v>
      </c>
      <c r="N156" s="48">
        <v>-509528.28</v>
      </c>
      <c r="O156" s="11"/>
      <c r="P156" s="11"/>
      <c r="Q156" s="11"/>
      <c r="R156" s="11"/>
      <c r="S156" s="11"/>
      <c r="T156" s="11"/>
      <c r="U156" s="11"/>
      <c r="V156" s="11"/>
      <c r="W156" s="11"/>
    </row>
    <row r="157" spans="1:24">
      <c r="A157" s="47" t="s">
        <v>36</v>
      </c>
      <c r="B157" s="48">
        <v>833933.77</v>
      </c>
      <c r="C157" s="48">
        <v>479294.04</v>
      </c>
      <c r="D157" s="49">
        <v>971403.07000000007</v>
      </c>
      <c r="E157" s="49">
        <v>32161.25</v>
      </c>
      <c r="F157" s="49">
        <v>343479.22</v>
      </c>
      <c r="G157" s="49">
        <v>580871.54000000074</v>
      </c>
      <c r="H157" s="49">
        <v>72503.42</v>
      </c>
      <c r="I157" s="49">
        <v>323900.48</v>
      </c>
      <c r="J157" s="49">
        <v>3394.78</v>
      </c>
      <c r="K157" s="49">
        <v>0</v>
      </c>
      <c r="L157" s="49">
        <v>0</v>
      </c>
      <c r="M157" s="49">
        <v>0</v>
      </c>
      <c r="N157" s="48">
        <v>2609500.5500000007</v>
      </c>
      <c r="O157" s="11"/>
      <c r="P157" s="11"/>
      <c r="Q157" s="11"/>
      <c r="R157" s="11"/>
      <c r="S157" s="11"/>
      <c r="T157" s="11"/>
      <c r="U157" s="11" t="s">
        <v>76</v>
      </c>
      <c r="V157" s="11"/>
      <c r="W157" s="11"/>
    </row>
    <row r="158" spans="1:24">
      <c r="A158" s="54" t="s">
        <v>56</v>
      </c>
      <c r="B158" s="48">
        <v>8823</v>
      </c>
      <c r="C158" s="48">
        <v>32612</v>
      </c>
      <c r="D158" s="49">
        <f>1432494+(20439+168735)</f>
        <v>1621668</v>
      </c>
      <c r="E158" s="49">
        <f>-180163.75+3032.56</f>
        <v>-177131.19</v>
      </c>
      <c r="F158" s="49">
        <v>199298.22</v>
      </c>
      <c r="G158" s="49">
        <v>5103340.4899999993</v>
      </c>
      <c r="H158" s="49">
        <f>-99805.93-1301-53624.72+28539.29+63642.36</f>
        <v>-62549.999999999985</v>
      </c>
      <c r="I158" s="49">
        <v>-559974.06999999995</v>
      </c>
      <c r="J158" s="49">
        <f>180565.39+251803.6</f>
        <v>432368.99</v>
      </c>
      <c r="K158" s="49"/>
      <c r="L158" s="49"/>
      <c r="M158" s="49"/>
      <c r="N158" s="48">
        <v>5231799.0500000007</v>
      </c>
      <c r="O158" s="11"/>
      <c r="P158" s="11"/>
      <c r="Q158" s="11"/>
      <c r="R158" s="11"/>
      <c r="S158" s="11"/>
      <c r="T158" s="11"/>
      <c r="U158" s="11">
        <v>2239498.4500000002</v>
      </c>
      <c r="V158" s="11"/>
      <c r="W158" s="11"/>
    </row>
    <row r="159" spans="1:24" ht="15.75" thickBot="1">
      <c r="A159" s="50" t="s">
        <v>37</v>
      </c>
      <c r="B159" s="59">
        <f t="shared" ref="B159:G159" si="37">SUM(B148:B158)</f>
        <v>3069200.97</v>
      </c>
      <c r="C159" s="59">
        <f t="shared" si="37"/>
        <v>1813881.9800000002</v>
      </c>
      <c r="D159" s="59">
        <f t="shared" si="37"/>
        <v>4353919.54</v>
      </c>
      <c r="E159" s="59">
        <f t="shared" si="37"/>
        <v>658229.29</v>
      </c>
      <c r="F159" s="59">
        <f t="shared" si="37"/>
        <v>2592569.1</v>
      </c>
      <c r="G159" s="67">
        <f t="shared" si="37"/>
        <v>2226658.1799999997</v>
      </c>
      <c r="H159" s="59">
        <f t="shared" ref="H159:M159" si="38">SUM(H148:H158)</f>
        <v>1651316.5299999989</v>
      </c>
      <c r="I159" s="59">
        <f t="shared" si="38"/>
        <v>212065.35000000009</v>
      </c>
      <c r="J159" s="59">
        <f t="shared" si="38"/>
        <v>1055701.6800000002</v>
      </c>
      <c r="K159" s="59">
        <f t="shared" si="38"/>
        <v>0</v>
      </c>
      <c r="L159" s="59">
        <f t="shared" si="38"/>
        <v>0</v>
      </c>
      <c r="M159" s="59">
        <f t="shared" si="38"/>
        <v>0</v>
      </c>
      <c r="N159" s="59">
        <f>SUM(N148:N158)</f>
        <v>7860009.8099999977</v>
      </c>
      <c r="O159" s="11"/>
      <c r="P159" s="11"/>
      <c r="Q159" s="11"/>
      <c r="R159" s="11"/>
      <c r="S159" s="11"/>
      <c r="T159" s="11"/>
      <c r="U159" s="11"/>
      <c r="V159" s="11"/>
      <c r="W159" s="11"/>
      <c r="X159" s="11"/>
    </row>
    <row r="160" spans="1:24" ht="16.5" thickTop="1" thickBot="1">
      <c r="A160" s="50"/>
      <c r="B160" s="59"/>
      <c r="C160" s="59"/>
      <c r="D160" s="59"/>
      <c r="E160" s="59"/>
      <c r="F160" s="59"/>
      <c r="G160" s="67"/>
      <c r="H160" s="59"/>
      <c r="I160" s="59"/>
      <c r="J160" s="59"/>
      <c r="K160" s="59"/>
      <c r="L160" s="59"/>
      <c r="M160" s="59"/>
      <c r="N160" s="59"/>
      <c r="O160" s="11"/>
      <c r="P160" s="11"/>
      <c r="Q160" s="11"/>
      <c r="R160" s="11"/>
      <c r="S160" s="11"/>
      <c r="T160" s="11"/>
      <c r="U160" s="11"/>
      <c r="V160" s="11"/>
      <c r="W160" s="11"/>
      <c r="X160" s="11"/>
    </row>
    <row r="161" spans="1:24" ht="15.75" thickTop="1">
      <c r="A161" s="60" t="str">
        <f>A68</f>
        <v>Trade Activities</v>
      </c>
      <c r="B161" s="48"/>
      <c r="C161" s="48"/>
      <c r="D161" s="49"/>
      <c r="E161" s="49"/>
      <c r="F161" s="49"/>
      <c r="G161" s="49"/>
      <c r="H161" s="49"/>
      <c r="I161" s="49"/>
      <c r="J161" s="49"/>
      <c r="K161" s="49"/>
      <c r="L161" s="49"/>
      <c r="M161" s="49"/>
      <c r="N161" s="48" t="s">
        <v>20</v>
      </c>
      <c r="O161" s="11"/>
      <c r="P161" s="11"/>
      <c r="Q161" s="11"/>
      <c r="R161" s="11"/>
      <c r="S161" s="11"/>
      <c r="T161" s="11"/>
      <c r="U161" s="11"/>
      <c r="V161" s="11"/>
      <c r="W161" s="11"/>
      <c r="X161" s="11"/>
    </row>
    <row r="162" spans="1:24">
      <c r="A162" s="54" t="str">
        <f>A69</f>
        <v>ابناء مصر للتعمير</v>
      </c>
      <c r="B162" s="48">
        <v>197211.06</v>
      </c>
      <c r="C162" s="48">
        <v>0</v>
      </c>
      <c r="D162" s="49">
        <v>0</v>
      </c>
      <c r="E162" s="49">
        <v>0</v>
      </c>
      <c r="F162" s="49">
        <v>1008371.99</v>
      </c>
      <c r="G162" s="49">
        <v>582393.26</v>
      </c>
      <c r="H162" s="49">
        <v>0</v>
      </c>
      <c r="I162" s="49">
        <v>482046.51</v>
      </c>
      <c r="J162" s="49">
        <v>292</v>
      </c>
      <c r="K162" s="49">
        <v>0</v>
      </c>
      <c r="L162" s="49">
        <v>0</v>
      </c>
      <c r="M162" s="49">
        <v>0</v>
      </c>
      <c r="N162" s="48">
        <v>2270314.8200000003</v>
      </c>
      <c r="O162" s="11"/>
      <c r="P162" s="11"/>
      <c r="Q162" s="11"/>
      <c r="R162" s="11"/>
      <c r="S162" s="11"/>
      <c r="T162" s="11"/>
      <c r="U162" s="11"/>
      <c r="V162" s="11"/>
      <c r="W162" s="11"/>
      <c r="X162" s="11"/>
    </row>
    <row r="163" spans="1:24">
      <c r="A163" s="54" t="str">
        <f>A70</f>
        <v>شركة الحلول</v>
      </c>
      <c r="B163" s="48">
        <v>0</v>
      </c>
      <c r="C163" s="48">
        <v>0</v>
      </c>
      <c r="D163" s="49">
        <v>0</v>
      </c>
      <c r="E163" s="49">
        <v>0</v>
      </c>
      <c r="F163" s="49">
        <v>0</v>
      </c>
      <c r="G163" s="49">
        <v>0</v>
      </c>
      <c r="H163" s="49">
        <v>0</v>
      </c>
      <c r="I163" s="49">
        <v>0</v>
      </c>
      <c r="J163" s="49">
        <v>0</v>
      </c>
      <c r="K163" s="49">
        <v>0</v>
      </c>
      <c r="L163" s="49">
        <v>0</v>
      </c>
      <c r="M163" s="49">
        <v>0</v>
      </c>
      <c r="N163" s="48">
        <v>0</v>
      </c>
      <c r="O163" s="11"/>
      <c r="P163" s="11"/>
      <c r="Q163" s="11"/>
      <c r="R163" s="11"/>
      <c r="S163" s="11"/>
      <c r="T163" s="11"/>
      <c r="U163" s="11"/>
      <c r="V163" s="11"/>
      <c r="W163" s="11"/>
      <c r="X163" s="11"/>
    </row>
    <row r="164" spans="1:24" ht="15.75" thickBot="1">
      <c r="A164" s="50" t="s">
        <v>37</v>
      </c>
      <c r="B164" s="59">
        <f t="shared" ref="B164:M164" si="39">SUM(B162:B163)</f>
        <v>197211.06</v>
      </c>
      <c r="C164" s="59">
        <f t="shared" si="39"/>
        <v>0</v>
      </c>
      <c r="D164" s="59">
        <f t="shared" si="39"/>
        <v>0</v>
      </c>
      <c r="E164" s="59">
        <f t="shared" si="39"/>
        <v>0</v>
      </c>
      <c r="F164" s="59">
        <f t="shared" si="39"/>
        <v>1008371.99</v>
      </c>
      <c r="G164" s="70">
        <f t="shared" si="39"/>
        <v>582393.26</v>
      </c>
      <c r="H164" s="59">
        <f t="shared" si="39"/>
        <v>0</v>
      </c>
      <c r="I164" s="59">
        <f t="shared" si="39"/>
        <v>482046.51</v>
      </c>
      <c r="J164" s="59">
        <f t="shared" si="39"/>
        <v>292</v>
      </c>
      <c r="K164" s="59">
        <f t="shared" si="39"/>
        <v>0</v>
      </c>
      <c r="L164" s="59">
        <f t="shared" si="39"/>
        <v>0</v>
      </c>
      <c r="M164" s="59">
        <f t="shared" si="39"/>
        <v>0</v>
      </c>
      <c r="N164" s="59">
        <v>2270314.8200000003</v>
      </c>
      <c r="O164" s="11"/>
      <c r="P164" s="11"/>
      <c r="Q164" s="11"/>
      <c r="R164" s="11"/>
      <c r="S164" s="11"/>
      <c r="T164" s="11"/>
      <c r="U164" s="11"/>
      <c r="V164" s="11"/>
      <c r="W164" s="11"/>
      <c r="X164" s="11"/>
    </row>
    <row r="165" spans="1:24" ht="16.5" thickTop="1" thickBot="1">
      <c r="A165" s="44" t="s">
        <v>15</v>
      </c>
      <c r="B165" s="9">
        <f t="shared" ref="B165:M165" si="40">B146+B159+B164</f>
        <v>51008832.469999999</v>
      </c>
      <c r="C165" s="9">
        <f t="shared" si="40"/>
        <v>47955917.339999996</v>
      </c>
      <c r="D165" s="9">
        <f t="shared" si="40"/>
        <v>105097875.83000001</v>
      </c>
      <c r="E165" s="9">
        <f t="shared" si="40"/>
        <v>54315500.719999999</v>
      </c>
      <c r="F165" s="9">
        <f t="shared" si="40"/>
        <v>84058476.919999987</v>
      </c>
      <c r="G165" s="68">
        <f t="shared" si="40"/>
        <v>77001565.549999997</v>
      </c>
      <c r="H165" s="9">
        <f t="shared" si="40"/>
        <v>53459280.710000001</v>
      </c>
      <c r="I165" s="9">
        <f t="shared" si="40"/>
        <v>71126687.160000011</v>
      </c>
      <c r="J165" s="9">
        <f t="shared" si="40"/>
        <v>74288385.359999999</v>
      </c>
      <c r="K165" s="9">
        <f t="shared" si="40"/>
        <v>0</v>
      </c>
      <c r="L165" s="9">
        <f t="shared" si="40"/>
        <v>0</v>
      </c>
      <c r="M165" s="9">
        <f t="shared" si="40"/>
        <v>0</v>
      </c>
      <c r="N165" s="9">
        <f>N164+N159+N146</f>
        <v>455845534.52999997</v>
      </c>
      <c r="O165" s="17">
        <v>455845534.68000001</v>
      </c>
      <c r="P165" s="17">
        <f>N165-O165</f>
        <v>-0.15000003576278687</v>
      </c>
      <c r="Q165" s="17"/>
      <c r="R165" s="17"/>
      <c r="S165" s="11"/>
      <c r="T165" s="11"/>
      <c r="U165" s="11"/>
      <c r="V165" s="11"/>
      <c r="W165" s="11"/>
      <c r="X165" s="17"/>
    </row>
    <row r="166" spans="1:24" ht="15.75" thickTop="1">
      <c r="B166" s="11"/>
      <c r="C166" s="48"/>
      <c r="D166" s="11"/>
      <c r="F166" s="12"/>
      <c r="G166" s="66"/>
      <c r="H166" s="49"/>
      <c r="O166" s="11"/>
      <c r="P166" s="11"/>
      <c r="Q166" s="11"/>
      <c r="R166" s="11"/>
      <c r="S166" s="11"/>
      <c r="T166" s="11"/>
      <c r="U166" s="11"/>
      <c r="V166" s="11"/>
      <c r="W166" s="11"/>
    </row>
    <row r="167" spans="1:24">
      <c r="G167" s="69"/>
      <c r="H167" s="11"/>
      <c r="S167" s="11"/>
      <c r="T167" s="11"/>
      <c r="U167" s="11"/>
      <c r="V167" s="11"/>
      <c r="W167" s="11"/>
    </row>
    <row r="168" spans="1:24">
      <c r="A168" s="435" t="s">
        <v>57</v>
      </c>
      <c r="B168" s="432">
        <f t="shared" ref="B168:N168" si="41">B28</f>
        <v>42370</v>
      </c>
      <c r="C168" s="432">
        <f t="shared" si="41"/>
        <v>42401</v>
      </c>
      <c r="D168" s="432">
        <f t="shared" si="41"/>
        <v>42430</v>
      </c>
      <c r="E168" s="432">
        <f t="shared" si="41"/>
        <v>42461</v>
      </c>
      <c r="F168" s="432">
        <f t="shared" si="41"/>
        <v>42491</v>
      </c>
      <c r="G168" s="432">
        <f t="shared" si="41"/>
        <v>42522</v>
      </c>
      <c r="H168" s="432">
        <f t="shared" si="41"/>
        <v>42552</v>
      </c>
      <c r="I168" s="432">
        <f t="shared" si="41"/>
        <v>42583</v>
      </c>
      <c r="J168" s="432">
        <f t="shared" si="41"/>
        <v>42614</v>
      </c>
      <c r="K168" s="432">
        <f t="shared" si="41"/>
        <v>42644</v>
      </c>
      <c r="L168" s="432">
        <f t="shared" si="41"/>
        <v>42675</v>
      </c>
      <c r="M168" s="432">
        <f t="shared" si="41"/>
        <v>42705</v>
      </c>
      <c r="N168" s="432" t="str">
        <f t="shared" si="41"/>
        <v>Total</v>
      </c>
      <c r="S168" s="17"/>
      <c r="T168" s="17"/>
      <c r="U168" s="17"/>
      <c r="V168" s="17"/>
      <c r="W168" s="17"/>
    </row>
    <row r="169" spans="1:24" ht="15.75" thickBot="1">
      <c r="A169" s="436"/>
      <c r="B169" s="433"/>
      <c r="C169" s="433"/>
      <c r="D169" s="433"/>
      <c r="E169" s="433"/>
      <c r="F169" s="433"/>
      <c r="G169" s="433"/>
      <c r="H169" s="433"/>
      <c r="I169" s="433"/>
      <c r="J169" s="433"/>
      <c r="K169" s="433"/>
      <c r="L169" s="433"/>
      <c r="M169" s="433"/>
      <c r="N169" s="433"/>
      <c r="S169" s="11"/>
      <c r="T169" s="11"/>
      <c r="U169" s="11"/>
      <c r="V169" s="11"/>
      <c r="W169" s="11"/>
    </row>
    <row r="170" spans="1:24" ht="15.75" thickTop="1">
      <c r="A170" s="61" t="s">
        <v>58</v>
      </c>
      <c r="B170" s="62">
        <v>0</v>
      </c>
      <c r="C170" s="62">
        <v>0</v>
      </c>
      <c r="D170" s="62">
        <v>0</v>
      </c>
      <c r="E170" s="62">
        <v>0</v>
      </c>
      <c r="F170" s="62">
        <v>0</v>
      </c>
      <c r="G170" s="62">
        <v>0</v>
      </c>
      <c r="H170" s="62">
        <v>0</v>
      </c>
      <c r="I170" s="62">
        <v>0</v>
      </c>
      <c r="J170" s="62">
        <v>0</v>
      </c>
      <c r="K170" s="62">
        <v>0</v>
      </c>
      <c r="L170" s="62">
        <v>0</v>
      </c>
      <c r="M170" s="62">
        <v>0</v>
      </c>
      <c r="N170" s="62">
        <v>0</v>
      </c>
    </row>
    <row r="171" spans="1:24">
      <c r="A171" s="61" t="s">
        <v>59</v>
      </c>
      <c r="B171" s="62">
        <v>0</v>
      </c>
      <c r="C171" s="62">
        <v>0</v>
      </c>
      <c r="D171" s="62">
        <v>0</v>
      </c>
      <c r="E171" s="62">
        <v>0</v>
      </c>
      <c r="F171" s="62">
        <v>0</v>
      </c>
      <c r="G171" s="62">
        <v>0</v>
      </c>
      <c r="H171" s="62">
        <v>0</v>
      </c>
      <c r="I171" s="62">
        <v>0</v>
      </c>
      <c r="J171" s="62">
        <v>0</v>
      </c>
      <c r="K171" s="62">
        <v>0</v>
      </c>
      <c r="L171" s="62">
        <v>0</v>
      </c>
      <c r="M171" s="62">
        <v>0</v>
      </c>
      <c r="N171" s="62">
        <v>0</v>
      </c>
    </row>
    <row r="172" spans="1:24" ht="15.75" thickBot="1">
      <c r="A172" s="63" t="s">
        <v>60</v>
      </c>
      <c r="B172" s="64">
        <f t="shared" ref="B172:N172" si="42">SUM(B170:B171)</f>
        <v>0</v>
      </c>
      <c r="C172" s="64">
        <f t="shared" si="42"/>
        <v>0</v>
      </c>
      <c r="D172" s="64">
        <f t="shared" si="42"/>
        <v>0</v>
      </c>
      <c r="E172" s="64">
        <f t="shared" si="42"/>
        <v>0</v>
      </c>
      <c r="F172" s="64">
        <f t="shared" si="42"/>
        <v>0</v>
      </c>
      <c r="G172" s="64">
        <f t="shared" si="42"/>
        <v>0</v>
      </c>
      <c r="H172" s="64">
        <f t="shared" si="42"/>
        <v>0</v>
      </c>
      <c r="I172" s="64">
        <f t="shared" si="42"/>
        <v>0</v>
      </c>
      <c r="J172" s="64">
        <f t="shared" si="42"/>
        <v>0</v>
      </c>
      <c r="K172" s="64">
        <f t="shared" si="42"/>
        <v>0</v>
      </c>
      <c r="L172" s="64">
        <f t="shared" si="42"/>
        <v>0</v>
      </c>
      <c r="M172" s="64">
        <f t="shared" si="42"/>
        <v>0</v>
      </c>
      <c r="N172" s="64">
        <f t="shared" si="42"/>
        <v>0</v>
      </c>
    </row>
    <row r="173" spans="1:24" ht="15.75" thickTop="1">
      <c r="A173" s="45" t="s">
        <v>35</v>
      </c>
      <c r="B173" s="46"/>
      <c r="C173" s="46"/>
      <c r="D173" s="46"/>
      <c r="E173" s="46"/>
      <c r="F173" s="46"/>
      <c r="G173" s="46"/>
      <c r="H173" s="46"/>
      <c r="I173" s="46"/>
      <c r="J173" s="46"/>
      <c r="K173" s="46"/>
      <c r="L173" s="46"/>
      <c r="M173" s="46"/>
      <c r="N173" s="46"/>
    </row>
    <row r="174" spans="1:24">
      <c r="A174" s="65" t="str">
        <f t="shared" ref="A174:A187" si="43">A124</f>
        <v>Al Oula</v>
      </c>
      <c r="B174" s="48">
        <v>0</v>
      </c>
      <c r="C174" s="48">
        <v>0</v>
      </c>
      <c r="D174" s="48">
        <v>0</v>
      </c>
      <c r="E174" s="48">
        <v>0</v>
      </c>
      <c r="F174" s="48">
        <v>0</v>
      </c>
      <c r="G174" s="48">
        <v>0</v>
      </c>
      <c r="H174" s="48">
        <v>0</v>
      </c>
      <c r="I174" s="48">
        <v>0</v>
      </c>
      <c r="J174" s="48">
        <v>0</v>
      </c>
      <c r="K174" s="48">
        <v>0</v>
      </c>
      <c r="L174" s="48">
        <v>0</v>
      </c>
      <c r="M174" s="48">
        <v>0</v>
      </c>
      <c r="N174" s="48">
        <v>0</v>
      </c>
    </row>
    <row r="175" spans="1:24">
      <c r="A175" s="65" t="str">
        <f t="shared" si="43"/>
        <v>Hyper Al Sulaimaniya</v>
      </c>
      <c r="B175" s="48">
        <v>0</v>
      </c>
      <c r="C175" s="48">
        <v>0</v>
      </c>
      <c r="D175" s="48">
        <v>0</v>
      </c>
      <c r="E175" s="48">
        <v>0</v>
      </c>
      <c r="F175" s="48">
        <v>0</v>
      </c>
      <c r="G175" s="48">
        <v>0</v>
      </c>
      <c r="H175" s="48">
        <v>0</v>
      </c>
      <c r="I175" s="48">
        <v>0</v>
      </c>
      <c r="J175" s="48">
        <v>0</v>
      </c>
      <c r="K175" s="48">
        <v>0</v>
      </c>
      <c r="L175" s="48">
        <v>0</v>
      </c>
      <c r="M175" s="48">
        <v>0</v>
      </c>
      <c r="N175" s="48">
        <v>0</v>
      </c>
    </row>
    <row r="176" spans="1:24">
      <c r="A176" s="65" t="str">
        <f t="shared" si="43"/>
        <v>New Giza I</v>
      </c>
      <c r="B176" s="48">
        <v>0</v>
      </c>
      <c r="C176" s="48">
        <v>0</v>
      </c>
      <c r="D176" s="48">
        <v>0</v>
      </c>
      <c r="E176" s="48">
        <v>0</v>
      </c>
      <c r="F176" s="48">
        <v>0</v>
      </c>
      <c r="G176" s="48">
        <v>0</v>
      </c>
      <c r="H176" s="48">
        <v>0</v>
      </c>
      <c r="I176" s="48">
        <v>0</v>
      </c>
      <c r="J176" s="48">
        <v>0</v>
      </c>
      <c r="K176" s="48">
        <v>0</v>
      </c>
      <c r="L176" s="48">
        <v>0</v>
      </c>
      <c r="M176" s="48">
        <v>0</v>
      </c>
      <c r="N176" s="48">
        <v>0</v>
      </c>
    </row>
    <row r="177" spans="1:14">
      <c r="A177" s="65" t="str">
        <f t="shared" si="43"/>
        <v>Maxim mall</v>
      </c>
      <c r="B177" s="48">
        <v>0</v>
      </c>
      <c r="C177" s="48">
        <v>0</v>
      </c>
      <c r="D177" s="48">
        <v>0</v>
      </c>
      <c r="E177" s="48">
        <v>0</v>
      </c>
      <c r="F177" s="48">
        <v>0</v>
      </c>
      <c r="G177" s="48">
        <v>0</v>
      </c>
      <c r="H177" s="48">
        <v>0</v>
      </c>
      <c r="I177" s="48">
        <v>0</v>
      </c>
      <c r="J177" s="48">
        <v>0</v>
      </c>
      <c r="K177" s="48">
        <v>0</v>
      </c>
      <c r="L177" s="48">
        <v>0</v>
      </c>
      <c r="M177" s="48">
        <v>0</v>
      </c>
      <c r="N177" s="48">
        <v>0</v>
      </c>
    </row>
    <row r="178" spans="1:14">
      <c r="A178" s="65" t="str">
        <f t="shared" si="43"/>
        <v>Attaka</v>
      </c>
      <c r="B178" s="48">
        <v>0</v>
      </c>
      <c r="C178" s="48">
        <v>0</v>
      </c>
      <c r="D178" s="48">
        <v>0</v>
      </c>
      <c r="E178" s="48">
        <v>0</v>
      </c>
      <c r="F178" s="48">
        <v>0</v>
      </c>
      <c r="G178" s="48">
        <v>0</v>
      </c>
      <c r="H178" s="48">
        <v>0</v>
      </c>
      <c r="I178" s="48">
        <v>0</v>
      </c>
      <c r="J178" s="48">
        <v>0</v>
      </c>
      <c r="K178" s="48">
        <v>0</v>
      </c>
      <c r="L178" s="48">
        <v>0</v>
      </c>
      <c r="M178" s="48">
        <v>0</v>
      </c>
      <c r="N178" s="48">
        <v>0</v>
      </c>
    </row>
    <row r="179" spans="1:14">
      <c r="A179" s="65" t="str">
        <f t="shared" si="43"/>
        <v>مول مصر</v>
      </c>
      <c r="B179" s="48">
        <v>0</v>
      </c>
      <c r="C179" s="48">
        <v>0</v>
      </c>
      <c r="D179" s="48">
        <v>0</v>
      </c>
      <c r="E179" s="48">
        <v>0</v>
      </c>
      <c r="F179" s="48">
        <v>0</v>
      </c>
      <c r="G179" s="48">
        <v>0</v>
      </c>
      <c r="H179" s="48">
        <v>0</v>
      </c>
      <c r="I179" s="48">
        <v>0</v>
      </c>
      <c r="J179" s="48">
        <v>0</v>
      </c>
      <c r="K179" s="48">
        <v>0</v>
      </c>
      <c r="L179" s="48">
        <v>0</v>
      </c>
      <c r="M179" s="48">
        <v>0</v>
      </c>
      <c r="N179" s="48">
        <v>0</v>
      </c>
    </row>
    <row r="180" spans="1:14">
      <c r="A180" s="65" t="str">
        <f t="shared" si="43"/>
        <v>مراسى تانك الخزان الجديد PKG22 New</v>
      </c>
      <c r="B180" s="48">
        <v>0</v>
      </c>
      <c r="C180" s="48">
        <v>0</v>
      </c>
      <c r="D180" s="48">
        <v>0</v>
      </c>
      <c r="E180" s="48">
        <v>0</v>
      </c>
      <c r="F180" s="48">
        <v>0</v>
      </c>
      <c r="G180" s="48">
        <v>0</v>
      </c>
      <c r="H180" s="48">
        <v>0</v>
      </c>
      <c r="I180" s="48">
        <v>0</v>
      </c>
      <c r="J180" s="48">
        <v>0</v>
      </c>
      <c r="K180" s="48">
        <v>0</v>
      </c>
      <c r="L180" s="48">
        <v>0</v>
      </c>
      <c r="M180" s="48">
        <v>0</v>
      </c>
      <c r="N180" s="48">
        <v>0</v>
      </c>
    </row>
    <row r="181" spans="1:14">
      <c r="A181" s="65" t="str">
        <f t="shared" si="43"/>
        <v>نادي سوديك</v>
      </c>
      <c r="B181" s="48">
        <v>0</v>
      </c>
      <c r="C181" s="48">
        <v>0</v>
      </c>
      <c r="D181" s="48">
        <v>0</v>
      </c>
      <c r="E181" s="48">
        <v>0</v>
      </c>
      <c r="F181" s="48">
        <v>0</v>
      </c>
      <c r="G181" s="48">
        <v>0</v>
      </c>
      <c r="H181" s="48">
        <v>0</v>
      </c>
      <c r="I181" s="48">
        <v>0</v>
      </c>
      <c r="J181" s="48">
        <v>0</v>
      </c>
      <c r="K181" s="48">
        <v>0</v>
      </c>
      <c r="L181" s="48">
        <v>0</v>
      </c>
      <c r="M181" s="48">
        <v>0</v>
      </c>
      <c r="N181" s="48">
        <v>0</v>
      </c>
    </row>
    <row r="182" spans="1:14">
      <c r="A182" s="65" t="str">
        <f t="shared" si="43"/>
        <v>شرم الشيخ</v>
      </c>
      <c r="B182" s="48">
        <v>0</v>
      </c>
      <c r="C182" s="48">
        <v>0</v>
      </c>
      <c r="D182" s="48">
        <v>0</v>
      </c>
      <c r="E182" s="48">
        <v>0</v>
      </c>
      <c r="F182" s="48">
        <v>0</v>
      </c>
      <c r="G182" s="48">
        <v>0</v>
      </c>
      <c r="H182" s="48">
        <v>0</v>
      </c>
      <c r="I182" s="48">
        <v>0</v>
      </c>
      <c r="J182" s="48">
        <v>0</v>
      </c>
      <c r="K182" s="48">
        <v>0</v>
      </c>
      <c r="L182" s="48">
        <v>0</v>
      </c>
      <c r="M182" s="48">
        <v>0</v>
      </c>
      <c r="N182" s="48">
        <v>0</v>
      </c>
    </row>
    <row r="183" spans="1:14">
      <c r="A183" s="65" t="str">
        <f t="shared" si="43"/>
        <v>عمائر اب تاون 53</v>
      </c>
      <c r="B183" s="48">
        <v>0</v>
      </c>
      <c r="C183" s="48">
        <v>0</v>
      </c>
      <c r="D183" s="48">
        <v>0</v>
      </c>
      <c r="E183" s="48">
        <v>0</v>
      </c>
      <c r="F183" s="48">
        <v>0</v>
      </c>
      <c r="G183" s="48">
        <v>0</v>
      </c>
      <c r="H183" s="48">
        <v>0</v>
      </c>
      <c r="I183" s="48">
        <v>0</v>
      </c>
      <c r="J183" s="48">
        <v>0</v>
      </c>
      <c r="K183" s="48">
        <v>0</v>
      </c>
      <c r="L183" s="48">
        <v>0</v>
      </c>
      <c r="M183" s="48">
        <v>0</v>
      </c>
      <c r="N183" s="48">
        <v>0</v>
      </c>
    </row>
    <row r="184" spans="1:14">
      <c r="A184" s="65" t="str">
        <f t="shared" si="43"/>
        <v>New Giza phase 2</v>
      </c>
      <c r="B184" s="48">
        <v>0</v>
      </c>
      <c r="C184" s="48">
        <v>0</v>
      </c>
      <c r="D184" s="48">
        <v>0</v>
      </c>
      <c r="E184" s="48">
        <v>0</v>
      </c>
      <c r="F184" s="48">
        <v>0</v>
      </c>
      <c r="G184" s="48">
        <v>0</v>
      </c>
      <c r="H184" s="48">
        <v>0</v>
      </c>
      <c r="I184" s="48">
        <v>0</v>
      </c>
      <c r="J184" s="48">
        <v>0</v>
      </c>
      <c r="K184" s="48">
        <v>0</v>
      </c>
      <c r="L184" s="48">
        <v>0</v>
      </c>
      <c r="M184" s="48">
        <v>0</v>
      </c>
      <c r="N184" s="48">
        <v>0</v>
      </c>
    </row>
    <row r="185" spans="1:14">
      <c r="A185" s="65" t="str">
        <f t="shared" si="43"/>
        <v>Beni suef</v>
      </c>
      <c r="B185" s="48">
        <v>0</v>
      </c>
      <c r="C185" s="48">
        <v>0</v>
      </c>
      <c r="D185" s="48">
        <v>0</v>
      </c>
      <c r="E185" s="48">
        <v>0</v>
      </c>
      <c r="F185" s="48">
        <v>0</v>
      </c>
      <c r="G185" s="48">
        <v>0</v>
      </c>
      <c r="H185" s="48">
        <v>0</v>
      </c>
      <c r="I185" s="48">
        <v>0</v>
      </c>
      <c r="J185" s="48">
        <v>0</v>
      </c>
      <c r="K185" s="48">
        <v>0</v>
      </c>
      <c r="L185" s="48">
        <v>0</v>
      </c>
      <c r="M185" s="48">
        <v>0</v>
      </c>
      <c r="N185" s="48">
        <v>0</v>
      </c>
    </row>
    <row r="186" spans="1:14">
      <c r="A186" s="65" t="str">
        <f t="shared" si="43"/>
        <v>كوبرى الشيخ بن زايد - كوبرى العاصمة</v>
      </c>
      <c r="B186" s="48">
        <v>0</v>
      </c>
      <c r="C186" s="48">
        <v>0</v>
      </c>
      <c r="D186" s="48">
        <v>0</v>
      </c>
      <c r="E186" s="48">
        <v>0</v>
      </c>
      <c r="F186" s="48">
        <v>0</v>
      </c>
      <c r="G186" s="48">
        <v>0</v>
      </c>
      <c r="H186" s="48">
        <v>0</v>
      </c>
      <c r="I186" s="48">
        <v>0</v>
      </c>
      <c r="J186" s="48">
        <v>0</v>
      </c>
      <c r="K186" s="48">
        <v>0</v>
      </c>
      <c r="L186" s="48">
        <v>0</v>
      </c>
      <c r="M186" s="48">
        <v>0</v>
      </c>
      <c r="N186" s="48">
        <v>0</v>
      </c>
    </row>
    <row r="187" spans="1:14">
      <c r="A187" s="65" t="str">
        <f t="shared" si="43"/>
        <v>جبل الزيت - GAMISA</v>
      </c>
      <c r="B187" s="48">
        <v>0</v>
      </c>
      <c r="C187" s="48">
        <v>0</v>
      </c>
      <c r="D187" s="48">
        <v>0</v>
      </c>
      <c r="E187" s="48">
        <v>0</v>
      </c>
      <c r="F187" s="48">
        <v>0</v>
      </c>
      <c r="G187" s="48">
        <v>0</v>
      </c>
      <c r="H187" s="48">
        <v>0</v>
      </c>
      <c r="I187" s="48">
        <v>0</v>
      </c>
      <c r="J187" s="48">
        <v>0</v>
      </c>
      <c r="K187" s="48">
        <v>0</v>
      </c>
      <c r="L187" s="48">
        <v>0</v>
      </c>
      <c r="M187" s="48">
        <v>0</v>
      </c>
      <c r="N187" s="48">
        <v>0</v>
      </c>
    </row>
    <row r="188" spans="1:14" ht="15.75" thickBot="1">
      <c r="A188" s="50" t="s">
        <v>37</v>
      </c>
      <c r="B188" s="59">
        <f>SUM(B174:B187)</f>
        <v>0</v>
      </c>
      <c r="C188" s="59">
        <f t="shared" ref="C188:N188" si="44">SUM(C174:C187)</f>
        <v>0</v>
      </c>
      <c r="D188" s="59">
        <f t="shared" si="44"/>
        <v>0</v>
      </c>
      <c r="E188" s="59">
        <f t="shared" si="44"/>
        <v>0</v>
      </c>
      <c r="F188" s="59">
        <f t="shared" si="44"/>
        <v>0</v>
      </c>
      <c r="G188" s="59">
        <f t="shared" si="44"/>
        <v>0</v>
      </c>
      <c r="H188" s="59">
        <f t="shared" si="44"/>
        <v>0</v>
      </c>
      <c r="I188" s="59">
        <f t="shared" si="44"/>
        <v>0</v>
      </c>
      <c r="J188" s="59">
        <f t="shared" si="44"/>
        <v>0</v>
      </c>
      <c r="K188" s="59">
        <f t="shared" si="44"/>
        <v>0</v>
      </c>
      <c r="L188" s="59">
        <f t="shared" si="44"/>
        <v>0</v>
      </c>
      <c r="M188" s="59">
        <f t="shared" si="44"/>
        <v>0</v>
      </c>
      <c r="N188" s="59">
        <f t="shared" si="44"/>
        <v>0</v>
      </c>
    </row>
    <row r="189" spans="1:14" ht="15.75" thickTop="1">
      <c r="A189" s="45" t="s">
        <v>48</v>
      </c>
      <c r="B189" s="48"/>
      <c r="C189" s="48"/>
      <c r="D189" s="48"/>
      <c r="E189" s="48"/>
      <c r="F189" s="48"/>
      <c r="G189" s="48"/>
      <c r="H189" s="48"/>
      <c r="I189" s="48"/>
      <c r="J189" s="48"/>
      <c r="K189" s="48"/>
      <c r="L189" s="48"/>
      <c r="M189" s="48"/>
      <c r="N189" s="48"/>
    </row>
    <row r="190" spans="1:14">
      <c r="A190" s="65" t="str">
        <f t="shared" ref="A190:A196" si="45">A148</f>
        <v>كباري مراسي pkg#37</v>
      </c>
      <c r="B190" s="48">
        <v>0</v>
      </c>
      <c r="C190" s="48">
        <v>0</v>
      </c>
      <c r="D190" s="48">
        <v>0</v>
      </c>
      <c r="E190" s="48">
        <v>0</v>
      </c>
      <c r="F190" s="48">
        <v>0</v>
      </c>
      <c r="G190" s="48">
        <v>0</v>
      </c>
      <c r="H190" s="48">
        <v>0</v>
      </c>
      <c r="I190" s="48">
        <v>0</v>
      </c>
      <c r="J190" s="48">
        <v>0</v>
      </c>
      <c r="K190" s="48">
        <v>0</v>
      </c>
      <c r="L190" s="48">
        <v>0</v>
      </c>
      <c r="M190" s="48">
        <v>0</v>
      </c>
      <c r="N190" s="48">
        <v>0</v>
      </c>
    </row>
    <row r="191" spans="1:14">
      <c r="A191" s="65" t="str">
        <f t="shared" si="45"/>
        <v>اب تاون pkg#17</v>
      </c>
      <c r="B191" s="48">
        <v>0</v>
      </c>
      <c r="C191" s="48">
        <v>0</v>
      </c>
      <c r="D191" s="48">
        <v>0</v>
      </c>
      <c r="E191" s="48">
        <v>0</v>
      </c>
      <c r="F191" s="48">
        <v>0</v>
      </c>
      <c r="G191" s="48">
        <v>0</v>
      </c>
      <c r="H191" s="48">
        <v>0</v>
      </c>
      <c r="I191" s="48">
        <v>0</v>
      </c>
      <c r="J191" s="48">
        <v>0</v>
      </c>
      <c r="K191" s="48">
        <v>0</v>
      </c>
      <c r="L191" s="48">
        <v>0</v>
      </c>
      <c r="M191" s="48">
        <v>0</v>
      </c>
      <c r="N191" s="48">
        <v>0</v>
      </c>
    </row>
    <row r="192" spans="1:14">
      <c r="A192" s="65" t="str">
        <f t="shared" si="45"/>
        <v>اب تاون pkg#32</v>
      </c>
      <c r="B192" s="48">
        <v>0</v>
      </c>
      <c r="C192" s="48">
        <v>0</v>
      </c>
      <c r="D192" s="48">
        <v>0</v>
      </c>
      <c r="E192" s="48">
        <v>0</v>
      </c>
      <c r="F192" s="48">
        <v>0</v>
      </c>
      <c r="G192" s="48">
        <v>0</v>
      </c>
      <c r="H192" s="48">
        <v>0</v>
      </c>
      <c r="I192" s="48">
        <v>0</v>
      </c>
      <c r="J192" s="48">
        <v>0</v>
      </c>
      <c r="K192" s="48">
        <v>0</v>
      </c>
      <c r="L192" s="48">
        <v>0</v>
      </c>
      <c r="M192" s="48">
        <v>0</v>
      </c>
      <c r="N192" s="48">
        <v>0</v>
      </c>
    </row>
    <row r="193" spans="1:14">
      <c r="A193" s="65" t="str">
        <f t="shared" si="45"/>
        <v>PKG#45 Civic Center</v>
      </c>
      <c r="B193" s="48">
        <v>0</v>
      </c>
      <c r="C193" s="48">
        <v>0</v>
      </c>
      <c r="D193" s="48">
        <v>0</v>
      </c>
      <c r="E193" s="48">
        <v>0</v>
      </c>
      <c r="F193" s="48">
        <v>0</v>
      </c>
      <c r="G193" s="48">
        <v>0</v>
      </c>
      <c r="H193" s="48">
        <v>0</v>
      </c>
      <c r="I193" s="48">
        <v>0</v>
      </c>
      <c r="J193" s="48">
        <v>0</v>
      </c>
      <c r="K193" s="48">
        <v>0</v>
      </c>
      <c r="L193" s="48">
        <v>0</v>
      </c>
      <c r="M193" s="48">
        <v>0</v>
      </c>
      <c r="N193" s="48">
        <v>0</v>
      </c>
    </row>
    <row r="194" spans="1:14">
      <c r="A194" s="65" t="str">
        <f t="shared" si="45"/>
        <v xml:space="preserve">Limak </v>
      </c>
      <c r="B194" s="48">
        <v>0</v>
      </c>
      <c r="C194" s="48">
        <v>0</v>
      </c>
      <c r="D194" s="48">
        <v>0</v>
      </c>
      <c r="E194" s="48">
        <v>0</v>
      </c>
      <c r="F194" s="48">
        <v>0</v>
      </c>
      <c r="G194" s="48">
        <v>0</v>
      </c>
      <c r="H194" s="48">
        <v>0</v>
      </c>
      <c r="I194" s="48">
        <v>0</v>
      </c>
      <c r="J194" s="48">
        <v>0</v>
      </c>
      <c r="K194" s="48">
        <v>0</v>
      </c>
      <c r="L194" s="48">
        <v>0</v>
      </c>
      <c r="M194" s="48">
        <v>0</v>
      </c>
      <c r="N194" s="48">
        <v>0</v>
      </c>
    </row>
    <row r="195" spans="1:14">
      <c r="A195" s="65" t="str">
        <f t="shared" si="45"/>
        <v>Sodic West Town</v>
      </c>
      <c r="B195" s="48">
        <v>0</v>
      </c>
      <c r="C195" s="48">
        <v>0</v>
      </c>
      <c r="D195" s="48">
        <v>0</v>
      </c>
      <c r="E195" s="48">
        <v>0</v>
      </c>
      <c r="F195" s="48">
        <v>0</v>
      </c>
      <c r="G195" s="48">
        <v>0</v>
      </c>
      <c r="H195" s="48">
        <v>0</v>
      </c>
      <c r="I195" s="48">
        <v>0</v>
      </c>
      <c r="J195" s="48">
        <v>0</v>
      </c>
      <c r="K195" s="48">
        <v>0</v>
      </c>
      <c r="L195" s="48">
        <v>0</v>
      </c>
      <c r="M195" s="48">
        <v>0</v>
      </c>
      <c r="N195" s="48">
        <v>0</v>
      </c>
    </row>
    <row r="196" spans="1:14">
      <c r="A196" s="65" t="str">
        <f t="shared" si="45"/>
        <v>New Cairo Mall</v>
      </c>
      <c r="B196" s="48">
        <v>0</v>
      </c>
      <c r="C196" s="48">
        <v>0</v>
      </c>
      <c r="D196" s="48">
        <v>0</v>
      </c>
      <c r="E196" s="48">
        <v>0</v>
      </c>
      <c r="F196" s="48">
        <v>0</v>
      </c>
      <c r="G196" s="48">
        <v>0</v>
      </c>
      <c r="H196" s="48">
        <v>0</v>
      </c>
      <c r="I196" s="48">
        <v>0</v>
      </c>
      <c r="J196" s="48">
        <v>0</v>
      </c>
      <c r="K196" s="48">
        <v>0</v>
      </c>
      <c r="L196" s="48">
        <v>0</v>
      </c>
      <c r="M196" s="48">
        <v>0</v>
      </c>
      <c r="N196" s="48">
        <v>0</v>
      </c>
    </row>
    <row r="197" spans="1:14">
      <c r="A197" s="65" t="e">
        <f>#REF!</f>
        <v>#REF!</v>
      </c>
      <c r="B197" s="48">
        <v>0</v>
      </c>
      <c r="C197" s="48">
        <v>0</v>
      </c>
      <c r="D197" s="48">
        <v>0</v>
      </c>
      <c r="E197" s="48">
        <v>0</v>
      </c>
      <c r="F197" s="48">
        <v>0</v>
      </c>
      <c r="G197" s="48">
        <v>0</v>
      </c>
      <c r="H197" s="48">
        <v>0</v>
      </c>
      <c r="I197" s="48">
        <v>0</v>
      </c>
      <c r="J197" s="48">
        <v>0</v>
      </c>
      <c r="K197" s="48">
        <v>0</v>
      </c>
      <c r="L197" s="48">
        <v>0</v>
      </c>
      <c r="M197" s="48">
        <v>0</v>
      </c>
      <c r="N197" s="48">
        <v>0</v>
      </c>
    </row>
    <row r="198" spans="1:14">
      <c r="A198" s="65" t="str">
        <f>A156</f>
        <v>Kasrawy II</v>
      </c>
      <c r="B198" s="48">
        <v>0</v>
      </c>
      <c r="C198" s="48">
        <v>0</v>
      </c>
      <c r="D198" s="48">
        <v>0</v>
      </c>
      <c r="E198" s="48">
        <v>0</v>
      </c>
      <c r="F198" s="48">
        <v>0</v>
      </c>
      <c r="G198" s="48">
        <v>0</v>
      </c>
      <c r="H198" s="48">
        <v>0</v>
      </c>
      <c r="I198" s="48">
        <v>0</v>
      </c>
      <c r="J198" s="48">
        <v>0</v>
      </c>
      <c r="K198" s="48">
        <v>0</v>
      </c>
      <c r="L198" s="48">
        <v>0</v>
      </c>
      <c r="M198" s="48">
        <v>0</v>
      </c>
      <c r="N198" s="48">
        <v>0</v>
      </c>
    </row>
    <row r="199" spans="1:14" ht="15.75" thickBot="1">
      <c r="A199" s="50" t="s">
        <v>37</v>
      </c>
      <c r="B199" s="59">
        <f>SUM(B190:B198)</f>
        <v>0</v>
      </c>
      <c r="C199" s="59">
        <f t="shared" ref="C199:N199" si="46">SUM(C190:C198)</f>
        <v>0</v>
      </c>
      <c r="D199" s="59">
        <f t="shared" si="46"/>
        <v>0</v>
      </c>
      <c r="E199" s="59">
        <f t="shared" si="46"/>
        <v>0</v>
      </c>
      <c r="F199" s="59">
        <f t="shared" si="46"/>
        <v>0</v>
      </c>
      <c r="G199" s="59">
        <f t="shared" si="46"/>
        <v>0</v>
      </c>
      <c r="H199" s="59">
        <f t="shared" si="46"/>
        <v>0</v>
      </c>
      <c r="I199" s="59">
        <f t="shared" si="46"/>
        <v>0</v>
      </c>
      <c r="J199" s="59">
        <f t="shared" si="46"/>
        <v>0</v>
      </c>
      <c r="K199" s="59">
        <f t="shared" si="46"/>
        <v>0</v>
      </c>
      <c r="L199" s="59">
        <f t="shared" si="46"/>
        <v>0</v>
      </c>
      <c r="M199" s="59">
        <f t="shared" si="46"/>
        <v>0</v>
      </c>
      <c r="N199" s="59">
        <f t="shared" si="46"/>
        <v>0</v>
      </c>
    </row>
    <row r="200" spans="1:14" ht="16.5" thickTop="1" thickBot="1">
      <c r="A200" s="44" t="s">
        <v>15</v>
      </c>
      <c r="B200" s="9">
        <f t="shared" ref="B200:N200" si="47">B199+B188</f>
        <v>0</v>
      </c>
      <c r="C200" s="9">
        <f t="shared" si="47"/>
        <v>0</v>
      </c>
      <c r="D200" s="9">
        <f t="shared" si="47"/>
        <v>0</v>
      </c>
      <c r="E200" s="9">
        <f t="shared" si="47"/>
        <v>0</v>
      </c>
      <c r="F200" s="9">
        <f t="shared" si="47"/>
        <v>0</v>
      </c>
      <c r="G200" s="9">
        <f t="shared" si="47"/>
        <v>0</v>
      </c>
      <c r="H200" s="9">
        <f t="shared" si="47"/>
        <v>0</v>
      </c>
      <c r="I200" s="9">
        <f t="shared" si="47"/>
        <v>0</v>
      </c>
      <c r="J200" s="9">
        <f t="shared" si="47"/>
        <v>0</v>
      </c>
      <c r="K200" s="9">
        <f t="shared" si="47"/>
        <v>0</v>
      </c>
      <c r="L200" s="9">
        <f t="shared" si="47"/>
        <v>0</v>
      </c>
      <c r="M200" s="9">
        <f t="shared" si="47"/>
        <v>0</v>
      </c>
      <c r="N200" s="9">
        <f t="shared" si="47"/>
        <v>0</v>
      </c>
    </row>
    <row r="201" spans="1:14" ht="15.75" thickTop="1">
      <c r="B201" s="11">
        <f>B200-B172</f>
        <v>0</v>
      </c>
    </row>
    <row r="206" spans="1:14">
      <c r="D206" s="11"/>
    </row>
    <row r="207" spans="1:14">
      <c r="D207" s="11"/>
    </row>
    <row r="208" spans="1:14">
      <c r="D208" s="11"/>
    </row>
    <row r="209" spans="4:4">
      <c r="D209" s="11"/>
    </row>
  </sheetData>
  <mergeCells count="82">
    <mergeCell ref="L1:L2"/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X1:X2"/>
    <mergeCell ref="M1:M2"/>
    <mergeCell ref="N1:N2"/>
    <mergeCell ref="O1:O2"/>
    <mergeCell ref="P1:P2"/>
    <mergeCell ref="Q1:Q2"/>
    <mergeCell ref="R1:R2"/>
    <mergeCell ref="Y28:Y29"/>
    <mergeCell ref="AA1:AB1"/>
    <mergeCell ref="A27:N27"/>
    <mergeCell ref="B28:B29"/>
    <mergeCell ref="C28:C29"/>
    <mergeCell ref="D28:D29"/>
    <mergeCell ref="E28:E29"/>
    <mergeCell ref="F28:F29"/>
    <mergeCell ref="G28:G29"/>
    <mergeCell ref="H28:H29"/>
    <mergeCell ref="I28:I29"/>
    <mergeCell ref="S1:S2"/>
    <mergeCell ref="T1:T2"/>
    <mergeCell ref="U1:U2"/>
    <mergeCell ref="V1:V2"/>
    <mergeCell ref="W1:W2"/>
    <mergeCell ref="J28:J29"/>
    <mergeCell ref="K28:K29"/>
    <mergeCell ref="L28:L29"/>
    <mergeCell ref="M28:M29"/>
    <mergeCell ref="N28:N29"/>
    <mergeCell ref="L79:L80"/>
    <mergeCell ref="M79:M80"/>
    <mergeCell ref="B79:B80"/>
    <mergeCell ref="C79:C80"/>
    <mergeCell ref="D79:D80"/>
    <mergeCell ref="E79:E80"/>
    <mergeCell ref="F79:F80"/>
    <mergeCell ref="G79:G80"/>
    <mergeCell ref="N121:N122"/>
    <mergeCell ref="O121:O122"/>
    <mergeCell ref="N79:N80"/>
    <mergeCell ref="A121:A122"/>
    <mergeCell ref="B121:B122"/>
    <mergeCell ref="C121:C122"/>
    <mergeCell ref="D121:D122"/>
    <mergeCell ref="E121:E122"/>
    <mergeCell ref="F121:F122"/>
    <mergeCell ref="G121:G122"/>
    <mergeCell ref="H121:H122"/>
    <mergeCell ref="I121:I122"/>
    <mergeCell ref="H79:H80"/>
    <mergeCell ref="I79:I80"/>
    <mergeCell ref="J79:J80"/>
    <mergeCell ref="K79:K80"/>
    <mergeCell ref="F168:F169"/>
    <mergeCell ref="J121:J122"/>
    <mergeCell ref="K121:K122"/>
    <mergeCell ref="L121:L122"/>
    <mergeCell ref="M121:M122"/>
    <mergeCell ref="M168:M169"/>
    <mergeCell ref="A168:A169"/>
    <mergeCell ref="B168:B169"/>
    <mergeCell ref="C168:C169"/>
    <mergeCell ref="D168:D169"/>
    <mergeCell ref="E168:E169"/>
    <mergeCell ref="N168:N169"/>
    <mergeCell ref="G168:G169"/>
    <mergeCell ref="H168:H169"/>
    <mergeCell ref="I168:I169"/>
    <mergeCell ref="J168:J169"/>
    <mergeCell ref="K168:K169"/>
    <mergeCell ref="L168:L169"/>
  </mergeCells>
  <hyperlinks>
    <hyperlink ref="AA1:AB1" location="'Trial Balance'!A1" display="Trial Balance" xr:uid="{00000000-0004-0000-0200-000000000000}"/>
  </hyperlinks>
  <printOptions horizontalCentered="1" verticalCentered="1"/>
  <pageMargins left="0.70866141732283472" right="0.70866141732283472" top="0.43307086614173229" bottom="0.74803149606299213" header="0.31496062992125984" footer="0.31496062992125984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 filterMode="1"/>
  <dimension ref="C3:F38"/>
  <sheetViews>
    <sheetView workbookViewId="0">
      <selection activeCell="A131" sqref="A131"/>
    </sheetView>
  </sheetViews>
  <sheetFormatPr defaultRowHeight="15"/>
  <cols>
    <col min="2" max="2" width="6.42578125" customWidth="1"/>
    <col min="3" max="3" width="30.140625" style="98" customWidth="1"/>
    <col min="4" max="4" width="13.7109375" bestFit="1" customWidth="1"/>
    <col min="5" max="5" width="14.7109375" customWidth="1"/>
    <col min="6" max="6" width="16.28515625" customWidth="1"/>
  </cols>
  <sheetData>
    <row r="3" spans="3:6">
      <c r="C3" s="99" t="s">
        <v>80</v>
      </c>
      <c r="D3" s="99" t="s">
        <v>78</v>
      </c>
      <c r="E3" s="99" t="s">
        <v>79</v>
      </c>
      <c r="F3" s="99" t="s">
        <v>81</v>
      </c>
    </row>
    <row r="4" spans="3:6">
      <c r="C4" s="100" t="s">
        <v>1</v>
      </c>
      <c r="D4" s="101">
        <v>1387655.3606942086</v>
      </c>
      <c r="E4" s="101">
        <v>1292955.5757811009</v>
      </c>
      <c r="F4" s="101">
        <f>E4-D4</f>
        <v>-94699.784913107753</v>
      </c>
    </row>
    <row r="5" spans="3:6">
      <c r="C5" s="100" t="s">
        <v>2</v>
      </c>
      <c r="D5" s="101">
        <v>-2313093.083970964</v>
      </c>
      <c r="E5" s="101">
        <v>-2343523.9379158318</v>
      </c>
      <c r="F5" s="101">
        <f t="shared" ref="F5:F37" si="0">E5-D5</f>
        <v>-30430.853944867849</v>
      </c>
    </row>
    <row r="6" spans="3:6">
      <c r="C6" s="100" t="s">
        <v>75</v>
      </c>
      <c r="D6" s="101">
        <v>-1883959.1515352121</v>
      </c>
      <c r="E6" s="101">
        <v>-1936670.5652526012</v>
      </c>
      <c r="F6" s="101">
        <f t="shared" si="0"/>
        <v>-52711.413717389107</v>
      </c>
    </row>
    <row r="7" spans="3:6">
      <c r="C7" s="100" t="s">
        <v>4</v>
      </c>
      <c r="D7" s="101">
        <v>-9910679.9287539255</v>
      </c>
      <c r="E7" s="101">
        <v>-10236108.510065688</v>
      </c>
      <c r="F7" s="101">
        <f t="shared" si="0"/>
        <v>-325428.58131176233</v>
      </c>
    </row>
    <row r="8" spans="3:6" hidden="1">
      <c r="C8" s="100" t="s">
        <v>5</v>
      </c>
      <c r="D8" s="101">
        <v>5338641.1104035676</v>
      </c>
      <c r="E8" s="101">
        <v>5338641.1104035676</v>
      </c>
      <c r="F8" s="101">
        <f t="shared" si="0"/>
        <v>0</v>
      </c>
    </row>
    <row r="9" spans="3:6">
      <c r="C9" s="100" t="s">
        <v>6</v>
      </c>
      <c r="D9" s="101">
        <v>-46238835.36918211</v>
      </c>
      <c r="E9" s="101">
        <v>-46492983.290531874</v>
      </c>
      <c r="F9" s="101">
        <f t="shared" si="0"/>
        <v>-254147.92134976387</v>
      </c>
    </row>
    <row r="10" spans="3:6">
      <c r="C10" s="100" t="s">
        <v>7</v>
      </c>
      <c r="D10" s="101">
        <v>1314124.1103176046</v>
      </c>
      <c r="E10" s="101">
        <v>1180960.7080651764</v>
      </c>
      <c r="F10" s="101">
        <f t="shared" si="0"/>
        <v>-133163.40225242823</v>
      </c>
    </row>
    <row r="11" spans="3:6">
      <c r="C11" s="100" t="s">
        <v>8</v>
      </c>
      <c r="D11" s="101">
        <v>2369926.554136809</v>
      </c>
      <c r="E11" s="101">
        <v>2110425.5676823594</v>
      </c>
      <c r="F11" s="101">
        <f t="shared" si="0"/>
        <v>-259500.98645444959</v>
      </c>
    </row>
    <row r="12" spans="3:6">
      <c r="C12" s="100" t="s">
        <v>9</v>
      </c>
      <c r="D12" s="101">
        <v>-2220526.1003127024</v>
      </c>
      <c r="E12" s="101">
        <v>-2332216.3691625036</v>
      </c>
      <c r="F12" s="101">
        <f t="shared" si="0"/>
        <v>-111690.26884980127</v>
      </c>
    </row>
    <row r="13" spans="3:6">
      <c r="C13" s="100" t="s">
        <v>10</v>
      </c>
      <c r="D13" s="101">
        <v>8526669.2335649692</v>
      </c>
      <c r="E13" s="101">
        <v>7966831.3339315616</v>
      </c>
      <c r="F13" s="101">
        <f t="shared" si="0"/>
        <v>-559837.89963340759</v>
      </c>
    </row>
    <row r="14" spans="3:6">
      <c r="C14" s="100" t="s">
        <v>11</v>
      </c>
      <c r="D14" s="101">
        <v>6465422.353125263</v>
      </c>
      <c r="E14" s="101">
        <v>6128032.9375491031</v>
      </c>
      <c r="F14" s="101">
        <f t="shared" si="0"/>
        <v>-337389.41557615995</v>
      </c>
    </row>
    <row r="15" spans="3:6">
      <c r="C15" s="100" t="s">
        <v>12</v>
      </c>
      <c r="D15" s="101">
        <v>-16004976.873214893</v>
      </c>
      <c r="E15" s="101">
        <v>-17700634.57395225</v>
      </c>
      <c r="F15" s="101">
        <f t="shared" si="0"/>
        <v>-1695657.7007373571</v>
      </c>
    </row>
    <row r="16" spans="3:6">
      <c r="C16" s="100" t="s">
        <v>13</v>
      </c>
      <c r="D16" s="101">
        <v>4876021.5956892967</v>
      </c>
      <c r="E16" s="101">
        <v>4713610.8597617894</v>
      </c>
      <c r="F16" s="101">
        <f t="shared" si="0"/>
        <v>-162410.73592750728</v>
      </c>
    </row>
    <row r="17" spans="3:6">
      <c r="C17" s="100" t="s">
        <v>14</v>
      </c>
      <c r="D17" s="101">
        <v>-25951550.49391805</v>
      </c>
      <c r="E17" s="101">
        <v>-26268282.746097181</v>
      </c>
      <c r="F17" s="101">
        <f t="shared" si="0"/>
        <v>-316732.25217913091</v>
      </c>
    </row>
    <row r="18" spans="3:6" hidden="1">
      <c r="C18" s="100" t="s">
        <v>36</v>
      </c>
      <c r="D18" s="101">
        <v>0</v>
      </c>
      <c r="E18" s="101">
        <v>0</v>
      </c>
      <c r="F18" s="101">
        <f t="shared" si="0"/>
        <v>0</v>
      </c>
    </row>
    <row r="19" spans="3:6">
      <c r="C19" s="100" t="s">
        <v>64</v>
      </c>
      <c r="D19" s="101">
        <v>2920387.6741005722</v>
      </c>
      <c r="E19" s="101">
        <v>2890782.9808866424</v>
      </c>
      <c r="F19" s="101">
        <f t="shared" si="0"/>
        <v>-29604.693213929888</v>
      </c>
    </row>
    <row r="20" spans="3:6">
      <c r="C20" s="100" t="s">
        <v>62</v>
      </c>
      <c r="D20" s="101">
        <v>11792299.387075957</v>
      </c>
      <c r="E20" s="101">
        <v>11716195.026860731</v>
      </c>
      <c r="F20" s="101">
        <f t="shared" si="0"/>
        <v>-76104.360215226188</v>
      </c>
    </row>
    <row r="21" spans="3:6" hidden="1">
      <c r="C21" s="100" t="s">
        <v>61</v>
      </c>
      <c r="D21" s="101">
        <v>-2945158.1537735849</v>
      </c>
      <c r="E21" s="101">
        <v>-2945158.1537735849</v>
      </c>
      <c r="F21" s="101">
        <f t="shared" si="0"/>
        <v>0</v>
      </c>
    </row>
    <row r="22" spans="3:6" hidden="1">
      <c r="C22" s="100" t="s">
        <v>65</v>
      </c>
      <c r="D22" s="101">
        <v>-1608287.7746661613</v>
      </c>
      <c r="E22" s="101">
        <v>-1608287.7746661613</v>
      </c>
      <c r="F22" s="101">
        <f t="shared" si="0"/>
        <v>0</v>
      </c>
    </row>
    <row r="23" spans="3:6">
      <c r="C23" s="100" t="s">
        <v>68</v>
      </c>
      <c r="D23" s="101">
        <v>31510278.373022623</v>
      </c>
      <c r="E23" s="101">
        <v>31441229.740111984</v>
      </c>
      <c r="F23" s="101">
        <f t="shared" si="0"/>
        <v>-69048.632910639048</v>
      </c>
    </row>
    <row r="24" spans="3:6" hidden="1">
      <c r="C24" s="100" t="s">
        <v>69</v>
      </c>
      <c r="D24" s="101">
        <v>3541793.9853795734</v>
      </c>
      <c r="E24" s="101">
        <v>3541793.9853795734</v>
      </c>
      <c r="F24" s="101">
        <f t="shared" si="0"/>
        <v>0</v>
      </c>
    </row>
    <row r="25" spans="3:6">
      <c r="C25" s="100" t="s">
        <v>73</v>
      </c>
      <c r="D25" s="101">
        <v>6906965.1820415016</v>
      </c>
      <c r="E25" s="101">
        <v>6886757.4804876018</v>
      </c>
      <c r="F25" s="101">
        <f t="shared" si="0"/>
        <v>-20207.701553899795</v>
      </c>
    </row>
    <row r="26" spans="3:6" hidden="1">
      <c r="C26" s="100" t="s">
        <v>74</v>
      </c>
      <c r="D26" s="101">
        <v>-1895925.7961523584</v>
      </c>
      <c r="E26" s="101">
        <v>-1895925.7961523584</v>
      </c>
      <c r="F26" s="101">
        <f t="shared" si="0"/>
        <v>0</v>
      </c>
    </row>
    <row r="27" spans="3:6" hidden="1">
      <c r="C27" s="100" t="s">
        <v>39</v>
      </c>
      <c r="D27" s="101">
        <v>-101636</v>
      </c>
      <c r="E27" s="101">
        <v>-101636</v>
      </c>
      <c r="F27" s="101">
        <f t="shared" si="0"/>
        <v>0</v>
      </c>
    </row>
    <row r="28" spans="3:6" hidden="1">
      <c r="C28" s="100" t="s">
        <v>40</v>
      </c>
      <c r="D28" s="101">
        <v>-159382</v>
      </c>
      <c r="E28" s="101">
        <v>-159382</v>
      </c>
      <c r="F28" s="101">
        <f t="shared" si="0"/>
        <v>0</v>
      </c>
    </row>
    <row r="29" spans="3:6" hidden="1">
      <c r="C29" s="100" t="s">
        <v>41</v>
      </c>
      <c r="D29" s="101">
        <v>-1093181.0758017483</v>
      </c>
      <c r="E29" s="101">
        <v>-1093181.0758017483</v>
      </c>
      <c r="F29" s="101">
        <f t="shared" si="0"/>
        <v>0</v>
      </c>
    </row>
    <row r="30" spans="3:6" hidden="1">
      <c r="C30" s="100" t="s">
        <v>42</v>
      </c>
      <c r="D30" s="101">
        <v>-4685279</v>
      </c>
      <c r="E30" s="101">
        <v>-4685279</v>
      </c>
      <c r="F30" s="101">
        <f t="shared" si="0"/>
        <v>0</v>
      </c>
    </row>
    <row r="31" spans="3:6" hidden="1">
      <c r="C31" s="100" t="s">
        <v>43</v>
      </c>
      <c r="D31" s="101">
        <v>-1110732</v>
      </c>
      <c r="E31" s="101">
        <v>-1110732</v>
      </c>
      <c r="F31" s="101">
        <f t="shared" si="0"/>
        <v>0</v>
      </c>
    </row>
    <row r="32" spans="3:6" hidden="1">
      <c r="C32" s="100" t="s">
        <v>44</v>
      </c>
      <c r="D32" s="101">
        <v>-94059.719999999856</v>
      </c>
      <c r="E32" s="101">
        <v>-94059.719999999856</v>
      </c>
      <c r="F32" s="101">
        <f t="shared" si="0"/>
        <v>0</v>
      </c>
    </row>
    <row r="33" spans="3:6" hidden="1">
      <c r="C33" s="100" t="s">
        <v>45</v>
      </c>
      <c r="D33" s="101">
        <v>-8055729</v>
      </c>
      <c r="E33" s="101">
        <v>-8055729</v>
      </c>
      <c r="F33" s="101">
        <f t="shared" si="0"/>
        <v>0</v>
      </c>
    </row>
    <row r="34" spans="3:6" hidden="1">
      <c r="C34" s="100" t="s">
        <v>46</v>
      </c>
      <c r="D34" s="101">
        <v>-304.20999999996275</v>
      </c>
      <c r="E34" s="101">
        <v>-304.20999999996275</v>
      </c>
      <c r="F34" s="101">
        <f t="shared" si="0"/>
        <v>0</v>
      </c>
    </row>
    <row r="35" spans="3:6" hidden="1">
      <c r="C35" s="100" t="s">
        <v>47</v>
      </c>
      <c r="D35" s="101">
        <v>-297233</v>
      </c>
      <c r="E35" s="101">
        <v>-297233</v>
      </c>
      <c r="F35" s="101">
        <f t="shared" si="0"/>
        <v>0</v>
      </c>
    </row>
    <row r="36" spans="3:6" hidden="1">
      <c r="C36" s="100" t="s">
        <v>36</v>
      </c>
      <c r="D36" s="101">
        <v>-4360665</v>
      </c>
      <c r="E36" s="101">
        <v>-4360665</v>
      </c>
      <c r="F36" s="101">
        <f t="shared" si="0"/>
        <v>0</v>
      </c>
    </row>
    <row r="37" spans="3:6" hidden="1">
      <c r="C37" s="100" t="s">
        <v>66</v>
      </c>
      <c r="D37" s="101">
        <v>-10440006</v>
      </c>
      <c r="E37" s="101">
        <v>-10440006</v>
      </c>
      <c r="F37" s="101">
        <f t="shared" si="0"/>
        <v>0</v>
      </c>
    </row>
    <row r="38" spans="3:6">
      <c r="F38" s="102">
        <f>SUBTOTAL(9,F4:F37)</f>
        <v>-4528766.6047408283</v>
      </c>
    </row>
  </sheetData>
  <autoFilter ref="C3:F37" xr:uid="{00000000-0009-0000-0000-000003000000}">
    <filterColumn colId="3">
      <filters>
        <filter val="1,695,657.70-"/>
        <filter val="111,690.27-"/>
        <filter val="133,163.40-"/>
        <filter val="162,410.74-"/>
        <filter val="20,207.70-"/>
        <filter val="254,147.92-"/>
        <filter val="259,500.99-"/>
        <filter val="29,604.69-"/>
        <filter val="30,430.85-"/>
        <filter val="316,732.25-"/>
        <filter val="325,428.58-"/>
        <filter val="337,389.42-"/>
        <filter val="52,711.41-"/>
        <filter val="559,837.90-"/>
        <filter val="69,048.63-"/>
        <filter val="76,104.36-"/>
        <filter val="94,699.78-"/>
      </filters>
    </filterColumn>
  </autoFilter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145" orientation="landscape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 filterMode="1"/>
  <dimension ref="D3:E41"/>
  <sheetViews>
    <sheetView topLeftCell="A4" workbookViewId="0">
      <selection activeCell="A131" sqref="A131"/>
    </sheetView>
  </sheetViews>
  <sheetFormatPr defaultRowHeight="15"/>
  <cols>
    <col min="3" max="3" width="6.42578125" customWidth="1"/>
    <col min="4" max="4" width="33.85546875" customWidth="1"/>
    <col min="5" max="5" width="14.7109375" bestFit="1" customWidth="1"/>
  </cols>
  <sheetData>
    <row r="3" spans="4:5">
      <c r="D3" s="456" t="s">
        <v>83</v>
      </c>
      <c r="E3" s="456"/>
    </row>
    <row r="4" spans="4:5">
      <c r="D4" s="103" t="s">
        <v>80</v>
      </c>
      <c r="E4" s="103" t="s">
        <v>82</v>
      </c>
    </row>
    <row r="5" spans="4:5">
      <c r="D5" s="100" t="s">
        <v>1</v>
      </c>
      <c r="E5" s="100">
        <v>13784839.575781101</v>
      </c>
    </row>
    <row r="6" spans="4:5">
      <c r="D6" s="100" t="s">
        <v>2</v>
      </c>
      <c r="E6" s="100">
        <v>12467778.062084168</v>
      </c>
    </row>
    <row r="7" spans="4:5">
      <c r="D7" s="100" t="s">
        <v>75</v>
      </c>
      <c r="E7" s="100">
        <v>12649938.374747396</v>
      </c>
    </row>
    <row r="8" spans="4:5">
      <c r="D8" s="100" t="s">
        <v>4</v>
      </c>
      <c r="E8" s="100">
        <v>39788654.119934306</v>
      </c>
    </row>
    <row r="9" spans="4:5">
      <c r="D9" s="100" t="s">
        <v>5</v>
      </c>
      <c r="E9" s="100">
        <v>34232835.110403568</v>
      </c>
    </row>
    <row r="10" spans="4:5">
      <c r="D10" s="100" t="s">
        <v>6</v>
      </c>
      <c r="E10" s="100">
        <v>70893086.999468133</v>
      </c>
    </row>
    <row r="11" spans="4:5">
      <c r="D11" s="100" t="s">
        <v>7</v>
      </c>
      <c r="E11" s="100">
        <v>6916796.7080651764</v>
      </c>
    </row>
    <row r="12" spans="4:5">
      <c r="D12" s="100" t="s">
        <v>8</v>
      </c>
      <c r="E12" s="100">
        <v>24185326.627682362</v>
      </c>
    </row>
    <row r="13" spans="4:5">
      <c r="D13" s="100" t="s">
        <v>9</v>
      </c>
      <c r="E13" s="100">
        <v>17402196.630837463</v>
      </c>
    </row>
    <row r="14" spans="4:5">
      <c r="D14" s="100" t="s">
        <v>10</v>
      </c>
      <c r="E14" s="100">
        <v>64473915.253931567</v>
      </c>
    </row>
    <row r="15" spans="4:5">
      <c r="D15" s="100" t="s">
        <v>11</v>
      </c>
      <c r="E15" s="100">
        <v>51990963.617549106</v>
      </c>
    </row>
    <row r="16" spans="4:5">
      <c r="D16" s="100" t="s">
        <v>12</v>
      </c>
      <c r="E16" s="100">
        <v>182307097.93604776</v>
      </c>
    </row>
    <row r="17" spans="4:5">
      <c r="D17" s="100" t="s">
        <v>13</v>
      </c>
      <c r="E17" s="100">
        <v>66898802.859761789</v>
      </c>
    </row>
    <row r="18" spans="4:5">
      <c r="D18" s="100" t="s">
        <v>14</v>
      </c>
      <c r="E18" s="100">
        <v>45271747.30390282</v>
      </c>
    </row>
    <row r="19" spans="4:5" hidden="1">
      <c r="D19" s="100" t="s">
        <v>36</v>
      </c>
      <c r="E19" s="100">
        <v>0</v>
      </c>
    </row>
    <row r="20" spans="4:5">
      <c r="D20" s="100" t="s">
        <v>64</v>
      </c>
      <c r="E20" s="100">
        <v>2890782.9808866424</v>
      </c>
    </row>
    <row r="21" spans="4:5">
      <c r="D21" s="100" t="s">
        <v>62</v>
      </c>
      <c r="E21" s="100">
        <v>11716195.026860731</v>
      </c>
    </row>
    <row r="22" spans="4:5">
      <c r="D22" s="100" t="s">
        <v>61</v>
      </c>
      <c r="E22" s="100">
        <v>940857.20716981124</v>
      </c>
    </row>
    <row r="23" spans="4:5">
      <c r="D23" s="100" t="s">
        <v>65</v>
      </c>
      <c r="E23" s="100">
        <v>1256956.2653338388</v>
      </c>
    </row>
    <row r="24" spans="4:5">
      <c r="D24" s="100" t="s">
        <v>68</v>
      </c>
      <c r="E24" s="100">
        <v>31441229.740111984</v>
      </c>
    </row>
    <row r="25" spans="4:5">
      <c r="D25" s="100" t="s">
        <v>69</v>
      </c>
      <c r="E25" s="100">
        <v>3541793.9853795734</v>
      </c>
    </row>
    <row r="26" spans="4:5">
      <c r="D26" s="100" t="s">
        <v>73</v>
      </c>
      <c r="E26" s="100">
        <v>6886757.4804876018</v>
      </c>
    </row>
    <row r="27" spans="4:5">
      <c r="D27" s="100" t="s">
        <v>74</v>
      </c>
      <c r="E27" s="100">
        <v>291609.40384764178</v>
      </c>
    </row>
    <row r="28" spans="4:5" hidden="1">
      <c r="D28" s="105" t="s">
        <v>39</v>
      </c>
      <c r="E28" s="105">
        <v>0</v>
      </c>
    </row>
    <row r="29" spans="4:5">
      <c r="D29" s="100" t="s">
        <v>40</v>
      </c>
      <c r="E29" s="100">
        <v>171421.51</v>
      </c>
    </row>
    <row r="30" spans="4:5" hidden="1">
      <c r="D30" s="105" t="s">
        <v>41</v>
      </c>
      <c r="E30" s="105">
        <v>0</v>
      </c>
    </row>
    <row r="31" spans="4:5" hidden="1">
      <c r="D31" s="100" t="s">
        <v>42</v>
      </c>
      <c r="E31" s="100">
        <v>0</v>
      </c>
    </row>
    <row r="32" spans="4:5" hidden="1">
      <c r="D32" s="100" t="s">
        <v>43</v>
      </c>
      <c r="E32" s="100">
        <v>0</v>
      </c>
    </row>
    <row r="33" spans="4:5">
      <c r="D33" s="100" t="s">
        <v>44</v>
      </c>
      <c r="E33" s="100">
        <v>3863872.2800000003</v>
      </c>
    </row>
    <row r="34" spans="4:5" hidden="1">
      <c r="D34" s="105" t="s">
        <v>45</v>
      </c>
      <c r="E34" s="105">
        <v>0</v>
      </c>
    </row>
    <row r="35" spans="4:5">
      <c r="D35" s="100" t="s">
        <v>46</v>
      </c>
      <c r="E35" s="100">
        <v>-1823521</v>
      </c>
    </row>
    <row r="36" spans="4:5">
      <c r="D36" s="100" t="s">
        <v>47</v>
      </c>
      <c r="E36" s="100">
        <v>432205</v>
      </c>
    </row>
    <row r="37" spans="4:5">
      <c r="D37" s="100" t="s">
        <v>36</v>
      </c>
      <c r="E37" s="100">
        <v>173122</v>
      </c>
    </row>
    <row r="38" spans="4:5">
      <c r="D38" s="100" t="s">
        <v>66</v>
      </c>
      <c r="E38" s="100">
        <v>4545402</v>
      </c>
    </row>
    <row r="39" spans="4:5">
      <c r="D39" s="100" t="s">
        <v>49</v>
      </c>
      <c r="E39" s="100">
        <v>6616932</v>
      </c>
    </row>
    <row r="40" spans="4:5">
      <c r="D40" s="100" t="s">
        <v>67</v>
      </c>
      <c r="E40" s="100">
        <v>100950</v>
      </c>
    </row>
    <row r="41" spans="4:5">
      <c r="D41" s="99" t="s">
        <v>15</v>
      </c>
      <c r="E41" s="104">
        <f>SUM(E5:E40)</f>
        <v>716310545.0602746</v>
      </c>
    </row>
  </sheetData>
  <autoFilter ref="D4:F38" xr:uid="{00000000-0009-0000-0000-000004000000}">
    <filterColumn colId="1">
      <filters>
        <filter val="1,256,956.27"/>
        <filter val="1,823,521.00-"/>
        <filter val="11,716,195.03"/>
        <filter val="12,467,778.06"/>
        <filter val="12,649,938.37"/>
        <filter val="13,784,839.58"/>
        <filter val="17,402,196.63"/>
        <filter val="171,421.51"/>
        <filter val="173,122.00"/>
        <filter val="182,307,097.94"/>
        <filter val="2,890,782.98"/>
        <filter val="24,185,326.63"/>
        <filter val="291,609.40"/>
        <filter val="3,541,793.99"/>
        <filter val="3,863,872.28"/>
        <filter val="31,441,229.74"/>
        <filter val="34,232,835.11"/>
        <filter val="39,788,654.12"/>
        <filter val="4,545,402.00"/>
        <filter val="432,205.00"/>
        <filter val="45,271,747.30"/>
        <filter val="51,990,963.62"/>
        <filter val="6,886,757.48"/>
        <filter val="6,916,796.71"/>
        <filter val="64,473,915.25"/>
        <filter val="66,898,802.86"/>
        <filter val="70,893,087.00"/>
        <filter val="940,857.21"/>
      </filters>
    </filterColumn>
  </autoFilter>
  <mergeCells count="1">
    <mergeCell ref="D3:E3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15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AT108"/>
  <sheetViews>
    <sheetView topLeftCell="A23" workbookViewId="0">
      <selection activeCell="G43" sqref="A4:N43"/>
    </sheetView>
  </sheetViews>
  <sheetFormatPr defaultRowHeight="15"/>
  <cols>
    <col min="1" max="1" width="35.140625" bestFit="1" customWidth="1"/>
    <col min="2" max="2" width="12.140625" style="109" bestFit="1" customWidth="1"/>
    <col min="3" max="3" width="12.42578125" customWidth="1"/>
    <col min="4" max="4" width="11.7109375" customWidth="1"/>
    <col min="5" max="5" width="11.42578125" customWidth="1"/>
    <col min="6" max="6" width="11.140625" customWidth="1"/>
    <col min="7" max="7" width="11.7109375" bestFit="1" customWidth="1"/>
    <col min="8" max="8" width="11.42578125" customWidth="1"/>
    <col min="9" max="9" width="13.85546875" bestFit="1" customWidth="1"/>
    <col min="10" max="10" width="15.28515625" bestFit="1" customWidth="1"/>
    <col min="11" max="12" width="13.42578125" customWidth="1"/>
    <col min="13" max="13" width="11.140625" bestFit="1" customWidth="1"/>
    <col min="14" max="14" width="14.42578125" customWidth="1"/>
    <col min="23" max="23" width="11.140625" bestFit="1" customWidth="1"/>
  </cols>
  <sheetData>
    <row r="1" spans="1:15" ht="14.25" customHeight="1">
      <c r="A1" s="467" t="s">
        <v>0</v>
      </c>
      <c r="B1" s="463" t="s">
        <v>96</v>
      </c>
      <c r="C1" s="463" t="s">
        <v>97</v>
      </c>
      <c r="D1" s="463" t="s">
        <v>98</v>
      </c>
      <c r="E1" s="463" t="s">
        <v>99</v>
      </c>
      <c r="F1" s="463" t="s">
        <v>100</v>
      </c>
      <c r="G1" s="463" t="s">
        <v>101</v>
      </c>
      <c r="H1" s="463" t="s">
        <v>102</v>
      </c>
      <c r="I1" s="463" t="s">
        <v>103</v>
      </c>
      <c r="J1" s="463" t="s">
        <v>105</v>
      </c>
      <c r="K1" s="463" t="s">
        <v>106</v>
      </c>
      <c r="L1" s="428" t="s">
        <v>104</v>
      </c>
      <c r="M1" s="463" t="s">
        <v>15</v>
      </c>
      <c r="N1" s="124"/>
      <c r="O1" s="124"/>
    </row>
    <row r="2" spans="1:15" ht="24.75" customHeight="1">
      <c r="A2" s="468"/>
      <c r="B2" s="464"/>
      <c r="C2" s="464"/>
      <c r="D2" s="464"/>
      <c r="E2" s="464"/>
      <c r="F2" s="464"/>
      <c r="G2" s="464"/>
      <c r="H2" s="464"/>
      <c r="I2" s="464"/>
      <c r="J2" s="464"/>
      <c r="K2" s="464"/>
      <c r="L2" s="429"/>
      <c r="M2" s="464"/>
      <c r="N2" s="124"/>
      <c r="O2" s="124"/>
    </row>
    <row r="3" spans="1:15">
      <c r="A3" s="159" t="s">
        <v>17</v>
      </c>
      <c r="B3" s="151">
        <v>33013063.52</v>
      </c>
      <c r="C3" s="151">
        <v>34941697</v>
      </c>
      <c r="D3" s="151">
        <v>27187290</v>
      </c>
      <c r="E3" s="151">
        <v>5814614.7999999998</v>
      </c>
      <c r="F3" s="151">
        <v>48864512</v>
      </c>
      <c r="G3" s="151">
        <v>26717701</v>
      </c>
      <c r="H3" s="151">
        <v>2317895</v>
      </c>
      <c r="I3" s="151">
        <v>21944600</v>
      </c>
      <c r="J3" s="151">
        <v>18275304</v>
      </c>
      <c r="K3" s="151">
        <v>33120773</v>
      </c>
      <c r="L3" s="2">
        <v>62700000</v>
      </c>
      <c r="M3" s="169">
        <f>SUM(B3:L3)</f>
        <v>314897450.31999999</v>
      </c>
      <c r="N3" s="124"/>
      <c r="O3" s="136"/>
    </row>
    <row r="4" spans="1:15">
      <c r="A4" s="159" t="s">
        <v>18</v>
      </c>
      <c r="B4" s="134">
        <f>30986936.71+155112.34</f>
        <v>31142049.050000001</v>
      </c>
      <c r="C4" s="134">
        <f>20964234+208467</f>
        <v>21172701</v>
      </c>
      <c r="D4" s="134">
        <v>-993453.3200000003</v>
      </c>
      <c r="E4" s="134">
        <v>11606531</v>
      </c>
      <c r="F4" s="134">
        <f>7041419+1025085</f>
        <v>8066504</v>
      </c>
      <c r="G4" s="134">
        <v>92909143</v>
      </c>
      <c r="H4" s="134">
        <f>4077970+4315137</f>
        <v>8393107</v>
      </c>
      <c r="I4" s="134">
        <f>123066325.68-4247879</f>
        <v>118818446.68000001</v>
      </c>
      <c r="J4" s="134">
        <f>14793431.17-1823520</f>
        <v>12969911.17</v>
      </c>
      <c r="K4" s="134">
        <v>1427558.2899999991</v>
      </c>
      <c r="L4" s="3">
        <v>4545402</v>
      </c>
      <c r="M4" s="169">
        <f>SUM(B4:L4)</f>
        <v>310057899.87</v>
      </c>
      <c r="N4" s="124"/>
      <c r="O4" s="152"/>
    </row>
    <row r="5" spans="1:15" ht="15.75" thickBot="1">
      <c r="A5" s="164" t="s">
        <v>19</v>
      </c>
      <c r="B5" s="118">
        <f t="shared" ref="B5:J5" si="0">SUM(B3:B4)</f>
        <v>64155112.57</v>
      </c>
      <c r="C5" s="118">
        <f t="shared" si="0"/>
        <v>56114398</v>
      </c>
      <c r="D5" s="118">
        <f t="shared" si="0"/>
        <v>26193836.68</v>
      </c>
      <c r="E5" s="118">
        <f t="shared" si="0"/>
        <v>17421145.800000001</v>
      </c>
      <c r="F5" s="118">
        <f t="shared" si="0"/>
        <v>56931016</v>
      </c>
      <c r="G5" s="118">
        <f t="shared" si="0"/>
        <v>119626844</v>
      </c>
      <c r="H5" s="118">
        <f t="shared" si="0"/>
        <v>10711002</v>
      </c>
      <c r="I5" s="118">
        <f t="shared" si="0"/>
        <v>140763046.68000001</v>
      </c>
      <c r="J5" s="118">
        <f t="shared" si="0"/>
        <v>31245215.170000002</v>
      </c>
      <c r="K5" s="118">
        <f>SUM(K3:K4)</f>
        <v>34548331.289999999</v>
      </c>
      <c r="L5" s="9">
        <f>SUM(L3:L4)</f>
        <v>67245402</v>
      </c>
      <c r="M5" s="123">
        <f>SUM(M3:M4)</f>
        <v>624955350.19000006</v>
      </c>
      <c r="N5" s="167" t="s">
        <v>20</v>
      </c>
      <c r="O5" s="126"/>
    </row>
    <row r="6" spans="1:15" ht="15.75" thickTop="1">
      <c r="A6" s="125"/>
      <c r="B6" s="131"/>
      <c r="C6" s="131"/>
      <c r="D6" s="131"/>
      <c r="E6" s="131"/>
      <c r="F6" s="131"/>
      <c r="G6" s="131"/>
      <c r="H6" s="131"/>
      <c r="I6" s="131"/>
      <c r="J6" s="131"/>
      <c r="K6" s="131"/>
      <c r="L6" s="14"/>
      <c r="M6" s="162"/>
      <c r="N6" s="167"/>
      <c r="O6" s="143"/>
    </row>
    <row r="7" spans="1:15">
      <c r="A7" s="159" t="s">
        <v>123</v>
      </c>
      <c r="B7" s="134">
        <v>31362410</v>
      </c>
      <c r="C7" s="134">
        <v>33472697</v>
      </c>
      <c r="D7" s="134">
        <v>22308006</v>
      </c>
      <c r="E7" s="134">
        <v>5600000</v>
      </c>
      <c r="F7" s="134">
        <v>47317785</v>
      </c>
      <c r="G7" s="134">
        <v>25873305</v>
      </c>
      <c r="H7" s="134">
        <v>1890000</v>
      </c>
      <c r="I7" s="134">
        <v>20627924</v>
      </c>
      <c r="J7" s="134">
        <v>13923981.642366033</v>
      </c>
      <c r="K7" s="134">
        <v>31906329.511262253</v>
      </c>
      <c r="L7" s="3">
        <v>52380210.372842237</v>
      </c>
      <c r="M7" s="169">
        <f>SUM(B7:L7)</f>
        <v>286662648.52647054</v>
      </c>
      <c r="N7" s="136" t="s">
        <v>20</v>
      </c>
      <c r="O7" s="128"/>
    </row>
    <row r="8" spans="1:15">
      <c r="A8" s="160" t="s">
        <v>22</v>
      </c>
      <c r="B8" s="134">
        <f>+B12+B13-B7</f>
        <v>31873848.916979015</v>
      </c>
      <c r="C8" s="134">
        <f>+C12+C13-C7</f>
        <v>20370932.586321697</v>
      </c>
      <c r="D8" s="134">
        <f t="shared" ref="D8:L8" si="1">+D12+D13-D7</f>
        <v>5022596.3975177035</v>
      </c>
      <c r="E8" s="134">
        <f t="shared" si="1"/>
        <v>15451883.514743593</v>
      </c>
      <c r="F8" s="134">
        <f t="shared" si="1"/>
        <v>17440462.253497899</v>
      </c>
      <c r="G8" s="134">
        <f t="shared" si="1"/>
        <v>73125720.182453141</v>
      </c>
      <c r="H8" s="134">
        <f t="shared" si="1"/>
        <v>8453299.9305601101</v>
      </c>
      <c r="I8" s="134">
        <f t="shared" si="1"/>
        <v>120736915.67782831</v>
      </c>
      <c r="J8" s="134">
        <f t="shared" si="1"/>
        <v>4108764.8282523341</v>
      </c>
      <c r="K8" s="134">
        <f t="shared" si="1"/>
        <v>-3916258.0275185294</v>
      </c>
      <c r="L8" s="134">
        <f t="shared" si="1"/>
        <v>-4253378.3728422374</v>
      </c>
      <c r="M8" s="169">
        <f>SUM(B8:L8)</f>
        <v>288414787.887793</v>
      </c>
      <c r="N8" s="124"/>
      <c r="O8" s="128"/>
    </row>
    <row r="9" spans="1:15" ht="15.75" thickBot="1">
      <c r="A9" s="164" t="s">
        <v>23</v>
      </c>
      <c r="B9" s="118">
        <f>SUM(B7:B8)</f>
        <v>63236258.916979015</v>
      </c>
      <c r="C9" s="118">
        <f t="shared" ref="C9:J9" si="2">SUM(C7:C8)</f>
        <v>53843629.586321697</v>
      </c>
      <c r="D9" s="118">
        <f t="shared" si="2"/>
        <v>27330602.397517703</v>
      </c>
      <c r="E9" s="118">
        <f t="shared" si="2"/>
        <v>21051883.514743593</v>
      </c>
      <c r="F9" s="118">
        <f t="shared" si="2"/>
        <v>64758247.253497899</v>
      </c>
      <c r="G9" s="118">
        <f t="shared" si="2"/>
        <v>98999025.182453141</v>
      </c>
      <c r="H9" s="118">
        <f t="shared" si="2"/>
        <v>10343299.93056011</v>
      </c>
      <c r="I9" s="118">
        <f t="shared" si="2"/>
        <v>141364839.67782831</v>
      </c>
      <c r="J9" s="118">
        <f t="shared" si="2"/>
        <v>18032746.470618367</v>
      </c>
      <c r="K9" s="118">
        <f>SUM(K7:K8)</f>
        <v>27990071.483743723</v>
      </c>
      <c r="L9" s="9">
        <f>SUM(L7:L8)</f>
        <v>48126832</v>
      </c>
      <c r="M9" s="123">
        <f>SUM(M7:M8)</f>
        <v>575077436.41426349</v>
      </c>
      <c r="N9" s="167"/>
      <c r="O9" s="143"/>
    </row>
    <row r="10" spans="1:15" ht="15.75" thickTop="1">
      <c r="A10" s="122" t="s">
        <v>24</v>
      </c>
      <c r="B10" s="135">
        <f t="shared" ref="B10:G10" si="3">+B5-B9</f>
        <v>918853.65302098542</v>
      </c>
      <c r="C10" s="135">
        <f t="shared" si="3"/>
        <v>2270768.4136783034</v>
      </c>
      <c r="D10" s="135">
        <f t="shared" si="3"/>
        <v>-1136765.7175177038</v>
      </c>
      <c r="E10" s="135">
        <f t="shared" si="3"/>
        <v>-3630737.7147435918</v>
      </c>
      <c r="F10" s="135">
        <f t="shared" si="3"/>
        <v>-7827231.2534978986</v>
      </c>
      <c r="G10" s="135">
        <f t="shared" si="3"/>
        <v>20627818.817546859</v>
      </c>
      <c r="H10" s="135">
        <f>+H5-H9</f>
        <v>367702.06943988986</v>
      </c>
      <c r="I10" s="135">
        <f>+I5-I9</f>
        <v>-601792.99782830477</v>
      </c>
      <c r="J10" s="135">
        <f>+J5-J9</f>
        <v>13212468.699381635</v>
      </c>
      <c r="K10" s="135">
        <f>+K5-K9</f>
        <v>6558259.8062562756</v>
      </c>
      <c r="L10" s="21">
        <f>L5-L9</f>
        <v>19118570</v>
      </c>
      <c r="M10" s="166">
        <f>+M5-M9</f>
        <v>49877913.77573657</v>
      </c>
      <c r="N10" s="124"/>
      <c r="O10" s="143"/>
    </row>
    <row r="11" spans="1:15">
      <c r="A11" s="159"/>
      <c r="B11" s="137" t="s">
        <v>20</v>
      </c>
      <c r="C11" s="137"/>
      <c r="D11" s="137"/>
      <c r="E11" s="137"/>
      <c r="F11" s="137"/>
      <c r="G11" s="137"/>
      <c r="H11" s="137"/>
      <c r="I11" s="137"/>
      <c r="J11" s="137"/>
      <c r="K11" s="137"/>
      <c r="L11" s="23"/>
      <c r="M11" s="163"/>
      <c r="N11" s="124"/>
      <c r="O11" s="128"/>
    </row>
    <row r="12" spans="1:15">
      <c r="A12" s="160" t="s">
        <v>25</v>
      </c>
      <c r="B12" s="134">
        <v>63714421.966979012</v>
      </c>
      <c r="C12" s="134">
        <v>53403393.386321694</v>
      </c>
      <c r="D12" s="134">
        <v>27228966.397517703</v>
      </c>
      <c r="E12" s="134">
        <v>19958702.438941844</v>
      </c>
      <c r="F12" s="134">
        <v>55489926.253497899</v>
      </c>
      <c r="G12" s="134">
        <v>97888293.182453141</v>
      </c>
      <c r="H12" s="134">
        <v>5360605.9305601101</v>
      </c>
      <c r="I12" s="134">
        <v>129215876.96782832</v>
      </c>
      <c r="J12" s="134">
        <v>19855963.260618366</v>
      </c>
      <c r="K12" s="134">
        <v>23456284.483743723</v>
      </c>
      <c r="L12" s="3">
        <v>33141424</v>
      </c>
      <c r="M12" s="169">
        <f>SUM(B12:L12)</f>
        <v>528713858.26846182</v>
      </c>
      <c r="N12" s="124"/>
      <c r="O12" s="154"/>
    </row>
    <row r="13" spans="1:15">
      <c r="A13" s="160" t="s">
        <v>26</v>
      </c>
      <c r="B13" s="134">
        <f>+$N$84</f>
        <v>-478163.05</v>
      </c>
      <c r="C13" s="134">
        <f>+$N$85</f>
        <v>440236.19999999995</v>
      </c>
      <c r="D13" s="134">
        <f>+$N$35</f>
        <v>101636</v>
      </c>
      <c r="E13" s="134">
        <f>+$N$36</f>
        <v>1093181.0758017483</v>
      </c>
      <c r="F13" s="134">
        <f>+$N$37</f>
        <v>9268321</v>
      </c>
      <c r="G13" s="134">
        <f>+$N$38</f>
        <v>1110732</v>
      </c>
      <c r="H13" s="134">
        <f>+$N$39</f>
        <v>4982694</v>
      </c>
      <c r="I13" s="134">
        <f>+$N$40</f>
        <v>12148962.710000001</v>
      </c>
      <c r="J13" s="134">
        <f>+$N$41</f>
        <v>-1823216.79</v>
      </c>
      <c r="K13" s="134">
        <f>+$N$42</f>
        <v>4533787</v>
      </c>
      <c r="L13" s="134">
        <f>+$N$43</f>
        <v>14985408</v>
      </c>
      <c r="M13" s="169">
        <f>SUM(B13:L13)</f>
        <v>46363578.145801753</v>
      </c>
      <c r="N13" s="124"/>
      <c r="O13" s="143"/>
    </row>
    <row r="14" spans="1:15">
      <c r="A14" s="159"/>
      <c r="B14" s="134"/>
      <c r="C14" s="134"/>
      <c r="D14" s="134"/>
      <c r="E14" s="134"/>
      <c r="F14" s="134"/>
      <c r="G14" s="134"/>
      <c r="H14" s="134"/>
      <c r="I14" s="134"/>
      <c r="J14" s="134"/>
      <c r="K14" s="134"/>
      <c r="L14" s="3"/>
      <c r="M14" s="165"/>
      <c r="N14" s="124"/>
      <c r="O14" s="143"/>
    </row>
    <row r="15" spans="1:15">
      <c r="A15" s="168" t="s">
        <v>27</v>
      </c>
      <c r="B15" s="95">
        <f>B12/B9</f>
        <v>1.007561532864045</v>
      </c>
      <c r="C15" s="95">
        <f>C12/C9</f>
        <v>0.99182380156422745</v>
      </c>
      <c r="D15" s="95">
        <f t="shared" ref="D15:L15" si="4">D12/D9</f>
        <v>0.99628123820610592</v>
      </c>
      <c r="E15" s="95">
        <f t="shared" si="4"/>
        <v>0.9480720537411228</v>
      </c>
      <c r="F15" s="95">
        <f t="shared" si="4"/>
        <v>0.85687813686928693</v>
      </c>
      <c r="G15" s="95">
        <f t="shared" si="4"/>
        <v>0.98878037437284916</v>
      </c>
      <c r="H15" s="95">
        <f t="shared" si="4"/>
        <v>0.5182684410728311</v>
      </c>
      <c r="I15" s="95">
        <f t="shared" si="4"/>
        <v>0.91405951622986603</v>
      </c>
      <c r="J15" s="95">
        <f t="shared" si="4"/>
        <v>1.1011058849505069</v>
      </c>
      <c r="K15" s="95">
        <f t="shared" si="4"/>
        <v>0.83802159981502133</v>
      </c>
      <c r="L15" s="95">
        <f t="shared" si="4"/>
        <v>0.68862675191252976</v>
      </c>
      <c r="M15" s="30">
        <f>M12/M9</f>
        <v>0.91937854763544724</v>
      </c>
      <c r="N15" s="124"/>
      <c r="O15" s="143"/>
    </row>
    <row r="16" spans="1:15">
      <c r="A16" s="168" t="s">
        <v>28</v>
      </c>
      <c r="B16" s="95">
        <f>B13/B9</f>
        <v>-7.5615328640450709E-3</v>
      </c>
      <c r="C16" s="95">
        <f>C13/C9</f>
        <v>8.1761984357725474E-3</v>
      </c>
      <c r="D16" s="95">
        <f t="shared" ref="D16:L16" si="5">D13/D9</f>
        <v>3.7187617938941246E-3</v>
      </c>
      <c r="E16" s="95">
        <f t="shared" si="5"/>
        <v>5.1927946258877207E-2</v>
      </c>
      <c r="F16" s="95">
        <f t="shared" si="5"/>
        <v>0.14312186313071304</v>
      </c>
      <c r="G16" s="95">
        <f t="shared" si="5"/>
        <v>1.1219625627150814E-2</v>
      </c>
      <c r="H16" s="95">
        <f t="shared" si="5"/>
        <v>0.48173155892716896</v>
      </c>
      <c r="I16" s="95">
        <f t="shared" si="5"/>
        <v>8.594048377013401E-2</v>
      </c>
      <c r="J16" s="95">
        <f t="shared" si="5"/>
        <v>-0.1011058849505069</v>
      </c>
      <c r="K16" s="95">
        <f t="shared" si="5"/>
        <v>0.16197840018497864</v>
      </c>
      <c r="L16" s="95">
        <f t="shared" si="5"/>
        <v>0.31137324808747019</v>
      </c>
      <c r="M16" s="30">
        <f>M13/M9</f>
        <v>8.0621452364552912E-2</v>
      </c>
      <c r="N16" s="124"/>
      <c r="O16" s="143"/>
    </row>
    <row r="17" spans="1:46">
      <c r="A17" s="171" t="s">
        <v>29</v>
      </c>
      <c r="B17" s="157">
        <f>SUM(B15:B16)</f>
        <v>1</v>
      </c>
      <c r="C17" s="157">
        <f>SUM(C15:C16)</f>
        <v>1</v>
      </c>
      <c r="D17" s="157">
        <f t="shared" ref="D17:K17" si="6">SUM(D15:D16)</f>
        <v>1</v>
      </c>
      <c r="E17" s="157">
        <f t="shared" si="6"/>
        <v>1</v>
      </c>
      <c r="F17" s="157">
        <f t="shared" si="6"/>
        <v>1</v>
      </c>
      <c r="G17" s="157">
        <f t="shared" si="6"/>
        <v>1</v>
      </c>
      <c r="H17" s="157">
        <f t="shared" si="6"/>
        <v>1</v>
      </c>
      <c r="I17" s="157">
        <f t="shared" si="6"/>
        <v>1</v>
      </c>
      <c r="J17" s="157">
        <f t="shared" si="6"/>
        <v>1</v>
      </c>
      <c r="K17" s="157">
        <f t="shared" si="6"/>
        <v>1</v>
      </c>
      <c r="L17" s="172">
        <f>SUM(L15:L16)</f>
        <v>1</v>
      </c>
      <c r="M17" s="34">
        <f>SUM(M15:M16)</f>
        <v>1.0000000000000002</v>
      </c>
      <c r="N17" s="124"/>
      <c r="O17" s="155"/>
    </row>
    <row r="18" spans="1:46">
      <c r="A18" s="122"/>
      <c r="B18" s="134"/>
      <c r="C18" s="134"/>
      <c r="D18" s="134"/>
      <c r="E18" s="134"/>
      <c r="F18" s="134"/>
      <c r="G18" s="134"/>
      <c r="H18" s="134"/>
      <c r="I18" s="134"/>
      <c r="J18" s="134"/>
      <c r="K18" s="134"/>
      <c r="L18" s="3"/>
      <c r="M18" s="163"/>
      <c r="N18" s="124"/>
      <c r="O18" s="155"/>
    </row>
    <row r="19" spans="1:46">
      <c r="A19" s="171" t="s">
        <v>30</v>
      </c>
      <c r="B19" s="89">
        <f>B17*B5</f>
        <v>64155112.57</v>
      </c>
      <c r="C19" s="89">
        <f t="shared" ref="C19:K19" si="7">C17*C5</f>
        <v>56114398</v>
      </c>
      <c r="D19" s="89">
        <f t="shared" si="7"/>
        <v>26193836.68</v>
      </c>
      <c r="E19" s="89">
        <f t="shared" si="7"/>
        <v>17421145.800000001</v>
      </c>
      <c r="F19" s="89">
        <f t="shared" si="7"/>
        <v>56931016</v>
      </c>
      <c r="G19" s="89">
        <f t="shared" si="7"/>
        <v>119626844</v>
      </c>
      <c r="H19" s="89">
        <f t="shared" si="7"/>
        <v>10711002</v>
      </c>
      <c r="I19" s="89">
        <f t="shared" si="7"/>
        <v>140763046.68000001</v>
      </c>
      <c r="J19" s="89">
        <f t="shared" si="7"/>
        <v>31245215.170000002</v>
      </c>
      <c r="K19" s="89">
        <f t="shared" si="7"/>
        <v>34548331.289999999</v>
      </c>
      <c r="L19" s="89">
        <f>L17*L5</f>
        <v>67245402</v>
      </c>
      <c r="M19" s="169">
        <f t="shared" ref="M19:M26" si="8">SUM(B19:L19)</f>
        <v>624955350.19000006</v>
      </c>
      <c r="N19" s="124"/>
      <c r="O19" s="156"/>
    </row>
    <row r="20" spans="1:46">
      <c r="A20" s="161">
        <v>2015</v>
      </c>
      <c r="B20" s="119">
        <v>3194810.4186161384</v>
      </c>
      <c r="C20" s="119">
        <v>102709.4614662528</v>
      </c>
      <c r="D20" s="119">
        <v>-1292773.3157363832</v>
      </c>
      <c r="E20" s="119">
        <v>5035288.0000000009</v>
      </c>
      <c r="F20" s="119">
        <v>9301949.1009179149</v>
      </c>
      <c r="G20" s="119">
        <v>43690841.285964884</v>
      </c>
      <c r="H20" s="119">
        <v>3758653.9965182799</v>
      </c>
      <c r="I20" s="119">
        <v>87671629.99914895</v>
      </c>
      <c r="J20" s="119">
        <v>25387385.170000002</v>
      </c>
      <c r="K20" s="119">
        <v>32493559.289999999</v>
      </c>
      <c r="L20" s="134">
        <v>23029153</v>
      </c>
      <c r="M20" s="169">
        <f t="shared" si="8"/>
        <v>232373206.40689602</v>
      </c>
      <c r="N20" s="124"/>
      <c r="O20" s="156"/>
    </row>
    <row r="21" spans="1:46">
      <c r="A21" s="161">
        <v>2014</v>
      </c>
      <c r="B21" s="134">
        <v>12179303</v>
      </c>
      <c r="C21" s="134">
        <v>13500605.220000001</v>
      </c>
      <c r="D21" s="134">
        <v>4284475.42</v>
      </c>
      <c r="E21" s="134">
        <v>6571243</v>
      </c>
      <c r="F21" s="134">
        <v>30639867</v>
      </c>
      <c r="G21" s="134">
        <v>49916369</v>
      </c>
      <c r="H21" s="134">
        <v>1299177.6499999999</v>
      </c>
      <c r="I21" s="134">
        <v>55800337</v>
      </c>
      <c r="J21" s="134">
        <v>7681350</v>
      </c>
      <c r="K21" s="134">
        <v>2054772</v>
      </c>
      <c r="L21" s="4">
        <v>39670847</v>
      </c>
      <c r="M21" s="169">
        <f t="shared" si="8"/>
        <v>223598346.29000002</v>
      </c>
      <c r="N21" s="124"/>
      <c r="O21" s="143"/>
    </row>
    <row r="22" spans="1:46">
      <c r="A22" s="161">
        <v>2013</v>
      </c>
      <c r="B22" s="134">
        <v>11807113</v>
      </c>
      <c r="C22" s="134">
        <v>6744429.8861001581</v>
      </c>
      <c r="D22" s="134">
        <v>13039380.474063436</v>
      </c>
      <c r="E22" s="134">
        <v>3806208.845418985</v>
      </c>
      <c r="F22" s="134">
        <v>15704328.666569354</v>
      </c>
      <c r="G22" s="134">
        <v>26019633.714035116</v>
      </c>
      <c r="H22" s="134">
        <v>1338033.3534817197</v>
      </c>
      <c r="I22" s="134">
        <v>1538958.6808510639</v>
      </c>
      <c r="J22" s="134">
        <v>0</v>
      </c>
      <c r="K22" s="119">
        <v>0</v>
      </c>
      <c r="L22" s="3">
        <v>0</v>
      </c>
      <c r="M22" s="169">
        <f t="shared" si="8"/>
        <v>79998086.620519817</v>
      </c>
      <c r="N22" s="124"/>
      <c r="O22" s="143"/>
    </row>
    <row r="23" spans="1:46">
      <c r="A23" s="161">
        <v>2012</v>
      </c>
      <c r="B23" s="134">
        <v>16043461.811383858</v>
      </c>
      <c r="C23" s="134">
        <v>28366450.43243359</v>
      </c>
      <c r="D23" s="134">
        <v>10162754.101672946</v>
      </c>
      <c r="E23" s="134">
        <v>2008405.9545810146</v>
      </c>
      <c r="F23" s="134">
        <v>259786.23251273151</v>
      </c>
      <c r="G23" s="134">
        <v>0</v>
      </c>
      <c r="H23" s="134">
        <v>0</v>
      </c>
      <c r="I23" s="134">
        <v>0</v>
      </c>
      <c r="J23" s="134">
        <v>0</v>
      </c>
      <c r="K23" s="134">
        <v>0</v>
      </c>
      <c r="L23" s="3">
        <v>0</v>
      </c>
      <c r="M23" s="169">
        <f t="shared" si="8"/>
        <v>56840858.532584146</v>
      </c>
      <c r="N23" s="124"/>
      <c r="O23" s="143"/>
    </row>
    <row r="24" spans="1:46">
      <c r="A24" s="161">
        <v>2011</v>
      </c>
      <c r="B24" s="134">
        <v>18454173</v>
      </c>
      <c r="C24" s="134">
        <v>7191736</v>
      </c>
      <c r="D24" s="134">
        <v>0</v>
      </c>
      <c r="E24" s="134">
        <v>0</v>
      </c>
      <c r="F24" s="134">
        <v>0</v>
      </c>
      <c r="G24" s="134">
        <v>0</v>
      </c>
      <c r="H24" s="134">
        <v>0</v>
      </c>
      <c r="I24" s="134">
        <v>0</v>
      </c>
      <c r="J24" s="134">
        <v>0</v>
      </c>
      <c r="K24" s="134">
        <v>0</v>
      </c>
      <c r="L24" s="3">
        <v>0</v>
      </c>
      <c r="M24" s="169">
        <f t="shared" si="8"/>
        <v>25645909</v>
      </c>
      <c r="N24" s="124"/>
      <c r="O24" s="143"/>
    </row>
    <row r="25" spans="1:46">
      <c r="A25" s="161">
        <v>2010</v>
      </c>
      <c r="B25" s="134">
        <v>2321139</v>
      </c>
      <c r="C25" s="134">
        <v>0</v>
      </c>
      <c r="D25" s="134">
        <v>0</v>
      </c>
      <c r="E25" s="134">
        <v>0</v>
      </c>
      <c r="F25" s="134">
        <v>0</v>
      </c>
      <c r="G25" s="134">
        <v>0</v>
      </c>
      <c r="H25" s="134">
        <v>0</v>
      </c>
      <c r="I25" s="134">
        <v>0</v>
      </c>
      <c r="J25" s="134">
        <v>0</v>
      </c>
      <c r="K25" s="134">
        <v>0</v>
      </c>
      <c r="L25" s="3">
        <v>0</v>
      </c>
      <c r="M25" s="169">
        <f t="shared" si="8"/>
        <v>2321139</v>
      </c>
      <c r="N25" s="124"/>
      <c r="O25" s="143"/>
    </row>
    <row r="26" spans="1:46" ht="15.75" thickBot="1">
      <c r="A26" s="158" t="s">
        <v>121</v>
      </c>
      <c r="B26" s="121">
        <f t="shared" ref="B26:L26" si="9">+B19-B20-B21-B22-B23-B24-B25</f>
        <v>155112.34000000358</v>
      </c>
      <c r="C26" s="121">
        <f t="shared" si="9"/>
        <v>208467</v>
      </c>
      <c r="D26" s="121">
        <f t="shared" si="9"/>
        <v>0</v>
      </c>
      <c r="E26" s="121">
        <f t="shared" si="9"/>
        <v>1.1641532182693481E-9</v>
      </c>
      <c r="F26" s="121">
        <f t="shared" si="9"/>
        <v>1025085.0000000014</v>
      </c>
      <c r="G26" s="121">
        <f t="shared" si="9"/>
        <v>7.4505805969238281E-9</v>
      </c>
      <c r="H26" s="121">
        <f t="shared" si="9"/>
        <v>4315137</v>
      </c>
      <c r="I26" s="121">
        <f t="shared" si="9"/>
        <v>-4247879.0000000065</v>
      </c>
      <c r="J26" s="121">
        <f t="shared" si="9"/>
        <v>-1823520</v>
      </c>
      <c r="K26" s="121">
        <f t="shared" si="9"/>
        <v>0</v>
      </c>
      <c r="L26" s="121">
        <f t="shared" si="9"/>
        <v>4545402</v>
      </c>
      <c r="M26" s="170">
        <f t="shared" si="8"/>
        <v>4177804.3400000073</v>
      </c>
      <c r="N26" s="124"/>
      <c r="O26" s="143"/>
    </row>
    <row r="27" spans="1:46" ht="15.75" thickTop="1">
      <c r="A27" s="124"/>
      <c r="B27" s="129">
        <v>4.991891261148107E-2</v>
      </c>
      <c r="C27" s="129">
        <v>1.8371836338125342E-3</v>
      </c>
      <c r="D27" s="129">
        <v>-4.9354103086527421E-2</v>
      </c>
      <c r="E27" s="129">
        <v>0.28903311285070588</v>
      </c>
      <c r="F27" s="129">
        <v>0.16638572928725423</v>
      </c>
      <c r="G27" s="129">
        <v>0.36522606319000511</v>
      </c>
      <c r="H27" s="129">
        <v>0.58766937646718309</v>
      </c>
      <c r="I27" s="129">
        <v>0.60458637573707097</v>
      </c>
      <c r="J27" s="129">
        <v>0.76771563954558109</v>
      </c>
      <c r="K27" s="129">
        <v>0.94052471065093812</v>
      </c>
      <c r="L27" s="129">
        <v>0.94052471065093812</v>
      </c>
      <c r="M27" s="129">
        <v>0.29584982425705197</v>
      </c>
      <c r="N27" s="124"/>
      <c r="O27" s="143"/>
    </row>
    <row r="28" spans="1:46">
      <c r="A28" s="124"/>
      <c r="B28" s="126"/>
      <c r="C28" s="126"/>
      <c r="D28" s="126"/>
      <c r="E28" s="126"/>
      <c r="F28" s="126"/>
      <c r="G28" s="126"/>
      <c r="H28" s="126"/>
      <c r="I28" s="126"/>
      <c r="J28" s="126"/>
      <c r="K28" s="126"/>
      <c r="L28" s="126"/>
      <c r="M28" s="12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  <c r="AA28" s="126"/>
      <c r="AB28" s="126"/>
      <c r="AC28" s="126"/>
      <c r="AD28" s="126"/>
      <c r="AE28" s="126"/>
      <c r="AF28" s="126"/>
      <c r="AG28" s="126"/>
      <c r="AH28" s="126"/>
      <c r="AI28" s="126"/>
      <c r="AJ28" s="126"/>
      <c r="AK28" s="126"/>
      <c r="AL28" s="126"/>
      <c r="AM28" s="126"/>
      <c r="AN28" s="126"/>
      <c r="AO28" s="126"/>
      <c r="AP28" s="124"/>
      <c r="AQ28" s="124"/>
      <c r="AR28" s="124"/>
      <c r="AS28" s="124"/>
      <c r="AT28" s="124"/>
    </row>
    <row r="29" spans="1:46">
      <c r="A29" s="462" t="s">
        <v>122</v>
      </c>
      <c r="B29" s="462"/>
      <c r="C29" s="462"/>
      <c r="D29" s="462"/>
      <c r="E29" s="462"/>
      <c r="F29" s="462"/>
      <c r="G29" s="462"/>
      <c r="H29" s="462"/>
      <c r="I29" s="462"/>
      <c r="J29" s="462"/>
      <c r="K29" s="462"/>
      <c r="L29" s="462"/>
      <c r="M29" s="462"/>
      <c r="N29" s="462"/>
      <c r="O29" s="124"/>
      <c r="P29" s="124"/>
      <c r="Q29" s="124"/>
      <c r="R29" s="124"/>
      <c r="S29" s="124"/>
      <c r="T29" s="124"/>
      <c r="U29" s="124"/>
      <c r="V29" s="124"/>
      <c r="W29" s="124"/>
      <c r="X29" s="124"/>
      <c r="Y29" s="124"/>
      <c r="Z29" s="124"/>
      <c r="AA29" s="124"/>
      <c r="AB29" s="124"/>
      <c r="AC29" s="124"/>
      <c r="AD29" s="124"/>
      <c r="AE29" s="124"/>
      <c r="AF29" s="124"/>
      <c r="AG29" s="124"/>
      <c r="AH29" s="124"/>
      <c r="AI29" s="124"/>
      <c r="AJ29" s="124"/>
      <c r="AK29" s="124"/>
      <c r="AL29" s="124"/>
      <c r="AM29" s="124"/>
      <c r="AN29" s="124"/>
      <c r="AO29" s="124"/>
      <c r="AP29" s="124"/>
      <c r="AQ29" s="124"/>
      <c r="AR29" s="124"/>
      <c r="AS29" s="124"/>
      <c r="AT29" s="124"/>
    </row>
    <row r="30" spans="1:46">
      <c r="A30" s="147" t="s">
        <v>120</v>
      </c>
      <c r="B30" s="460">
        <v>42370</v>
      </c>
      <c r="C30" s="460">
        <v>42401</v>
      </c>
      <c r="D30" s="460">
        <v>42430</v>
      </c>
      <c r="E30" s="460">
        <v>42461</v>
      </c>
      <c r="F30" s="460">
        <v>42491</v>
      </c>
      <c r="G30" s="460">
        <v>42522</v>
      </c>
      <c r="H30" s="460">
        <v>42552</v>
      </c>
      <c r="I30" s="460">
        <v>42583</v>
      </c>
      <c r="J30" s="460">
        <v>42614</v>
      </c>
      <c r="K30" s="460">
        <v>42644</v>
      </c>
      <c r="L30" s="460">
        <v>42675</v>
      </c>
      <c r="M30" s="460">
        <v>42705</v>
      </c>
      <c r="N30" s="458" t="s">
        <v>15</v>
      </c>
      <c r="O30" s="139"/>
      <c r="P30" s="139"/>
      <c r="Q30" s="139"/>
      <c r="R30" s="139"/>
      <c r="S30" s="139"/>
      <c r="T30" s="139"/>
      <c r="U30" s="139"/>
      <c r="V30" s="139"/>
      <c r="W30" s="139"/>
      <c r="X30" s="139"/>
      <c r="Y30" s="139"/>
      <c r="Z30" s="139"/>
      <c r="AA30" s="139"/>
      <c r="AB30" s="139"/>
      <c r="AC30" s="139"/>
      <c r="AD30" s="139"/>
      <c r="AE30" s="139"/>
      <c r="AF30" s="139"/>
      <c r="AG30" s="139"/>
      <c r="AH30" s="139"/>
      <c r="AI30" s="139"/>
      <c r="AJ30" s="139"/>
      <c r="AK30" s="139"/>
      <c r="AL30" s="139"/>
      <c r="AM30" s="139"/>
      <c r="AN30" s="139"/>
      <c r="AO30" s="457"/>
    </row>
    <row r="31" spans="1:46" ht="15.75" thickBot="1">
      <c r="A31" s="132" t="s">
        <v>34</v>
      </c>
      <c r="B31" s="461"/>
      <c r="C31" s="461"/>
      <c r="D31" s="461"/>
      <c r="E31" s="461"/>
      <c r="F31" s="461"/>
      <c r="G31" s="461"/>
      <c r="H31" s="461"/>
      <c r="I31" s="461"/>
      <c r="J31" s="461"/>
      <c r="K31" s="461"/>
      <c r="L31" s="461"/>
      <c r="M31" s="461"/>
      <c r="N31" s="459"/>
      <c r="O31" s="139"/>
      <c r="P31" s="139"/>
      <c r="Q31" s="139"/>
      <c r="R31" s="139"/>
      <c r="S31" s="139"/>
      <c r="T31" s="139"/>
      <c r="U31" s="139"/>
      <c r="V31" s="139"/>
      <c r="W31" s="139"/>
      <c r="X31" s="139"/>
      <c r="Y31" s="139"/>
      <c r="Z31" s="139"/>
      <c r="AA31" s="139"/>
      <c r="AB31" s="139"/>
      <c r="AC31" s="139"/>
      <c r="AD31" s="139"/>
      <c r="AE31" s="139"/>
      <c r="AF31" s="139"/>
      <c r="AG31" s="139"/>
      <c r="AH31" s="139"/>
      <c r="AI31" s="139"/>
      <c r="AJ31" s="139"/>
      <c r="AK31" s="139"/>
      <c r="AL31" s="139"/>
      <c r="AM31" s="139"/>
      <c r="AN31" s="139"/>
      <c r="AO31" s="457"/>
    </row>
    <row r="32" spans="1:46" ht="15.75" thickTop="1">
      <c r="A32" s="140" t="s">
        <v>35</v>
      </c>
      <c r="B32" s="141"/>
      <c r="C32" s="141"/>
      <c r="D32" s="141"/>
      <c r="E32" s="141"/>
      <c r="F32" s="141"/>
      <c r="G32" s="141"/>
      <c r="H32" s="141"/>
      <c r="I32" s="141"/>
      <c r="J32" s="141"/>
      <c r="K32" s="141"/>
      <c r="L32" s="141"/>
      <c r="M32" s="141"/>
      <c r="N32" s="142"/>
      <c r="O32" s="139"/>
      <c r="P32" s="139"/>
      <c r="Q32" s="139"/>
      <c r="R32" s="139"/>
      <c r="S32" s="139"/>
      <c r="T32" s="139"/>
      <c r="U32" s="139"/>
      <c r="V32" s="139"/>
      <c r="W32" s="139"/>
      <c r="X32" s="139"/>
      <c r="Y32" s="139"/>
      <c r="Z32" s="139"/>
      <c r="AA32" s="139"/>
      <c r="AB32" s="139"/>
      <c r="AC32" s="139"/>
      <c r="AD32" s="139"/>
      <c r="AE32" s="139"/>
      <c r="AF32" s="139"/>
      <c r="AG32" s="139"/>
      <c r="AH32" s="139"/>
      <c r="AI32" s="139"/>
      <c r="AJ32" s="139"/>
      <c r="AK32" s="139"/>
      <c r="AL32" s="139"/>
      <c r="AM32" s="139"/>
      <c r="AN32" s="139"/>
      <c r="AO32" s="139"/>
    </row>
    <row r="33" spans="1:41">
      <c r="A33" s="150" t="s">
        <v>108</v>
      </c>
      <c r="B33" s="130"/>
      <c r="C33" s="130">
        <v>410860.16</v>
      </c>
      <c r="D33" s="130">
        <v>318577.71000000002</v>
      </c>
      <c r="E33" s="130"/>
      <c r="F33" s="130"/>
      <c r="G33" s="130"/>
      <c r="H33" s="130"/>
      <c r="I33" s="130"/>
      <c r="J33" s="130"/>
      <c r="K33" s="130"/>
      <c r="L33" s="130"/>
      <c r="M33" s="130"/>
      <c r="N33" s="130">
        <f t="shared" ref="N33:N42" si="10">SUM(B33:M33)</f>
        <v>729437.87</v>
      </c>
      <c r="O33" s="126"/>
      <c r="P33" s="126"/>
      <c r="Q33" s="126"/>
      <c r="R33" s="126"/>
      <c r="S33" s="126"/>
      <c r="T33" s="126"/>
      <c r="U33" s="126"/>
      <c r="V33" s="126"/>
      <c r="W33" s="126"/>
      <c r="X33" s="126"/>
      <c r="Y33" s="126"/>
      <c r="Z33" s="126"/>
      <c r="AA33" s="126"/>
      <c r="AB33" s="126"/>
      <c r="AC33" s="126"/>
      <c r="AD33" s="126"/>
      <c r="AE33" s="126"/>
      <c r="AF33" s="126"/>
      <c r="AG33" s="126"/>
      <c r="AH33" s="126"/>
      <c r="AI33" s="126"/>
      <c r="AJ33" s="126"/>
      <c r="AK33" s="126"/>
      <c r="AL33" s="126"/>
      <c r="AM33" s="126"/>
      <c r="AN33" s="126"/>
      <c r="AO33" s="126"/>
    </row>
    <row r="34" spans="1:41">
      <c r="A34" s="150" t="s">
        <v>97</v>
      </c>
      <c r="B34" s="130"/>
      <c r="C34" s="130"/>
      <c r="D34" s="130">
        <v>51762.39</v>
      </c>
      <c r="E34" s="130"/>
      <c r="F34" s="130"/>
      <c r="G34" s="130">
        <v>279041.25</v>
      </c>
      <c r="H34" s="130"/>
      <c r="I34" s="130"/>
      <c r="J34" s="130"/>
      <c r="K34" s="130"/>
      <c r="L34" s="130"/>
      <c r="M34" s="130">
        <v>37044.71</v>
      </c>
      <c r="N34" s="130">
        <f t="shared" si="10"/>
        <v>367848.35000000003</v>
      </c>
      <c r="O34" s="126"/>
      <c r="P34" s="126"/>
      <c r="Q34" s="126"/>
      <c r="R34" s="126"/>
      <c r="S34" s="126"/>
      <c r="T34" s="126"/>
      <c r="U34" s="126"/>
      <c r="V34" s="126"/>
      <c r="W34" s="126"/>
      <c r="X34" s="126"/>
      <c r="Y34" s="126"/>
      <c r="Z34" s="126"/>
      <c r="AA34" s="126"/>
      <c r="AB34" s="126"/>
      <c r="AC34" s="126"/>
      <c r="AD34" s="126"/>
      <c r="AE34" s="126"/>
      <c r="AF34" s="126"/>
      <c r="AG34" s="126"/>
      <c r="AH34" s="126"/>
      <c r="AI34" s="126"/>
      <c r="AJ34" s="126"/>
      <c r="AK34" s="126"/>
      <c r="AL34" s="126"/>
      <c r="AM34" s="126"/>
      <c r="AN34" s="126"/>
      <c r="AO34" s="126"/>
    </row>
    <row r="35" spans="1:41">
      <c r="A35" s="150" t="s">
        <v>109</v>
      </c>
      <c r="B35" s="48">
        <v>101636</v>
      </c>
      <c r="C35" s="49">
        <v>0</v>
      </c>
      <c r="D35" s="49">
        <v>0</v>
      </c>
      <c r="E35" s="49">
        <v>0</v>
      </c>
      <c r="F35" s="49">
        <v>0</v>
      </c>
      <c r="G35" s="49">
        <v>0</v>
      </c>
      <c r="H35" s="49">
        <v>0</v>
      </c>
      <c r="I35" s="49">
        <v>0</v>
      </c>
      <c r="J35" s="49">
        <v>0</v>
      </c>
      <c r="K35" s="49">
        <v>0</v>
      </c>
      <c r="L35" s="49">
        <v>0</v>
      </c>
      <c r="M35" s="49">
        <v>0</v>
      </c>
      <c r="N35" s="130">
        <f t="shared" si="10"/>
        <v>101636</v>
      </c>
      <c r="O35" s="126"/>
      <c r="P35" s="126"/>
      <c r="Q35" s="126"/>
      <c r="R35" s="126"/>
      <c r="S35" s="126"/>
      <c r="T35" s="126"/>
      <c r="U35" s="126"/>
      <c r="V35" s="126"/>
      <c r="W35" s="126"/>
      <c r="X35" s="126"/>
      <c r="Y35" s="126"/>
      <c r="Z35" s="126"/>
      <c r="AA35" s="126"/>
      <c r="AB35" s="126"/>
      <c r="AC35" s="126"/>
      <c r="AD35" s="126"/>
      <c r="AE35" s="126"/>
      <c r="AF35" s="126"/>
      <c r="AG35" s="126"/>
      <c r="AH35" s="126"/>
      <c r="AI35" s="126"/>
      <c r="AJ35" s="126"/>
      <c r="AK35" s="126"/>
      <c r="AL35" s="126"/>
      <c r="AM35" s="126"/>
      <c r="AN35" s="126"/>
      <c r="AO35" s="126"/>
    </row>
    <row r="36" spans="1:41">
      <c r="A36" s="150" t="s">
        <v>110</v>
      </c>
      <c r="B36" s="48">
        <v>254298</v>
      </c>
      <c r="C36" s="49">
        <v>0</v>
      </c>
      <c r="D36" s="49">
        <v>0</v>
      </c>
      <c r="E36" s="49">
        <v>0</v>
      </c>
      <c r="F36" s="49">
        <v>0</v>
      </c>
      <c r="G36" s="49">
        <v>552505</v>
      </c>
      <c r="H36" s="49">
        <v>286378.07580174843</v>
      </c>
      <c r="I36" s="49">
        <v>0</v>
      </c>
      <c r="J36" s="49">
        <v>0</v>
      </c>
      <c r="K36" s="49">
        <v>0</v>
      </c>
      <c r="L36" s="49">
        <v>0</v>
      </c>
      <c r="M36" s="49">
        <v>0</v>
      </c>
      <c r="N36" s="130">
        <f t="shared" si="10"/>
        <v>1093181.0758017483</v>
      </c>
      <c r="O36" s="126"/>
      <c r="P36" s="126"/>
      <c r="Q36" s="126"/>
      <c r="R36" s="126"/>
      <c r="S36" s="126"/>
      <c r="T36" s="126"/>
      <c r="U36" s="126"/>
      <c r="V36" s="126"/>
      <c r="W36" s="126"/>
      <c r="X36" s="126"/>
      <c r="Y36" s="126"/>
      <c r="Z36" s="126"/>
      <c r="AA36" s="126"/>
      <c r="AB36" s="126"/>
      <c r="AC36" s="126"/>
      <c r="AD36" s="126"/>
      <c r="AE36" s="126"/>
      <c r="AF36" s="126"/>
      <c r="AG36" s="126"/>
      <c r="AH36" s="126"/>
      <c r="AI36" s="126"/>
      <c r="AJ36" s="126"/>
      <c r="AK36" s="126"/>
      <c r="AL36" s="126"/>
      <c r="AM36" s="126"/>
      <c r="AN36" s="126"/>
      <c r="AO36" s="126"/>
    </row>
    <row r="37" spans="1:41">
      <c r="A37" s="150" t="s">
        <v>111</v>
      </c>
      <c r="B37" s="48">
        <v>1258165</v>
      </c>
      <c r="C37" s="49">
        <v>308208</v>
      </c>
      <c r="D37" s="49">
        <v>769574</v>
      </c>
      <c r="E37" s="49">
        <v>0</v>
      </c>
      <c r="F37" s="49">
        <v>0</v>
      </c>
      <c r="G37" s="49">
        <v>245568</v>
      </c>
      <c r="H37" s="49">
        <v>2103764</v>
      </c>
      <c r="I37" s="49">
        <v>0</v>
      </c>
      <c r="J37" s="49">
        <v>0</v>
      </c>
      <c r="K37" s="49">
        <v>3738398</v>
      </c>
      <c r="L37" s="49">
        <v>0</v>
      </c>
      <c r="M37" s="49">
        <v>844644</v>
      </c>
      <c r="N37" s="130">
        <f t="shared" si="10"/>
        <v>9268321</v>
      </c>
      <c r="O37" s="126"/>
      <c r="P37" s="126"/>
      <c r="Q37" s="126"/>
      <c r="R37" s="126"/>
      <c r="S37" s="126"/>
      <c r="T37" s="126"/>
      <c r="U37" s="126"/>
      <c r="V37" s="126"/>
      <c r="W37" s="126"/>
      <c r="X37" s="126"/>
      <c r="Y37" s="126"/>
      <c r="Z37" s="126"/>
      <c r="AA37" s="126"/>
      <c r="AB37" s="126"/>
      <c r="AC37" s="126"/>
      <c r="AD37" s="126"/>
      <c r="AE37" s="126"/>
      <c r="AF37" s="126"/>
      <c r="AG37" s="126"/>
      <c r="AH37" s="126"/>
      <c r="AI37" s="126"/>
      <c r="AJ37" s="126"/>
      <c r="AK37" s="126"/>
      <c r="AL37" s="126"/>
      <c r="AM37" s="126"/>
      <c r="AN37" s="126"/>
      <c r="AO37" s="126"/>
    </row>
    <row r="38" spans="1:41">
      <c r="A38" s="150" t="s">
        <v>112</v>
      </c>
      <c r="B38" s="48">
        <v>1110732</v>
      </c>
      <c r="C38" s="49">
        <v>0</v>
      </c>
      <c r="D38" s="49">
        <v>0</v>
      </c>
      <c r="E38" s="49">
        <v>0</v>
      </c>
      <c r="F38" s="49">
        <v>0</v>
      </c>
      <c r="G38" s="49">
        <v>0</v>
      </c>
      <c r="H38" s="49">
        <v>0</v>
      </c>
      <c r="I38" s="49">
        <v>0</v>
      </c>
      <c r="J38" s="49">
        <v>0</v>
      </c>
      <c r="K38" s="49">
        <v>0</v>
      </c>
      <c r="L38" s="49">
        <v>0</v>
      </c>
      <c r="M38" s="49">
        <v>0</v>
      </c>
      <c r="N38" s="130">
        <f t="shared" si="10"/>
        <v>1110732</v>
      </c>
      <c r="O38" s="126"/>
      <c r="P38" s="126"/>
      <c r="Q38" s="126"/>
      <c r="R38" s="126"/>
      <c r="S38" s="126"/>
      <c r="T38" s="126"/>
      <c r="U38" s="126"/>
      <c r="V38" s="126"/>
      <c r="W38" s="126"/>
      <c r="X38" s="126"/>
      <c r="Y38" s="126"/>
      <c r="Z38" s="126"/>
      <c r="AA38" s="126"/>
      <c r="AB38" s="126"/>
      <c r="AC38" s="126"/>
      <c r="AD38" s="126"/>
      <c r="AE38" s="126"/>
      <c r="AF38" s="126"/>
      <c r="AG38" s="126"/>
      <c r="AH38" s="126"/>
      <c r="AI38" s="126"/>
      <c r="AJ38" s="126"/>
      <c r="AK38" s="126"/>
      <c r="AL38" s="126"/>
      <c r="AM38" s="126"/>
      <c r="AN38" s="126"/>
      <c r="AO38" s="126"/>
    </row>
    <row r="39" spans="1:41">
      <c r="A39" s="150" t="s">
        <v>113</v>
      </c>
      <c r="B39" s="48">
        <v>627547</v>
      </c>
      <c r="C39" s="49">
        <v>0</v>
      </c>
      <c r="D39" s="49">
        <v>397133</v>
      </c>
      <c r="E39" s="49">
        <v>754074</v>
      </c>
      <c r="F39" s="49">
        <v>0</v>
      </c>
      <c r="G39" s="49">
        <v>1064039</v>
      </c>
      <c r="H39" s="49">
        <v>857110</v>
      </c>
      <c r="I39" s="49">
        <v>258028.99999999988</v>
      </c>
      <c r="J39" s="49">
        <v>0</v>
      </c>
      <c r="K39" s="49">
        <v>1024762</v>
      </c>
      <c r="L39" s="49">
        <v>0</v>
      </c>
      <c r="M39" s="49">
        <v>0</v>
      </c>
      <c r="N39" s="130">
        <f t="shared" si="10"/>
        <v>4982694</v>
      </c>
      <c r="O39" s="126"/>
      <c r="P39" s="126"/>
      <c r="Q39" s="126"/>
      <c r="R39" s="126"/>
      <c r="S39" s="126"/>
      <c r="T39" s="126"/>
      <c r="U39" s="126"/>
      <c r="V39" s="126"/>
      <c r="W39" s="126"/>
      <c r="X39" s="126"/>
      <c r="Y39" s="126"/>
      <c r="Z39" s="126"/>
      <c r="AA39" s="126"/>
      <c r="AB39" s="126"/>
      <c r="AC39" s="126"/>
      <c r="AD39" s="126"/>
      <c r="AE39" s="126"/>
      <c r="AF39" s="126"/>
      <c r="AG39" s="126"/>
      <c r="AH39" s="126"/>
      <c r="AI39" s="126"/>
      <c r="AJ39" s="126"/>
      <c r="AK39" s="126"/>
      <c r="AL39" s="126"/>
      <c r="AM39" s="126"/>
      <c r="AN39" s="126"/>
      <c r="AO39" s="126"/>
    </row>
    <row r="40" spans="1:41">
      <c r="A40" s="150" t="s">
        <v>45</v>
      </c>
      <c r="B40" s="48">
        <v>3608866</v>
      </c>
      <c r="C40" s="49">
        <v>0</v>
      </c>
      <c r="D40" s="49">
        <v>0</v>
      </c>
      <c r="E40" s="49">
        <v>0</v>
      </c>
      <c r="F40" s="49">
        <v>0</v>
      </c>
      <c r="G40" s="49">
        <v>4446863</v>
      </c>
      <c r="H40" s="49">
        <v>0</v>
      </c>
      <c r="I40" s="49">
        <v>0</v>
      </c>
      <c r="J40" s="49">
        <v>0</v>
      </c>
      <c r="K40" s="49">
        <v>0</v>
      </c>
      <c r="L40" s="49">
        <v>4019369</v>
      </c>
      <c r="M40" s="49">
        <v>73864.710000000006</v>
      </c>
      <c r="N40" s="130">
        <f t="shared" si="10"/>
        <v>12148962.710000001</v>
      </c>
      <c r="O40" s="126"/>
      <c r="P40" s="126"/>
      <c r="Q40" s="126"/>
      <c r="R40" s="126"/>
      <c r="S40" s="126"/>
      <c r="T40" s="126"/>
      <c r="U40" s="126"/>
      <c r="V40" s="126"/>
      <c r="W40" s="126"/>
      <c r="X40" s="126"/>
      <c r="Y40" s="126"/>
      <c r="Z40" s="126"/>
      <c r="AA40" s="126"/>
      <c r="AB40" s="126"/>
      <c r="AC40" s="126"/>
      <c r="AD40" s="126"/>
      <c r="AE40" s="126"/>
      <c r="AF40" s="126"/>
      <c r="AG40" s="126"/>
      <c r="AH40" s="126"/>
      <c r="AI40" s="126"/>
      <c r="AJ40" s="126"/>
      <c r="AK40" s="126"/>
      <c r="AL40" s="126"/>
      <c r="AM40" s="126"/>
      <c r="AN40" s="126"/>
      <c r="AO40" s="126"/>
    </row>
    <row r="41" spans="1:41">
      <c r="A41" s="150" t="s">
        <v>105</v>
      </c>
      <c r="B41" s="48">
        <v>0</v>
      </c>
      <c r="C41" s="49">
        <v>0</v>
      </c>
      <c r="D41" s="49">
        <v>0</v>
      </c>
      <c r="E41" s="49">
        <v>0</v>
      </c>
      <c r="F41" s="49">
        <v>0</v>
      </c>
      <c r="G41" s="49">
        <v>0</v>
      </c>
      <c r="H41" s="49">
        <v>0</v>
      </c>
      <c r="I41" s="49">
        <v>-1823216.79</v>
      </c>
      <c r="J41" s="49">
        <v>0</v>
      </c>
      <c r="K41" s="49">
        <v>0</v>
      </c>
      <c r="L41" s="49">
        <v>0</v>
      </c>
      <c r="M41" s="49">
        <v>0</v>
      </c>
      <c r="N41" s="130">
        <f t="shared" si="10"/>
        <v>-1823216.79</v>
      </c>
      <c r="O41" s="126"/>
      <c r="P41" s="126"/>
      <c r="Q41" s="126"/>
      <c r="R41" s="126"/>
      <c r="S41" s="126"/>
      <c r="T41" s="126"/>
      <c r="U41" s="126"/>
      <c r="V41" s="126"/>
      <c r="W41" s="126"/>
      <c r="X41" s="126"/>
      <c r="Y41" s="126"/>
      <c r="Z41" s="126"/>
      <c r="AA41" s="126"/>
      <c r="AB41" s="126"/>
      <c r="AC41" s="126"/>
      <c r="AD41" s="126"/>
      <c r="AE41" s="126"/>
      <c r="AF41" s="126"/>
      <c r="AG41" s="126"/>
      <c r="AH41" s="126"/>
      <c r="AI41" s="126"/>
      <c r="AJ41" s="126"/>
      <c r="AK41" s="126"/>
      <c r="AL41" s="126"/>
      <c r="AM41" s="126"/>
      <c r="AN41" s="126"/>
      <c r="AO41" s="126"/>
    </row>
    <row r="42" spans="1:41">
      <c r="A42" s="150" t="s">
        <v>106</v>
      </c>
      <c r="B42" s="48">
        <v>0</v>
      </c>
      <c r="C42" s="49">
        <v>0</v>
      </c>
      <c r="D42" s="49">
        <v>1173484</v>
      </c>
      <c r="E42" s="49">
        <v>3109784</v>
      </c>
      <c r="F42" s="49">
        <v>0</v>
      </c>
      <c r="G42" s="49">
        <v>250519</v>
      </c>
      <c r="H42" s="49">
        <v>0</v>
      </c>
      <c r="I42" s="49">
        <v>0</v>
      </c>
      <c r="J42" s="49">
        <v>0</v>
      </c>
      <c r="K42" s="49">
        <v>0</v>
      </c>
      <c r="L42" s="49">
        <v>0</v>
      </c>
      <c r="M42" s="49">
        <v>0</v>
      </c>
      <c r="N42" s="130">
        <f t="shared" si="10"/>
        <v>4533787</v>
      </c>
      <c r="O42" s="126"/>
      <c r="P42" s="126"/>
      <c r="Q42" s="126"/>
      <c r="R42" s="126"/>
      <c r="S42" s="126"/>
      <c r="T42" s="126"/>
      <c r="U42" s="126"/>
      <c r="V42" s="126"/>
      <c r="W42" s="126"/>
      <c r="X42" s="126"/>
      <c r="Y42" s="126"/>
      <c r="Z42" s="126"/>
      <c r="AA42" s="126"/>
      <c r="AB42" s="126"/>
      <c r="AC42" s="126"/>
      <c r="AD42" s="126"/>
      <c r="AE42" s="126"/>
      <c r="AF42" s="126"/>
      <c r="AG42" s="126"/>
      <c r="AH42" s="126"/>
      <c r="AI42" s="126"/>
      <c r="AJ42" s="126"/>
      <c r="AK42" s="126"/>
      <c r="AL42" s="126"/>
      <c r="AM42" s="126"/>
      <c r="AN42" s="126"/>
      <c r="AO42" s="126"/>
    </row>
    <row r="43" spans="1:41">
      <c r="A43" s="150" t="s">
        <v>66</v>
      </c>
      <c r="B43" s="48">
        <v>0</v>
      </c>
      <c r="C43" s="49">
        <v>0</v>
      </c>
      <c r="D43" s="49">
        <v>0</v>
      </c>
      <c r="E43" s="49">
        <v>0</v>
      </c>
      <c r="F43" s="49">
        <v>0</v>
      </c>
      <c r="G43" s="49">
        <v>14985408</v>
      </c>
      <c r="H43" s="49">
        <v>0</v>
      </c>
      <c r="I43" s="49">
        <v>0</v>
      </c>
      <c r="J43" s="49">
        <v>0</v>
      </c>
      <c r="K43" s="49">
        <v>0</v>
      </c>
      <c r="L43" s="49">
        <v>0</v>
      </c>
      <c r="M43" s="49">
        <v>0</v>
      </c>
      <c r="N43" s="130">
        <v>14985408</v>
      </c>
      <c r="O43" s="126"/>
      <c r="P43" s="126"/>
      <c r="Q43" s="126"/>
      <c r="R43" s="126"/>
      <c r="S43" s="126"/>
      <c r="T43" s="126"/>
      <c r="U43" s="126"/>
      <c r="V43" s="126"/>
      <c r="W43" s="126"/>
      <c r="X43" s="126"/>
      <c r="Y43" s="126"/>
      <c r="Z43" s="126"/>
      <c r="AA43" s="126"/>
      <c r="AB43" s="126"/>
      <c r="AC43" s="126"/>
      <c r="AD43" s="126"/>
      <c r="AE43" s="126"/>
      <c r="AF43" s="126"/>
      <c r="AG43" s="126"/>
      <c r="AH43" s="126"/>
      <c r="AI43" s="126"/>
      <c r="AJ43" s="126"/>
      <c r="AK43" s="126"/>
      <c r="AL43" s="126"/>
      <c r="AM43" s="126"/>
      <c r="AN43" s="126"/>
      <c r="AO43" s="126"/>
    </row>
    <row r="44" spans="1:41" ht="15.75" thickBot="1">
      <c r="A44" s="144" t="s">
        <v>37</v>
      </c>
      <c r="B44" s="153">
        <f>SUM(B33:B42)</f>
        <v>6961244</v>
      </c>
      <c r="C44" s="153">
        <f t="shared" ref="C44:M44" si="11">SUM(C33:C42)</f>
        <v>719068.15999999992</v>
      </c>
      <c r="D44" s="153">
        <f t="shared" si="11"/>
        <v>2710531.1</v>
      </c>
      <c r="E44" s="153">
        <f t="shared" si="11"/>
        <v>3863858</v>
      </c>
      <c r="F44" s="153">
        <f t="shared" si="11"/>
        <v>0</v>
      </c>
      <c r="G44" s="153">
        <f t="shared" si="11"/>
        <v>6838535.25</v>
      </c>
      <c r="H44" s="153">
        <f t="shared" si="11"/>
        <v>3247252.0758017483</v>
      </c>
      <c r="I44" s="153">
        <f t="shared" si="11"/>
        <v>-1565187.79</v>
      </c>
      <c r="J44" s="153">
        <f t="shared" si="11"/>
        <v>0</v>
      </c>
      <c r="K44" s="153">
        <f t="shared" si="11"/>
        <v>4763160</v>
      </c>
      <c r="L44" s="153">
        <f t="shared" si="11"/>
        <v>4019369</v>
      </c>
      <c r="M44" s="153">
        <f t="shared" si="11"/>
        <v>955553.41999999993</v>
      </c>
      <c r="N44" s="153">
        <f>SUM(N33:N43)</f>
        <v>47498791.215801746</v>
      </c>
      <c r="O44" s="126"/>
      <c r="P44" s="126"/>
      <c r="Q44" s="126"/>
      <c r="R44" s="126"/>
      <c r="S44" s="126"/>
      <c r="T44" s="126"/>
      <c r="U44" s="126"/>
      <c r="V44" s="126"/>
      <c r="W44" s="126"/>
      <c r="X44" s="126"/>
      <c r="Y44" s="126"/>
      <c r="Z44" s="126"/>
      <c r="AA44" s="126"/>
      <c r="AB44" s="126"/>
      <c r="AC44" s="126"/>
      <c r="AD44" s="126"/>
      <c r="AE44" s="126"/>
      <c r="AF44" s="126"/>
      <c r="AG44" s="126"/>
      <c r="AH44" s="126"/>
      <c r="AI44" s="126"/>
      <c r="AJ44" s="126"/>
      <c r="AK44" s="126"/>
      <c r="AL44" s="126"/>
      <c r="AM44" s="126"/>
      <c r="AN44" s="126"/>
      <c r="AO44" s="126"/>
    </row>
    <row r="45" spans="1:41" ht="15.75" thickTop="1">
      <c r="A45" s="140" t="s">
        <v>48</v>
      </c>
      <c r="B45" s="130"/>
      <c r="C45" s="130"/>
      <c r="D45" s="130"/>
      <c r="E45" s="130"/>
      <c r="F45" s="130"/>
      <c r="G45" s="130"/>
      <c r="H45" s="130"/>
      <c r="I45" s="130"/>
      <c r="J45" s="130"/>
      <c r="K45" s="130"/>
      <c r="L45" s="130"/>
      <c r="M45" s="130"/>
      <c r="N45" s="130"/>
      <c r="O45" s="126"/>
      <c r="P45" s="126"/>
      <c r="Q45" s="126"/>
      <c r="R45" s="126"/>
      <c r="S45" s="126"/>
      <c r="T45" s="126"/>
      <c r="U45" s="126"/>
      <c r="V45" s="126"/>
      <c r="W45" s="126"/>
      <c r="X45" s="126"/>
      <c r="Y45" s="126"/>
      <c r="Z45" s="126"/>
      <c r="AA45" s="126"/>
      <c r="AB45" s="126"/>
      <c r="AC45" s="126"/>
      <c r="AD45" s="126"/>
      <c r="AE45" s="126"/>
      <c r="AF45" s="126"/>
      <c r="AG45" s="126"/>
      <c r="AH45" s="126"/>
      <c r="AI45" s="126"/>
      <c r="AJ45" s="126"/>
      <c r="AK45" s="126"/>
      <c r="AL45" s="126"/>
      <c r="AM45" s="126"/>
      <c r="AN45" s="126"/>
      <c r="AO45" s="126"/>
    </row>
    <row r="46" spans="1:41">
      <c r="A46" s="120" t="s">
        <v>114</v>
      </c>
      <c r="B46" s="130"/>
      <c r="C46" s="130"/>
      <c r="D46" s="130"/>
      <c r="E46" s="130"/>
      <c r="F46" s="130"/>
      <c r="G46" s="130"/>
      <c r="H46" s="130"/>
      <c r="I46" s="130"/>
      <c r="J46" s="130"/>
      <c r="K46" s="130"/>
      <c r="L46" s="130"/>
      <c r="M46" s="130"/>
      <c r="N46" s="130"/>
      <c r="O46" s="126"/>
      <c r="P46" s="126"/>
      <c r="Q46" s="126"/>
      <c r="R46" s="126"/>
      <c r="S46" s="126"/>
      <c r="T46" s="126"/>
      <c r="U46" s="126"/>
      <c r="V46" s="126"/>
      <c r="W46" s="126"/>
      <c r="X46" s="126"/>
      <c r="Y46" s="126"/>
      <c r="Z46" s="126"/>
      <c r="AA46" s="126"/>
      <c r="AB46" s="126"/>
      <c r="AC46" s="126"/>
      <c r="AD46" s="126"/>
      <c r="AE46" s="126"/>
      <c r="AF46" s="126"/>
      <c r="AG46" s="126"/>
      <c r="AH46" s="126"/>
      <c r="AI46" s="126"/>
      <c r="AJ46" s="126"/>
      <c r="AK46" s="126"/>
      <c r="AL46" s="126"/>
      <c r="AM46" s="126"/>
      <c r="AN46" s="138"/>
      <c r="AO46" s="138"/>
    </row>
    <row r="47" spans="1:41">
      <c r="A47" s="120" t="s">
        <v>115</v>
      </c>
      <c r="B47" s="130"/>
      <c r="C47" s="130"/>
      <c r="D47" s="130"/>
      <c r="E47" s="130"/>
      <c r="F47" s="130"/>
      <c r="G47" s="130"/>
      <c r="H47" s="130"/>
      <c r="I47" s="130"/>
      <c r="J47" s="130"/>
      <c r="K47" s="130"/>
      <c r="L47" s="130"/>
      <c r="M47" s="130"/>
      <c r="N47" s="130"/>
      <c r="O47" s="126"/>
      <c r="P47" s="126"/>
      <c r="Q47" s="126"/>
      <c r="R47" s="126"/>
      <c r="S47" s="126"/>
      <c r="T47" s="126"/>
      <c r="U47" s="126"/>
      <c r="V47" s="126"/>
      <c r="W47" s="126"/>
      <c r="X47" s="126"/>
      <c r="Y47" s="126"/>
      <c r="Z47" s="126"/>
      <c r="AA47" s="126"/>
      <c r="AB47" s="126"/>
      <c r="AC47" s="126"/>
      <c r="AD47" s="126"/>
      <c r="AE47" s="126"/>
      <c r="AF47" s="126"/>
      <c r="AG47" s="126"/>
      <c r="AH47" s="126"/>
      <c r="AI47" s="126"/>
      <c r="AJ47" s="126"/>
      <c r="AK47" s="126"/>
      <c r="AL47" s="126"/>
      <c r="AM47" s="126"/>
      <c r="AN47" s="138"/>
      <c r="AO47" s="138"/>
    </row>
    <row r="48" spans="1:41">
      <c r="A48" s="150" t="s">
        <v>116</v>
      </c>
      <c r="B48" s="130"/>
      <c r="C48" s="130"/>
      <c r="D48" s="130"/>
      <c r="E48" s="130"/>
      <c r="F48" s="130"/>
      <c r="G48" s="130"/>
      <c r="H48" s="130"/>
      <c r="I48" s="130"/>
      <c r="J48" s="130"/>
      <c r="K48" s="130"/>
      <c r="L48" s="130"/>
      <c r="M48" s="130"/>
      <c r="N48" s="130"/>
      <c r="O48" s="126"/>
      <c r="P48" s="126"/>
      <c r="Q48" s="126"/>
      <c r="R48" s="126"/>
      <c r="S48" s="126"/>
      <c r="T48" s="126"/>
      <c r="U48" s="126"/>
      <c r="V48" s="126"/>
      <c r="W48" s="126"/>
      <c r="X48" s="126"/>
      <c r="Y48" s="126"/>
      <c r="Z48" s="126"/>
      <c r="AA48" s="126"/>
      <c r="AB48" s="126"/>
      <c r="AC48" s="126"/>
      <c r="AD48" s="126"/>
      <c r="AE48" s="126"/>
      <c r="AF48" s="126"/>
      <c r="AG48" s="126"/>
      <c r="AH48" s="126"/>
      <c r="AI48" s="126"/>
      <c r="AJ48" s="126"/>
      <c r="AK48" s="126"/>
      <c r="AL48" s="126"/>
      <c r="AM48" s="126"/>
      <c r="AN48" s="138"/>
      <c r="AO48" s="138"/>
    </row>
    <row r="49" spans="1:41">
      <c r="A49" s="120" t="s">
        <v>117</v>
      </c>
      <c r="B49" s="130"/>
      <c r="C49" s="130"/>
      <c r="D49" s="130"/>
      <c r="E49" s="130"/>
      <c r="F49" s="130"/>
      <c r="G49" s="130"/>
      <c r="H49" s="130"/>
      <c r="I49" s="130"/>
      <c r="J49" s="130"/>
      <c r="K49" s="130"/>
      <c r="L49" s="130"/>
      <c r="M49" s="130"/>
      <c r="N49" s="130"/>
      <c r="O49" s="126"/>
      <c r="P49" s="126"/>
      <c r="Q49" s="126"/>
      <c r="R49" s="126"/>
      <c r="S49" s="126"/>
      <c r="T49" s="126"/>
      <c r="U49" s="126"/>
      <c r="V49" s="126"/>
      <c r="W49" s="126"/>
      <c r="X49" s="126"/>
      <c r="Y49" s="126"/>
      <c r="Z49" s="126"/>
      <c r="AA49" s="126"/>
      <c r="AB49" s="126"/>
      <c r="AC49" s="126"/>
      <c r="AD49" s="126"/>
      <c r="AE49" s="126"/>
      <c r="AF49" s="126"/>
      <c r="AG49" s="126"/>
      <c r="AH49" s="126"/>
      <c r="AI49" s="126"/>
      <c r="AJ49" s="126"/>
      <c r="AK49" s="126"/>
      <c r="AL49" s="126"/>
      <c r="AM49" s="126"/>
      <c r="AN49" s="138"/>
      <c r="AO49" s="138"/>
    </row>
    <row r="50" spans="1:41">
      <c r="A50" s="120" t="s">
        <v>117</v>
      </c>
      <c r="B50" s="130"/>
      <c r="C50" s="130"/>
      <c r="D50" s="130"/>
      <c r="E50" s="130"/>
      <c r="F50" s="130"/>
      <c r="G50" s="130"/>
      <c r="H50" s="130"/>
      <c r="I50" s="130"/>
      <c r="J50" s="130"/>
      <c r="K50" s="130"/>
      <c r="L50" s="130"/>
      <c r="M50" s="130"/>
      <c r="N50" s="130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  <c r="AA50" s="126"/>
      <c r="AB50" s="126"/>
      <c r="AC50" s="126"/>
      <c r="AD50" s="126"/>
      <c r="AE50" s="126"/>
      <c r="AF50" s="126"/>
      <c r="AG50" s="126"/>
      <c r="AH50" s="126"/>
      <c r="AI50" s="126"/>
      <c r="AJ50" s="126"/>
      <c r="AK50" s="126"/>
      <c r="AL50" s="126"/>
      <c r="AM50" s="126"/>
      <c r="AN50" s="138"/>
      <c r="AO50" s="138"/>
    </row>
    <row r="51" spans="1:41" ht="15.75" thickBot="1">
      <c r="A51" s="144" t="s">
        <v>37</v>
      </c>
      <c r="B51" s="146"/>
      <c r="C51" s="146"/>
      <c r="D51" s="146"/>
      <c r="E51" s="146"/>
      <c r="F51" s="146"/>
      <c r="G51" s="146"/>
      <c r="H51" s="146"/>
      <c r="I51" s="146"/>
      <c r="J51" s="146"/>
      <c r="K51" s="146"/>
      <c r="L51" s="146"/>
      <c r="M51" s="146"/>
      <c r="N51" s="146"/>
      <c r="O51" s="143"/>
      <c r="P51" s="143"/>
      <c r="Q51" s="143"/>
      <c r="R51" s="143"/>
      <c r="S51" s="143"/>
      <c r="T51" s="143"/>
      <c r="U51" s="143"/>
      <c r="V51" s="143"/>
      <c r="W51" s="143"/>
      <c r="X51" s="143"/>
      <c r="Y51" s="143"/>
      <c r="Z51" s="143"/>
      <c r="AA51" s="143"/>
      <c r="AB51" s="143"/>
      <c r="AC51" s="143"/>
      <c r="AD51" s="143"/>
      <c r="AE51" s="143"/>
      <c r="AF51" s="143"/>
      <c r="AG51" s="143"/>
      <c r="AH51" s="143"/>
      <c r="AI51" s="143"/>
      <c r="AJ51" s="143"/>
      <c r="AK51" s="143"/>
      <c r="AL51" s="143"/>
      <c r="AM51" s="143"/>
      <c r="AN51" s="143"/>
      <c r="AO51" s="128"/>
    </row>
    <row r="52" spans="1:41" ht="16.5" thickTop="1" thickBot="1">
      <c r="A52" s="132" t="s">
        <v>15</v>
      </c>
      <c r="B52" s="118"/>
      <c r="C52" s="118"/>
      <c r="D52" s="118"/>
      <c r="E52" s="118"/>
      <c r="F52" s="118"/>
      <c r="G52" s="118"/>
      <c r="H52" s="118"/>
      <c r="I52" s="118"/>
      <c r="J52" s="118"/>
      <c r="K52" s="118"/>
      <c r="L52" s="118"/>
      <c r="M52" s="118"/>
      <c r="N52" s="118"/>
      <c r="O52" s="128"/>
      <c r="P52" s="128"/>
      <c r="Q52" s="128"/>
      <c r="R52" s="128"/>
      <c r="S52" s="128"/>
      <c r="T52" s="128"/>
      <c r="U52" s="128"/>
      <c r="V52" s="128"/>
      <c r="W52" s="128"/>
      <c r="X52" s="128"/>
      <c r="Y52" s="128"/>
      <c r="Z52" s="128"/>
      <c r="AA52" s="128"/>
      <c r="AB52" s="128"/>
      <c r="AC52" s="128"/>
      <c r="AD52" s="128"/>
      <c r="AE52" s="128"/>
      <c r="AF52" s="128"/>
      <c r="AG52" s="128"/>
      <c r="AH52" s="128"/>
      <c r="AI52" s="128"/>
      <c r="AJ52" s="128"/>
      <c r="AK52" s="128"/>
      <c r="AL52" s="128"/>
      <c r="AM52" s="128"/>
      <c r="AN52" s="128"/>
      <c r="AO52" s="128"/>
    </row>
    <row r="53" spans="1:41" ht="15.75" thickTop="1">
      <c r="A53" s="136"/>
      <c r="B53" s="149" t="s">
        <v>20</v>
      </c>
      <c r="C53" s="149" t="s">
        <v>20</v>
      </c>
      <c r="D53" s="149" t="s">
        <v>20</v>
      </c>
      <c r="E53" s="149" t="s">
        <v>20</v>
      </c>
      <c r="F53" s="149" t="s">
        <v>20</v>
      </c>
      <c r="G53" s="148"/>
      <c r="H53" s="148"/>
      <c r="I53" s="148"/>
      <c r="J53" s="148"/>
      <c r="K53" s="148"/>
      <c r="L53" s="148"/>
      <c r="M53" s="148"/>
      <c r="N53" s="127"/>
      <c r="O53" s="124"/>
      <c r="P53" s="124"/>
      <c r="Q53" s="124"/>
      <c r="R53" s="124"/>
      <c r="S53" s="124"/>
      <c r="T53" s="124"/>
      <c r="U53" s="124"/>
      <c r="V53" s="124"/>
      <c r="W53" s="124"/>
      <c r="X53" s="124"/>
      <c r="Y53" s="124"/>
      <c r="Z53" s="124"/>
      <c r="AA53" s="124"/>
      <c r="AB53" s="124"/>
      <c r="AC53" s="124"/>
      <c r="AD53" s="124"/>
      <c r="AE53" s="124"/>
      <c r="AF53" s="124"/>
      <c r="AG53" s="124"/>
      <c r="AH53" s="124"/>
      <c r="AI53" s="124"/>
      <c r="AJ53" s="124"/>
      <c r="AK53" s="124"/>
      <c r="AL53" s="124"/>
      <c r="AM53" s="124"/>
      <c r="AN53" s="124"/>
      <c r="AO53" s="124"/>
    </row>
    <row r="54" spans="1:41">
      <c r="A54" s="147" t="s">
        <v>107</v>
      </c>
      <c r="B54" s="460">
        <v>42005</v>
      </c>
      <c r="C54" s="460">
        <v>42036</v>
      </c>
      <c r="D54" s="460">
        <v>42064</v>
      </c>
      <c r="E54" s="460">
        <v>42095</v>
      </c>
      <c r="F54" s="460">
        <v>42125</v>
      </c>
      <c r="G54" s="460">
        <v>42156</v>
      </c>
      <c r="H54" s="460">
        <v>42186</v>
      </c>
      <c r="I54" s="460">
        <v>42217</v>
      </c>
      <c r="J54" s="460">
        <v>42248</v>
      </c>
      <c r="K54" s="460">
        <v>42278</v>
      </c>
      <c r="L54" s="460">
        <v>42309</v>
      </c>
      <c r="M54" s="460">
        <v>42339</v>
      </c>
      <c r="N54" s="458" t="s">
        <v>15</v>
      </c>
      <c r="O54" s="139"/>
      <c r="P54" s="139"/>
      <c r="Q54" s="139"/>
      <c r="R54" s="139"/>
      <c r="S54" s="139"/>
      <c r="T54" s="139"/>
      <c r="U54" s="139"/>
      <c r="V54" s="139"/>
      <c r="W54" s="139"/>
      <c r="X54" s="139"/>
      <c r="Y54" s="139"/>
      <c r="Z54" s="139"/>
      <c r="AA54" s="139"/>
      <c r="AB54" s="139"/>
      <c r="AC54" s="139"/>
      <c r="AD54" s="139"/>
      <c r="AE54" s="139"/>
      <c r="AF54" s="139"/>
      <c r="AG54" s="139"/>
      <c r="AH54" s="139"/>
      <c r="AI54" s="139"/>
      <c r="AJ54" s="139"/>
      <c r="AK54" s="139"/>
      <c r="AL54" s="139"/>
      <c r="AM54" s="139"/>
      <c r="AN54" s="139"/>
      <c r="AO54" s="457"/>
    </row>
    <row r="55" spans="1:41" ht="15.75" thickBot="1">
      <c r="A55" s="132" t="s">
        <v>34</v>
      </c>
      <c r="B55" s="461"/>
      <c r="C55" s="461"/>
      <c r="D55" s="461"/>
      <c r="E55" s="461"/>
      <c r="F55" s="461"/>
      <c r="G55" s="461"/>
      <c r="H55" s="461"/>
      <c r="I55" s="461"/>
      <c r="J55" s="461"/>
      <c r="K55" s="461"/>
      <c r="L55" s="461"/>
      <c r="M55" s="461"/>
      <c r="N55" s="459"/>
      <c r="O55" s="139"/>
      <c r="P55" s="139"/>
      <c r="Q55" s="139"/>
      <c r="R55" s="139"/>
      <c r="S55" s="139"/>
      <c r="T55" s="139"/>
      <c r="U55" s="139"/>
      <c r="V55" s="139"/>
      <c r="W55" s="139"/>
      <c r="X55" s="139"/>
      <c r="Y55" s="139"/>
      <c r="Z55" s="139"/>
      <c r="AA55" s="139"/>
      <c r="AB55" s="139"/>
      <c r="AC55" s="139"/>
      <c r="AD55" s="139"/>
      <c r="AE55" s="139"/>
      <c r="AF55" s="139"/>
      <c r="AG55" s="139"/>
      <c r="AH55" s="139"/>
      <c r="AI55" s="139"/>
      <c r="AJ55" s="139"/>
      <c r="AK55" s="139"/>
      <c r="AL55" s="139"/>
      <c r="AM55" s="139"/>
      <c r="AN55" s="139"/>
      <c r="AO55" s="457"/>
    </row>
    <row r="56" spans="1:41" ht="15.75" thickTop="1">
      <c r="A56" s="140" t="s">
        <v>35</v>
      </c>
      <c r="B56" s="141"/>
      <c r="C56" s="141"/>
      <c r="D56" s="141"/>
      <c r="E56" s="141"/>
      <c r="F56" s="141"/>
      <c r="G56" s="141"/>
      <c r="H56" s="141"/>
      <c r="I56" s="141"/>
      <c r="J56" s="141"/>
      <c r="K56" s="141"/>
      <c r="L56" s="141"/>
      <c r="M56" s="141"/>
      <c r="N56" s="142"/>
      <c r="O56" s="139"/>
      <c r="P56" s="139"/>
      <c r="Q56" s="139"/>
      <c r="R56" s="139"/>
      <c r="S56" s="139"/>
      <c r="T56" s="139"/>
      <c r="U56" s="139"/>
      <c r="V56" s="139"/>
      <c r="W56" s="139"/>
      <c r="X56" s="139"/>
      <c r="Y56" s="139"/>
      <c r="Z56" s="139"/>
      <c r="AA56" s="139"/>
      <c r="AB56" s="139"/>
      <c r="AC56" s="139"/>
      <c r="AD56" s="139"/>
      <c r="AE56" s="139"/>
      <c r="AF56" s="139"/>
      <c r="AG56" s="139"/>
      <c r="AH56" s="139"/>
      <c r="AI56" s="139"/>
      <c r="AJ56" s="139"/>
      <c r="AK56" s="139"/>
      <c r="AL56" s="139"/>
      <c r="AM56" s="139"/>
      <c r="AN56" s="139"/>
      <c r="AO56" s="139"/>
    </row>
    <row r="57" spans="1:41">
      <c r="A57" s="150" t="s">
        <v>108</v>
      </c>
      <c r="B57" s="48">
        <f>$B$26-(N33)</f>
        <v>-574325.52999999642</v>
      </c>
      <c r="C57" s="48">
        <f>$B$26-(N33+B57)</f>
        <v>0</v>
      </c>
      <c r="D57" s="130"/>
      <c r="E57" s="130"/>
      <c r="F57" s="130"/>
      <c r="G57" s="130"/>
      <c r="H57" s="130"/>
      <c r="I57" s="130"/>
      <c r="J57" s="130"/>
      <c r="K57" s="130"/>
      <c r="L57" s="130"/>
      <c r="M57" s="130"/>
      <c r="N57" s="130">
        <f t="shared" ref="N57:N67" si="12">SUM(B57:M57)</f>
        <v>-574325.52999999642</v>
      </c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  <c r="AA57" s="126"/>
      <c r="AB57" s="126"/>
      <c r="AC57" s="126"/>
      <c r="AD57" s="126"/>
      <c r="AE57" s="126"/>
      <c r="AF57" s="126"/>
      <c r="AG57" s="126"/>
      <c r="AH57" s="126"/>
      <c r="AI57" s="126"/>
      <c r="AJ57" s="126"/>
      <c r="AK57" s="126"/>
      <c r="AL57" s="126"/>
      <c r="AM57" s="126"/>
      <c r="AN57" s="126"/>
      <c r="AO57" s="126"/>
    </row>
    <row r="58" spans="1:41">
      <c r="A58" s="150" t="s">
        <v>97</v>
      </c>
      <c r="B58" s="48">
        <f>$C$26-(N34)</f>
        <v>-159381.35000000003</v>
      </c>
      <c r="C58" s="48">
        <f>$C$26-(N34+B58)</f>
        <v>0</v>
      </c>
      <c r="D58" s="130"/>
      <c r="E58" s="130"/>
      <c r="F58" s="130"/>
      <c r="G58" s="130"/>
      <c r="H58" s="130"/>
      <c r="I58" s="130"/>
      <c r="J58" s="130"/>
      <c r="K58" s="130"/>
      <c r="L58" s="130"/>
      <c r="M58" s="130"/>
      <c r="N58" s="130">
        <f t="shared" si="12"/>
        <v>-159381.35000000003</v>
      </c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  <c r="AA58" s="126"/>
      <c r="AB58" s="126"/>
      <c r="AC58" s="126"/>
      <c r="AD58" s="126"/>
      <c r="AE58" s="126"/>
      <c r="AF58" s="126"/>
      <c r="AG58" s="126"/>
      <c r="AH58" s="126"/>
      <c r="AI58" s="126"/>
      <c r="AJ58" s="126"/>
      <c r="AK58" s="126"/>
      <c r="AL58" s="126"/>
      <c r="AM58" s="126"/>
      <c r="AN58" s="126"/>
      <c r="AO58" s="126"/>
    </row>
    <row r="59" spans="1:41">
      <c r="A59" s="150" t="s">
        <v>109</v>
      </c>
      <c r="B59" s="48">
        <f>$D$26-(N35)</f>
        <v>-101636</v>
      </c>
      <c r="C59" s="48">
        <f>$D$26-(N35+B59)</f>
        <v>0</v>
      </c>
      <c r="D59" s="130"/>
      <c r="E59" s="130"/>
      <c r="F59" s="130"/>
      <c r="G59" s="130"/>
      <c r="H59" s="130"/>
      <c r="I59" s="130"/>
      <c r="J59" s="130"/>
      <c r="K59" s="130"/>
      <c r="L59" s="130"/>
      <c r="M59" s="130"/>
      <c r="N59" s="130">
        <f t="shared" si="12"/>
        <v>-101636</v>
      </c>
      <c r="O59" s="126"/>
      <c r="P59" s="126"/>
      <c r="Q59" s="126"/>
      <c r="R59" s="126"/>
      <c r="S59" s="126"/>
      <c r="T59" s="126"/>
      <c r="U59" s="126"/>
      <c r="V59" s="126"/>
      <c r="W59" s="126"/>
      <c r="X59" s="126"/>
      <c r="Y59" s="126"/>
      <c r="Z59" s="126"/>
      <c r="AA59" s="126"/>
      <c r="AB59" s="126"/>
      <c r="AC59" s="126"/>
      <c r="AD59" s="126"/>
      <c r="AE59" s="126"/>
      <c r="AF59" s="126"/>
      <c r="AG59" s="126"/>
      <c r="AH59" s="126"/>
      <c r="AI59" s="126"/>
      <c r="AJ59" s="126"/>
      <c r="AK59" s="126"/>
      <c r="AL59" s="126"/>
      <c r="AM59" s="126"/>
      <c r="AN59" s="126"/>
      <c r="AO59" s="126"/>
    </row>
    <row r="60" spans="1:41">
      <c r="A60" s="150" t="s">
        <v>110</v>
      </c>
      <c r="B60" s="48">
        <f>$E$26-(N36)</f>
        <v>-1093181.0758017472</v>
      </c>
      <c r="C60" s="48">
        <f>$E$26-(N36+B60)</f>
        <v>0</v>
      </c>
      <c r="D60" s="130"/>
      <c r="E60" s="130"/>
      <c r="F60" s="130"/>
      <c r="G60" s="130"/>
      <c r="H60" s="130"/>
      <c r="I60" s="130"/>
      <c r="J60" s="130"/>
      <c r="K60" s="130"/>
      <c r="L60" s="130"/>
      <c r="M60" s="130"/>
      <c r="N60" s="130">
        <f t="shared" si="12"/>
        <v>-1093181.0758017472</v>
      </c>
      <c r="O60" s="126"/>
      <c r="P60" s="126"/>
      <c r="Q60" s="126"/>
      <c r="R60" s="126"/>
      <c r="S60" s="126"/>
      <c r="T60" s="126"/>
      <c r="U60" s="126"/>
      <c r="V60" s="126"/>
      <c r="W60" s="126"/>
      <c r="X60" s="126"/>
      <c r="Y60" s="126"/>
      <c r="Z60" s="126"/>
      <c r="AA60" s="126"/>
      <c r="AB60" s="126"/>
      <c r="AC60" s="126"/>
      <c r="AD60" s="126"/>
      <c r="AE60" s="126"/>
      <c r="AF60" s="126"/>
      <c r="AG60" s="126"/>
      <c r="AH60" s="126"/>
      <c r="AI60" s="126"/>
      <c r="AJ60" s="126"/>
      <c r="AK60" s="126"/>
      <c r="AL60" s="126"/>
      <c r="AM60" s="126"/>
      <c r="AN60" s="126"/>
      <c r="AO60" s="126"/>
    </row>
    <row r="61" spans="1:41">
      <c r="A61" s="150" t="s">
        <v>111</v>
      </c>
      <c r="B61" s="48">
        <f>$F$26-(N37)</f>
        <v>-8243235.9999999981</v>
      </c>
      <c r="C61" s="48">
        <f>$F$26-(N37+B61)</f>
        <v>0</v>
      </c>
      <c r="D61" s="130"/>
      <c r="E61" s="130"/>
      <c r="F61" s="130"/>
      <c r="G61" s="130"/>
      <c r="H61" s="130"/>
      <c r="I61" s="130"/>
      <c r="J61" s="130"/>
      <c r="K61" s="130"/>
      <c r="L61" s="130"/>
      <c r="M61" s="130"/>
      <c r="N61" s="130">
        <f t="shared" si="12"/>
        <v>-8243235.9999999981</v>
      </c>
      <c r="O61" s="126"/>
      <c r="P61" s="126"/>
      <c r="Q61" s="126"/>
      <c r="R61" s="126"/>
      <c r="S61" s="126"/>
      <c r="T61" s="126"/>
      <c r="U61" s="126"/>
      <c r="V61" s="126"/>
      <c r="W61" s="126"/>
      <c r="X61" s="126"/>
      <c r="Y61" s="126"/>
      <c r="Z61" s="126"/>
      <c r="AA61" s="126"/>
      <c r="AB61" s="126"/>
      <c r="AC61" s="126"/>
      <c r="AD61" s="126"/>
      <c r="AE61" s="126"/>
      <c r="AF61" s="126"/>
      <c r="AG61" s="126"/>
      <c r="AH61" s="126"/>
      <c r="AI61" s="126"/>
      <c r="AJ61" s="126"/>
      <c r="AK61" s="126"/>
      <c r="AL61" s="126"/>
      <c r="AM61" s="126"/>
      <c r="AN61" s="126"/>
      <c r="AO61" s="126"/>
    </row>
    <row r="62" spans="1:41">
      <c r="A62" s="150" t="s">
        <v>112</v>
      </c>
      <c r="B62" s="48">
        <f>$G$26-(N38)</f>
        <v>-1110731.9999999925</v>
      </c>
      <c r="C62" s="48">
        <f>$G$26-(N38+B62)</f>
        <v>0</v>
      </c>
      <c r="D62" s="130"/>
      <c r="E62" s="130"/>
      <c r="F62" s="130"/>
      <c r="G62" s="130"/>
      <c r="H62" s="130"/>
      <c r="I62" s="130"/>
      <c r="J62" s="130"/>
      <c r="K62" s="130"/>
      <c r="L62" s="130"/>
      <c r="M62" s="130"/>
      <c r="N62" s="130">
        <f t="shared" si="12"/>
        <v>-1110731.9999999925</v>
      </c>
      <c r="O62" s="126"/>
      <c r="P62" s="126"/>
      <c r="Q62" s="126"/>
      <c r="R62" s="126"/>
      <c r="S62" s="126"/>
      <c r="T62" s="126"/>
      <c r="U62" s="126"/>
      <c r="V62" s="126"/>
      <c r="W62" s="126"/>
      <c r="X62" s="126"/>
      <c r="Y62" s="126"/>
      <c r="Z62" s="126"/>
      <c r="AA62" s="126"/>
      <c r="AB62" s="126"/>
      <c r="AC62" s="126"/>
      <c r="AD62" s="126"/>
      <c r="AE62" s="126"/>
      <c r="AF62" s="126"/>
      <c r="AG62" s="126"/>
      <c r="AH62" s="126"/>
      <c r="AI62" s="126"/>
      <c r="AJ62" s="126"/>
      <c r="AK62" s="126"/>
      <c r="AL62" s="126"/>
      <c r="AM62" s="126"/>
      <c r="AN62" s="126"/>
      <c r="AO62" s="126"/>
    </row>
    <row r="63" spans="1:41">
      <c r="A63" s="150" t="s">
        <v>113</v>
      </c>
      <c r="B63" s="48">
        <f>$H$26-(N39)</f>
        <v>-667557</v>
      </c>
      <c r="C63" s="48">
        <f>$H$26-(N39+B63)</f>
        <v>0</v>
      </c>
      <c r="D63" s="130"/>
      <c r="E63" s="130"/>
      <c r="F63" s="130"/>
      <c r="G63" s="130"/>
      <c r="H63" s="130"/>
      <c r="I63" s="130"/>
      <c r="J63" s="130"/>
      <c r="K63" s="130"/>
      <c r="L63" s="130"/>
      <c r="M63" s="130"/>
      <c r="N63" s="130">
        <f t="shared" si="12"/>
        <v>-667557</v>
      </c>
      <c r="O63" s="126"/>
      <c r="P63" s="126"/>
      <c r="Q63" s="126"/>
      <c r="R63" s="126"/>
      <c r="S63" s="126"/>
      <c r="T63" s="126"/>
      <c r="U63" s="126"/>
      <c r="V63" s="126"/>
      <c r="W63" s="126"/>
      <c r="X63" s="126"/>
      <c r="Y63" s="126"/>
      <c r="Z63" s="126"/>
      <c r="AA63" s="126"/>
      <c r="AB63" s="126"/>
      <c r="AC63" s="126"/>
      <c r="AD63" s="126"/>
      <c r="AE63" s="126"/>
      <c r="AF63" s="126"/>
      <c r="AG63" s="126"/>
      <c r="AH63" s="126"/>
      <c r="AI63" s="126"/>
      <c r="AJ63" s="126"/>
      <c r="AK63" s="126"/>
      <c r="AL63" s="126"/>
      <c r="AM63" s="126"/>
      <c r="AN63" s="126"/>
      <c r="AO63" s="126"/>
    </row>
    <row r="64" spans="1:41">
      <c r="A64" s="150" t="s">
        <v>45</v>
      </c>
      <c r="B64" s="48">
        <f>$I$26-(N40)</f>
        <v>-16396841.710000008</v>
      </c>
      <c r="C64" s="48">
        <f>$I$26-(N40+B64)</f>
        <v>0</v>
      </c>
      <c r="D64" s="130"/>
      <c r="E64" s="130"/>
      <c r="F64" s="130"/>
      <c r="G64" s="130"/>
      <c r="H64" s="130"/>
      <c r="I64" s="130"/>
      <c r="J64" s="130"/>
      <c r="K64" s="130"/>
      <c r="L64" s="130"/>
      <c r="M64" s="130"/>
      <c r="N64" s="130">
        <f t="shared" si="12"/>
        <v>-16396841.710000008</v>
      </c>
      <c r="O64" s="126"/>
      <c r="P64" s="126"/>
      <c r="Q64" s="126"/>
      <c r="R64" s="126"/>
      <c r="S64" s="126"/>
      <c r="T64" s="126"/>
      <c r="U64" s="126"/>
      <c r="V64" s="126"/>
      <c r="W64" s="126"/>
      <c r="X64" s="126"/>
      <c r="Y64" s="126"/>
      <c r="Z64" s="126"/>
      <c r="AA64" s="126"/>
      <c r="AB64" s="126"/>
      <c r="AC64" s="126"/>
      <c r="AD64" s="126"/>
      <c r="AE64" s="126"/>
      <c r="AF64" s="126"/>
      <c r="AG64" s="126"/>
      <c r="AH64" s="126"/>
      <c r="AI64" s="126"/>
      <c r="AJ64" s="126"/>
      <c r="AK64" s="126"/>
      <c r="AL64" s="126"/>
      <c r="AM64" s="126"/>
      <c r="AN64" s="126"/>
      <c r="AO64" s="126"/>
    </row>
    <row r="65" spans="1:41">
      <c r="A65" s="150" t="s">
        <v>105</v>
      </c>
      <c r="B65" s="48">
        <f>$J$26-(N41)</f>
        <v>-303.20999999996275</v>
      </c>
      <c r="C65" s="48">
        <f>$J$26-(N41+B65)</f>
        <v>0</v>
      </c>
      <c r="D65" s="130"/>
      <c r="E65" s="130"/>
      <c r="F65" s="130"/>
      <c r="G65" s="130"/>
      <c r="H65" s="130"/>
      <c r="I65" s="130"/>
      <c r="J65" s="130"/>
      <c r="K65" s="130"/>
      <c r="L65" s="130"/>
      <c r="M65" s="130"/>
      <c r="N65" s="130">
        <f t="shared" si="12"/>
        <v>-303.20999999996275</v>
      </c>
      <c r="O65" s="126"/>
      <c r="P65" s="126"/>
      <c r="Q65" s="126"/>
      <c r="R65" s="126"/>
      <c r="S65" s="126"/>
      <c r="T65" s="126"/>
      <c r="U65" s="126"/>
      <c r="V65" s="126"/>
      <c r="W65" s="126"/>
      <c r="X65" s="126"/>
      <c r="Y65" s="126"/>
      <c r="Z65" s="126"/>
      <c r="AA65" s="126"/>
      <c r="AB65" s="126"/>
      <c r="AC65" s="126"/>
      <c r="AD65" s="126"/>
      <c r="AE65" s="126"/>
      <c r="AF65" s="126"/>
      <c r="AG65" s="126"/>
      <c r="AH65" s="126"/>
      <c r="AI65" s="126"/>
      <c r="AJ65" s="126"/>
      <c r="AK65" s="126"/>
      <c r="AL65" s="126"/>
      <c r="AM65" s="126"/>
      <c r="AN65" s="126"/>
      <c r="AO65" s="126"/>
    </row>
    <row r="66" spans="1:41">
      <c r="A66" s="150" t="s">
        <v>106</v>
      </c>
      <c r="B66" s="48">
        <f>$K$26-(N42)</f>
        <v>-4533787</v>
      </c>
      <c r="C66" s="48">
        <f>$K$26-(N42+B66)</f>
        <v>0</v>
      </c>
      <c r="D66" s="130"/>
      <c r="E66" s="130"/>
      <c r="F66" s="130"/>
      <c r="G66" s="130"/>
      <c r="H66" s="130"/>
      <c r="I66" s="130"/>
      <c r="J66" s="130"/>
      <c r="K66" s="130"/>
      <c r="L66" s="130"/>
      <c r="M66" s="130"/>
      <c r="N66" s="130">
        <f t="shared" si="12"/>
        <v>-4533787</v>
      </c>
      <c r="O66" s="126"/>
      <c r="P66" s="126"/>
      <c r="Q66" s="126"/>
      <c r="R66" s="126"/>
      <c r="S66" s="126"/>
      <c r="T66" s="126"/>
      <c r="U66" s="126"/>
      <c r="V66" s="126"/>
      <c r="W66" s="126"/>
      <c r="X66" s="126"/>
      <c r="Y66" s="126"/>
      <c r="Z66" s="126"/>
      <c r="AA66" s="126"/>
      <c r="AB66" s="126"/>
      <c r="AC66" s="126"/>
      <c r="AD66" s="126"/>
      <c r="AE66" s="126"/>
      <c r="AF66" s="126"/>
      <c r="AG66" s="126"/>
      <c r="AH66" s="126"/>
      <c r="AI66" s="126"/>
      <c r="AJ66" s="126"/>
      <c r="AK66" s="126"/>
      <c r="AL66" s="126"/>
      <c r="AM66" s="126"/>
      <c r="AN66" s="126"/>
      <c r="AO66" s="126"/>
    </row>
    <row r="67" spans="1:41">
      <c r="A67" s="150" t="s">
        <v>66</v>
      </c>
      <c r="B67" s="48">
        <f>$L$26-(N43)</f>
        <v>-10440006</v>
      </c>
      <c r="C67" s="48">
        <f>$L$26-(N43+B67)</f>
        <v>0</v>
      </c>
      <c r="D67" s="130"/>
      <c r="E67" s="130"/>
      <c r="F67" s="130"/>
      <c r="G67" s="130"/>
      <c r="H67" s="130"/>
      <c r="I67" s="130"/>
      <c r="J67" s="130"/>
      <c r="K67" s="130"/>
      <c r="L67" s="130"/>
      <c r="M67" s="130"/>
      <c r="N67" s="130">
        <f t="shared" si="12"/>
        <v>-10440006</v>
      </c>
      <c r="O67" s="126"/>
      <c r="P67" s="126"/>
      <c r="Q67" s="126"/>
      <c r="R67" s="126"/>
      <c r="S67" s="126"/>
      <c r="T67" s="126"/>
      <c r="U67" s="126"/>
      <c r="V67" s="126"/>
      <c r="W67" s="126"/>
      <c r="X67" s="126"/>
      <c r="Y67" s="126"/>
      <c r="Z67" s="126"/>
      <c r="AA67" s="126"/>
      <c r="AB67" s="126"/>
      <c r="AC67" s="126"/>
      <c r="AD67" s="126"/>
      <c r="AE67" s="126"/>
      <c r="AF67" s="126"/>
      <c r="AG67" s="126"/>
      <c r="AH67" s="126"/>
      <c r="AI67" s="126"/>
      <c r="AJ67" s="126"/>
      <c r="AK67" s="126"/>
      <c r="AL67" s="126"/>
      <c r="AM67" s="126"/>
      <c r="AN67" s="126"/>
      <c r="AO67" s="126"/>
    </row>
    <row r="68" spans="1:41" ht="15.75" thickBot="1">
      <c r="A68" s="144" t="s">
        <v>37</v>
      </c>
      <c r="B68" s="145">
        <f>SUM(B57:B66)</f>
        <v>-32880980.875801742</v>
      </c>
      <c r="C68" s="153">
        <f t="shared" ref="C68:M68" si="13">SUM(C57:C66)</f>
        <v>0</v>
      </c>
      <c r="D68" s="153">
        <f t="shared" si="13"/>
        <v>0</v>
      </c>
      <c r="E68" s="153">
        <f t="shared" si="13"/>
        <v>0</v>
      </c>
      <c r="F68" s="153">
        <f t="shared" si="13"/>
        <v>0</v>
      </c>
      <c r="G68" s="153">
        <f t="shared" si="13"/>
        <v>0</v>
      </c>
      <c r="H68" s="153">
        <f t="shared" si="13"/>
        <v>0</v>
      </c>
      <c r="I68" s="153">
        <f t="shared" si="13"/>
        <v>0</v>
      </c>
      <c r="J68" s="153">
        <f t="shared" si="13"/>
        <v>0</v>
      </c>
      <c r="K68" s="153">
        <f t="shared" si="13"/>
        <v>0</v>
      </c>
      <c r="L68" s="153">
        <f t="shared" si="13"/>
        <v>0</v>
      </c>
      <c r="M68" s="153">
        <f t="shared" si="13"/>
        <v>0</v>
      </c>
      <c r="N68" s="153">
        <f>SUM(N57:N67)</f>
        <v>-43320986.875801742</v>
      </c>
      <c r="O68" s="126"/>
      <c r="P68" s="126"/>
      <c r="Q68" s="126"/>
      <c r="R68" s="126"/>
      <c r="S68" s="126"/>
      <c r="T68" s="126"/>
      <c r="U68" s="126"/>
      <c r="V68" s="126"/>
      <c r="W68" s="126"/>
      <c r="X68" s="126"/>
      <c r="Y68" s="126"/>
      <c r="Z68" s="126"/>
      <c r="AA68" s="126"/>
      <c r="AB68" s="126"/>
      <c r="AC68" s="126"/>
      <c r="AD68" s="126"/>
      <c r="AE68" s="126"/>
      <c r="AF68" s="126"/>
      <c r="AG68" s="126"/>
      <c r="AH68" s="126"/>
      <c r="AI68" s="126"/>
      <c r="AJ68" s="126"/>
      <c r="AK68" s="126"/>
      <c r="AL68" s="126"/>
      <c r="AM68" s="126"/>
      <c r="AN68" s="126"/>
      <c r="AO68" s="126"/>
    </row>
    <row r="69" spans="1:41" ht="15.75" thickTop="1">
      <c r="A69" s="140" t="s">
        <v>48</v>
      </c>
      <c r="B69" s="130"/>
      <c r="C69" s="130"/>
      <c r="D69" s="130"/>
      <c r="E69" s="130"/>
      <c r="F69" s="130"/>
      <c r="G69" s="130"/>
      <c r="H69" s="130"/>
      <c r="I69" s="130"/>
      <c r="J69" s="130"/>
      <c r="K69" s="130"/>
      <c r="L69" s="130"/>
      <c r="M69" s="130"/>
      <c r="N69" s="130"/>
      <c r="O69" s="126"/>
      <c r="P69" s="126"/>
      <c r="Q69" s="126"/>
      <c r="R69" s="126"/>
      <c r="S69" s="126"/>
      <c r="T69" s="126"/>
      <c r="U69" s="126"/>
      <c r="V69" s="126"/>
      <c r="W69" s="126"/>
      <c r="X69" s="126"/>
      <c r="Y69" s="126"/>
      <c r="Z69" s="126"/>
      <c r="AA69" s="126"/>
      <c r="AB69" s="126"/>
      <c r="AC69" s="126"/>
      <c r="AD69" s="126"/>
      <c r="AE69" s="126"/>
      <c r="AF69" s="126"/>
      <c r="AG69" s="126"/>
      <c r="AH69" s="126"/>
      <c r="AI69" s="126"/>
      <c r="AJ69" s="126"/>
      <c r="AK69" s="126"/>
      <c r="AL69" s="126"/>
      <c r="AM69" s="126"/>
      <c r="AN69" s="126"/>
      <c r="AO69" s="126"/>
    </row>
    <row r="70" spans="1:41">
      <c r="A70" s="120" t="s">
        <v>114</v>
      </c>
      <c r="B70" s="130"/>
      <c r="C70" s="130"/>
      <c r="D70" s="130"/>
      <c r="E70" s="130"/>
      <c r="F70" s="130"/>
      <c r="G70" s="130"/>
      <c r="H70" s="130"/>
      <c r="I70" s="130"/>
      <c r="J70" s="130"/>
      <c r="K70" s="130"/>
      <c r="L70" s="130"/>
      <c r="M70" s="130"/>
      <c r="N70" s="130"/>
      <c r="O70" s="126"/>
      <c r="P70" s="126"/>
      <c r="Q70" s="126"/>
      <c r="R70" s="126"/>
      <c r="S70" s="126"/>
      <c r="T70" s="126"/>
      <c r="U70" s="126"/>
      <c r="V70" s="126"/>
      <c r="W70" s="126"/>
      <c r="X70" s="126"/>
      <c r="Y70" s="126"/>
      <c r="Z70" s="126"/>
      <c r="AA70" s="126"/>
      <c r="AB70" s="126"/>
      <c r="AC70" s="126"/>
      <c r="AD70" s="126"/>
      <c r="AE70" s="126"/>
      <c r="AF70" s="126"/>
      <c r="AG70" s="126"/>
      <c r="AH70" s="126"/>
      <c r="AI70" s="126"/>
      <c r="AJ70" s="126"/>
      <c r="AK70" s="126"/>
      <c r="AL70" s="126"/>
      <c r="AM70" s="126"/>
      <c r="AN70" s="138"/>
      <c r="AO70" s="138"/>
    </row>
    <row r="71" spans="1:41">
      <c r="A71" s="120" t="s">
        <v>115</v>
      </c>
      <c r="B71" s="130"/>
      <c r="C71" s="130"/>
      <c r="D71" s="130"/>
      <c r="E71" s="130"/>
      <c r="F71" s="130"/>
      <c r="G71" s="130"/>
      <c r="H71" s="130"/>
      <c r="I71" s="130"/>
      <c r="J71" s="130"/>
      <c r="K71" s="130"/>
      <c r="L71" s="130"/>
      <c r="M71" s="130"/>
      <c r="N71" s="130"/>
      <c r="O71" s="126"/>
      <c r="P71" s="126"/>
      <c r="Q71" s="126"/>
      <c r="R71" s="126"/>
      <c r="S71" s="126"/>
      <c r="T71" s="126"/>
      <c r="U71" s="126"/>
      <c r="V71" s="126"/>
      <c r="W71" s="126"/>
      <c r="X71" s="126"/>
      <c r="Y71" s="126"/>
      <c r="Z71" s="126"/>
      <c r="AA71" s="126"/>
      <c r="AB71" s="126"/>
      <c r="AC71" s="126"/>
      <c r="AD71" s="126"/>
      <c r="AE71" s="126"/>
      <c r="AF71" s="126"/>
      <c r="AG71" s="126"/>
      <c r="AH71" s="126"/>
      <c r="AI71" s="126"/>
      <c r="AJ71" s="126"/>
      <c r="AK71" s="126"/>
      <c r="AL71" s="126"/>
      <c r="AM71" s="126"/>
      <c r="AN71" s="138"/>
      <c r="AO71" s="138"/>
    </row>
    <row r="72" spans="1:41">
      <c r="A72" s="150" t="s">
        <v>116</v>
      </c>
      <c r="B72" s="130"/>
      <c r="C72" s="130"/>
      <c r="D72" s="130"/>
      <c r="E72" s="130"/>
      <c r="F72" s="130"/>
      <c r="G72" s="130"/>
      <c r="H72" s="130"/>
      <c r="I72" s="130"/>
      <c r="J72" s="130"/>
      <c r="K72" s="130"/>
      <c r="L72" s="130"/>
      <c r="M72" s="130"/>
      <c r="N72" s="130"/>
      <c r="O72" s="126"/>
      <c r="P72" s="126"/>
      <c r="Q72" s="126"/>
      <c r="R72" s="126"/>
      <c r="S72" s="126"/>
      <c r="T72" s="126"/>
      <c r="U72" s="126"/>
      <c r="V72" s="126"/>
      <c r="W72" s="126"/>
      <c r="X72" s="126"/>
      <c r="Y72" s="126"/>
      <c r="Z72" s="126"/>
      <c r="AA72" s="126"/>
      <c r="AB72" s="126"/>
      <c r="AC72" s="126"/>
      <c r="AD72" s="126"/>
      <c r="AE72" s="126"/>
      <c r="AF72" s="126"/>
      <c r="AG72" s="126"/>
      <c r="AH72" s="126"/>
      <c r="AI72" s="126"/>
      <c r="AJ72" s="126"/>
      <c r="AK72" s="126"/>
      <c r="AL72" s="126"/>
      <c r="AM72" s="126"/>
      <c r="AN72" s="138"/>
      <c r="AO72" s="138"/>
    </row>
    <row r="73" spans="1:41">
      <c r="A73" s="120" t="s">
        <v>117</v>
      </c>
      <c r="B73" s="130"/>
      <c r="C73" s="130"/>
      <c r="D73" s="130"/>
      <c r="E73" s="130"/>
      <c r="F73" s="130"/>
      <c r="G73" s="130"/>
      <c r="H73" s="130"/>
      <c r="I73" s="130"/>
      <c r="J73" s="130"/>
      <c r="K73" s="130"/>
      <c r="L73" s="130"/>
      <c r="M73" s="130"/>
      <c r="N73" s="130"/>
      <c r="O73" s="126"/>
      <c r="P73" s="126"/>
      <c r="Q73" s="126"/>
      <c r="R73" s="126"/>
      <c r="S73" s="126"/>
      <c r="T73" s="126"/>
      <c r="U73" s="126"/>
      <c r="V73" s="126"/>
      <c r="W73" s="126"/>
      <c r="X73" s="126"/>
      <c r="Y73" s="126"/>
      <c r="Z73" s="126"/>
      <c r="AA73" s="126"/>
      <c r="AB73" s="126"/>
      <c r="AC73" s="126"/>
      <c r="AD73" s="126"/>
      <c r="AE73" s="126"/>
      <c r="AF73" s="126"/>
      <c r="AG73" s="126"/>
      <c r="AH73" s="126"/>
      <c r="AI73" s="126"/>
      <c r="AJ73" s="126"/>
      <c r="AK73" s="126"/>
      <c r="AL73" s="126"/>
      <c r="AM73" s="126"/>
      <c r="AN73" s="138"/>
      <c r="AO73" s="138"/>
    </row>
    <row r="74" spans="1:41">
      <c r="A74" s="120" t="s">
        <v>117</v>
      </c>
      <c r="B74" s="130"/>
      <c r="C74" s="130"/>
      <c r="D74" s="130"/>
      <c r="E74" s="130"/>
      <c r="F74" s="130"/>
      <c r="G74" s="130"/>
      <c r="H74" s="130"/>
      <c r="I74" s="130"/>
      <c r="J74" s="130"/>
      <c r="K74" s="130"/>
      <c r="L74" s="130"/>
      <c r="M74" s="130"/>
      <c r="N74" s="130"/>
      <c r="O74" s="126"/>
      <c r="P74" s="126"/>
      <c r="Q74" s="126"/>
      <c r="R74" s="126"/>
      <c r="S74" s="126"/>
      <c r="T74" s="126"/>
      <c r="U74" s="126"/>
      <c r="V74" s="126"/>
      <c r="W74" s="126"/>
      <c r="X74" s="126"/>
      <c r="Y74" s="126"/>
      <c r="Z74" s="126"/>
      <c r="AA74" s="126"/>
      <c r="AB74" s="126"/>
      <c r="AC74" s="126"/>
      <c r="AD74" s="126"/>
      <c r="AE74" s="126"/>
      <c r="AF74" s="126"/>
      <c r="AG74" s="126"/>
      <c r="AH74" s="126"/>
      <c r="AI74" s="126"/>
      <c r="AJ74" s="126"/>
      <c r="AK74" s="126"/>
      <c r="AL74" s="126"/>
      <c r="AM74" s="126"/>
      <c r="AN74" s="138"/>
      <c r="AO74" s="138"/>
    </row>
    <row r="75" spans="1:41" ht="15.75" thickBot="1">
      <c r="A75" s="144" t="s">
        <v>37</v>
      </c>
      <c r="B75" s="146"/>
      <c r="C75" s="146"/>
      <c r="D75" s="146"/>
      <c r="E75" s="146"/>
      <c r="F75" s="146"/>
      <c r="G75" s="146"/>
      <c r="H75" s="146"/>
      <c r="I75" s="146"/>
      <c r="J75" s="146"/>
      <c r="K75" s="146"/>
      <c r="L75" s="146"/>
      <c r="M75" s="146"/>
      <c r="N75" s="146"/>
      <c r="O75" s="143"/>
      <c r="P75" s="143"/>
      <c r="Q75" s="143"/>
      <c r="R75" s="143"/>
      <c r="S75" s="143"/>
      <c r="T75" s="143"/>
      <c r="U75" s="143"/>
      <c r="V75" s="143"/>
      <c r="W75" s="143"/>
      <c r="X75" s="143"/>
      <c r="Y75" s="143"/>
      <c r="Z75" s="143"/>
      <c r="AA75" s="143"/>
      <c r="AB75" s="143"/>
      <c r="AC75" s="143"/>
      <c r="AD75" s="143"/>
      <c r="AE75" s="143"/>
      <c r="AF75" s="143"/>
      <c r="AG75" s="143"/>
      <c r="AH75" s="143"/>
      <c r="AI75" s="143"/>
      <c r="AJ75" s="143"/>
      <c r="AK75" s="143"/>
      <c r="AL75" s="143"/>
      <c r="AM75" s="143"/>
      <c r="AN75" s="143"/>
      <c r="AO75" s="128"/>
    </row>
    <row r="76" spans="1:41" ht="16.5" thickTop="1" thickBot="1">
      <c r="A76" s="80" t="s">
        <v>51</v>
      </c>
      <c r="B76" s="68">
        <f>+B44+B51</f>
        <v>6961244</v>
      </c>
      <c r="C76" s="68">
        <f t="shared" ref="C76:N76" si="14">+C44+C51</f>
        <v>719068.15999999992</v>
      </c>
      <c r="D76" s="68">
        <f t="shared" si="14"/>
        <v>2710531.1</v>
      </c>
      <c r="E76" s="68">
        <f t="shared" si="14"/>
        <v>3863858</v>
      </c>
      <c r="F76" s="68">
        <f t="shared" si="14"/>
        <v>0</v>
      </c>
      <c r="G76" s="68">
        <f t="shared" si="14"/>
        <v>6838535.25</v>
      </c>
      <c r="H76" s="68">
        <f t="shared" si="14"/>
        <v>3247252.0758017483</v>
      </c>
      <c r="I76" s="68">
        <f t="shared" si="14"/>
        <v>-1565187.79</v>
      </c>
      <c r="J76" s="68">
        <f t="shared" si="14"/>
        <v>0</v>
      </c>
      <c r="K76" s="68">
        <f t="shared" si="14"/>
        <v>4763160</v>
      </c>
      <c r="L76" s="68">
        <f t="shared" si="14"/>
        <v>4019369</v>
      </c>
      <c r="M76" s="68">
        <f t="shared" si="14"/>
        <v>955553.41999999993</v>
      </c>
      <c r="N76" s="68">
        <f t="shared" si="14"/>
        <v>47498791.215801746</v>
      </c>
      <c r="O76" s="111"/>
      <c r="P76" s="12"/>
      <c r="Q76" s="12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7"/>
      <c r="AC76" s="17"/>
    </row>
    <row r="77" spans="1:41" ht="16.5" thickTop="1" thickBot="1">
      <c r="A77" s="80" t="s">
        <v>52</v>
      </c>
      <c r="B77" s="68">
        <f>+B44+B68</f>
        <v>-25919736.875801742</v>
      </c>
      <c r="C77" s="68">
        <f t="shared" ref="C77:M77" si="15">+C44+C68</f>
        <v>719068.15999999992</v>
      </c>
      <c r="D77" s="68">
        <f t="shared" si="15"/>
        <v>2710531.1</v>
      </c>
      <c r="E77" s="68">
        <f t="shared" si="15"/>
        <v>3863858</v>
      </c>
      <c r="F77" s="68">
        <f t="shared" si="15"/>
        <v>0</v>
      </c>
      <c r="G77" s="68">
        <f t="shared" si="15"/>
        <v>6838535.25</v>
      </c>
      <c r="H77" s="68">
        <f t="shared" si="15"/>
        <v>3247252.0758017483</v>
      </c>
      <c r="I77" s="68">
        <f t="shared" si="15"/>
        <v>-1565187.79</v>
      </c>
      <c r="J77" s="68">
        <f t="shared" si="15"/>
        <v>0</v>
      </c>
      <c r="K77" s="68">
        <f t="shared" si="15"/>
        <v>4763160</v>
      </c>
      <c r="L77" s="68">
        <f t="shared" si="15"/>
        <v>4019369</v>
      </c>
      <c r="M77" s="68">
        <f t="shared" si="15"/>
        <v>955553.41999999993</v>
      </c>
      <c r="N77" s="68">
        <f>+N68+N44</f>
        <v>4177804.3400000036</v>
      </c>
      <c r="O77" s="112"/>
      <c r="P77" s="12"/>
      <c r="Q77" s="12"/>
      <c r="R77" s="17"/>
      <c r="S77" s="17"/>
      <c r="T77" s="17"/>
      <c r="U77" s="17"/>
      <c r="V77" s="17"/>
      <c r="W77" s="17"/>
      <c r="X77" s="17"/>
      <c r="Y77" s="17"/>
      <c r="Z77" s="17"/>
      <c r="AA77" s="17"/>
    </row>
    <row r="78" spans="1:41" ht="16.5" thickTop="1" thickBot="1">
      <c r="A78" s="80" t="s">
        <v>53</v>
      </c>
      <c r="B78" s="68">
        <f t="shared" ref="B78:K78" si="16">B77+B75+B126+B68</f>
        <v>-58800717.751603484</v>
      </c>
      <c r="C78" s="68">
        <f t="shared" si="16"/>
        <v>719068.15999999992</v>
      </c>
      <c r="D78" s="68">
        <f>D77+D75+D126+D68</f>
        <v>2710531.1</v>
      </c>
      <c r="E78" s="68">
        <f t="shared" si="16"/>
        <v>3863858</v>
      </c>
      <c r="F78" s="68">
        <f t="shared" si="16"/>
        <v>0</v>
      </c>
      <c r="G78" s="68">
        <f t="shared" si="16"/>
        <v>6838535.25</v>
      </c>
      <c r="H78" s="68">
        <f t="shared" si="16"/>
        <v>3247252.0758017483</v>
      </c>
      <c r="I78" s="68">
        <f t="shared" si="16"/>
        <v>-1565187.79</v>
      </c>
      <c r="J78" s="68">
        <f t="shared" si="16"/>
        <v>0</v>
      </c>
      <c r="K78" s="68">
        <f t="shared" si="16"/>
        <v>4763160</v>
      </c>
      <c r="L78" s="68">
        <f>L77+L75+M126+L68</f>
        <v>4019369</v>
      </c>
      <c r="M78" s="68">
        <f>M77+M75+N126+M68</f>
        <v>955553.41999999993</v>
      </c>
      <c r="N78" s="68">
        <f>+N77+N75</f>
        <v>4177804.3400000036</v>
      </c>
      <c r="O78" s="116"/>
      <c r="P78" s="12"/>
      <c r="Q78" s="12"/>
      <c r="R78" s="11"/>
      <c r="S78" s="11"/>
      <c r="T78" s="11"/>
      <c r="U78" s="11"/>
      <c r="V78" s="11"/>
      <c r="W78" s="11"/>
      <c r="X78" s="11"/>
      <c r="Y78" s="11"/>
      <c r="Z78" s="11"/>
      <c r="AA78" s="11"/>
    </row>
    <row r="79" spans="1:41" ht="16.5" thickTop="1" thickBot="1">
      <c r="A79" s="132" t="s">
        <v>15</v>
      </c>
      <c r="B79" s="118"/>
      <c r="C79" s="118"/>
      <c r="D79" s="118"/>
      <c r="E79" s="118"/>
      <c r="F79" s="118"/>
      <c r="G79" s="118"/>
      <c r="H79" s="118"/>
      <c r="I79" s="118"/>
      <c r="J79" s="118"/>
      <c r="K79" s="118"/>
      <c r="L79" s="118"/>
      <c r="M79" s="118"/>
      <c r="N79" s="118"/>
      <c r="O79" s="128"/>
      <c r="P79" s="128"/>
      <c r="Q79" s="128"/>
      <c r="R79" s="128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8"/>
      <c r="AE79" s="128"/>
      <c r="AF79" s="128"/>
      <c r="AG79" s="128"/>
      <c r="AH79" s="128"/>
      <c r="AI79" s="128"/>
      <c r="AJ79" s="128"/>
      <c r="AK79" s="128"/>
      <c r="AL79" s="128"/>
      <c r="AM79" s="128"/>
      <c r="AN79" s="128"/>
      <c r="AO79" s="128"/>
    </row>
    <row r="80" spans="1:41" ht="15.75" thickTop="1">
      <c r="A80" s="136"/>
      <c r="B80" s="126"/>
      <c r="C80" s="126"/>
      <c r="D80" s="126"/>
      <c r="E80" s="126"/>
      <c r="F80" s="126"/>
      <c r="G80" s="126"/>
      <c r="H80" s="126"/>
      <c r="I80" s="126"/>
      <c r="J80" s="126"/>
      <c r="K80" s="126"/>
      <c r="L80" s="126"/>
      <c r="M80" s="126"/>
      <c r="N80" s="143" t="s">
        <v>20</v>
      </c>
      <c r="O80" s="124"/>
      <c r="P80" s="124"/>
      <c r="Q80" s="124"/>
      <c r="R80" s="124"/>
      <c r="S80" s="124"/>
      <c r="T80" s="124"/>
      <c r="U80" s="124"/>
      <c r="V80" s="124"/>
      <c r="W80" s="124"/>
      <c r="X80" s="124"/>
      <c r="Y80" s="124"/>
      <c r="Z80" s="124"/>
      <c r="AA80" s="124"/>
      <c r="AB80" s="124"/>
      <c r="AC80" s="124"/>
      <c r="AD80" s="124"/>
      <c r="AE80" s="124"/>
      <c r="AF80" s="124"/>
      <c r="AG80" s="124"/>
      <c r="AH80" s="124"/>
      <c r="AI80" s="124"/>
      <c r="AJ80" s="124"/>
      <c r="AK80" s="124"/>
      <c r="AL80" s="124"/>
      <c r="AM80" s="124"/>
      <c r="AN80" s="124"/>
      <c r="AO80" s="124"/>
    </row>
    <row r="81" spans="1:41">
      <c r="A81" s="465" t="s">
        <v>55</v>
      </c>
      <c r="B81" s="460">
        <v>42005</v>
      </c>
      <c r="C81" s="460">
        <v>42036</v>
      </c>
      <c r="D81" s="460">
        <v>42064</v>
      </c>
      <c r="E81" s="460">
        <v>42095</v>
      </c>
      <c r="F81" s="460">
        <v>42125</v>
      </c>
      <c r="G81" s="460">
        <v>42156</v>
      </c>
      <c r="H81" s="460">
        <v>42186</v>
      </c>
      <c r="I81" s="460">
        <v>42217</v>
      </c>
      <c r="J81" s="460">
        <v>42248</v>
      </c>
      <c r="K81" s="460">
        <v>42278</v>
      </c>
      <c r="L81" s="460">
        <v>42309</v>
      </c>
      <c r="M81" s="460">
        <v>42339</v>
      </c>
      <c r="N81" s="458" t="s">
        <v>15</v>
      </c>
      <c r="O81" s="124"/>
      <c r="P81" s="124"/>
      <c r="Q81" s="124"/>
      <c r="R81" s="124"/>
      <c r="S81" s="124"/>
      <c r="T81" s="124"/>
      <c r="U81" s="124"/>
      <c r="V81" s="124"/>
      <c r="W81" s="124"/>
      <c r="X81" s="124"/>
      <c r="Y81" s="124"/>
      <c r="Z81" s="124"/>
      <c r="AA81" s="124"/>
      <c r="AB81" s="124"/>
      <c r="AC81" s="124"/>
      <c r="AD81" s="124"/>
      <c r="AE81" s="124"/>
      <c r="AF81" s="124"/>
      <c r="AG81" s="124"/>
      <c r="AH81" s="124"/>
      <c r="AI81" s="124"/>
      <c r="AJ81" s="124"/>
      <c r="AK81" s="124"/>
      <c r="AL81" s="124"/>
      <c r="AM81" s="124"/>
      <c r="AN81" s="124"/>
      <c r="AO81" s="124"/>
    </row>
    <row r="82" spans="1:41" ht="15.75" thickBot="1">
      <c r="A82" s="466"/>
      <c r="B82" s="461"/>
      <c r="C82" s="461"/>
      <c r="D82" s="461"/>
      <c r="E82" s="461"/>
      <c r="F82" s="461"/>
      <c r="G82" s="461"/>
      <c r="H82" s="461"/>
      <c r="I82" s="461"/>
      <c r="J82" s="461"/>
      <c r="K82" s="461"/>
      <c r="L82" s="461"/>
      <c r="M82" s="461"/>
      <c r="N82" s="459"/>
      <c r="O82" s="124"/>
      <c r="P82" s="124"/>
      <c r="Q82" s="124"/>
      <c r="R82" s="124"/>
      <c r="S82" s="124"/>
      <c r="T82" s="124"/>
      <c r="U82" s="124"/>
      <c r="V82" s="124"/>
      <c r="W82" s="124"/>
      <c r="X82" s="124"/>
      <c r="Y82" s="124"/>
      <c r="Z82" s="124"/>
      <c r="AA82" s="124"/>
      <c r="AB82" s="124"/>
      <c r="AC82" s="124"/>
      <c r="AD82" s="124"/>
      <c r="AE82" s="124"/>
      <c r="AF82" s="124"/>
      <c r="AG82" s="124"/>
      <c r="AH82" s="124"/>
      <c r="AI82" s="124"/>
      <c r="AJ82" s="124"/>
      <c r="AK82" s="124"/>
      <c r="AL82" s="124"/>
      <c r="AM82" s="124"/>
      <c r="AN82" s="124"/>
      <c r="AO82" s="124"/>
    </row>
    <row r="83" spans="1:41" ht="15.75" thickTop="1">
      <c r="A83" s="150" t="s">
        <v>35</v>
      </c>
      <c r="B83" s="48"/>
      <c r="C83" s="130"/>
      <c r="D83" s="130"/>
      <c r="E83" s="130"/>
      <c r="F83" s="130"/>
      <c r="G83" s="130"/>
      <c r="H83" s="130"/>
      <c r="I83" s="130"/>
      <c r="J83" s="130"/>
      <c r="K83" s="130"/>
      <c r="L83" s="130"/>
      <c r="M83" s="130"/>
      <c r="N83" s="130"/>
      <c r="O83" s="126"/>
      <c r="P83" s="126"/>
      <c r="Q83" s="126"/>
      <c r="R83" s="126"/>
      <c r="S83" s="126"/>
      <c r="T83" s="126"/>
      <c r="U83" s="126"/>
      <c r="V83" s="126"/>
      <c r="W83" s="126"/>
      <c r="X83" s="126"/>
      <c r="Y83" s="126"/>
      <c r="Z83" s="126"/>
      <c r="AA83" s="126"/>
      <c r="AB83" s="126"/>
      <c r="AC83" s="126"/>
      <c r="AD83" s="126"/>
      <c r="AE83" s="126"/>
      <c r="AF83" s="126"/>
      <c r="AG83" s="126"/>
      <c r="AH83" s="126"/>
      <c r="AI83" s="126"/>
      <c r="AJ83" s="126"/>
      <c r="AK83" s="126"/>
      <c r="AL83" s="126"/>
      <c r="AM83" s="126"/>
      <c r="AN83" s="126"/>
      <c r="AO83" s="126"/>
    </row>
    <row r="84" spans="1:41">
      <c r="A84" s="150" t="s">
        <v>108</v>
      </c>
      <c r="B84" s="48">
        <v>0</v>
      </c>
      <c r="C84" s="130">
        <v>0</v>
      </c>
      <c r="D84" s="130">
        <v>-254478.69000000006</v>
      </c>
      <c r="E84" s="130">
        <v>1554.06</v>
      </c>
      <c r="F84" s="130">
        <v>-31010.220000000008</v>
      </c>
      <c r="G84" s="130">
        <v>-229930.62000000011</v>
      </c>
      <c r="H84" s="130">
        <v>-94.859999999869615</v>
      </c>
      <c r="I84" s="130">
        <v>20219.14</v>
      </c>
      <c r="J84" s="130">
        <v>5957.61</v>
      </c>
      <c r="K84" s="130">
        <v>0</v>
      </c>
      <c r="L84" s="130">
        <v>5658.5300000000861</v>
      </c>
      <c r="M84" s="130">
        <v>3962</v>
      </c>
      <c r="N84" s="130">
        <f>SUM(B84:M84)</f>
        <v>-478163.05</v>
      </c>
      <c r="O84" s="126"/>
      <c r="P84" s="126"/>
      <c r="Q84" s="126"/>
      <c r="R84" s="126"/>
      <c r="S84" s="126"/>
      <c r="T84" s="126"/>
      <c r="U84" s="126"/>
      <c r="V84" s="126"/>
      <c r="W84" s="126"/>
      <c r="X84" s="126"/>
      <c r="Y84" s="126"/>
      <c r="Z84" s="126"/>
      <c r="AA84" s="126"/>
      <c r="AB84" s="126"/>
      <c r="AC84" s="126"/>
      <c r="AD84" s="126"/>
      <c r="AE84" s="126"/>
      <c r="AF84" s="126"/>
      <c r="AG84" s="126"/>
      <c r="AH84" s="126"/>
      <c r="AI84" s="126"/>
      <c r="AJ84" s="126"/>
      <c r="AK84" s="126"/>
      <c r="AL84" s="126"/>
      <c r="AM84" s="126"/>
      <c r="AN84" s="126"/>
      <c r="AO84" s="126"/>
    </row>
    <row r="85" spans="1:41">
      <c r="A85" s="150" t="s">
        <v>97</v>
      </c>
      <c r="B85" s="48">
        <v>248856.65</v>
      </c>
      <c r="C85" s="130">
        <v>3203.47</v>
      </c>
      <c r="D85" s="130">
        <v>-228908.31999999998</v>
      </c>
      <c r="E85" s="130">
        <v>4565.63</v>
      </c>
      <c r="F85" s="130">
        <v>3166.67</v>
      </c>
      <c r="G85" s="130">
        <v>132212.28</v>
      </c>
      <c r="H85" s="130">
        <v>3166.6699999999255</v>
      </c>
      <c r="I85" s="130">
        <v>23499.240000000005</v>
      </c>
      <c r="J85" s="130">
        <v>3210.51</v>
      </c>
      <c r="K85" s="130">
        <v>3420.61</v>
      </c>
      <c r="L85" s="130">
        <v>14872.320000000094</v>
      </c>
      <c r="M85" s="130">
        <v>228970.46999999997</v>
      </c>
      <c r="N85" s="130">
        <f t="shared" ref="N85:N94" si="17">SUM(B85:M85)</f>
        <v>440236.19999999995</v>
      </c>
      <c r="O85" s="126"/>
      <c r="P85" s="126"/>
      <c r="Q85" s="126"/>
      <c r="R85" s="126"/>
      <c r="S85" s="126"/>
      <c r="T85" s="126"/>
      <c r="U85" s="126"/>
      <c r="V85" s="126"/>
      <c r="W85" s="126"/>
      <c r="X85" s="126"/>
      <c r="Y85" s="126"/>
      <c r="Z85" s="126"/>
      <c r="AA85" s="126"/>
      <c r="AB85" s="126"/>
      <c r="AC85" s="126"/>
      <c r="AD85" s="126"/>
      <c r="AE85" s="126"/>
      <c r="AF85" s="126"/>
      <c r="AG85" s="126"/>
      <c r="AH85" s="126"/>
      <c r="AI85" s="126"/>
      <c r="AJ85" s="126"/>
      <c r="AK85" s="126"/>
      <c r="AL85" s="126"/>
      <c r="AM85" s="126"/>
      <c r="AN85" s="126"/>
      <c r="AO85" s="126"/>
    </row>
    <row r="86" spans="1:41">
      <c r="A86" s="150" t="s">
        <v>109</v>
      </c>
      <c r="B86" s="48">
        <v>0</v>
      </c>
      <c r="C86" s="130">
        <v>11317.87</v>
      </c>
      <c r="D86" s="130">
        <v>62017</v>
      </c>
      <c r="E86" s="130">
        <v>0</v>
      </c>
      <c r="F86" s="130">
        <v>0</v>
      </c>
      <c r="G86" s="130">
        <v>506.33000000000175</v>
      </c>
      <c r="H86" s="130">
        <v>0</v>
      </c>
      <c r="I86" s="130">
        <v>-248430.71</v>
      </c>
      <c r="J86" s="130">
        <v>0</v>
      </c>
      <c r="K86" s="130">
        <v>0</v>
      </c>
      <c r="L86" s="130">
        <v>0</v>
      </c>
      <c r="M86" s="130">
        <v>-239390.69</v>
      </c>
      <c r="N86" s="130">
        <f t="shared" si="17"/>
        <v>-413980.2</v>
      </c>
      <c r="O86" s="126"/>
      <c r="P86" s="126"/>
      <c r="Q86" s="126"/>
      <c r="R86" s="126"/>
      <c r="S86" s="126"/>
      <c r="T86" s="126"/>
      <c r="U86" s="126"/>
      <c r="V86" s="126"/>
      <c r="W86" s="126"/>
      <c r="X86" s="126"/>
      <c r="Y86" s="126"/>
      <c r="Z86" s="126"/>
      <c r="AA86" s="126"/>
      <c r="AB86" s="126"/>
      <c r="AC86" s="126"/>
      <c r="AD86" s="126"/>
      <c r="AE86" s="126"/>
      <c r="AF86" s="126"/>
      <c r="AG86" s="126"/>
      <c r="AH86" s="126"/>
      <c r="AI86" s="126"/>
      <c r="AJ86" s="126"/>
      <c r="AK86" s="126"/>
      <c r="AL86" s="126"/>
      <c r="AM86" s="126"/>
      <c r="AN86" s="126"/>
      <c r="AO86" s="126"/>
    </row>
    <row r="87" spans="1:41">
      <c r="A87" s="150" t="s">
        <v>110</v>
      </c>
      <c r="B87" s="48">
        <v>362029.54</v>
      </c>
      <c r="C87" s="130">
        <v>199721.77</v>
      </c>
      <c r="D87" s="130">
        <v>223402.45</v>
      </c>
      <c r="E87" s="130">
        <v>104932.31</v>
      </c>
      <c r="F87" s="130">
        <v>372390.8</v>
      </c>
      <c r="G87" s="130">
        <v>100683.51999999974</v>
      </c>
      <c r="H87" s="130">
        <v>124539.22999999858</v>
      </c>
      <c r="I87" s="130">
        <v>42562.79</v>
      </c>
      <c r="J87" s="130">
        <v>35133.649999999994</v>
      </c>
      <c r="K87" s="130">
        <v>42447.479999999996</v>
      </c>
      <c r="L87" s="130">
        <v>40390.140000001527</v>
      </c>
      <c r="M87" s="130">
        <v>160910.03</v>
      </c>
      <c r="N87" s="130">
        <f t="shared" si="17"/>
        <v>1809143.71</v>
      </c>
      <c r="O87" s="126"/>
      <c r="P87" s="126"/>
      <c r="Q87" s="126"/>
      <c r="R87" s="126"/>
      <c r="S87" s="126"/>
      <c r="T87" s="126"/>
      <c r="U87" s="126"/>
      <c r="V87" s="126"/>
      <c r="W87" s="126"/>
      <c r="X87" s="126"/>
      <c r="Y87" s="126"/>
      <c r="Z87" s="126"/>
      <c r="AA87" s="126"/>
      <c r="AB87" s="126"/>
      <c r="AC87" s="126"/>
      <c r="AD87" s="126"/>
      <c r="AE87" s="126"/>
      <c r="AF87" s="126"/>
      <c r="AG87" s="126"/>
      <c r="AH87" s="126"/>
      <c r="AI87" s="126"/>
      <c r="AJ87" s="126"/>
      <c r="AK87" s="126"/>
      <c r="AL87" s="126"/>
      <c r="AM87" s="126"/>
      <c r="AN87" s="126"/>
      <c r="AO87" s="126"/>
    </row>
    <row r="88" spans="1:41">
      <c r="A88" s="150" t="s">
        <v>111</v>
      </c>
      <c r="B88" s="48">
        <v>768053.81</v>
      </c>
      <c r="C88" s="130">
        <v>439971.19</v>
      </c>
      <c r="D88" s="130">
        <v>852913.78</v>
      </c>
      <c r="E88" s="130">
        <v>282463.31</v>
      </c>
      <c r="F88" s="130">
        <v>544816.68000000005</v>
      </c>
      <c r="G88" s="130">
        <v>732243.41000000027</v>
      </c>
      <c r="H88" s="130">
        <v>787182.35000000149</v>
      </c>
      <c r="I88" s="130">
        <v>308796.18</v>
      </c>
      <c r="J88" s="130">
        <v>206854.98</v>
      </c>
      <c r="K88" s="130">
        <v>45435.289999999994</v>
      </c>
      <c r="L88" s="130">
        <v>213085.05999999866</v>
      </c>
      <c r="M88" s="130">
        <v>81287.260000000009</v>
      </c>
      <c r="N88" s="130">
        <f t="shared" si="17"/>
        <v>5263103.3</v>
      </c>
      <c r="O88" s="126"/>
      <c r="P88" s="126"/>
      <c r="Q88" s="126"/>
      <c r="R88" s="126"/>
      <c r="S88" s="126"/>
      <c r="T88" s="126"/>
      <c r="U88" s="126"/>
      <c r="V88" s="126"/>
      <c r="W88" s="126"/>
      <c r="X88" s="126"/>
      <c r="Y88" s="126"/>
      <c r="Z88" s="126"/>
      <c r="AA88" s="126"/>
      <c r="AB88" s="126"/>
      <c r="AC88" s="126"/>
      <c r="AD88" s="126"/>
      <c r="AE88" s="126"/>
      <c r="AF88" s="126"/>
      <c r="AG88" s="126"/>
      <c r="AH88" s="126"/>
      <c r="AI88" s="126"/>
      <c r="AJ88" s="126"/>
      <c r="AK88" s="126"/>
      <c r="AL88" s="126"/>
      <c r="AM88" s="126"/>
      <c r="AN88" s="126"/>
      <c r="AO88" s="126"/>
    </row>
    <row r="89" spans="1:41">
      <c r="A89" s="150" t="s">
        <v>112</v>
      </c>
      <c r="B89" s="48">
        <v>439705</v>
      </c>
      <c r="C89" s="130">
        <v>187720.9</v>
      </c>
      <c r="D89" s="130">
        <v>202557.39</v>
      </c>
      <c r="E89" s="130">
        <v>128107.53</v>
      </c>
      <c r="F89" s="130">
        <v>59918.67</v>
      </c>
      <c r="G89" s="130">
        <v>-434247.49000000011</v>
      </c>
      <c r="H89" s="130">
        <v>88087.39999999851</v>
      </c>
      <c r="I89" s="130">
        <v>9802.77</v>
      </c>
      <c r="J89" s="130">
        <v>-10303.260000000002</v>
      </c>
      <c r="K89" s="130">
        <v>30697.58</v>
      </c>
      <c r="L89" s="130">
        <v>13871.920000001555</v>
      </c>
      <c r="M89" s="130">
        <v>2511.8000000000002</v>
      </c>
      <c r="N89" s="130">
        <f t="shared" si="17"/>
        <v>718430.21000000008</v>
      </c>
      <c r="O89" s="126"/>
      <c r="P89" s="126"/>
      <c r="Q89" s="126"/>
      <c r="R89" s="126"/>
      <c r="S89" s="126"/>
      <c r="T89" s="126"/>
      <c r="U89" s="126"/>
      <c r="V89" s="126"/>
      <c r="W89" s="126"/>
      <c r="X89" s="126"/>
      <c r="Y89" s="126"/>
      <c r="Z89" s="126"/>
      <c r="AA89" s="126"/>
      <c r="AB89" s="126"/>
      <c r="AC89" s="126"/>
      <c r="AD89" s="126"/>
      <c r="AE89" s="126"/>
      <c r="AF89" s="126"/>
      <c r="AG89" s="126"/>
      <c r="AH89" s="126"/>
      <c r="AI89" s="126"/>
      <c r="AJ89" s="126"/>
      <c r="AK89" s="126"/>
      <c r="AL89" s="126"/>
      <c r="AM89" s="126"/>
      <c r="AN89" s="126"/>
      <c r="AO89" s="126"/>
    </row>
    <row r="90" spans="1:41">
      <c r="A90" s="150" t="s">
        <v>113</v>
      </c>
      <c r="B90" s="48">
        <v>132805.94</v>
      </c>
      <c r="C90" s="130">
        <v>178294.44</v>
      </c>
      <c r="D90" s="130">
        <v>289575.26</v>
      </c>
      <c r="E90" s="130">
        <v>254336.73</v>
      </c>
      <c r="F90" s="130">
        <v>537986.56999999995</v>
      </c>
      <c r="G90" s="130">
        <v>293537.14</v>
      </c>
      <c r="H90" s="130">
        <v>352518.59999999963</v>
      </c>
      <c r="I90" s="130">
        <v>260165.79</v>
      </c>
      <c r="J90" s="130">
        <v>260976.90999999997</v>
      </c>
      <c r="K90" s="130">
        <v>140493.41999999998</v>
      </c>
      <c r="L90" s="130">
        <v>19056.240000000224</v>
      </c>
      <c r="M90" s="130">
        <v>81648.709999999992</v>
      </c>
      <c r="N90" s="130">
        <f t="shared" si="17"/>
        <v>2801395.75</v>
      </c>
      <c r="O90" s="126"/>
      <c r="P90" s="126"/>
      <c r="Q90" s="126"/>
      <c r="R90" s="126"/>
      <c r="S90" s="126"/>
      <c r="T90" s="126"/>
      <c r="U90" s="126"/>
      <c r="V90" s="126"/>
      <c r="W90" s="126"/>
      <c r="X90" s="126"/>
      <c r="Y90" s="126"/>
      <c r="Z90" s="126"/>
      <c r="AA90" s="126"/>
      <c r="AB90" s="126"/>
      <c r="AC90" s="126"/>
      <c r="AD90" s="126"/>
      <c r="AE90" s="126"/>
      <c r="AF90" s="126"/>
      <c r="AG90" s="126"/>
      <c r="AH90" s="126"/>
      <c r="AI90" s="126"/>
      <c r="AJ90" s="126"/>
      <c r="AK90" s="126"/>
      <c r="AL90" s="126"/>
      <c r="AM90" s="126"/>
      <c r="AN90" s="126"/>
      <c r="AO90" s="126"/>
    </row>
    <row r="91" spans="1:41">
      <c r="A91" s="150" t="s">
        <v>45</v>
      </c>
      <c r="B91" s="48">
        <v>274993.26</v>
      </c>
      <c r="C91" s="130">
        <v>116410.23</v>
      </c>
      <c r="D91" s="130">
        <v>488766.75</v>
      </c>
      <c r="E91" s="130">
        <v>27239.66</v>
      </c>
      <c r="F91" s="130">
        <v>562522.49</v>
      </c>
      <c r="G91" s="130">
        <v>-4927005.84</v>
      </c>
      <c r="H91" s="130">
        <v>274847.6400000006</v>
      </c>
      <c r="I91" s="130">
        <v>28734.259999999995</v>
      </c>
      <c r="J91" s="130">
        <v>-22105.69</v>
      </c>
      <c r="K91" s="130">
        <v>302.64999999999964</v>
      </c>
      <c r="L91" s="130">
        <v>837432.74999999953</v>
      </c>
      <c r="M91" s="130">
        <v>100.4</v>
      </c>
      <c r="N91" s="130">
        <f t="shared" si="17"/>
        <v>-2337761.44</v>
      </c>
      <c r="O91" s="126"/>
      <c r="P91" s="126"/>
      <c r="Q91" s="126"/>
      <c r="R91" s="126"/>
      <c r="S91" s="126"/>
      <c r="T91" s="126"/>
      <c r="U91" s="126"/>
      <c r="V91" s="126"/>
      <c r="W91" s="126"/>
      <c r="X91" s="126"/>
      <c r="Y91" s="126"/>
      <c r="Z91" s="126"/>
      <c r="AA91" s="126"/>
      <c r="AB91" s="126"/>
      <c r="AC91" s="126"/>
      <c r="AD91" s="126"/>
      <c r="AE91" s="126"/>
      <c r="AF91" s="126"/>
      <c r="AG91" s="126"/>
      <c r="AH91" s="126"/>
      <c r="AI91" s="126"/>
      <c r="AJ91" s="126"/>
      <c r="AK91" s="126"/>
      <c r="AL91" s="126"/>
      <c r="AM91" s="126"/>
      <c r="AN91" s="126"/>
      <c r="AO91" s="126"/>
    </row>
    <row r="92" spans="1:41">
      <c r="A92" s="150" t="s">
        <v>105</v>
      </c>
      <c r="B92" s="48">
        <v>0</v>
      </c>
      <c r="C92" s="130">
        <v>165336.07</v>
      </c>
      <c r="D92" s="130">
        <v>125002.85</v>
      </c>
      <c r="E92" s="130">
        <v>0</v>
      </c>
      <c r="F92" s="130">
        <v>0</v>
      </c>
      <c r="G92" s="130">
        <v>874447.42</v>
      </c>
      <c r="H92" s="130">
        <v>11116.080000000075</v>
      </c>
      <c r="I92" s="130">
        <v>2789.48</v>
      </c>
      <c r="J92" s="130">
        <v>0</v>
      </c>
      <c r="K92" s="130">
        <v>0</v>
      </c>
      <c r="L92" s="130">
        <v>-180000.00000000012</v>
      </c>
      <c r="M92" s="130">
        <v>0</v>
      </c>
      <c r="N92" s="130">
        <f t="shared" si="17"/>
        <v>998691.9</v>
      </c>
      <c r="O92" s="126"/>
      <c r="P92" s="126"/>
      <c r="Q92" s="126"/>
      <c r="R92" s="126"/>
      <c r="S92" s="126"/>
      <c r="T92" s="126"/>
      <c r="U92" s="126"/>
      <c r="V92" s="126"/>
      <c r="W92" s="126"/>
      <c r="X92" s="126"/>
      <c r="Y92" s="126"/>
      <c r="Z92" s="126"/>
      <c r="AA92" s="126"/>
      <c r="AB92" s="126"/>
      <c r="AC92" s="126"/>
      <c r="AD92" s="126"/>
      <c r="AE92" s="126"/>
      <c r="AF92" s="126"/>
      <c r="AG92" s="126"/>
      <c r="AH92" s="126"/>
      <c r="AI92" s="126"/>
      <c r="AJ92" s="126"/>
      <c r="AK92" s="126"/>
      <c r="AL92" s="126"/>
      <c r="AM92" s="126"/>
      <c r="AN92" s="126"/>
      <c r="AO92" s="126"/>
    </row>
    <row r="93" spans="1:41">
      <c r="A93" s="150" t="s">
        <v>106</v>
      </c>
      <c r="B93" s="48">
        <v>833933.77</v>
      </c>
      <c r="C93" s="130">
        <v>479294.04</v>
      </c>
      <c r="D93" s="130">
        <v>971403.07000000007</v>
      </c>
      <c r="E93" s="130">
        <v>32161.25</v>
      </c>
      <c r="F93" s="130">
        <v>343479.22</v>
      </c>
      <c r="G93" s="130">
        <v>580871.54000000074</v>
      </c>
      <c r="H93" s="130">
        <v>72503.42</v>
      </c>
      <c r="I93" s="130">
        <v>323900.48</v>
      </c>
      <c r="J93" s="130">
        <v>1358.2400000000002</v>
      </c>
      <c r="K93" s="130">
        <v>24034.63</v>
      </c>
      <c r="L93" s="130">
        <v>14652.089999999385</v>
      </c>
      <c r="M93" s="130">
        <v>16050.98</v>
      </c>
      <c r="N93" s="130">
        <f t="shared" si="17"/>
        <v>3693642.73</v>
      </c>
      <c r="O93" s="126"/>
      <c r="P93" s="126"/>
      <c r="Q93" s="126"/>
      <c r="R93" s="126"/>
      <c r="S93" s="126"/>
      <c r="T93" s="126"/>
      <c r="U93" s="126"/>
      <c r="V93" s="126"/>
      <c r="W93" s="126"/>
      <c r="X93" s="126"/>
      <c r="Y93" s="126"/>
      <c r="Z93" s="126"/>
      <c r="AA93" s="126"/>
      <c r="AB93" s="126"/>
      <c r="AC93" s="126"/>
      <c r="AD93" s="126"/>
      <c r="AE93" s="126"/>
      <c r="AF93" s="126"/>
      <c r="AG93" s="126"/>
      <c r="AH93" s="126"/>
      <c r="AI93" s="126"/>
      <c r="AJ93" s="126"/>
      <c r="AK93" s="126"/>
      <c r="AL93" s="126"/>
      <c r="AM93" s="126"/>
      <c r="AN93" s="126"/>
      <c r="AO93" s="126"/>
    </row>
    <row r="94" spans="1:41">
      <c r="A94" s="150" t="s">
        <v>66</v>
      </c>
      <c r="B94" s="48"/>
      <c r="C94" s="130"/>
      <c r="D94" s="130"/>
      <c r="E94" s="130"/>
      <c r="F94" s="130"/>
      <c r="G94" s="130"/>
      <c r="H94" s="130"/>
      <c r="I94" s="130"/>
      <c r="J94" s="130"/>
      <c r="K94" s="130"/>
      <c r="L94" s="130"/>
      <c r="M94" s="130"/>
      <c r="N94" s="130">
        <f t="shared" si="17"/>
        <v>0</v>
      </c>
      <c r="O94" s="126"/>
      <c r="P94" s="126"/>
      <c r="Q94" s="126"/>
      <c r="R94" s="126"/>
      <c r="S94" s="126"/>
      <c r="T94" s="126"/>
      <c r="U94" s="126"/>
      <c r="V94" s="126"/>
      <c r="W94" s="126"/>
      <c r="X94" s="126"/>
      <c r="Y94" s="126"/>
      <c r="Z94" s="126"/>
      <c r="AA94" s="126"/>
      <c r="AB94" s="126"/>
      <c r="AC94" s="126"/>
      <c r="AD94" s="126"/>
      <c r="AE94" s="126"/>
      <c r="AF94" s="126"/>
      <c r="AG94" s="126"/>
      <c r="AH94" s="126"/>
      <c r="AI94" s="126"/>
      <c r="AJ94" s="126"/>
      <c r="AK94" s="126"/>
      <c r="AL94" s="126"/>
      <c r="AM94" s="126"/>
      <c r="AN94" s="126"/>
      <c r="AO94" s="126"/>
    </row>
    <row r="95" spans="1:41" ht="15.75" thickBot="1">
      <c r="A95" s="144" t="s">
        <v>37</v>
      </c>
      <c r="B95" s="145">
        <f t="shared" ref="B95:M95" si="18">SUM(B84:B94)</f>
        <v>3060377.97</v>
      </c>
      <c r="C95" s="145">
        <f t="shared" si="18"/>
        <v>1781269.9800000002</v>
      </c>
      <c r="D95" s="145">
        <f t="shared" si="18"/>
        <v>2732251.54</v>
      </c>
      <c r="E95" s="145">
        <f t="shared" si="18"/>
        <v>835360.48</v>
      </c>
      <c r="F95" s="145">
        <f t="shared" si="18"/>
        <v>2393270.88</v>
      </c>
      <c r="G95" s="145">
        <f t="shared" si="18"/>
        <v>-2876682.3099999987</v>
      </c>
      <c r="H95" s="145">
        <f t="shared" si="18"/>
        <v>1713866.5299999989</v>
      </c>
      <c r="I95" s="145">
        <f t="shared" si="18"/>
        <v>772039.41999999993</v>
      </c>
      <c r="J95" s="145">
        <f t="shared" si="18"/>
        <v>481082.94999999995</v>
      </c>
      <c r="K95" s="145">
        <f t="shared" si="18"/>
        <v>286831.66000000003</v>
      </c>
      <c r="L95" s="145">
        <f t="shared" si="18"/>
        <v>979019.05000000109</v>
      </c>
      <c r="M95" s="145">
        <f t="shared" si="18"/>
        <v>336050.95999999996</v>
      </c>
      <c r="N95" s="145">
        <f>SUM(N84:N94)</f>
        <v>12494739.110000001</v>
      </c>
      <c r="O95" s="126"/>
      <c r="P95" s="126"/>
      <c r="Q95" s="126"/>
      <c r="R95" s="126"/>
      <c r="S95" s="126"/>
      <c r="T95" s="126"/>
      <c r="U95" s="126"/>
      <c r="V95" s="126"/>
      <c r="W95" s="126"/>
      <c r="X95" s="126"/>
      <c r="Y95" s="126"/>
      <c r="Z95" s="126"/>
      <c r="AA95" s="126"/>
      <c r="AB95" s="126"/>
      <c r="AC95" s="126"/>
      <c r="AD95" s="126"/>
      <c r="AE95" s="126"/>
      <c r="AF95" s="126"/>
      <c r="AG95" s="126"/>
      <c r="AH95" s="126"/>
      <c r="AI95" s="126"/>
      <c r="AJ95" s="126"/>
      <c r="AK95" s="126"/>
      <c r="AL95" s="126"/>
      <c r="AM95" s="126"/>
      <c r="AN95" s="126"/>
    </row>
    <row r="96" spans="1:41" ht="15.75" thickTop="1">
      <c r="A96" s="140" t="s">
        <v>48</v>
      </c>
      <c r="B96" s="130"/>
      <c r="C96" s="130"/>
      <c r="D96" s="130"/>
      <c r="E96" s="130"/>
      <c r="F96" s="130"/>
      <c r="G96" s="130"/>
      <c r="H96" s="130"/>
      <c r="I96" s="130"/>
      <c r="J96" s="130"/>
      <c r="K96" s="130"/>
      <c r="L96" s="130"/>
      <c r="M96" s="130"/>
      <c r="N96" s="133"/>
      <c r="O96" s="167"/>
      <c r="P96" s="167"/>
      <c r="Q96" s="167"/>
      <c r="R96" s="167"/>
      <c r="S96" s="167"/>
      <c r="T96" s="167"/>
      <c r="U96" s="167"/>
      <c r="V96" s="167"/>
      <c r="W96" s="167"/>
      <c r="X96" s="167"/>
      <c r="Y96" s="167"/>
      <c r="Z96" s="167"/>
      <c r="AA96" s="167"/>
      <c r="AB96" s="167"/>
      <c r="AC96" s="167"/>
      <c r="AD96" s="167"/>
      <c r="AE96" s="167"/>
      <c r="AF96" s="167"/>
      <c r="AG96" s="167"/>
      <c r="AH96" s="167"/>
      <c r="AI96" s="167"/>
      <c r="AJ96" s="167"/>
      <c r="AK96" s="167"/>
      <c r="AL96" s="167"/>
      <c r="AM96" s="167"/>
      <c r="AN96" s="167"/>
    </row>
    <row r="97" spans="1:41">
      <c r="A97" s="120" t="s">
        <v>114</v>
      </c>
      <c r="B97" s="130"/>
      <c r="C97" s="130"/>
      <c r="D97" s="130"/>
      <c r="E97" s="130"/>
      <c r="F97" s="130"/>
      <c r="G97" s="130"/>
      <c r="H97" s="130"/>
      <c r="I97" s="130"/>
      <c r="J97" s="130"/>
      <c r="K97" s="130"/>
      <c r="L97" s="130"/>
      <c r="M97" s="130"/>
      <c r="N97" s="133">
        <f>SUM(B97:M97)</f>
        <v>0</v>
      </c>
      <c r="O97" s="167"/>
      <c r="P97" s="167"/>
      <c r="Q97" s="167"/>
      <c r="R97" s="167"/>
      <c r="S97" s="167"/>
      <c r="T97" s="167"/>
      <c r="U97" s="167"/>
      <c r="V97" s="167"/>
      <c r="W97" s="167"/>
      <c r="X97" s="167"/>
      <c r="Y97" s="167"/>
      <c r="Z97" s="167"/>
      <c r="AA97" s="167"/>
      <c r="AB97" s="167"/>
      <c r="AC97" s="167"/>
      <c r="AD97" s="167"/>
      <c r="AE97" s="167"/>
      <c r="AF97" s="167"/>
      <c r="AG97" s="167"/>
      <c r="AH97" s="167"/>
      <c r="AI97" s="167"/>
      <c r="AJ97" s="167"/>
      <c r="AK97" s="167"/>
      <c r="AL97" s="167"/>
      <c r="AM97" s="167"/>
      <c r="AN97" s="167"/>
    </row>
    <row r="98" spans="1:41">
      <c r="A98" s="120" t="s">
        <v>115</v>
      </c>
      <c r="B98" s="130"/>
      <c r="C98" s="130"/>
      <c r="D98" s="130"/>
      <c r="E98" s="130"/>
      <c r="F98" s="130"/>
      <c r="G98" s="130"/>
      <c r="H98" s="130"/>
      <c r="I98" s="130"/>
      <c r="J98" s="130"/>
      <c r="K98" s="130"/>
      <c r="L98" s="130"/>
      <c r="M98" s="130"/>
      <c r="N98" s="133">
        <f t="shared" ref="N98:N104" si="19">SUM(B98:M98)</f>
        <v>0</v>
      </c>
      <c r="O98" s="167"/>
      <c r="P98" s="167"/>
      <c r="Q98" s="167"/>
      <c r="R98" s="167"/>
      <c r="S98" s="167"/>
      <c r="T98" s="167"/>
      <c r="U98" s="167"/>
      <c r="V98" s="167"/>
      <c r="W98" s="167"/>
      <c r="X98" s="167"/>
      <c r="Y98" s="167"/>
      <c r="Z98" s="167"/>
      <c r="AA98" s="167"/>
      <c r="AB98" s="167"/>
      <c r="AC98" s="167"/>
      <c r="AD98" s="167"/>
      <c r="AE98" s="167"/>
      <c r="AF98" s="167"/>
      <c r="AG98" s="167"/>
      <c r="AH98" s="167"/>
      <c r="AI98" s="167"/>
      <c r="AJ98" s="167"/>
      <c r="AK98" s="167"/>
      <c r="AL98" s="167"/>
      <c r="AM98" s="167"/>
      <c r="AN98" s="167"/>
    </row>
    <row r="99" spans="1:41">
      <c r="A99" s="120" t="s">
        <v>118</v>
      </c>
      <c r="B99" s="130"/>
      <c r="C99" s="130"/>
      <c r="D99" s="130"/>
      <c r="E99" s="130"/>
      <c r="F99" s="130"/>
      <c r="G99" s="130"/>
      <c r="H99" s="130"/>
      <c r="I99" s="130"/>
      <c r="J99" s="130"/>
      <c r="K99" s="130"/>
      <c r="L99" s="130"/>
      <c r="M99" s="130"/>
      <c r="N99" s="133">
        <f t="shared" si="19"/>
        <v>0</v>
      </c>
      <c r="O99" s="167"/>
      <c r="P99" s="167"/>
      <c r="Q99" s="167"/>
      <c r="R99" s="167"/>
      <c r="S99" s="167"/>
      <c r="T99" s="167"/>
      <c r="U99" s="167"/>
      <c r="V99" s="167"/>
      <c r="W99" s="167"/>
      <c r="X99" s="167"/>
      <c r="Y99" s="167"/>
      <c r="Z99" s="167"/>
      <c r="AA99" s="167"/>
      <c r="AB99" s="167"/>
      <c r="AC99" s="167"/>
      <c r="AD99" s="167"/>
      <c r="AE99" s="167"/>
      <c r="AF99" s="167"/>
      <c r="AG99" s="167"/>
      <c r="AH99" s="167"/>
      <c r="AI99" s="167"/>
      <c r="AJ99" s="167"/>
      <c r="AK99" s="167"/>
      <c r="AL99" s="167"/>
      <c r="AM99" s="167"/>
      <c r="AN99" s="167"/>
    </row>
    <row r="100" spans="1:41">
      <c r="A100" s="150" t="s">
        <v>116</v>
      </c>
      <c r="B100" s="130"/>
      <c r="C100" s="130"/>
      <c r="D100" s="130"/>
      <c r="E100" s="130"/>
      <c r="F100" s="130"/>
      <c r="G100" s="130"/>
      <c r="H100" s="130"/>
      <c r="I100" s="130"/>
      <c r="J100" s="130"/>
      <c r="K100" s="130"/>
      <c r="L100" s="130"/>
      <c r="M100" s="130"/>
      <c r="N100" s="133">
        <f t="shared" si="19"/>
        <v>0</v>
      </c>
      <c r="O100" s="167"/>
      <c r="P100" s="167"/>
      <c r="Q100" s="167"/>
      <c r="R100" s="167"/>
      <c r="S100" s="167"/>
      <c r="T100" s="167"/>
      <c r="U100" s="167"/>
      <c r="V100" s="167"/>
      <c r="W100" s="167"/>
      <c r="X100" s="167"/>
      <c r="Y100" s="167"/>
      <c r="Z100" s="167"/>
      <c r="AA100" s="167"/>
      <c r="AB100" s="167"/>
      <c r="AC100" s="167"/>
      <c r="AD100" s="167"/>
      <c r="AE100" s="167"/>
      <c r="AF100" s="167"/>
      <c r="AG100" s="167"/>
      <c r="AH100" s="167"/>
      <c r="AI100" s="167"/>
      <c r="AJ100" s="167"/>
      <c r="AK100" s="167"/>
      <c r="AL100" s="167"/>
      <c r="AM100" s="167"/>
      <c r="AN100" s="167"/>
    </row>
    <row r="101" spans="1:41">
      <c r="A101" s="120" t="s">
        <v>117</v>
      </c>
      <c r="B101" s="130"/>
      <c r="C101" s="130"/>
      <c r="D101" s="130"/>
      <c r="E101" s="130"/>
      <c r="F101" s="130"/>
      <c r="G101" s="130"/>
      <c r="H101" s="130"/>
      <c r="I101" s="130"/>
      <c r="J101" s="130"/>
      <c r="K101" s="130"/>
      <c r="L101" s="130"/>
      <c r="M101" s="130"/>
      <c r="N101" s="133">
        <f t="shared" si="19"/>
        <v>0</v>
      </c>
      <c r="O101" s="167"/>
      <c r="P101" s="167"/>
      <c r="Q101" s="167"/>
      <c r="R101" s="167"/>
      <c r="S101" s="167"/>
      <c r="T101" s="167"/>
      <c r="U101" s="167"/>
      <c r="V101" s="167"/>
      <c r="W101" s="167"/>
      <c r="X101" s="167"/>
      <c r="Y101" s="167"/>
      <c r="Z101" s="167"/>
      <c r="AA101" s="167"/>
      <c r="AB101" s="167"/>
      <c r="AC101" s="167"/>
      <c r="AD101" s="167"/>
      <c r="AE101" s="167"/>
      <c r="AF101" s="167"/>
      <c r="AG101" s="167"/>
      <c r="AH101" s="167"/>
      <c r="AI101" s="167"/>
      <c r="AJ101" s="167"/>
      <c r="AK101" s="167"/>
      <c r="AL101" s="167"/>
      <c r="AM101" s="167"/>
      <c r="AN101" s="167"/>
    </row>
    <row r="102" spans="1:41">
      <c r="A102" s="120" t="s">
        <v>117</v>
      </c>
      <c r="B102" s="130"/>
      <c r="C102" s="130"/>
      <c r="D102" s="130"/>
      <c r="E102" s="130"/>
      <c r="F102" s="130"/>
      <c r="G102" s="130"/>
      <c r="H102" s="130"/>
      <c r="I102" s="130"/>
      <c r="J102" s="130"/>
      <c r="K102" s="130"/>
      <c r="L102" s="130"/>
      <c r="M102" s="130"/>
      <c r="N102" s="133">
        <f t="shared" si="19"/>
        <v>0</v>
      </c>
      <c r="O102" s="167"/>
      <c r="P102" s="167"/>
      <c r="Q102" s="167"/>
      <c r="R102" s="167"/>
      <c r="S102" s="167"/>
      <c r="T102" s="167"/>
      <c r="U102" s="167"/>
      <c r="V102" s="167"/>
      <c r="W102" s="167"/>
      <c r="X102" s="167"/>
      <c r="Y102" s="167"/>
      <c r="Z102" s="167"/>
      <c r="AA102" s="167"/>
      <c r="AB102" s="167"/>
      <c r="AC102" s="167"/>
      <c r="AD102" s="167"/>
      <c r="AE102" s="167"/>
      <c r="AF102" s="167"/>
      <c r="AG102" s="167"/>
      <c r="AH102" s="167"/>
      <c r="AI102" s="167"/>
      <c r="AJ102" s="167"/>
      <c r="AK102" s="167"/>
      <c r="AL102" s="167"/>
      <c r="AM102" s="167"/>
      <c r="AN102" s="167"/>
    </row>
    <row r="103" spans="1:41">
      <c r="A103" s="120" t="s">
        <v>117</v>
      </c>
      <c r="B103" s="130"/>
      <c r="C103" s="130"/>
      <c r="D103" s="130"/>
      <c r="E103" s="130"/>
      <c r="F103" s="130"/>
      <c r="G103" s="130"/>
      <c r="H103" s="130"/>
      <c r="I103" s="130"/>
      <c r="J103" s="130"/>
      <c r="K103" s="130"/>
      <c r="L103" s="130"/>
      <c r="M103" s="130"/>
      <c r="N103" s="133">
        <f t="shared" si="19"/>
        <v>0</v>
      </c>
      <c r="O103" s="167"/>
      <c r="P103" s="167"/>
      <c r="Q103" s="167"/>
      <c r="R103" s="167"/>
      <c r="S103" s="167"/>
      <c r="T103" s="167"/>
      <c r="U103" s="167"/>
      <c r="V103" s="167"/>
      <c r="W103" s="167"/>
      <c r="X103" s="167"/>
      <c r="Y103" s="167"/>
      <c r="Z103" s="167"/>
      <c r="AA103" s="167"/>
      <c r="AB103" s="167"/>
      <c r="AC103" s="167"/>
      <c r="AD103" s="167"/>
      <c r="AE103" s="167"/>
      <c r="AF103" s="167"/>
      <c r="AG103" s="167"/>
      <c r="AH103" s="167"/>
      <c r="AI103" s="167"/>
      <c r="AJ103" s="167"/>
      <c r="AK103" s="167"/>
      <c r="AL103" s="167"/>
      <c r="AM103" s="167"/>
      <c r="AN103" s="167"/>
    </row>
    <row r="104" spans="1:41">
      <c r="A104" s="120" t="s">
        <v>119</v>
      </c>
      <c r="B104" s="130"/>
      <c r="C104" s="130"/>
      <c r="D104" s="130"/>
      <c r="E104" s="130"/>
      <c r="F104" s="130"/>
      <c r="G104" s="130"/>
      <c r="H104" s="130"/>
      <c r="I104" s="130"/>
      <c r="J104" s="130"/>
      <c r="K104" s="130"/>
      <c r="L104" s="130"/>
      <c r="M104" s="130"/>
      <c r="N104" s="133">
        <f t="shared" si="19"/>
        <v>0</v>
      </c>
      <c r="O104" s="167"/>
      <c r="P104" s="167"/>
      <c r="Q104" s="167"/>
      <c r="R104" s="167"/>
      <c r="S104" s="167"/>
      <c r="T104" s="167"/>
      <c r="U104" s="167"/>
      <c r="V104" s="167"/>
      <c r="W104" s="167"/>
      <c r="X104" s="167"/>
      <c r="Y104" s="167"/>
      <c r="Z104" s="167"/>
      <c r="AA104" s="167"/>
      <c r="AB104" s="167"/>
      <c r="AC104" s="167"/>
      <c r="AD104" s="167"/>
      <c r="AE104" s="167"/>
      <c r="AF104" s="167"/>
      <c r="AG104" s="167"/>
      <c r="AH104" s="167"/>
      <c r="AI104" s="167"/>
      <c r="AJ104" s="167"/>
      <c r="AK104" s="167"/>
      <c r="AL104" s="167"/>
      <c r="AM104" s="167"/>
      <c r="AN104" s="167"/>
    </row>
    <row r="105" spans="1:41" ht="15.75" thickBot="1">
      <c r="A105" s="144" t="s">
        <v>37</v>
      </c>
      <c r="B105" s="145">
        <f>SUM(B96:B104)</f>
        <v>0</v>
      </c>
      <c r="C105" s="145">
        <f t="shared" ref="C105:N105" si="20">SUM(C96:C104)</f>
        <v>0</v>
      </c>
      <c r="D105" s="145">
        <f t="shared" si="20"/>
        <v>0</v>
      </c>
      <c r="E105" s="145">
        <f t="shared" si="20"/>
        <v>0</v>
      </c>
      <c r="F105" s="145">
        <f t="shared" si="20"/>
        <v>0</v>
      </c>
      <c r="G105" s="145">
        <f t="shared" si="20"/>
        <v>0</v>
      </c>
      <c r="H105" s="145">
        <f t="shared" si="20"/>
        <v>0</v>
      </c>
      <c r="I105" s="145">
        <f t="shared" si="20"/>
        <v>0</v>
      </c>
      <c r="J105" s="145">
        <f t="shared" si="20"/>
        <v>0</v>
      </c>
      <c r="K105" s="145">
        <f t="shared" si="20"/>
        <v>0</v>
      </c>
      <c r="L105" s="145">
        <f t="shared" si="20"/>
        <v>0</v>
      </c>
      <c r="M105" s="145">
        <f t="shared" si="20"/>
        <v>0</v>
      </c>
      <c r="N105" s="145">
        <f t="shared" si="20"/>
        <v>0</v>
      </c>
      <c r="O105" s="167"/>
      <c r="P105" s="167"/>
      <c r="Q105" s="167"/>
      <c r="R105" s="167"/>
      <c r="S105" s="167"/>
      <c r="T105" s="167"/>
      <c r="U105" s="167"/>
      <c r="V105" s="167"/>
      <c r="W105" s="167"/>
      <c r="X105" s="167"/>
      <c r="Y105" s="167"/>
      <c r="Z105" s="167"/>
      <c r="AA105" s="167"/>
      <c r="AB105" s="167"/>
      <c r="AC105" s="167"/>
      <c r="AD105" s="167"/>
      <c r="AE105" s="167"/>
      <c r="AF105" s="167"/>
      <c r="AG105" s="167"/>
      <c r="AH105" s="167"/>
      <c r="AI105" s="167"/>
      <c r="AJ105" s="167"/>
      <c r="AK105" s="167"/>
      <c r="AL105" s="167"/>
      <c r="AM105" s="167"/>
      <c r="AN105" s="167"/>
    </row>
    <row r="106" spans="1:41" ht="16.5" thickTop="1" thickBot="1">
      <c r="A106" s="132" t="s">
        <v>15</v>
      </c>
      <c r="B106" s="118">
        <f t="shared" ref="B106:M106" si="21">+B95+B105</f>
        <v>3060377.97</v>
      </c>
      <c r="C106" s="118">
        <f t="shared" si="21"/>
        <v>1781269.9800000002</v>
      </c>
      <c r="D106" s="118">
        <f t="shared" si="21"/>
        <v>2732251.54</v>
      </c>
      <c r="E106" s="118">
        <f t="shared" si="21"/>
        <v>835360.48</v>
      </c>
      <c r="F106" s="118">
        <f t="shared" si="21"/>
        <v>2393270.88</v>
      </c>
      <c r="G106" s="118">
        <f t="shared" si="21"/>
        <v>-2876682.3099999987</v>
      </c>
      <c r="H106" s="118">
        <f t="shared" si="21"/>
        <v>1713866.5299999989</v>
      </c>
      <c r="I106" s="118">
        <f t="shared" si="21"/>
        <v>772039.41999999993</v>
      </c>
      <c r="J106" s="118">
        <f t="shared" si="21"/>
        <v>481082.94999999995</v>
      </c>
      <c r="K106" s="118">
        <f t="shared" si="21"/>
        <v>286831.66000000003</v>
      </c>
      <c r="L106" s="118">
        <f t="shared" si="21"/>
        <v>979019.05000000109</v>
      </c>
      <c r="M106" s="118">
        <f t="shared" si="21"/>
        <v>336050.95999999996</v>
      </c>
      <c r="N106" s="118">
        <f>+N95+N105</f>
        <v>12494739.110000001</v>
      </c>
      <c r="O106" s="128"/>
      <c r="P106" s="128"/>
      <c r="Q106" s="128"/>
      <c r="R106" s="128"/>
      <c r="S106" s="128"/>
      <c r="T106" s="128"/>
      <c r="U106" s="128"/>
      <c r="V106" s="128"/>
      <c r="W106" s="128"/>
      <c r="X106" s="128"/>
      <c r="Y106" s="128"/>
      <c r="Z106" s="128"/>
      <c r="AA106" s="128"/>
      <c r="AB106" s="128"/>
      <c r="AC106" s="128"/>
      <c r="AD106" s="128"/>
      <c r="AE106" s="128"/>
      <c r="AF106" s="128"/>
      <c r="AG106" s="128"/>
      <c r="AH106" s="128"/>
      <c r="AI106" s="128"/>
      <c r="AJ106" s="128"/>
      <c r="AK106" s="128"/>
      <c r="AL106" s="128"/>
      <c r="AM106" s="128"/>
      <c r="AN106" s="128"/>
    </row>
    <row r="107" spans="1:41" ht="15.75" thickTop="1">
      <c r="A107" s="124"/>
      <c r="B107" s="124"/>
      <c r="C107" s="124"/>
      <c r="D107" s="124"/>
      <c r="E107" s="136" t="s">
        <v>20</v>
      </c>
      <c r="F107" s="124"/>
      <c r="G107" s="124"/>
      <c r="H107" s="124"/>
      <c r="I107" s="124"/>
      <c r="J107" s="124"/>
      <c r="K107" s="124"/>
      <c r="L107" s="124"/>
      <c r="M107" s="124"/>
      <c r="N107" s="124"/>
      <c r="O107" s="124"/>
      <c r="P107" s="124"/>
      <c r="Q107" s="124"/>
      <c r="R107" s="124"/>
      <c r="S107" s="124"/>
      <c r="T107" s="124"/>
      <c r="U107" s="124"/>
      <c r="V107" s="124"/>
      <c r="W107" s="124"/>
      <c r="X107" s="124"/>
      <c r="Y107" s="124"/>
      <c r="Z107" s="124"/>
      <c r="AA107" s="124"/>
      <c r="AB107" s="124"/>
      <c r="AC107" s="124"/>
      <c r="AD107" s="124"/>
      <c r="AE107" s="124"/>
      <c r="AF107" s="124"/>
      <c r="AG107" s="124"/>
      <c r="AH107" s="124"/>
      <c r="AI107" s="124"/>
      <c r="AJ107" s="124"/>
      <c r="AK107" s="124"/>
      <c r="AL107" s="124"/>
      <c r="AM107" s="124"/>
      <c r="AN107" s="124"/>
      <c r="AO107" s="124"/>
    </row>
    <row r="108" spans="1:41">
      <c r="A108" s="124"/>
      <c r="B108" s="124"/>
      <c r="C108" s="124"/>
      <c r="D108" s="124"/>
      <c r="E108" s="124"/>
      <c r="F108" s="124"/>
      <c r="G108" s="124"/>
      <c r="H108" s="124"/>
      <c r="I108" s="124"/>
      <c r="J108" s="124"/>
      <c r="K108" s="124"/>
      <c r="L108" s="124"/>
      <c r="M108" s="124"/>
      <c r="N108" s="124"/>
      <c r="O108" s="124"/>
      <c r="P108" s="124"/>
      <c r="Q108" s="124"/>
      <c r="R108" s="124"/>
      <c r="S108" s="124"/>
      <c r="T108" s="124"/>
      <c r="U108" s="124"/>
      <c r="V108" s="124"/>
      <c r="W108" s="124"/>
      <c r="X108" s="124"/>
      <c r="Y108" s="124"/>
      <c r="Z108" s="124"/>
      <c r="AA108" s="124"/>
      <c r="AB108" s="124"/>
      <c r="AC108" s="124"/>
      <c r="AD108" s="124"/>
      <c r="AE108" s="124"/>
      <c r="AF108" s="124"/>
      <c r="AG108" s="124"/>
      <c r="AH108" s="124"/>
      <c r="AI108" s="124"/>
      <c r="AJ108" s="124"/>
      <c r="AK108" s="124"/>
      <c r="AL108" s="124"/>
      <c r="AM108" s="124"/>
      <c r="AN108" s="124"/>
      <c r="AO108" s="124"/>
    </row>
  </sheetData>
  <mergeCells count="56">
    <mergeCell ref="B54:B55"/>
    <mergeCell ref="C54:C55"/>
    <mergeCell ref="D54:D55"/>
    <mergeCell ref="E54:E55"/>
    <mergeCell ref="F54:F55"/>
    <mergeCell ref="G54:G55"/>
    <mergeCell ref="H54:H55"/>
    <mergeCell ref="I54:I55"/>
    <mergeCell ref="J54:J55"/>
    <mergeCell ref="K1:K2"/>
    <mergeCell ref="J1:J2"/>
    <mergeCell ref="K54:K55"/>
    <mergeCell ref="C30:C31"/>
    <mergeCell ref="D30:D31"/>
    <mergeCell ref="A1:A2"/>
    <mergeCell ref="J30:J31"/>
    <mergeCell ref="H1:H2"/>
    <mergeCell ref="G1:G2"/>
    <mergeCell ref="I30:I31"/>
    <mergeCell ref="F1:F2"/>
    <mergeCell ref="B1:B2"/>
    <mergeCell ref="E30:E31"/>
    <mergeCell ref="G30:G31"/>
    <mergeCell ref="F30:F31"/>
    <mergeCell ref="H30:H31"/>
    <mergeCell ref="L1:L2"/>
    <mergeCell ref="I1:I2"/>
    <mergeCell ref="H81:H82"/>
    <mergeCell ref="I81:I82"/>
    <mergeCell ref="J81:J82"/>
    <mergeCell ref="L54:L55"/>
    <mergeCell ref="G81:G82"/>
    <mergeCell ref="L30:L31"/>
    <mergeCell ref="A29:N29"/>
    <mergeCell ref="K30:K31"/>
    <mergeCell ref="C1:C2"/>
    <mergeCell ref="D1:D2"/>
    <mergeCell ref="E1:E2"/>
    <mergeCell ref="K81:K82"/>
    <mergeCell ref="F81:F82"/>
    <mergeCell ref="B30:B31"/>
    <mergeCell ref="C81:C82"/>
    <mergeCell ref="B81:B82"/>
    <mergeCell ref="A81:A82"/>
    <mergeCell ref="D81:D82"/>
    <mergeCell ref="E81:E82"/>
    <mergeCell ref="M1:M2"/>
    <mergeCell ref="AO30:AO31"/>
    <mergeCell ref="N81:N82"/>
    <mergeCell ref="L81:L82"/>
    <mergeCell ref="M30:M31"/>
    <mergeCell ref="N30:N31"/>
    <mergeCell ref="M81:M82"/>
    <mergeCell ref="M54:M55"/>
    <mergeCell ref="N54:N55"/>
    <mergeCell ref="AO54:AO55"/>
  </mergeCells>
  <pageMargins left="0.7" right="0.7" top="0.75" bottom="0.75" header="0.3" footer="0.3"/>
  <pageSetup paperSize="9" orientation="portrait" verticalDpi="0" r:id="rId1"/>
  <ignoredErrors>
    <ignoredError sqref="C78:N78 C76:N76 N94 B95:N95 N97:N105 B105:M105 B76:B78" emptyCellReference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E4:I48"/>
  <sheetViews>
    <sheetView workbookViewId="0">
      <selection activeCell="G43" sqref="A4:N43"/>
    </sheetView>
  </sheetViews>
  <sheetFormatPr defaultRowHeight="15"/>
  <cols>
    <col min="5" max="5" width="36.28515625" bestFit="1" customWidth="1"/>
    <col min="6" max="6" width="36.28515625" style="98" bestFit="1" customWidth="1"/>
    <col min="7" max="7" width="20.85546875" customWidth="1"/>
    <col min="9" max="9" width="16.85546875" bestFit="1" customWidth="1"/>
  </cols>
  <sheetData>
    <row r="4" spans="5:7">
      <c r="F4" s="232" t="s">
        <v>80</v>
      </c>
      <c r="G4" s="232" t="s">
        <v>82</v>
      </c>
    </row>
    <row r="5" spans="5:7">
      <c r="E5" s="91"/>
      <c r="F5" s="100" t="s">
        <v>1</v>
      </c>
      <c r="G5" s="100">
        <v>155005.56205122545</v>
      </c>
    </row>
    <row r="6" spans="5:7">
      <c r="E6" s="91"/>
      <c r="F6" s="100" t="s">
        <v>2</v>
      </c>
      <c r="G6" s="100">
        <v>3729742.3285387903</v>
      </c>
    </row>
    <row r="7" spans="5:7">
      <c r="E7" s="91"/>
      <c r="F7" s="100" t="s">
        <v>75</v>
      </c>
      <c r="G7" s="100">
        <v>509042.06118887663</v>
      </c>
    </row>
    <row r="8" spans="5:7">
      <c r="E8" s="91"/>
      <c r="F8" s="100" t="s">
        <v>4</v>
      </c>
      <c r="G8" s="100">
        <v>5485567.2463319022</v>
      </c>
    </row>
    <row r="9" spans="5:7">
      <c r="E9" s="91"/>
      <c r="F9" s="100" t="s">
        <v>6</v>
      </c>
      <c r="G9" s="100">
        <v>9904897.1076646075</v>
      </c>
    </row>
    <row r="10" spans="5:7">
      <c r="E10" s="91"/>
      <c r="F10" s="100" t="s">
        <v>7</v>
      </c>
      <c r="G10" s="100">
        <v>1030634.5217997786</v>
      </c>
    </row>
    <row r="11" spans="5:7">
      <c r="E11" s="91"/>
      <c r="F11" s="100" t="s">
        <v>8</v>
      </c>
      <c r="G11" s="100">
        <v>27269283.95471308</v>
      </c>
    </row>
    <row r="12" spans="5:7">
      <c r="E12" s="91"/>
      <c r="F12" s="100" t="s">
        <v>9</v>
      </c>
      <c r="G12" s="100">
        <v>-0.11922290176153183</v>
      </c>
    </row>
    <row r="13" spans="5:7">
      <c r="E13" s="91"/>
      <c r="F13" s="100" t="s">
        <v>10</v>
      </c>
      <c r="G13" s="100">
        <v>91311833.362809986</v>
      </c>
    </row>
    <row r="14" spans="5:7">
      <c r="E14" s="91"/>
      <c r="F14" s="100" t="s">
        <v>11</v>
      </c>
      <c r="G14" s="100">
        <v>44834715.785383932</v>
      </c>
    </row>
    <row r="15" spans="5:7">
      <c r="E15" s="91"/>
      <c r="F15" s="100" t="s">
        <v>12</v>
      </c>
      <c r="G15" s="100">
        <v>98673825.214622825</v>
      </c>
    </row>
    <row r="16" spans="5:7">
      <c r="E16" s="91"/>
      <c r="F16" s="100" t="s">
        <v>13</v>
      </c>
      <c r="G16" s="100">
        <v>-4933133.7524595298</v>
      </c>
    </row>
    <row r="17" spans="5:7">
      <c r="E17" s="91"/>
      <c r="F17" s="100" t="s">
        <v>14</v>
      </c>
      <c r="G17" s="100">
        <v>23879298.057553295</v>
      </c>
    </row>
    <row r="18" spans="5:7">
      <c r="E18" s="91"/>
      <c r="F18" s="100" t="s">
        <v>61</v>
      </c>
      <c r="G18" s="100">
        <v>-913384.40803538449</v>
      </c>
    </row>
    <row r="19" spans="5:7">
      <c r="E19" s="91"/>
      <c r="F19" s="100" t="s">
        <v>62</v>
      </c>
      <c r="G19" s="100">
        <v>67375728.549242377</v>
      </c>
    </row>
    <row r="20" spans="5:7">
      <c r="E20" s="91"/>
      <c r="F20" s="100" t="s">
        <v>64</v>
      </c>
      <c r="G20" s="100">
        <v>14322414.187214239</v>
      </c>
    </row>
    <row r="21" spans="5:7">
      <c r="E21" s="91"/>
      <c r="F21" s="100" t="s">
        <v>65</v>
      </c>
      <c r="G21" s="100">
        <v>1728503.4542216202</v>
      </c>
    </row>
    <row r="22" spans="5:7">
      <c r="E22" s="91"/>
      <c r="F22" s="100" t="s">
        <v>68</v>
      </c>
      <c r="G22" s="100">
        <v>214923445.12418792</v>
      </c>
    </row>
    <row r="23" spans="5:7">
      <c r="E23" s="91"/>
      <c r="F23" s="100" t="s">
        <v>69</v>
      </c>
      <c r="G23" s="100">
        <v>12207980.784479102</v>
      </c>
    </row>
    <row r="24" spans="5:7">
      <c r="E24" s="91"/>
      <c r="F24" s="100" t="s">
        <v>73</v>
      </c>
      <c r="G24" s="100">
        <v>180755055.2745502</v>
      </c>
    </row>
    <row r="25" spans="5:7">
      <c r="E25" s="91"/>
      <c r="F25" s="100" t="s">
        <v>74</v>
      </c>
      <c r="G25" s="100">
        <v>1638071.9609189336</v>
      </c>
    </row>
    <row r="26" spans="5:7">
      <c r="E26" s="91"/>
      <c r="F26" s="100" t="s">
        <v>85</v>
      </c>
      <c r="G26" s="100">
        <v>767099.78997952701</v>
      </c>
    </row>
    <row r="27" spans="5:7">
      <c r="E27" s="91"/>
      <c r="F27" s="100" t="s">
        <v>86</v>
      </c>
      <c r="G27" s="100">
        <v>18398435.871610537</v>
      </c>
    </row>
    <row r="28" spans="5:7">
      <c r="E28" s="91"/>
      <c r="F28" s="100" t="s">
        <v>87</v>
      </c>
      <c r="G28" s="100">
        <v>62677225.949373826</v>
      </c>
    </row>
    <row r="29" spans="5:7">
      <c r="E29" s="91"/>
      <c r="F29" s="100" t="s">
        <v>90</v>
      </c>
      <c r="G29" s="100">
        <v>34004218.752208039</v>
      </c>
    </row>
    <row r="30" spans="5:7">
      <c r="E30" s="91"/>
      <c r="F30" s="100" t="s">
        <v>93</v>
      </c>
      <c r="G30" s="100">
        <v>21963134.673354797</v>
      </c>
    </row>
    <row r="31" spans="5:7">
      <c r="E31" s="91"/>
      <c r="F31" s="100" t="s">
        <v>94</v>
      </c>
      <c r="G31" s="100">
        <v>79016750.104026079</v>
      </c>
    </row>
    <row r="32" spans="5:7">
      <c r="E32" s="91"/>
      <c r="F32" s="100" t="s">
        <v>95</v>
      </c>
      <c r="G32" s="100">
        <v>13236733.988237182</v>
      </c>
    </row>
    <row r="33" spans="5:9">
      <c r="E33" s="91"/>
      <c r="F33" s="100" t="s">
        <v>127</v>
      </c>
      <c r="G33" s="100">
        <v>3903574.3230844447</v>
      </c>
    </row>
    <row r="34" spans="5:9">
      <c r="E34" s="91"/>
      <c r="F34" s="100" t="s">
        <v>128</v>
      </c>
      <c r="G34" s="100">
        <v>76803996.918666005</v>
      </c>
    </row>
    <row r="35" spans="5:9">
      <c r="E35" s="91"/>
      <c r="F35" s="100" t="s">
        <v>129</v>
      </c>
      <c r="G35" s="100">
        <v>11688982.451921012</v>
      </c>
    </row>
    <row r="36" spans="5:9">
      <c r="E36" s="91"/>
      <c r="F36" s="100" t="s">
        <v>130</v>
      </c>
      <c r="G36" s="100">
        <v>642642.22222222225</v>
      </c>
    </row>
    <row r="37" spans="5:9">
      <c r="E37" s="91"/>
      <c r="F37" s="100" t="s">
        <v>132</v>
      </c>
      <c r="G37" s="100">
        <v>7178400.842857142</v>
      </c>
    </row>
    <row r="38" spans="5:9">
      <c r="E38" s="91"/>
      <c r="F38" s="100" t="s">
        <v>135</v>
      </c>
      <c r="G38" s="100">
        <v>86674.968157212614</v>
      </c>
    </row>
    <row r="39" spans="5:9">
      <c r="E39" s="91"/>
      <c r="F39" s="100" t="s">
        <v>136</v>
      </c>
      <c r="G39" s="100">
        <v>1727934.9152861594</v>
      </c>
    </row>
    <row r="40" spans="5:9">
      <c r="E40" s="91"/>
      <c r="F40" s="100" t="s">
        <v>137</v>
      </c>
      <c r="G40" s="100">
        <v>1140100.4724661668</v>
      </c>
    </row>
    <row r="41" spans="5:9">
      <c r="F41" s="100" t="s">
        <v>49</v>
      </c>
      <c r="G41" s="100">
        <v>5573460.0193475503</v>
      </c>
    </row>
    <row r="42" spans="5:9">
      <c r="F42" s="100" t="s">
        <v>134</v>
      </c>
      <c r="G42" s="100">
        <v>144372</v>
      </c>
    </row>
    <row r="43" spans="5:9">
      <c r="F43" s="230" t="s">
        <v>15</v>
      </c>
      <c r="G43" s="231">
        <f>SUM(G5:G42)</f>
        <v>1132842264.5205531</v>
      </c>
    </row>
    <row r="45" spans="5:9">
      <c r="G45" s="229"/>
      <c r="I45" s="109"/>
    </row>
    <row r="47" spans="5:9">
      <c r="H47" s="229"/>
    </row>
    <row r="48" spans="5:9">
      <c r="G48" s="229"/>
    </row>
  </sheetData>
  <printOptions horizontalCentered="1" verticalCentered="1"/>
  <pageMargins left="0" right="0" top="0" bottom="0" header="0" footer="0"/>
  <pageSetup scale="120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 filterMode="1"/>
  <dimension ref="A1:J45"/>
  <sheetViews>
    <sheetView topLeftCell="B1" workbookViewId="0">
      <selection activeCell="F4" sqref="F1:J1048576"/>
    </sheetView>
  </sheetViews>
  <sheetFormatPr defaultRowHeight="15"/>
  <cols>
    <col min="1" max="1" width="33.7109375" style="52" bestFit="1" customWidth="1"/>
    <col min="2" max="3" width="16.28515625" style="109" bestFit="1" customWidth="1"/>
    <col min="4" max="4" width="14.7109375" style="109" bestFit="1" customWidth="1"/>
    <col min="6" max="6" width="27.42578125" style="244" bestFit="1" customWidth="1"/>
    <col min="7" max="7" width="14.7109375" style="109" bestFit="1" customWidth="1"/>
    <col min="9" max="9" width="14.7109375" style="109" bestFit="1" customWidth="1"/>
    <col min="10" max="10" width="13.7109375" bestFit="1" customWidth="1"/>
  </cols>
  <sheetData>
    <row r="1" spans="1:10">
      <c r="A1" s="52" t="s">
        <v>0</v>
      </c>
      <c r="B1" s="109" t="s">
        <v>19</v>
      </c>
      <c r="C1" s="109" t="s">
        <v>23</v>
      </c>
      <c r="D1" s="109" t="s">
        <v>124</v>
      </c>
      <c r="G1" s="238" t="s">
        <v>145</v>
      </c>
      <c r="I1" s="109" t="s">
        <v>124</v>
      </c>
    </row>
    <row r="2" spans="1:10">
      <c r="A2" s="52" t="s">
        <v>1</v>
      </c>
      <c r="B2" s="109">
        <v>72946445.959999993</v>
      </c>
      <c r="C2" s="109">
        <v>66087308.601178706</v>
      </c>
      <c r="D2" s="109">
        <v>6859137.3588212878</v>
      </c>
      <c r="G2" s="239">
        <v>-7582640</v>
      </c>
      <c r="I2" s="109">
        <v>-7582640</v>
      </c>
      <c r="J2" s="229">
        <f>+I2-G2</f>
        <v>0</v>
      </c>
    </row>
    <row r="3" spans="1:10">
      <c r="A3" s="52" t="s">
        <v>2</v>
      </c>
      <c r="B3" s="109">
        <v>110450184.62</v>
      </c>
      <c r="C3" s="109">
        <v>108679008.97488841</v>
      </c>
      <c r="D3" s="109">
        <v>1771175.6451115906</v>
      </c>
      <c r="F3" s="245" t="s">
        <v>4</v>
      </c>
      <c r="G3" s="241">
        <v>-2180122.4899999946</v>
      </c>
      <c r="H3" s="240"/>
      <c r="I3" s="242">
        <v>-4444872.0812895447</v>
      </c>
      <c r="J3" s="243">
        <f t="shared" ref="J3:J38" si="0">+I3-G3</f>
        <v>-2264749.5912895501</v>
      </c>
    </row>
    <row r="4" spans="1:10">
      <c r="A4" s="52" t="s">
        <v>75</v>
      </c>
      <c r="B4" s="109">
        <v>172216796.040488</v>
      </c>
      <c r="C4" s="109">
        <v>173672666.32478499</v>
      </c>
      <c r="D4" s="109">
        <v>-1455870.2842969894</v>
      </c>
      <c r="G4" s="239">
        <v>-673454.94999998808</v>
      </c>
      <c r="I4" s="109">
        <v>-673455</v>
      </c>
      <c r="J4" s="229">
        <f t="shared" si="0"/>
        <v>-5.0000011920928955E-2</v>
      </c>
    </row>
    <row r="5" spans="1:10">
      <c r="A5" s="52" t="s">
        <v>4</v>
      </c>
      <c r="B5" s="109">
        <v>95704579</v>
      </c>
      <c r="C5" s="109">
        <v>100149451.08128954</v>
      </c>
      <c r="D5" s="109">
        <v>-4444872.0812895447</v>
      </c>
      <c r="G5" s="239">
        <v>280000</v>
      </c>
      <c r="I5" s="109">
        <v>280000</v>
      </c>
      <c r="J5" s="229">
        <f t="shared" si="0"/>
        <v>0</v>
      </c>
    </row>
    <row r="6" spans="1:10">
      <c r="A6" s="52" t="s">
        <v>5</v>
      </c>
      <c r="B6" s="109">
        <v>184387980.81</v>
      </c>
      <c r="C6" s="109">
        <v>97786625.935211465</v>
      </c>
      <c r="D6" s="109">
        <v>86601354.874788538</v>
      </c>
      <c r="F6" s="245" t="s">
        <v>7</v>
      </c>
      <c r="G6" s="241">
        <v>294454.12999999896</v>
      </c>
      <c r="H6" s="240"/>
      <c r="I6" s="242">
        <v>284688.74718753994</v>
      </c>
      <c r="J6" s="243">
        <f t="shared" si="0"/>
        <v>-9765.3828124590218</v>
      </c>
    </row>
    <row r="7" spans="1:10">
      <c r="A7" s="52" t="s">
        <v>6</v>
      </c>
      <c r="B7" s="109">
        <v>166000000</v>
      </c>
      <c r="C7" s="109">
        <v>139539959.48574072</v>
      </c>
      <c r="D7" s="109">
        <v>26460040.514259279</v>
      </c>
      <c r="G7" s="239">
        <v>387868.80999999866</v>
      </c>
      <c r="I7" s="109">
        <v>387868.78095238283</v>
      </c>
      <c r="J7" s="229">
        <f t="shared" si="0"/>
        <v>-2.9047615826129913E-2</v>
      </c>
    </row>
    <row r="8" spans="1:10">
      <c r="A8" s="52" t="s">
        <v>7</v>
      </c>
      <c r="B8" s="109">
        <v>17510059.280000001</v>
      </c>
      <c r="C8" s="109">
        <v>17225370.532812461</v>
      </c>
      <c r="D8" s="109">
        <v>284688.74718753994</v>
      </c>
      <c r="G8" s="239">
        <v>1591063.7100000002</v>
      </c>
      <c r="I8" s="109">
        <v>1591063.7149271101</v>
      </c>
      <c r="J8" s="229">
        <f t="shared" si="0"/>
        <v>4.9271099269390106E-3</v>
      </c>
    </row>
    <row r="9" spans="1:10">
      <c r="A9" s="52" t="s">
        <v>8</v>
      </c>
      <c r="B9" s="109">
        <v>148488134</v>
      </c>
      <c r="C9" s="109">
        <v>149161589</v>
      </c>
      <c r="D9" s="109">
        <v>-673455</v>
      </c>
      <c r="G9" s="239">
        <v>2082432</v>
      </c>
      <c r="I9" s="109">
        <v>2082432</v>
      </c>
      <c r="J9" s="229">
        <f t="shared" si="0"/>
        <v>0</v>
      </c>
    </row>
    <row r="10" spans="1:10">
      <c r="A10" s="52" t="s">
        <v>9</v>
      </c>
      <c r="B10" s="109">
        <v>33784495.526724979</v>
      </c>
      <c r="C10" s="109">
        <v>30373982.799601737</v>
      </c>
      <c r="D10" s="109">
        <v>3410512.7271232419</v>
      </c>
      <c r="G10" s="239">
        <v>2414189.9900000021</v>
      </c>
      <c r="I10" s="109">
        <v>2414190</v>
      </c>
      <c r="J10" s="229">
        <f t="shared" si="0"/>
        <v>9.9999979138374329E-3</v>
      </c>
    </row>
    <row r="11" spans="1:10">
      <c r="A11" s="52" t="s">
        <v>10</v>
      </c>
      <c r="B11" s="109">
        <v>308751426</v>
      </c>
      <c r="C11" s="109">
        <v>316334066</v>
      </c>
      <c r="D11" s="109">
        <v>-7582640</v>
      </c>
      <c r="G11" s="239">
        <v>2715096</v>
      </c>
      <c r="I11" s="109">
        <v>2715096</v>
      </c>
      <c r="J11" s="229">
        <f t="shared" si="0"/>
        <v>0</v>
      </c>
    </row>
    <row r="12" spans="1:10">
      <c r="A12" s="52" t="s">
        <v>11</v>
      </c>
      <c r="B12" s="109">
        <v>153841650</v>
      </c>
      <c r="C12" s="109">
        <v>151759218</v>
      </c>
      <c r="D12" s="109">
        <v>2082432</v>
      </c>
      <c r="G12" s="239">
        <v>3146954</v>
      </c>
      <c r="I12" s="109">
        <v>3146954</v>
      </c>
      <c r="J12" s="229">
        <f t="shared" si="0"/>
        <v>0</v>
      </c>
    </row>
    <row r="13" spans="1:10">
      <c r="A13" s="52" t="s">
        <v>12</v>
      </c>
      <c r="B13" s="109">
        <v>432591184</v>
      </c>
      <c r="C13" s="109">
        <v>319810885</v>
      </c>
      <c r="D13" s="109">
        <v>112780299</v>
      </c>
      <c r="G13" s="239">
        <v>4116659.4099999964</v>
      </c>
      <c r="I13" s="109">
        <v>4116659.4055939466</v>
      </c>
      <c r="J13" s="229">
        <f t="shared" si="0"/>
        <v>-4.4060498476028442E-3</v>
      </c>
    </row>
    <row r="14" spans="1:10">
      <c r="A14" s="52" t="s">
        <v>13</v>
      </c>
      <c r="B14" s="109">
        <v>93729526.980000004</v>
      </c>
      <c r="C14" s="109">
        <v>71382872.078316376</v>
      </c>
      <c r="D14" s="109">
        <v>22346654.901683629</v>
      </c>
      <c r="F14" s="245" t="s">
        <v>71</v>
      </c>
      <c r="G14" s="241">
        <v>9340257.5799999982</v>
      </c>
      <c r="H14" s="240"/>
      <c r="I14" s="242">
        <v>9280974.1199999973</v>
      </c>
      <c r="J14" s="243">
        <f t="shared" si="0"/>
        <v>-59283.460000000894</v>
      </c>
    </row>
    <row r="15" spans="1:10">
      <c r="A15" s="52" t="s">
        <v>14</v>
      </c>
      <c r="B15" s="109">
        <v>120340462.76000001</v>
      </c>
      <c r="C15" s="109">
        <v>79910192.840000004</v>
      </c>
      <c r="D15" s="109">
        <v>40430269.920000002</v>
      </c>
      <c r="G15" s="239">
        <v>9925895.5399999991</v>
      </c>
      <c r="I15" s="109">
        <v>9925895.5399999991</v>
      </c>
      <c r="J15" s="229">
        <f t="shared" si="0"/>
        <v>0</v>
      </c>
    </row>
    <row r="16" spans="1:10">
      <c r="A16" s="52" t="s">
        <v>64</v>
      </c>
      <c r="B16" s="109">
        <v>44392025</v>
      </c>
      <c r="C16" s="109">
        <v>41977835</v>
      </c>
      <c r="D16" s="109">
        <v>2414190</v>
      </c>
      <c r="G16" s="239">
        <v>10299248</v>
      </c>
      <c r="I16" s="109">
        <v>10299248</v>
      </c>
      <c r="J16" s="229">
        <f t="shared" si="0"/>
        <v>0</v>
      </c>
    </row>
    <row r="17" spans="1:10">
      <c r="A17" s="52" t="s">
        <v>62</v>
      </c>
      <c r="B17" s="109">
        <v>129792183</v>
      </c>
      <c r="C17" s="109">
        <v>86447848</v>
      </c>
      <c r="D17" s="109">
        <v>43344335</v>
      </c>
      <c r="G17" s="239">
        <v>11702539.609999999</v>
      </c>
      <c r="I17" s="109">
        <v>11702539.614349999</v>
      </c>
      <c r="J17" s="229">
        <f t="shared" si="0"/>
        <v>4.3499991297721863E-3</v>
      </c>
    </row>
    <row r="18" spans="1:10">
      <c r="A18" s="52" t="s">
        <v>61</v>
      </c>
      <c r="B18" s="109">
        <v>2983560</v>
      </c>
      <c r="C18" s="109">
        <v>3161393.3400000003</v>
      </c>
      <c r="D18" s="109">
        <v>-177833.34000000032</v>
      </c>
      <c r="G18" s="239">
        <v>11893825</v>
      </c>
      <c r="I18" s="109">
        <v>11893825</v>
      </c>
      <c r="J18" s="229">
        <f t="shared" si="0"/>
        <v>0</v>
      </c>
    </row>
    <row r="19" spans="1:10">
      <c r="A19" s="52" t="s">
        <v>65</v>
      </c>
      <c r="B19" s="109">
        <v>4776406</v>
      </c>
      <c r="C19" s="109">
        <v>2477865.3199999998</v>
      </c>
      <c r="D19" s="109">
        <v>2298540.6800000002</v>
      </c>
      <c r="G19" s="239">
        <v>13250040</v>
      </c>
      <c r="I19" s="109">
        <v>13250040</v>
      </c>
      <c r="J19" s="229">
        <f t="shared" si="0"/>
        <v>0</v>
      </c>
    </row>
    <row r="20" spans="1:10">
      <c r="A20" s="52" t="s">
        <v>68</v>
      </c>
      <c r="B20" s="109">
        <v>1124609030</v>
      </c>
      <c r="C20" s="109">
        <v>1051496911</v>
      </c>
      <c r="D20" s="109">
        <v>73112119</v>
      </c>
      <c r="G20" s="239">
        <v>13875718</v>
      </c>
      <c r="I20" s="109">
        <v>13875718</v>
      </c>
      <c r="J20" s="229">
        <f t="shared" si="0"/>
        <v>0</v>
      </c>
    </row>
    <row r="21" spans="1:10">
      <c r="A21" s="52" t="s">
        <v>71</v>
      </c>
      <c r="B21" s="109">
        <v>28943151</v>
      </c>
      <c r="C21" s="109">
        <v>19662176.880000003</v>
      </c>
      <c r="D21" s="109">
        <v>9280974.1199999973</v>
      </c>
      <c r="G21" s="239">
        <v>15480364.550000012</v>
      </c>
      <c r="I21" s="109">
        <v>15480365</v>
      </c>
      <c r="J21" s="229">
        <f t="shared" si="0"/>
        <v>0.44999998807907104</v>
      </c>
    </row>
    <row r="22" spans="1:10">
      <c r="A22" s="52" t="s">
        <v>73</v>
      </c>
      <c r="B22" s="109">
        <v>269134670</v>
      </c>
      <c r="C22" s="109">
        <v>247103063</v>
      </c>
      <c r="D22" s="109">
        <v>22031607</v>
      </c>
      <c r="G22" s="239">
        <v>22031606.599999994</v>
      </c>
      <c r="I22" s="109">
        <v>22031607</v>
      </c>
      <c r="J22" s="229">
        <f t="shared" si="0"/>
        <v>0.40000000596046448</v>
      </c>
    </row>
    <row r="23" spans="1:10">
      <c r="A23" s="52" t="s">
        <v>74</v>
      </c>
      <c r="B23" s="109">
        <v>2648340.9749271101</v>
      </c>
      <c r="C23" s="109">
        <v>1057277.26</v>
      </c>
      <c r="D23" s="109">
        <v>1591063.7149271101</v>
      </c>
      <c r="G23" s="239">
        <v>24791308.010000005</v>
      </c>
      <c r="I23" s="109">
        <v>24791308</v>
      </c>
      <c r="J23" s="229">
        <f t="shared" si="0"/>
        <v>-1.000000536441803E-2</v>
      </c>
    </row>
    <row r="24" spans="1:10">
      <c r="A24" s="52" t="s">
        <v>85</v>
      </c>
      <c r="B24" s="109">
        <v>108790091</v>
      </c>
      <c r="C24" s="109">
        <v>95540051</v>
      </c>
      <c r="D24" s="109">
        <v>13250040</v>
      </c>
      <c r="F24" s="245" t="s">
        <v>6</v>
      </c>
      <c r="G24" s="241">
        <v>26468038.75</v>
      </c>
      <c r="H24" s="240"/>
      <c r="I24" s="242">
        <v>26460040.514259279</v>
      </c>
      <c r="J24" s="243">
        <f t="shared" si="0"/>
        <v>-7998.2357407212257</v>
      </c>
    </row>
    <row r="25" spans="1:10">
      <c r="A25" s="52" t="s">
        <v>86</v>
      </c>
      <c r="B25" s="109">
        <v>23001621.879999999</v>
      </c>
      <c r="C25" s="109">
        <v>13075726.34</v>
      </c>
      <c r="D25" s="109">
        <v>9925895.5399999991</v>
      </c>
      <c r="G25" s="239">
        <v>28196642.099999964</v>
      </c>
      <c r="I25" s="109">
        <v>28196641.688082278</v>
      </c>
      <c r="J25" s="229">
        <f t="shared" si="0"/>
        <v>-0.41191768646240234</v>
      </c>
    </row>
    <row r="26" spans="1:10">
      <c r="A26" s="52" t="s">
        <v>87</v>
      </c>
      <c r="B26" s="109">
        <v>71547614</v>
      </c>
      <c r="C26" s="109">
        <v>42395913</v>
      </c>
      <c r="D26" s="109">
        <v>29151701</v>
      </c>
      <c r="G26" s="239">
        <v>29151701</v>
      </c>
      <c r="I26" s="109">
        <v>29151701</v>
      </c>
      <c r="J26" s="229">
        <f t="shared" si="0"/>
        <v>0</v>
      </c>
    </row>
    <row r="27" spans="1:10">
      <c r="A27" s="52" t="s">
        <v>89</v>
      </c>
      <c r="B27" s="109">
        <v>54101395</v>
      </c>
      <c r="C27" s="109">
        <v>43802147</v>
      </c>
      <c r="D27" s="109">
        <v>10299248</v>
      </c>
      <c r="F27" s="245" t="s">
        <v>14</v>
      </c>
      <c r="G27" s="241">
        <v>40512663.770000011</v>
      </c>
      <c r="H27" s="240"/>
      <c r="I27" s="242">
        <v>40430269.920000002</v>
      </c>
      <c r="J27" s="243">
        <f t="shared" si="0"/>
        <v>-82393.850000008941</v>
      </c>
    </row>
    <row r="28" spans="1:10">
      <c r="A28" s="52" t="s">
        <v>91</v>
      </c>
      <c r="B28" s="109">
        <v>55077947</v>
      </c>
      <c r="C28" s="109">
        <v>43375407.385650001</v>
      </c>
      <c r="D28" s="109">
        <v>11702539.614349999</v>
      </c>
      <c r="G28" s="239">
        <v>43344335</v>
      </c>
      <c r="I28" s="109">
        <v>43344335</v>
      </c>
      <c r="J28" s="229">
        <f t="shared" si="0"/>
        <v>0</v>
      </c>
    </row>
    <row r="29" spans="1:10">
      <c r="A29" s="52" t="s">
        <v>94</v>
      </c>
      <c r="B29" s="109">
        <v>412854534</v>
      </c>
      <c r="C29" s="109">
        <v>318244664</v>
      </c>
      <c r="D29" s="109">
        <v>94609870</v>
      </c>
      <c r="F29" s="245" t="s">
        <v>128</v>
      </c>
      <c r="G29" s="241">
        <v>65995635.199999988</v>
      </c>
      <c r="H29" s="240"/>
      <c r="I29" s="242">
        <v>34495635</v>
      </c>
      <c r="J29" s="243">
        <f t="shared" si="0"/>
        <v>-31500000.199999988</v>
      </c>
    </row>
    <row r="30" spans="1:10">
      <c r="A30" s="52" t="s">
        <v>95</v>
      </c>
      <c r="B30" s="109">
        <v>108790091</v>
      </c>
      <c r="C30" s="109">
        <v>96896266</v>
      </c>
      <c r="D30" s="109">
        <v>11893825</v>
      </c>
      <c r="G30" s="239">
        <v>73112118.720000029</v>
      </c>
      <c r="I30" s="109">
        <v>73112119</v>
      </c>
      <c r="J30" s="229">
        <f t="shared" si="0"/>
        <v>0.27999997138977051</v>
      </c>
    </row>
    <row r="31" spans="1:10">
      <c r="A31" s="52" t="s">
        <v>131</v>
      </c>
      <c r="B31" s="109">
        <v>108790091</v>
      </c>
      <c r="C31" s="109">
        <v>94914373</v>
      </c>
      <c r="D31" s="109">
        <v>13875718</v>
      </c>
      <c r="F31" s="245" t="s">
        <v>5</v>
      </c>
      <c r="G31" s="241">
        <v>87000000</v>
      </c>
      <c r="H31" s="240"/>
      <c r="I31" s="242">
        <v>86601354.874788538</v>
      </c>
      <c r="J31" s="243">
        <f t="shared" si="0"/>
        <v>-398645.12521146238</v>
      </c>
    </row>
    <row r="32" spans="1:10">
      <c r="A32" s="52" t="s">
        <v>128</v>
      </c>
      <c r="B32" s="109">
        <v>428626339</v>
      </c>
      <c r="C32" s="109">
        <v>394130704</v>
      </c>
      <c r="D32" s="109">
        <v>34495635</v>
      </c>
      <c r="G32" s="239">
        <v>94609869.800000012</v>
      </c>
      <c r="I32" s="109">
        <v>94609870</v>
      </c>
      <c r="J32" s="229">
        <f t="shared" si="0"/>
        <v>0.19999998807907104</v>
      </c>
    </row>
    <row r="33" spans="1:10">
      <c r="A33" s="52" t="s">
        <v>129</v>
      </c>
      <c r="B33" s="109">
        <v>409523809.83599997</v>
      </c>
      <c r="C33" s="109">
        <v>381327168.14791769</v>
      </c>
      <c r="D33" s="109">
        <v>28196641.688082278</v>
      </c>
      <c r="G33" s="239">
        <v>112780299</v>
      </c>
      <c r="I33" s="109">
        <v>112780299</v>
      </c>
      <c r="J33" s="229">
        <f t="shared" si="0"/>
        <v>0</v>
      </c>
    </row>
    <row r="34" spans="1:10">
      <c r="A34" s="52" t="s">
        <v>130</v>
      </c>
      <c r="B34" s="109">
        <v>2800000</v>
      </c>
      <c r="C34" s="109">
        <v>2520000</v>
      </c>
      <c r="D34" s="109">
        <v>280000</v>
      </c>
      <c r="G34" s="239">
        <v>113887425.06999999</v>
      </c>
      <c r="I34" s="109">
        <v>113887425</v>
      </c>
      <c r="J34" s="229">
        <f t="shared" si="0"/>
        <v>-6.9999992847442627E-2</v>
      </c>
    </row>
    <row r="35" spans="1:10">
      <c r="A35" s="52" t="s">
        <v>132</v>
      </c>
      <c r="B35" s="109">
        <v>9050320</v>
      </c>
      <c r="C35" s="109">
        <v>6335224</v>
      </c>
      <c r="D35" s="109">
        <v>2715096</v>
      </c>
      <c r="G35" s="109">
        <f>SUM(G2:G34)</f>
        <v>864242031.90999985</v>
      </c>
      <c r="H35" s="109">
        <f>SUM(H2:H34)</f>
        <v>0</v>
      </c>
      <c r="I35" s="109">
        <f>SUM(I2:I34)</f>
        <v>829919196.83885145</v>
      </c>
      <c r="J35" s="229">
        <f t="shared" si="0"/>
        <v>-34322835.071148396</v>
      </c>
    </row>
    <row r="36" spans="1:10">
      <c r="A36" s="52" t="s">
        <v>135</v>
      </c>
      <c r="B36" s="109">
        <v>51838240</v>
      </c>
      <c r="C36" s="109">
        <v>47721580.594406053</v>
      </c>
      <c r="D36" s="109">
        <v>4116659.4055939466</v>
      </c>
      <c r="J36" s="229">
        <f t="shared" si="0"/>
        <v>0</v>
      </c>
    </row>
    <row r="37" spans="1:10">
      <c r="A37" s="52" t="s">
        <v>136</v>
      </c>
      <c r="B37" s="109">
        <v>32000000</v>
      </c>
      <c r="C37" s="109">
        <v>31612131.219047617</v>
      </c>
      <c r="D37" s="109">
        <v>387868.78095238283</v>
      </c>
      <c r="J37" s="229">
        <f t="shared" si="0"/>
        <v>0</v>
      </c>
    </row>
    <row r="38" spans="1:10">
      <c r="A38" s="52" t="s">
        <v>137</v>
      </c>
      <c r="B38" s="109">
        <v>264370000</v>
      </c>
      <c r="C38" s="109">
        <v>150482575</v>
      </c>
      <c r="D38" s="109">
        <v>113887425</v>
      </c>
      <c r="J38" s="229">
        <f t="shared" si="0"/>
        <v>0</v>
      </c>
    </row>
    <row r="39" spans="1:10">
      <c r="A39" s="52" t="s">
        <v>138</v>
      </c>
      <c r="B39" s="109">
        <v>311000000</v>
      </c>
      <c r="C39" s="109">
        <v>295519635</v>
      </c>
      <c r="D39" s="109">
        <v>15480365</v>
      </c>
      <c r="J39" s="229"/>
    </row>
    <row r="40" spans="1:10">
      <c r="A40" s="52" t="s">
        <v>139</v>
      </c>
      <c r="B40" s="109">
        <v>39336927</v>
      </c>
      <c r="C40" s="109">
        <v>36189973</v>
      </c>
      <c r="D40" s="109">
        <v>3146954</v>
      </c>
    </row>
    <row r="41" spans="1:10">
      <c r="A41" s="52" t="s">
        <v>140</v>
      </c>
      <c r="B41" s="109">
        <v>107782440</v>
      </c>
      <c r="C41" s="109">
        <v>82991132</v>
      </c>
      <c r="D41" s="109">
        <v>24791308</v>
      </c>
      <c r="J41" s="109"/>
    </row>
    <row r="42" spans="1:10">
      <c r="A42" s="52" t="s">
        <v>15</v>
      </c>
      <c r="B42" s="109">
        <v>6317303751.6681395</v>
      </c>
      <c r="C42" s="109">
        <v>5452332237.1408463</v>
      </c>
      <c r="D42" s="109">
        <v>864971514.5272944</v>
      </c>
    </row>
    <row r="43" spans="1:10">
      <c r="B43" s="109" t="s">
        <v>20</v>
      </c>
    </row>
    <row r="45" spans="1:10">
      <c r="A45" s="52" t="s">
        <v>16</v>
      </c>
    </row>
  </sheetData>
  <autoFilter ref="F2:J38" xr:uid="{00000000-0009-0000-0000-000007000000}">
    <filterColumn colId="0">
      <iconFilter iconSet="3Arrows"/>
    </filterColumn>
  </autoFilter>
  <sortState xmlns:xlrd2="http://schemas.microsoft.com/office/spreadsheetml/2017/richdata2" ref="I2:I16396">
    <sortCondition ref="I1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E15"/>
  <sheetViews>
    <sheetView workbookViewId="0">
      <selection activeCell="F4" sqref="F1:J1048576"/>
    </sheetView>
  </sheetViews>
  <sheetFormatPr defaultRowHeight="15"/>
  <cols>
    <col min="1" max="1" width="27.42578125" style="244" bestFit="1" customWidth="1"/>
    <col min="2" max="2" width="14.7109375" style="109" bestFit="1" customWidth="1"/>
    <col min="3" max="3" width="2.42578125" customWidth="1"/>
    <col min="4" max="4" width="14.7109375" style="109" bestFit="1" customWidth="1"/>
    <col min="5" max="5" width="13.7109375" bestFit="1" customWidth="1"/>
  </cols>
  <sheetData>
    <row r="1" spans="1:5">
      <c r="B1" s="238" t="s">
        <v>145</v>
      </c>
      <c r="D1" s="109" t="s">
        <v>124</v>
      </c>
    </row>
    <row r="2" spans="1:5">
      <c r="A2" s="245" t="s">
        <v>4</v>
      </c>
      <c r="B2" s="241">
        <v>-2180122.4899999946</v>
      </c>
      <c r="C2" s="240"/>
      <c r="D2" s="242">
        <v>-4444872.0812895447</v>
      </c>
      <c r="E2" s="243">
        <f t="shared" ref="E2:E8" si="0">+D2-B2</f>
        <v>-2264749.5912895501</v>
      </c>
    </row>
    <row r="3" spans="1:5">
      <c r="A3" s="245" t="s">
        <v>7</v>
      </c>
      <c r="B3" s="241">
        <v>294454.12999999896</v>
      </c>
      <c r="C3" s="240"/>
      <c r="D3" s="242">
        <v>284688.74718753994</v>
      </c>
      <c r="E3" s="243">
        <f t="shared" si="0"/>
        <v>-9765.3828124590218</v>
      </c>
    </row>
    <row r="4" spans="1:5">
      <c r="A4" s="245" t="s">
        <v>71</v>
      </c>
      <c r="B4" s="241">
        <v>9340257.5799999982</v>
      </c>
      <c r="C4" s="240"/>
      <c r="D4" s="242">
        <v>9280974.1199999973</v>
      </c>
      <c r="E4" s="243">
        <f t="shared" si="0"/>
        <v>-59283.460000000894</v>
      </c>
    </row>
    <row r="5" spans="1:5">
      <c r="A5" s="245" t="s">
        <v>6</v>
      </c>
      <c r="B5" s="241">
        <v>26468038.75</v>
      </c>
      <c r="C5" s="240"/>
      <c r="D5" s="242">
        <v>26460040.514259279</v>
      </c>
      <c r="E5" s="243">
        <f t="shared" si="0"/>
        <v>-7998.2357407212257</v>
      </c>
    </row>
    <row r="6" spans="1:5">
      <c r="A6" s="245" t="s">
        <v>14</v>
      </c>
      <c r="B6" s="241">
        <v>40512663.770000011</v>
      </c>
      <c r="C6" s="240"/>
      <c r="D6" s="242">
        <v>40430269.920000002</v>
      </c>
      <c r="E6" s="243">
        <f t="shared" si="0"/>
        <v>-82393.850000008941</v>
      </c>
    </row>
    <row r="7" spans="1:5">
      <c r="A7" s="245" t="s">
        <v>128</v>
      </c>
      <c r="B7" s="241">
        <v>65995635.199999988</v>
      </c>
      <c r="C7" s="240"/>
      <c r="D7" s="242">
        <v>34495635</v>
      </c>
      <c r="E7" s="243">
        <f t="shared" si="0"/>
        <v>-31500000.199999988</v>
      </c>
    </row>
    <row r="8" spans="1:5">
      <c r="A8" s="245" t="s">
        <v>5</v>
      </c>
      <c r="B8" s="241">
        <v>87000000</v>
      </c>
      <c r="C8" s="240"/>
      <c r="D8" s="242">
        <v>86601354.874788538</v>
      </c>
      <c r="E8" s="243">
        <f t="shared" si="0"/>
        <v>-398645.12521146238</v>
      </c>
    </row>
    <row r="9" spans="1:5">
      <c r="C9" s="109"/>
      <c r="E9" s="229"/>
    </row>
    <row r="10" spans="1:5">
      <c r="E10" s="229"/>
    </row>
    <row r="11" spans="1:5">
      <c r="E11" s="229"/>
    </row>
    <row r="12" spans="1:5">
      <c r="E12" s="229"/>
    </row>
    <row r="13" spans="1:5">
      <c r="E13" s="229"/>
    </row>
    <row r="15" spans="1:5">
      <c r="E15" s="10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5</vt:i4>
      </vt:variant>
    </vt:vector>
  </HeadingPairs>
  <TitlesOfParts>
    <vt:vector size="21" baseType="lpstr">
      <vt:lpstr>poc 30.04.2016</vt:lpstr>
      <vt:lpstr>March 2017</vt:lpstr>
      <vt:lpstr>COST 30.092016  (3)</vt:lpstr>
      <vt:lpstr>Sheet1</vt:lpstr>
      <vt:lpstr>Revenue</vt:lpstr>
      <vt:lpstr>Closed Project </vt:lpstr>
      <vt:lpstr>Analysis</vt:lpstr>
      <vt:lpstr>Sheet2</vt:lpstr>
      <vt:lpstr>Sheet3</vt:lpstr>
      <vt:lpstr>2022</vt:lpstr>
      <vt:lpstr>Sheet7</vt:lpstr>
      <vt:lpstr>Sheet8</vt:lpstr>
      <vt:lpstr>May 2019 (2)</vt:lpstr>
      <vt:lpstr>Sheet6</vt:lpstr>
      <vt:lpstr>Sheet5</vt:lpstr>
      <vt:lpstr>Sheet4</vt:lpstr>
      <vt:lpstr>'2022'!Print_Area</vt:lpstr>
      <vt:lpstr>'COST 30.092016  (3)'!Print_Area</vt:lpstr>
      <vt:lpstr>'March 2017'!Print_Area</vt:lpstr>
      <vt:lpstr>'May 2019 (2)'!Print_Area</vt:lpstr>
      <vt:lpstr>Sheet5!Print_Area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ibrahim sayed</dc:creator>
  <cp:lastModifiedBy>Nada Namir</cp:lastModifiedBy>
  <cp:lastPrinted>2023-03-10T15:52:17Z</cp:lastPrinted>
  <dcterms:created xsi:type="dcterms:W3CDTF">2016-04-20T12:12:35Z</dcterms:created>
  <dcterms:modified xsi:type="dcterms:W3CDTF">2023-05-22T10:16:42Z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