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ebastianReid\Downloads\"/>
    </mc:Choice>
  </mc:AlternateContent>
  <xr:revisionPtr revIDLastSave="0" documentId="13_ncr:1_{48D174A0-DBD4-4AA8-B1DB-51572C641320}" xr6:coauthVersionLast="47" xr6:coauthVersionMax="47" xr10:uidLastSave="{00000000-0000-0000-0000-000000000000}"/>
  <bookViews>
    <workbookView xWindow="-110" yWindow="-110" windowWidth="19420" windowHeight="10420" activeTab="12" xr2:uid="{C24FFE4A-81CC-4FA6-AEE0-AD5FFFE7BBFE}"/>
  </bookViews>
  <sheets>
    <sheet name="Metric Framework" sheetId="11" r:id="rId1"/>
    <sheet name="Dashboard" sheetId="19" state="hidden" r:id="rId2"/>
    <sheet name="Dashboard for Monday" sheetId="18" state="hidden" r:id="rId3"/>
    <sheet name="Significance Tests for Monday" sheetId="20" state="hidden" r:id="rId4"/>
    <sheet name="Different Scaled Numbers" sheetId="14" state="hidden" r:id="rId5"/>
    <sheet name="Significance Tests" sheetId="12" state="hidden" r:id="rId6"/>
    <sheet name="Questions" sheetId="15" r:id="rId7"/>
    <sheet name="Raw Data" sheetId="1" r:id="rId8"/>
    <sheet name="df_parametrics_v3" sheetId="30" state="hidden" r:id="rId9"/>
    <sheet name="Demographics Data" sheetId="2" r:id="rId10"/>
    <sheet name="R Dataset" sheetId="22" state="hidden" r:id="rId11"/>
    <sheet name="MAD" sheetId="21" state="hidden" r:id="rId12"/>
    <sheet name="MAD Updated" sheetId="23" r:id="rId13"/>
    <sheet name="Visualization data" sheetId="26" state="hidden" r:id="rId14"/>
    <sheet name="data_viz" sheetId="29" r:id="rId15"/>
    <sheet name="visual_data" sheetId="28" state="hidden" r:id="rId16"/>
    <sheet name="Tables" sheetId="25" state="hidden" r:id="rId17"/>
    <sheet name="Census jobs Chicago MSA" sheetId="24" state="hidden" r:id="rId18"/>
    <sheet name="Tech Jobs List" sheetId="7" r:id="rId19"/>
    <sheet name="ISBE table" sheetId="6" state="hidden" r:id="rId20"/>
    <sheet name="Math Example" sheetId="4" state="hidden"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63" i="30" l="1"/>
  <c r="E63" i="30"/>
  <c r="D63" i="30"/>
  <c r="C63" i="30"/>
  <c r="B63" i="30"/>
  <c r="J24" i="23"/>
  <c r="K24" i="23"/>
  <c r="L24" i="23"/>
  <c r="I24" i="23"/>
  <c r="P3" i="26"/>
  <c r="Q3" i="26"/>
  <c r="R3" i="26"/>
  <c r="S3" i="26"/>
  <c r="P4" i="26"/>
  <c r="Q4" i="26"/>
  <c r="R4" i="26"/>
  <c r="S4" i="26"/>
  <c r="P5" i="26"/>
  <c r="Q5" i="26"/>
  <c r="R5" i="26"/>
  <c r="S5" i="26"/>
  <c r="P6" i="26"/>
  <c r="Q6" i="26"/>
  <c r="R6" i="26"/>
  <c r="S6" i="26"/>
  <c r="P7" i="26"/>
  <c r="Q7" i="26"/>
  <c r="R7" i="26"/>
  <c r="S7" i="26"/>
  <c r="P8" i="26"/>
  <c r="Q8" i="26"/>
  <c r="R8" i="26"/>
  <c r="S8" i="26"/>
  <c r="P9" i="26"/>
  <c r="Q9" i="26"/>
  <c r="R9" i="26"/>
  <c r="S9" i="26"/>
  <c r="P10" i="26"/>
  <c r="Q10" i="26"/>
  <c r="R10" i="26"/>
  <c r="S10" i="26"/>
  <c r="P11" i="26"/>
  <c r="Q11" i="26"/>
  <c r="R11" i="26"/>
  <c r="S11" i="26"/>
  <c r="P12" i="26"/>
  <c r="Q12" i="26"/>
  <c r="R12" i="26"/>
  <c r="S12" i="26"/>
  <c r="P13" i="26"/>
  <c r="Q13" i="26"/>
  <c r="R13" i="26"/>
  <c r="S13" i="26"/>
  <c r="P14" i="26"/>
  <c r="Q14" i="26"/>
  <c r="R14" i="26"/>
  <c r="S14" i="26"/>
  <c r="P15" i="26"/>
  <c r="Q15" i="26"/>
  <c r="R15" i="26"/>
  <c r="S15" i="26"/>
  <c r="P16" i="26"/>
  <c r="Q16" i="26"/>
  <c r="R16" i="26"/>
  <c r="S16" i="26"/>
  <c r="P17" i="26"/>
  <c r="Q17" i="26"/>
  <c r="R17" i="26"/>
  <c r="S17" i="26"/>
  <c r="P18" i="26"/>
  <c r="Q18" i="26"/>
  <c r="R18" i="26"/>
  <c r="S18" i="26"/>
  <c r="P2" i="26"/>
  <c r="Q2" i="26"/>
  <c r="R2" i="26"/>
  <c r="S2" i="26"/>
  <c r="L3" i="26"/>
  <c r="M3" i="26"/>
  <c r="N3" i="26"/>
  <c r="O3" i="26"/>
  <c r="L4" i="26"/>
  <c r="M4" i="26"/>
  <c r="N4" i="26"/>
  <c r="O4" i="26"/>
  <c r="L5" i="26"/>
  <c r="M5" i="26"/>
  <c r="N5" i="26"/>
  <c r="O5" i="26"/>
  <c r="L6" i="26"/>
  <c r="M6" i="26"/>
  <c r="N6" i="26"/>
  <c r="O6" i="26"/>
  <c r="L7" i="26"/>
  <c r="M7" i="26"/>
  <c r="N7" i="26"/>
  <c r="O7" i="26"/>
  <c r="L8" i="26"/>
  <c r="M8" i="26"/>
  <c r="N8" i="26"/>
  <c r="O8" i="26"/>
  <c r="L9" i="26"/>
  <c r="M9" i="26"/>
  <c r="N9" i="26"/>
  <c r="O9" i="26"/>
  <c r="L10" i="26"/>
  <c r="M10" i="26"/>
  <c r="N10" i="26"/>
  <c r="O10" i="26"/>
  <c r="L11" i="26"/>
  <c r="M11" i="26"/>
  <c r="N11" i="26"/>
  <c r="O11" i="26"/>
  <c r="L12" i="26"/>
  <c r="M12" i="26"/>
  <c r="N12" i="26"/>
  <c r="O12" i="26"/>
  <c r="L13" i="26"/>
  <c r="M13" i="26"/>
  <c r="N13" i="26"/>
  <c r="O13" i="26"/>
  <c r="L14" i="26"/>
  <c r="M14" i="26"/>
  <c r="N14" i="26"/>
  <c r="O14" i="26"/>
  <c r="L15" i="26"/>
  <c r="M15" i="26"/>
  <c r="N15" i="26"/>
  <c r="O15" i="26"/>
  <c r="L16" i="26"/>
  <c r="M16" i="26"/>
  <c r="N16" i="26"/>
  <c r="O16" i="26"/>
  <c r="L17" i="26"/>
  <c r="M17" i="26"/>
  <c r="N17" i="26"/>
  <c r="O17" i="26"/>
  <c r="L18" i="26"/>
  <c r="M18" i="26"/>
  <c r="N18" i="26"/>
  <c r="O18" i="26"/>
  <c r="M2" i="26"/>
  <c r="N2" i="26"/>
  <c r="O2" i="26"/>
  <c r="L2" i="26"/>
  <c r="K2" i="26"/>
  <c r="J2" i="26"/>
  <c r="I2" i="26"/>
  <c r="H2" i="26"/>
  <c r="J51" i="23"/>
  <c r="K51" i="23"/>
  <c r="L51" i="23"/>
  <c r="I51" i="23"/>
  <c r="B34" i="2"/>
  <c r="M25" i="23"/>
  <c r="M24" i="23"/>
  <c r="J25" i="23"/>
  <c r="K25" i="23"/>
  <c r="L25" i="23"/>
  <c r="I25" i="23"/>
  <c r="E24" i="23" a="1"/>
  <c r="E24" i="23" s="1"/>
  <c r="B33" i="2"/>
  <c r="I23" i="23"/>
  <c r="J23" i="23"/>
  <c r="K23" i="23"/>
  <c r="L23" i="23"/>
  <c r="M23" i="23"/>
  <c r="B13" i="2"/>
  <c r="D15" i="2"/>
  <c r="J22" i="23"/>
  <c r="K22" i="23"/>
  <c r="L22" i="23"/>
  <c r="H30" i="23" l="1"/>
  <c r="G30" i="23"/>
  <c r="F30" i="23"/>
  <c r="E31" i="23"/>
  <c r="E30" i="23"/>
  <c r="E26" i="23" a="1"/>
  <c r="E26" i="23" s="1"/>
  <c r="E25" i="23"/>
  <c r="E22" i="23" a="1"/>
  <c r="E22" i="23" s="1"/>
  <c r="E19" i="23" a="1"/>
  <c r="E19" i="23" s="1"/>
  <c r="E18" i="23" a="1"/>
  <c r="E18" i="23" s="1"/>
  <c r="E17" i="23" a="1"/>
  <c r="E17" i="23" s="1"/>
  <c r="E12" i="23" a="1"/>
  <c r="E12" i="23" s="1"/>
  <c r="E10" i="23" a="1"/>
  <c r="E10" i="23" s="1"/>
  <c r="E6" i="23" a="1"/>
  <c r="E6" i="23" s="1"/>
  <c r="F5" i="23"/>
  <c r="G5" i="23"/>
  <c r="H5" i="23"/>
  <c r="E5" i="23"/>
  <c r="F4" i="23"/>
  <c r="G4" i="23"/>
  <c r="H4" i="23"/>
  <c r="E4" i="23"/>
  <c r="F3" i="23"/>
  <c r="G3" i="23"/>
  <c r="H3" i="23"/>
  <c r="E3" i="23"/>
  <c r="F2" i="23"/>
  <c r="G2" i="23"/>
  <c r="H2" i="23"/>
  <c r="E2" i="23"/>
  <c r="F57" i="1"/>
  <c r="F58" i="1" s="1"/>
  <c r="D57" i="1"/>
  <c r="D58" i="1" s="1"/>
  <c r="C57" i="1"/>
  <c r="C58" i="1" s="1"/>
  <c r="E57" i="1"/>
  <c r="E58" i="1" s="1"/>
  <c r="M44" i="23"/>
  <c r="M45" i="23"/>
  <c r="M46" i="23"/>
  <c r="M47" i="23"/>
  <c r="M48" i="23"/>
  <c r="M49" i="23"/>
  <c r="M50" i="23"/>
  <c r="M53" i="23"/>
  <c r="M38" i="23"/>
  <c r="M40" i="23"/>
  <c r="M41" i="23"/>
  <c r="M29" i="23"/>
  <c r="M30" i="23"/>
  <c r="M31" i="23"/>
  <c r="M32" i="23"/>
  <c r="M17" i="23"/>
  <c r="M18" i="23"/>
  <c r="M19" i="23"/>
  <c r="M20" i="23"/>
  <c r="M21" i="23"/>
  <c r="M22" i="23"/>
  <c r="Q24" i="23"/>
  <c r="M26" i="23"/>
  <c r="M12" i="23"/>
  <c r="M10" i="23"/>
  <c r="M6" i="23"/>
  <c r="M5" i="23"/>
  <c r="M4" i="23"/>
  <c r="M3" i="23"/>
  <c r="M2" i="23"/>
  <c r="X41" i="23"/>
  <c r="X42" i="23"/>
  <c r="X43" i="23"/>
  <c r="J42" i="23"/>
  <c r="K42" i="23"/>
  <c r="L42" i="23"/>
  <c r="I42" i="23"/>
  <c r="J43" i="23"/>
  <c r="K43" i="23"/>
  <c r="L43" i="23"/>
  <c r="I43" i="23"/>
  <c r="J35" i="23"/>
  <c r="K35" i="23"/>
  <c r="L35" i="23"/>
  <c r="I35" i="23"/>
  <c r="J33" i="23"/>
  <c r="K33" i="23"/>
  <c r="L33" i="23"/>
  <c r="I33" i="23"/>
  <c r="J36" i="23"/>
  <c r="K36" i="23"/>
  <c r="L36" i="23"/>
  <c r="I36" i="23"/>
  <c r="V33" i="21"/>
  <c r="M36" i="23" l="1"/>
  <c r="Q2" i="23"/>
  <c r="Q12" i="23"/>
  <c r="O25" i="23"/>
  <c r="O3" i="23"/>
  <c r="O6" i="23"/>
  <c r="O5" i="23"/>
  <c r="Q18" i="23"/>
  <c r="O4" i="23"/>
  <c r="O12" i="23"/>
  <c r="Q6" i="23"/>
  <c r="O24" i="23"/>
  <c r="O10" i="23"/>
  <c r="O18" i="23"/>
  <c r="Q5" i="23"/>
  <c r="O22" i="23"/>
  <c r="O19" i="23"/>
  <c r="Q4" i="23"/>
  <c r="O26" i="23"/>
  <c r="O2" i="23"/>
  <c r="Q22" i="23"/>
  <c r="Q10" i="23"/>
  <c r="Q3" i="23"/>
  <c r="O17" i="23"/>
  <c r="B57" i="1"/>
  <c r="B58" i="1" s="1"/>
  <c r="Q26" i="23"/>
  <c r="Q19" i="23"/>
  <c r="Q17" i="23"/>
  <c r="F25" i="23" a="1"/>
  <c r="R43" i="23"/>
  <c r="S43" i="23" s="1"/>
  <c r="T43" i="23" s="1"/>
  <c r="R33" i="23"/>
  <c r="S33" i="23" s="1"/>
  <c r="T33" i="23" s="1"/>
  <c r="R42" i="23"/>
  <c r="S42" i="23" s="1"/>
  <c r="T42" i="23" s="1"/>
  <c r="R35" i="23"/>
  <c r="S35" i="23" s="1"/>
  <c r="T35" i="23" s="1"/>
  <c r="R36" i="23"/>
  <c r="S36" i="23" s="1"/>
  <c r="T36" i="23" s="1"/>
  <c r="X46" i="23"/>
  <c r="X47" i="23"/>
  <c r="X48" i="23"/>
  <c r="X19" i="23"/>
  <c r="X20" i="23"/>
  <c r="X21" i="23"/>
  <c r="W47" i="23"/>
  <c r="W48" i="23"/>
  <c r="W46" i="23"/>
  <c r="W42" i="23"/>
  <c r="W43" i="23"/>
  <c r="W41" i="23"/>
  <c r="W20" i="23"/>
  <c r="W21" i="23"/>
  <c r="W19" i="23"/>
  <c r="W15" i="23"/>
  <c r="W16" i="23"/>
  <c r="W14" i="23"/>
  <c r="J53" i="23"/>
  <c r="K53" i="23"/>
  <c r="L53" i="23"/>
  <c r="I53" i="23"/>
  <c r="J50" i="23"/>
  <c r="K50" i="23"/>
  <c r="L50" i="23"/>
  <c r="I50" i="23"/>
  <c r="J49" i="23"/>
  <c r="K49" i="23"/>
  <c r="I49" i="23"/>
  <c r="J48" i="23"/>
  <c r="K48" i="23"/>
  <c r="L48" i="23"/>
  <c r="I48" i="23"/>
  <c r="J45" i="23"/>
  <c r="K45" i="23"/>
  <c r="L45" i="23"/>
  <c r="I45" i="23"/>
  <c r="J44" i="23"/>
  <c r="K44" i="23"/>
  <c r="I44" i="23"/>
  <c r="J41" i="23"/>
  <c r="K41" i="23"/>
  <c r="L41" i="23"/>
  <c r="I41" i="23"/>
  <c r="J40" i="23"/>
  <c r="K40" i="23"/>
  <c r="L40" i="23"/>
  <c r="I40" i="23"/>
  <c r="J38" i="23"/>
  <c r="K38" i="23"/>
  <c r="L38" i="23"/>
  <c r="I38" i="23"/>
  <c r="J32" i="23"/>
  <c r="K32" i="23"/>
  <c r="L32" i="23"/>
  <c r="I32" i="23"/>
  <c r="J31" i="23"/>
  <c r="K31" i="23"/>
  <c r="L31" i="23"/>
  <c r="I31" i="23"/>
  <c r="J30" i="23"/>
  <c r="K30" i="23"/>
  <c r="L30" i="23"/>
  <c r="I30" i="23"/>
  <c r="J29" i="23"/>
  <c r="K29" i="23"/>
  <c r="L29" i="23"/>
  <c r="I29" i="23"/>
  <c r="J26" i="23"/>
  <c r="P26" i="23" s="1"/>
  <c r="K26" i="23"/>
  <c r="L26" i="23"/>
  <c r="I26" i="23"/>
  <c r="P24" i="23"/>
  <c r="P22" i="23"/>
  <c r="I22" i="23"/>
  <c r="J18" i="23"/>
  <c r="P18" i="23" s="1"/>
  <c r="K18" i="23"/>
  <c r="L18" i="23"/>
  <c r="I18" i="23"/>
  <c r="J17" i="23"/>
  <c r="P17" i="23" s="1"/>
  <c r="K17" i="23"/>
  <c r="L17" i="23"/>
  <c r="I17" i="23"/>
  <c r="J12" i="23"/>
  <c r="P12" i="23" s="1"/>
  <c r="K12" i="23"/>
  <c r="L12" i="23"/>
  <c r="I12" i="23"/>
  <c r="J10" i="23"/>
  <c r="P10" i="23" s="1"/>
  <c r="K10" i="23"/>
  <c r="L10" i="23"/>
  <c r="I10" i="23"/>
  <c r="J6" i="23"/>
  <c r="P6" i="23" s="1"/>
  <c r="K6" i="23"/>
  <c r="L6" i="23"/>
  <c r="I6" i="23"/>
  <c r="J5" i="23"/>
  <c r="P5" i="23" s="1"/>
  <c r="K5" i="23"/>
  <c r="L5" i="23"/>
  <c r="I5" i="23"/>
  <c r="J4" i="23"/>
  <c r="P4" i="23" s="1"/>
  <c r="K4" i="23"/>
  <c r="L4" i="23"/>
  <c r="I4" i="23"/>
  <c r="J3" i="23"/>
  <c r="P3" i="23" s="1"/>
  <c r="K3" i="23"/>
  <c r="L3" i="23"/>
  <c r="I3" i="23"/>
  <c r="J2" i="23"/>
  <c r="P2" i="23" s="1"/>
  <c r="K2" i="23"/>
  <c r="L2" i="23"/>
  <c r="I2" i="23"/>
  <c r="W33" i="21"/>
  <c r="U33" i="21"/>
  <c r="X53" i="21"/>
  <c r="X52" i="21"/>
  <c r="X51" i="21"/>
  <c r="X26" i="21"/>
  <c r="X25" i="21"/>
  <c r="X24" i="21"/>
  <c r="F25" i="23" l="1"/>
  <c r="G31" i="23"/>
  <c r="R31" i="23" s="1"/>
  <c r="S31" i="23" s="1"/>
  <c r="T31" i="23" s="1"/>
  <c r="H31" i="23"/>
  <c r="R4" i="23"/>
  <c r="S4" i="23" s="1"/>
  <c r="T4" i="23" s="1"/>
  <c r="N4" i="23"/>
  <c r="R6" i="23"/>
  <c r="S6" i="23" s="1"/>
  <c r="T6" i="23" s="1"/>
  <c r="N6" i="23"/>
  <c r="N5" i="23"/>
  <c r="R5" i="23"/>
  <c r="S5" i="23" s="1"/>
  <c r="T5" i="23" s="1"/>
  <c r="N24" i="23"/>
  <c r="R24" i="23"/>
  <c r="S24" i="23" s="1"/>
  <c r="T24" i="23" s="1"/>
  <c r="R17" i="23"/>
  <c r="S17" i="23" s="1"/>
  <c r="T17" i="23" s="1"/>
  <c r="N17" i="23"/>
  <c r="N3" i="23"/>
  <c r="R3" i="23"/>
  <c r="S3" i="23" s="1"/>
  <c r="T3" i="23" s="1"/>
  <c r="N10" i="23"/>
  <c r="R10" i="23"/>
  <c r="S10" i="23" s="1"/>
  <c r="T10" i="23" s="1"/>
  <c r="N18" i="23"/>
  <c r="R18" i="23"/>
  <c r="S18" i="23" s="1"/>
  <c r="T18" i="23" s="1"/>
  <c r="N22" i="23"/>
  <c r="R22" i="23"/>
  <c r="S22" i="23" s="1"/>
  <c r="T22" i="23" s="1"/>
  <c r="N26" i="23"/>
  <c r="R26" i="23"/>
  <c r="S26" i="23" s="1"/>
  <c r="T26" i="23" s="1"/>
  <c r="R2" i="23"/>
  <c r="S2" i="23" s="1"/>
  <c r="T2" i="23" s="1"/>
  <c r="N2" i="23"/>
  <c r="R12" i="23"/>
  <c r="S12" i="23" s="1"/>
  <c r="T12" i="23" s="1"/>
  <c r="N12" i="23"/>
  <c r="R25" i="23"/>
  <c r="S25" i="23" s="1"/>
  <c r="T25" i="23" s="1"/>
  <c r="N25" i="23"/>
  <c r="R53" i="23"/>
  <c r="S53" i="23" s="1"/>
  <c r="T53" i="23" s="1"/>
  <c r="R41" i="23"/>
  <c r="S41" i="23" s="1"/>
  <c r="T41" i="23" s="1"/>
  <c r="R38" i="23"/>
  <c r="S38" i="23" s="1"/>
  <c r="T38" i="23" s="1"/>
  <c r="R29" i="23"/>
  <c r="S29" i="23" s="1"/>
  <c r="T29" i="23" s="1"/>
  <c r="R40" i="23"/>
  <c r="S40" i="23" s="1"/>
  <c r="T40" i="23" s="1"/>
  <c r="R50" i="23"/>
  <c r="S50" i="23" s="1"/>
  <c r="T50" i="23" s="1"/>
  <c r="R48" i="23"/>
  <c r="S48" i="23" s="1"/>
  <c r="T48" i="23" s="1"/>
  <c r="R30" i="23"/>
  <c r="S30" i="23" s="1"/>
  <c r="T30" i="23" s="1"/>
  <c r="R32" i="23"/>
  <c r="S32" i="23" s="1"/>
  <c r="T32" i="23" s="1"/>
  <c r="R45" i="23"/>
  <c r="S45" i="23" s="1"/>
  <c r="T45" i="23" s="1"/>
  <c r="I53" i="21"/>
  <c r="F53" i="21"/>
  <c r="E53" i="21"/>
  <c r="H53" i="21" s="1"/>
  <c r="F50" i="21"/>
  <c r="E50" i="21"/>
  <c r="I49" i="21"/>
  <c r="F49" i="21"/>
  <c r="E49" i="21"/>
  <c r="L49" i="21" s="1"/>
  <c r="O49" i="21" s="1"/>
  <c r="I48" i="21"/>
  <c r="F48" i="21"/>
  <c r="H48" i="21" s="1"/>
  <c r="E48" i="21"/>
  <c r="G48" i="21" s="1"/>
  <c r="I47" i="21"/>
  <c r="H47" i="21"/>
  <c r="F47" i="21"/>
  <c r="E47" i="21"/>
  <c r="L47" i="21" s="1"/>
  <c r="O47" i="21" s="1"/>
  <c r="I46" i="21"/>
  <c r="G46" i="21"/>
  <c r="H46" i="21"/>
  <c r="F46" i="21"/>
  <c r="J46" i="21" s="1"/>
  <c r="M46" i="21" s="1"/>
  <c r="E46" i="21"/>
  <c r="K46" i="21" s="1"/>
  <c r="N46" i="21" s="1"/>
  <c r="I45" i="21"/>
  <c r="F45" i="21"/>
  <c r="E45" i="21"/>
  <c r="I44" i="21"/>
  <c r="F44" i="21"/>
  <c r="E44" i="21"/>
  <c r="L44" i="21" s="1"/>
  <c r="O44" i="21" s="1"/>
  <c r="F41" i="21"/>
  <c r="E41" i="21"/>
  <c r="G41" i="21" s="1"/>
  <c r="I40" i="21"/>
  <c r="F40" i="21"/>
  <c r="E40" i="21"/>
  <c r="I38" i="21"/>
  <c r="F38" i="21"/>
  <c r="E38" i="21"/>
  <c r="D60" i="22"/>
  <c r="C60" i="22"/>
  <c r="D59" i="22"/>
  <c r="C59" i="22"/>
  <c r="Q25" i="23" l="1"/>
  <c r="F31" i="23"/>
  <c r="P25" i="23"/>
  <c r="L38" i="21"/>
  <c r="O38" i="21" s="1"/>
  <c r="L40" i="21"/>
  <c r="O40" i="21" s="1"/>
  <c r="H38" i="21"/>
  <c r="K38" i="21" s="1"/>
  <c r="N38" i="21" s="1"/>
  <c r="G38" i="21"/>
  <c r="J38" i="21" s="1"/>
  <c r="M38" i="21" s="1"/>
  <c r="J45" i="21"/>
  <c r="M45" i="21" s="1"/>
  <c r="J41" i="21"/>
  <c r="M41" i="21" s="1"/>
  <c r="L45" i="21"/>
  <c r="O45" i="21" s="1"/>
  <c r="G45" i="21"/>
  <c r="H50" i="21"/>
  <c r="K50" i="21" s="1"/>
  <c r="N50" i="21" s="1"/>
  <c r="G53" i="21"/>
  <c r="J53" i="21" s="1"/>
  <c r="M53" i="21" s="1"/>
  <c r="L53" i="21"/>
  <c r="O53" i="21" s="1"/>
  <c r="K47" i="21"/>
  <c r="N47" i="21" s="1"/>
  <c r="J48" i="21"/>
  <c r="M48" i="21" s="1"/>
  <c r="J49" i="21"/>
  <c r="M49" i="21" s="1"/>
  <c r="G44" i="21"/>
  <c r="J44" i="21" s="1"/>
  <c r="M44" i="21" s="1"/>
  <c r="G47" i="21"/>
  <c r="J47" i="21" s="1"/>
  <c r="M47" i="21" s="1"/>
  <c r="L46" i="21"/>
  <c r="O46" i="21" s="1"/>
  <c r="K53" i="21"/>
  <c r="N53" i="21" s="1"/>
  <c r="H41" i="21"/>
  <c r="K41" i="21" s="1"/>
  <c r="N41" i="21" s="1"/>
  <c r="H44" i="21"/>
  <c r="H49" i="21"/>
  <c r="K49" i="21" s="1"/>
  <c r="N49" i="21" s="1"/>
  <c r="K44" i="21"/>
  <c r="N44" i="21" s="1"/>
  <c r="L48" i="21"/>
  <c r="O48" i="21" s="1"/>
  <c r="H40" i="21"/>
  <c r="K40" i="21" s="1"/>
  <c r="N40" i="21" s="1"/>
  <c r="G50" i="21"/>
  <c r="J50" i="21" s="1"/>
  <c r="M50" i="21" s="1"/>
  <c r="G49" i="21"/>
  <c r="K48" i="21"/>
  <c r="N48" i="21" s="1"/>
  <c r="G40" i="21"/>
  <c r="J40" i="21" s="1"/>
  <c r="M40" i="21" s="1"/>
  <c r="H45" i="21"/>
  <c r="K45" i="21" s="1"/>
  <c r="N45" i="21" s="1"/>
  <c r="F32" i="21"/>
  <c r="E32" i="21"/>
  <c r="F31" i="21"/>
  <c r="E31" i="21"/>
  <c r="F30" i="21"/>
  <c r="E30" i="21"/>
  <c r="I25" i="21"/>
  <c r="F29" i="21"/>
  <c r="E29" i="21"/>
  <c r="F26" i="21"/>
  <c r="E26" i="21"/>
  <c r="L21" i="21"/>
  <c r="O21" i="21" s="1"/>
  <c r="F24" i="21"/>
  <c r="E24" i="21"/>
  <c r="E25" i="21"/>
  <c r="F25" i="21"/>
  <c r="I24" i="21"/>
  <c r="I22" i="21"/>
  <c r="F22" i="21"/>
  <c r="E22" i="21"/>
  <c r="I21" i="21"/>
  <c r="F21" i="21"/>
  <c r="E21" i="21"/>
  <c r="I20" i="21"/>
  <c r="F20" i="21"/>
  <c r="E20" i="21"/>
  <c r="I19" i="21"/>
  <c r="F19" i="21"/>
  <c r="E19" i="21"/>
  <c r="F18" i="21"/>
  <c r="E18" i="21"/>
  <c r="I17" i="21"/>
  <c r="F17" i="21"/>
  <c r="E17" i="21"/>
  <c r="F12" i="21"/>
  <c r="E12" i="21"/>
  <c r="F10" i="21"/>
  <c r="E10" i="21"/>
  <c r="F6" i="21"/>
  <c r="E6" i="21"/>
  <c r="E5" i="21"/>
  <c r="F5" i="21"/>
  <c r="F4" i="21"/>
  <c r="E4" i="21"/>
  <c r="F3" i="21"/>
  <c r="E3" i="21"/>
  <c r="F2" i="21"/>
  <c r="E2" i="21"/>
  <c r="W50" i="12"/>
  <c r="P43" i="12"/>
  <c r="X22" i="12"/>
  <c r="F6" i="12"/>
  <c r="O32" i="20" a="1"/>
  <c r="O32" i="20" s="1"/>
  <c r="O33" i="20" a="1"/>
  <c r="O33" i="20"/>
  <c r="O34" i="20" a="1"/>
  <c r="O34" i="20" s="1"/>
  <c r="O35" i="20" a="1"/>
  <c r="O35" i="20"/>
  <c r="O36" i="20" a="1"/>
  <c r="O36" i="20" s="1"/>
  <c r="O37" i="20" a="1"/>
  <c r="O37" i="20"/>
  <c r="O38" i="20" a="1"/>
  <c r="O38" i="20" s="1"/>
  <c r="O39" i="20" a="1"/>
  <c r="O39" i="20"/>
  <c r="O40" i="20" a="1"/>
  <c r="O40" i="20" s="1"/>
  <c r="O41" i="20" a="1"/>
  <c r="O41" i="20" s="1"/>
  <c r="O42" i="20" a="1"/>
  <c r="O42" i="20" s="1"/>
  <c r="O43" i="20" a="1"/>
  <c r="O43" i="20"/>
  <c r="O44" i="20" a="1"/>
  <c r="O44" i="20" s="1"/>
  <c r="O45" i="20" a="1"/>
  <c r="O45" i="20" s="1"/>
  <c r="O46" i="20" a="1"/>
  <c r="O46" i="20" s="1"/>
  <c r="O47" i="20" a="1"/>
  <c r="O47" i="20" s="1"/>
  <c r="O48" i="20" a="1"/>
  <c r="O48" i="20" s="1"/>
  <c r="O49" i="20" a="1"/>
  <c r="O49" i="20" s="1"/>
  <c r="O50" i="20" a="1"/>
  <c r="O50" i="20" s="1"/>
  <c r="O51" i="20" a="1"/>
  <c r="O51" i="20"/>
  <c r="O52" i="20" a="1"/>
  <c r="O52" i="20" s="1"/>
  <c r="O53" i="20" a="1"/>
  <c r="O53" i="20" s="1"/>
  <c r="O54" i="20" a="1"/>
  <c r="O54" i="20" s="1"/>
  <c r="O55" i="20" a="1"/>
  <c r="O55" i="20" s="1"/>
  <c r="O22" i="20" a="1"/>
  <c r="O22" i="20" s="1"/>
  <c r="O29" i="20" a="1"/>
  <c r="O29" i="20" s="1"/>
  <c r="M55" i="20"/>
  <c r="J55" i="20"/>
  <c r="L55" i="20" s="1"/>
  <c r="N54" i="20"/>
  <c r="M53" i="20"/>
  <c r="J53" i="20"/>
  <c r="L53" i="20" s="1"/>
  <c r="M52" i="20"/>
  <c r="L52" i="20"/>
  <c r="K52" i="20"/>
  <c r="N52" i="20" s="1"/>
  <c r="J52" i="20"/>
  <c r="M51" i="20"/>
  <c r="K51" i="20"/>
  <c r="N51" i="20" s="1"/>
  <c r="J51" i="20"/>
  <c r="L51" i="20" s="1"/>
  <c r="M50" i="20"/>
  <c r="L50" i="20"/>
  <c r="K50" i="20"/>
  <c r="N50" i="20" s="1"/>
  <c r="J50" i="20"/>
  <c r="M49" i="20"/>
  <c r="J49" i="20"/>
  <c r="L49" i="20" s="1"/>
  <c r="M48" i="20"/>
  <c r="L48" i="20"/>
  <c r="K48" i="20"/>
  <c r="N48" i="20" s="1"/>
  <c r="J48" i="20"/>
  <c r="M46" i="20"/>
  <c r="L46" i="20"/>
  <c r="K46" i="20"/>
  <c r="N46" i="20" s="1"/>
  <c r="J46" i="20"/>
  <c r="M45" i="20"/>
  <c r="K45" i="20"/>
  <c r="N45" i="20" s="1"/>
  <c r="J45" i="20"/>
  <c r="L45" i="20" s="1"/>
  <c r="M44" i="20"/>
  <c r="L44" i="20"/>
  <c r="K44" i="20"/>
  <c r="N44" i="20" s="1"/>
  <c r="J44" i="20"/>
  <c r="M43" i="20"/>
  <c r="J43" i="20"/>
  <c r="L43" i="20" s="1"/>
  <c r="M42" i="20"/>
  <c r="L42" i="20"/>
  <c r="K42" i="20"/>
  <c r="N42" i="20" s="1"/>
  <c r="J42" i="20"/>
  <c r="M41" i="20"/>
  <c r="K41" i="20"/>
  <c r="J41" i="20"/>
  <c r="L41" i="20" s="1"/>
  <c r="M40" i="20"/>
  <c r="L40" i="20"/>
  <c r="K40" i="20"/>
  <c r="N40" i="20" s="1"/>
  <c r="J40" i="20"/>
  <c r="M39" i="20"/>
  <c r="J39" i="20"/>
  <c r="L39" i="20" s="1"/>
  <c r="M38" i="20"/>
  <c r="L38" i="20"/>
  <c r="K38" i="20"/>
  <c r="N38" i="20" s="1"/>
  <c r="J38" i="20"/>
  <c r="M37" i="20"/>
  <c r="K37" i="20"/>
  <c r="J37" i="20"/>
  <c r="L37" i="20" s="1"/>
  <c r="M36" i="20"/>
  <c r="L36" i="20"/>
  <c r="K36" i="20"/>
  <c r="N36" i="20" s="1"/>
  <c r="J36" i="20"/>
  <c r="M35" i="20"/>
  <c r="J35" i="20"/>
  <c r="L35" i="20" s="1"/>
  <c r="M34" i="20"/>
  <c r="L34" i="20"/>
  <c r="K34" i="20"/>
  <c r="N34" i="20" s="1"/>
  <c r="J34" i="20"/>
  <c r="M33" i="20"/>
  <c r="K33" i="20"/>
  <c r="J33" i="20"/>
  <c r="L33" i="20" s="1"/>
  <c r="M32" i="20"/>
  <c r="L32" i="20"/>
  <c r="K32" i="20"/>
  <c r="N32" i="20" s="1"/>
  <c r="J32" i="20"/>
  <c r="N110" i="12"/>
  <c r="R110" i="12" s="1"/>
  <c r="N117" i="12"/>
  <c r="R117" i="12" s="1"/>
  <c r="I30" i="20"/>
  <c r="H30" i="20"/>
  <c r="G30" i="20"/>
  <c r="F30" i="20"/>
  <c r="I27" i="20"/>
  <c r="H27" i="20"/>
  <c r="G27" i="20"/>
  <c r="G28" i="20" s="1"/>
  <c r="F27" i="20"/>
  <c r="I26" i="20"/>
  <c r="H26" i="20"/>
  <c r="G26" i="20"/>
  <c r="F23" i="20"/>
  <c r="F24" i="20" s="1"/>
  <c r="G18" i="20"/>
  <c r="F18" i="20"/>
  <c r="G17" i="20"/>
  <c r="F17" i="20"/>
  <c r="F14" i="20"/>
  <c r="G13" i="20"/>
  <c r="F13" i="20"/>
  <c r="G12" i="20"/>
  <c r="I12" i="20" s="1"/>
  <c r="F12" i="20"/>
  <c r="H12" i="20" s="1"/>
  <c r="J11" i="20"/>
  <c r="J10" i="20"/>
  <c r="G10" i="20"/>
  <c r="G11" i="20" s="1"/>
  <c r="F10" i="20"/>
  <c r="F11" i="20" s="1"/>
  <c r="H11" i="20" s="1"/>
  <c r="G7" i="20"/>
  <c r="F7" i="20"/>
  <c r="F6" i="20"/>
  <c r="J5" i="20"/>
  <c r="J4" i="20"/>
  <c r="J3" i="20"/>
  <c r="G3" i="20"/>
  <c r="G5" i="20" s="1"/>
  <c r="F3" i="20"/>
  <c r="F9" i="20" s="1"/>
  <c r="G16" i="20" s="1"/>
  <c r="J2" i="20"/>
  <c r="G2" i="20"/>
  <c r="G4" i="20" s="1"/>
  <c r="F2" i="20"/>
  <c r="F4" i="20" s="1"/>
  <c r="G9" i="20" s="1"/>
  <c r="I73" i="12"/>
  <c r="S26" i="19"/>
  <c r="M11" i="19" s="1"/>
  <c r="Q8" i="19"/>
  <c r="G5" i="19" s="1"/>
  <c r="Q15" i="19"/>
  <c r="M4" i="19" s="1"/>
  <c r="Q23" i="19"/>
  <c r="G13" i="19" s="1"/>
  <c r="S27" i="19"/>
  <c r="M13" i="19" s="1"/>
  <c r="R8" i="12" a="1"/>
  <c r="R8" i="12" s="1"/>
  <c r="R22" i="12" a="1"/>
  <c r="R22" i="12" s="1"/>
  <c r="R29" i="12" a="1"/>
  <c r="R29" i="12" s="1"/>
  <c r="AH2" i="12"/>
  <c r="U110" i="12"/>
  <c r="U117" i="12"/>
  <c r="U76" i="12"/>
  <c r="U81" i="12"/>
  <c r="U82" i="12"/>
  <c r="U88" i="12"/>
  <c r="U91" i="12"/>
  <c r="U92" i="12"/>
  <c r="J116" i="12"/>
  <c r="U116" i="12" s="1"/>
  <c r="J115" i="12"/>
  <c r="U115" i="12" s="1"/>
  <c r="M96" i="12"/>
  <c r="M97" i="12"/>
  <c r="M98" i="12"/>
  <c r="M99" i="12"/>
  <c r="M100" i="12"/>
  <c r="M101" i="12"/>
  <c r="M102" i="12"/>
  <c r="M103" i="12"/>
  <c r="M104" i="12"/>
  <c r="M105" i="12"/>
  <c r="M106" i="12"/>
  <c r="M107" i="12"/>
  <c r="M108" i="12"/>
  <c r="M109" i="12"/>
  <c r="M111" i="12"/>
  <c r="M112" i="12"/>
  <c r="M113" i="12"/>
  <c r="M114" i="12"/>
  <c r="M115" i="12"/>
  <c r="M116" i="12"/>
  <c r="M118" i="12"/>
  <c r="M95" i="12"/>
  <c r="J96" i="12"/>
  <c r="K96" i="12" s="1"/>
  <c r="J97" i="12"/>
  <c r="K97" i="12" s="1"/>
  <c r="J98" i="12"/>
  <c r="K98" i="12" s="1"/>
  <c r="J99" i="12"/>
  <c r="U99" i="12" s="1"/>
  <c r="J100" i="12"/>
  <c r="K100" i="12" s="1"/>
  <c r="J101" i="12"/>
  <c r="K101" i="12" s="1"/>
  <c r="J102" i="12"/>
  <c r="K102" i="12" s="1"/>
  <c r="J103" i="12"/>
  <c r="K103" i="12" s="1"/>
  <c r="J104" i="12"/>
  <c r="K104" i="12" s="1"/>
  <c r="J105" i="12"/>
  <c r="K105" i="12" s="1"/>
  <c r="N105" i="12" s="1"/>
  <c r="R105" i="12" s="1"/>
  <c r="J106" i="12"/>
  <c r="K106" i="12" s="1"/>
  <c r="J107" i="12"/>
  <c r="U107" i="12" s="1"/>
  <c r="J108" i="12"/>
  <c r="U108" i="12" s="1"/>
  <c r="J109" i="12"/>
  <c r="K109" i="12" s="1"/>
  <c r="J111" i="12"/>
  <c r="K111" i="12" s="1"/>
  <c r="J112" i="12"/>
  <c r="K112" i="12" s="1"/>
  <c r="J113" i="12"/>
  <c r="K113" i="12" s="1"/>
  <c r="J114" i="12"/>
  <c r="K114" i="12" s="1"/>
  <c r="N114" i="12" s="1"/>
  <c r="R114" i="12" s="1"/>
  <c r="J118" i="12"/>
  <c r="K118" i="12" s="1"/>
  <c r="J95" i="12"/>
  <c r="U95" i="12" s="1"/>
  <c r="F30" i="12"/>
  <c r="G30" i="12"/>
  <c r="B29" i="2"/>
  <c r="B21" i="2"/>
  <c r="I12" i="21" s="1"/>
  <c r="B17" i="2"/>
  <c r="B12" i="2"/>
  <c r="P15" i="14"/>
  <c r="P14" i="14"/>
  <c r="P13" i="14"/>
  <c r="P12" i="14"/>
  <c r="L15" i="14"/>
  <c r="L14" i="14"/>
  <c r="L13" i="14"/>
  <c r="L12" i="14"/>
  <c r="H15" i="14"/>
  <c r="H14" i="14"/>
  <c r="H13" i="14"/>
  <c r="H12" i="14"/>
  <c r="D15" i="14"/>
  <c r="D14" i="14"/>
  <c r="D13" i="14"/>
  <c r="D12" i="14"/>
  <c r="D4" i="14"/>
  <c r="P7" i="14"/>
  <c r="P6" i="14"/>
  <c r="P5" i="14"/>
  <c r="P4" i="14"/>
  <c r="L7" i="14"/>
  <c r="L6" i="14"/>
  <c r="L5" i="14"/>
  <c r="L4" i="14"/>
  <c r="H7" i="14"/>
  <c r="H6" i="14"/>
  <c r="H5" i="14"/>
  <c r="H4" i="14"/>
  <c r="D7" i="14"/>
  <c r="D5" i="14"/>
  <c r="D6" i="14"/>
  <c r="B11" i="2"/>
  <c r="I24" i="20" s="1"/>
  <c r="G7" i="12"/>
  <c r="I7" i="12" s="1"/>
  <c r="D9" i="2"/>
  <c r="J15" i="23" s="1"/>
  <c r="E9" i="2"/>
  <c r="G15" i="20" s="1"/>
  <c r="F9" i="2"/>
  <c r="L15" i="23" s="1"/>
  <c r="C9" i="2"/>
  <c r="B49" i="1"/>
  <c r="F38" i="1"/>
  <c r="L47" i="23" s="1"/>
  <c r="E38" i="1"/>
  <c r="K47" i="23" s="1"/>
  <c r="D38" i="1"/>
  <c r="J47" i="23" s="1"/>
  <c r="C38" i="1"/>
  <c r="I47" i="23" s="1"/>
  <c r="B50" i="1"/>
  <c r="I58" i="12"/>
  <c r="G58" i="12"/>
  <c r="B43" i="1"/>
  <c r="H58" i="12" s="1"/>
  <c r="C14" i="14"/>
  <c r="F45" i="12"/>
  <c r="H45" i="12" s="1"/>
  <c r="B32" i="2"/>
  <c r="G52" i="12" s="1"/>
  <c r="B31" i="2"/>
  <c r="G49" i="12"/>
  <c r="F49" i="12"/>
  <c r="H49" i="12" s="1"/>
  <c r="F40" i="1"/>
  <c r="G45" i="12" s="1"/>
  <c r="I45" i="12" s="1"/>
  <c r="G48" i="12"/>
  <c r="I48" i="12" s="1"/>
  <c r="F48" i="12"/>
  <c r="H48" i="12" s="1"/>
  <c r="F44" i="1"/>
  <c r="D44" i="1"/>
  <c r="E44" i="1"/>
  <c r="C44" i="1"/>
  <c r="F7" i="12"/>
  <c r="H7" i="12" s="1"/>
  <c r="F42" i="1"/>
  <c r="L52" i="23" s="1"/>
  <c r="E42" i="1"/>
  <c r="K52" i="23" s="1"/>
  <c r="D42" i="1"/>
  <c r="J52" i="23" s="1"/>
  <c r="C42" i="1"/>
  <c r="I52" i="23" s="1"/>
  <c r="H55" i="12"/>
  <c r="F55" i="12"/>
  <c r="F30" i="2"/>
  <c r="E30" i="2"/>
  <c r="D30" i="2"/>
  <c r="C30" i="2"/>
  <c r="G46" i="12"/>
  <c r="I46" i="12" s="1"/>
  <c r="F46" i="12"/>
  <c r="H46" i="12" s="1"/>
  <c r="G42" i="12"/>
  <c r="F42" i="12"/>
  <c r="G41" i="12"/>
  <c r="F41" i="12"/>
  <c r="G34" i="12"/>
  <c r="I34" i="12" s="1"/>
  <c r="G32" i="12"/>
  <c r="G33" i="12" s="1"/>
  <c r="I33" i="12" s="1"/>
  <c r="G87" i="12"/>
  <c r="B41" i="1"/>
  <c r="G53" i="12" s="1"/>
  <c r="I53" i="12" s="1"/>
  <c r="E39" i="1"/>
  <c r="K46" i="23" s="1"/>
  <c r="D39" i="1"/>
  <c r="J46" i="23" s="1"/>
  <c r="C39" i="1"/>
  <c r="F39" i="1"/>
  <c r="L46" i="23" s="1"/>
  <c r="G84" i="12"/>
  <c r="I84" i="12" s="1"/>
  <c r="J74" i="12"/>
  <c r="K74" i="12" s="1"/>
  <c r="J75" i="12"/>
  <c r="K75" i="12" s="1"/>
  <c r="K81" i="12"/>
  <c r="G13" i="12"/>
  <c r="I13" i="20" s="1"/>
  <c r="F13" i="12"/>
  <c r="H13" i="20" s="1"/>
  <c r="G12" i="12"/>
  <c r="I12" i="12" s="1"/>
  <c r="F12" i="12"/>
  <c r="H12" i="12" s="1"/>
  <c r="J11" i="12"/>
  <c r="G10" i="12"/>
  <c r="I10" i="20" s="1"/>
  <c r="F10" i="12"/>
  <c r="G3" i="12"/>
  <c r="I3" i="20" s="1"/>
  <c r="F3" i="12"/>
  <c r="H3" i="20" s="1"/>
  <c r="I16" i="20" s="1"/>
  <c r="G2" i="12"/>
  <c r="G70" i="12" s="1"/>
  <c r="F2" i="12"/>
  <c r="H2" i="20" s="1"/>
  <c r="F34" i="1"/>
  <c r="E34" i="1"/>
  <c r="D34" i="1"/>
  <c r="C34" i="1"/>
  <c r="B33" i="1"/>
  <c r="H28" i="12" s="1"/>
  <c r="F32" i="1"/>
  <c r="E32" i="1"/>
  <c r="D32" i="1"/>
  <c r="C32" i="1"/>
  <c r="F31" i="1"/>
  <c r="E31" i="1"/>
  <c r="D31" i="1"/>
  <c r="C31" i="1"/>
  <c r="F30" i="1"/>
  <c r="E30" i="1"/>
  <c r="D30" i="1"/>
  <c r="C30" i="1"/>
  <c r="F29" i="1"/>
  <c r="L20" i="23" s="1"/>
  <c r="E29" i="1"/>
  <c r="K20" i="23" s="1"/>
  <c r="D29" i="1"/>
  <c r="J20" i="23" s="1"/>
  <c r="C29" i="1"/>
  <c r="G80" i="12"/>
  <c r="I80" i="12" s="1"/>
  <c r="B28" i="2"/>
  <c r="I41" i="21" s="1"/>
  <c r="L41" i="21" s="1"/>
  <c r="O41" i="21" s="1"/>
  <c r="G79" i="12"/>
  <c r="I79" i="12" s="1"/>
  <c r="B28" i="1"/>
  <c r="G54" i="12" s="1"/>
  <c r="F47" i="12" l="1"/>
  <c r="H47" i="12" s="1"/>
  <c r="F15" i="20"/>
  <c r="G24" i="20"/>
  <c r="E15" i="21"/>
  <c r="G26" i="21"/>
  <c r="J26" i="21" s="1"/>
  <c r="M26" i="21" s="1"/>
  <c r="G3" i="21"/>
  <c r="J3" i="21" s="1"/>
  <c r="M3" i="21" s="1"/>
  <c r="H25" i="21"/>
  <c r="K25" i="21" s="1"/>
  <c r="N25" i="21" s="1"/>
  <c r="M51" i="23"/>
  <c r="M52" i="23"/>
  <c r="F52" i="21"/>
  <c r="F51" i="21"/>
  <c r="M15" i="23"/>
  <c r="K15" i="23"/>
  <c r="G51" i="12"/>
  <c r="I51" i="12" s="1"/>
  <c r="I50" i="21"/>
  <c r="L50" i="21" s="1"/>
  <c r="O50" i="21" s="1"/>
  <c r="I10" i="21"/>
  <c r="L10" i="21" s="1"/>
  <c r="O10" i="21" s="1"/>
  <c r="E52" i="21"/>
  <c r="E51" i="21"/>
  <c r="F15" i="12"/>
  <c r="H15" i="12" s="1"/>
  <c r="E15" i="23" a="1"/>
  <c r="E15" i="23" s="1"/>
  <c r="I15" i="23"/>
  <c r="F15" i="21"/>
  <c r="G2" i="21"/>
  <c r="J2" i="21" s="1"/>
  <c r="M2" i="21" s="1"/>
  <c r="H24" i="21"/>
  <c r="H31" i="21"/>
  <c r="K31" i="21" s="1"/>
  <c r="N31" i="21" s="1"/>
  <c r="G30" i="21"/>
  <c r="J30" i="21" s="1"/>
  <c r="M30" i="21" s="1"/>
  <c r="G32" i="21"/>
  <c r="J32" i="21" s="1"/>
  <c r="M32" i="21" s="1"/>
  <c r="H30" i="21"/>
  <c r="K30" i="21" s="1"/>
  <c r="N30" i="21" s="1"/>
  <c r="H32" i="21"/>
  <c r="K32" i="21" s="1"/>
  <c r="N32" i="21" s="1"/>
  <c r="B40" i="1"/>
  <c r="F53" i="12" s="1"/>
  <c r="F54" i="12" s="1"/>
  <c r="G19" i="12"/>
  <c r="I19" i="12" s="1"/>
  <c r="I54" i="12"/>
  <c r="G20" i="20"/>
  <c r="I20" i="20" s="1"/>
  <c r="E20" i="23" a="1"/>
  <c r="P20" i="23" s="1"/>
  <c r="G20" i="12"/>
  <c r="I20" i="12" s="1"/>
  <c r="I49" i="12"/>
  <c r="J49" i="12" s="1"/>
  <c r="K49" i="12" s="1"/>
  <c r="F58" i="12"/>
  <c r="J58" i="12" s="1"/>
  <c r="U58" i="12" s="1"/>
  <c r="B38" i="1"/>
  <c r="F19" i="20"/>
  <c r="J21" i="23"/>
  <c r="J19" i="23"/>
  <c r="P19" i="23" s="1"/>
  <c r="B42" i="1"/>
  <c r="F56" i="12" s="1"/>
  <c r="R47" i="23"/>
  <c r="S47" i="23" s="1"/>
  <c r="T47" i="23" s="1"/>
  <c r="B39" i="1"/>
  <c r="I46" i="23"/>
  <c r="R46" i="23" s="1"/>
  <c r="S46" i="23" s="1"/>
  <c r="T46" i="23" s="1"/>
  <c r="F28" i="20"/>
  <c r="F20" i="12"/>
  <c r="H20" i="12" s="1"/>
  <c r="H85" i="12" s="1"/>
  <c r="U85" i="12" s="1"/>
  <c r="E21" i="23" a="1"/>
  <c r="I20" i="23"/>
  <c r="G86" i="12"/>
  <c r="I86" i="12" s="1"/>
  <c r="G19" i="20"/>
  <c r="H28" i="20"/>
  <c r="I19" i="23"/>
  <c r="I21" i="23"/>
  <c r="F19" i="12"/>
  <c r="H19" i="12" s="1"/>
  <c r="H86" i="12" s="1"/>
  <c r="B34" i="1"/>
  <c r="L44" i="23"/>
  <c r="R44" i="23" s="1"/>
  <c r="S44" i="23" s="1"/>
  <c r="T44" i="23" s="1"/>
  <c r="L49" i="23"/>
  <c r="R49" i="23" s="1"/>
  <c r="S49" i="23" s="1"/>
  <c r="T49" i="23" s="1"/>
  <c r="F20" i="20"/>
  <c r="H20" i="20" s="1"/>
  <c r="G47" i="12"/>
  <c r="I47" i="12" s="1"/>
  <c r="M47" i="12" s="1"/>
  <c r="W47" i="12" s="1"/>
  <c r="K19" i="23"/>
  <c r="K21" i="23"/>
  <c r="L19" i="23"/>
  <c r="L21" i="23"/>
  <c r="J30" i="20"/>
  <c r="L30" i="20" s="1"/>
  <c r="F25" i="20"/>
  <c r="F26" i="20" s="1"/>
  <c r="J26" i="20" s="1"/>
  <c r="M30" i="20"/>
  <c r="J27" i="20"/>
  <c r="L27" i="20" s="1"/>
  <c r="M27" i="20"/>
  <c r="H23" i="20"/>
  <c r="H24" i="20" s="1"/>
  <c r="H25" i="20" s="1"/>
  <c r="F5" i="20"/>
  <c r="L5" i="20" s="1"/>
  <c r="I28" i="20"/>
  <c r="K19" i="21"/>
  <c r="N19" i="21" s="1"/>
  <c r="L17" i="21"/>
  <c r="O17" i="21" s="1"/>
  <c r="G12" i="21"/>
  <c r="J12" i="21" s="1"/>
  <c r="M12" i="21" s="1"/>
  <c r="L12" i="21"/>
  <c r="O12" i="21" s="1"/>
  <c r="H26" i="21"/>
  <c r="K26" i="21" s="1"/>
  <c r="N26" i="21" s="1"/>
  <c r="H29" i="21"/>
  <c r="K29" i="21" s="1"/>
  <c r="N29" i="21" s="1"/>
  <c r="G31" i="21"/>
  <c r="J31" i="21" s="1"/>
  <c r="M31" i="21" s="1"/>
  <c r="G29" i="21"/>
  <c r="J29" i="21" s="1"/>
  <c r="M29" i="21" s="1"/>
  <c r="L20" i="21"/>
  <c r="O20" i="21" s="1"/>
  <c r="L25" i="21"/>
  <c r="O25" i="21" s="1"/>
  <c r="L22" i="21"/>
  <c r="O22" i="21" s="1"/>
  <c r="G25" i="21"/>
  <c r="J25" i="21" s="1"/>
  <c r="M25" i="21" s="1"/>
  <c r="K24" i="21"/>
  <c r="N24" i="21" s="1"/>
  <c r="G5" i="21"/>
  <c r="J5" i="21" s="1"/>
  <c r="M5" i="21" s="1"/>
  <c r="G4" i="21"/>
  <c r="J4" i="21" s="1"/>
  <c r="M4" i="21" s="1"/>
  <c r="H19" i="21"/>
  <c r="L19" i="21"/>
  <c r="O19" i="21" s="1"/>
  <c r="L24" i="21"/>
  <c r="O24" i="21" s="1"/>
  <c r="G22" i="21"/>
  <c r="J22" i="21" s="1"/>
  <c r="M22" i="21" s="1"/>
  <c r="G6" i="21"/>
  <c r="J6" i="21" s="1"/>
  <c r="M6" i="21" s="1"/>
  <c r="H18" i="21"/>
  <c r="K18" i="21" s="1"/>
  <c r="N18" i="21" s="1"/>
  <c r="H15" i="21"/>
  <c r="K15" i="21" s="1"/>
  <c r="N15" i="21" s="1"/>
  <c r="H21" i="21"/>
  <c r="K21" i="21" s="1"/>
  <c r="N21" i="21" s="1"/>
  <c r="H20" i="21"/>
  <c r="K20" i="21" s="1"/>
  <c r="N20" i="21" s="1"/>
  <c r="G10" i="21"/>
  <c r="J10" i="21" s="1"/>
  <c r="M10" i="21" s="1"/>
  <c r="G21" i="21"/>
  <c r="J21" i="21" s="1"/>
  <c r="M21" i="21" s="1"/>
  <c r="G19" i="21"/>
  <c r="J19" i="21" s="1"/>
  <c r="M19" i="21" s="1"/>
  <c r="G20" i="21"/>
  <c r="J20" i="21" s="1"/>
  <c r="M20" i="21" s="1"/>
  <c r="H5" i="21"/>
  <c r="K5" i="21" s="1"/>
  <c r="N5" i="21" s="1"/>
  <c r="H4" i="21"/>
  <c r="K4" i="21" s="1"/>
  <c r="N4" i="21" s="1"/>
  <c r="H10" i="21"/>
  <c r="K10" i="21" s="1"/>
  <c r="N10" i="21" s="1"/>
  <c r="H22" i="21"/>
  <c r="K22" i="21" s="1"/>
  <c r="N22" i="21" s="1"/>
  <c r="H3" i="21"/>
  <c r="K3" i="21" s="1"/>
  <c r="N3" i="21" s="1"/>
  <c r="H12" i="21"/>
  <c r="K12" i="21" s="1"/>
  <c r="N12" i="21" s="1"/>
  <c r="G18" i="21"/>
  <c r="J18" i="21" s="1"/>
  <c r="M18" i="21" s="1"/>
  <c r="H2" i="21"/>
  <c r="K2" i="21" s="1"/>
  <c r="N2" i="21" s="1"/>
  <c r="H17" i="21"/>
  <c r="K17" i="21" s="1"/>
  <c r="N17" i="21" s="1"/>
  <c r="H6" i="21"/>
  <c r="K6" i="21" s="1"/>
  <c r="N6" i="21" s="1"/>
  <c r="G17" i="21"/>
  <c r="J17" i="21" s="1"/>
  <c r="M17" i="21" s="1"/>
  <c r="G24" i="21"/>
  <c r="J24" i="21" s="1"/>
  <c r="M24" i="21" s="1"/>
  <c r="J13" i="20"/>
  <c r="L13" i="20" s="1"/>
  <c r="I2" i="20"/>
  <c r="K2" i="20" s="1"/>
  <c r="M12" i="20"/>
  <c r="L3" i="20"/>
  <c r="K3" i="20"/>
  <c r="M3" i="20"/>
  <c r="L2" i="20"/>
  <c r="L10" i="20"/>
  <c r="M13" i="20"/>
  <c r="H7" i="20"/>
  <c r="I7" i="20"/>
  <c r="J12" i="20"/>
  <c r="L12" i="20" s="1"/>
  <c r="N37" i="20"/>
  <c r="N41" i="20"/>
  <c r="N33" i="20"/>
  <c r="K35" i="20"/>
  <c r="N35" i="20" s="1"/>
  <c r="K39" i="20"/>
  <c r="N39" i="20" s="1"/>
  <c r="K43" i="20"/>
  <c r="N43" i="20" s="1"/>
  <c r="K49" i="20"/>
  <c r="N49" i="20" s="1"/>
  <c r="K53" i="20"/>
  <c r="N53" i="20" s="1"/>
  <c r="K55" i="20"/>
  <c r="N55" i="20" s="1"/>
  <c r="I13" i="18"/>
  <c r="L11" i="20"/>
  <c r="I11" i="20"/>
  <c r="L4" i="20"/>
  <c r="M26" i="20"/>
  <c r="H10" i="20"/>
  <c r="H16" i="20" s="1"/>
  <c r="F16" i="20"/>
  <c r="Q22" i="19"/>
  <c r="G12" i="19" s="1"/>
  <c r="Q6" i="19"/>
  <c r="G3" i="19" s="1"/>
  <c r="Q21" i="19"/>
  <c r="G11" i="19" s="1"/>
  <c r="Q13" i="19"/>
  <c r="J6" i="19" s="1"/>
  <c r="Q5" i="19"/>
  <c r="D6" i="19" s="1"/>
  <c r="Q28" i="19"/>
  <c r="M10" i="19" s="1"/>
  <c r="K9" i="19" s="1"/>
  <c r="Q4" i="19"/>
  <c r="D5" i="19" s="1"/>
  <c r="Q27" i="19"/>
  <c r="J13" i="19" s="1"/>
  <c r="Q19" i="19"/>
  <c r="D13" i="19" s="1"/>
  <c r="Q11" i="19"/>
  <c r="J4" i="19" s="1"/>
  <c r="Q3" i="19"/>
  <c r="D4" i="19" s="1"/>
  <c r="Q7" i="19"/>
  <c r="G4" i="19" s="1"/>
  <c r="Q14" i="19"/>
  <c r="M3" i="19" s="1"/>
  <c r="Q20" i="19"/>
  <c r="G10" i="19" s="1"/>
  <c r="E23" i="19" s="1"/>
  <c r="Q12" i="19"/>
  <c r="J5" i="19" s="1"/>
  <c r="Q26" i="19"/>
  <c r="J12" i="19" s="1"/>
  <c r="Q18" i="19"/>
  <c r="D11" i="19" s="1"/>
  <c r="Q10" i="19"/>
  <c r="J3" i="19" s="1"/>
  <c r="Q25" i="19"/>
  <c r="J11" i="19" s="1"/>
  <c r="Q17" i="19"/>
  <c r="D10" i="19" s="1"/>
  <c r="Q9" i="19"/>
  <c r="G6" i="19" s="1"/>
  <c r="Q2" i="19"/>
  <c r="D3" i="19" s="1"/>
  <c r="Q24" i="19"/>
  <c r="J10" i="19" s="1"/>
  <c r="H23" i="19" s="1"/>
  <c r="Q16" i="19"/>
  <c r="M6" i="19" s="1"/>
  <c r="R50" i="12" a="1"/>
  <c r="R50" i="12" s="1"/>
  <c r="R43" i="12" a="1"/>
  <c r="R43" i="12" s="1"/>
  <c r="R37" i="12" a="1"/>
  <c r="R37" i="12" s="1"/>
  <c r="R36" i="12" a="1"/>
  <c r="R36" i="12" s="1"/>
  <c r="O14" i="14"/>
  <c r="U102" i="12"/>
  <c r="U101" i="12"/>
  <c r="U109" i="12"/>
  <c r="U118" i="12"/>
  <c r="K95" i="12"/>
  <c r="K99" i="12"/>
  <c r="U111" i="12"/>
  <c r="U103" i="12"/>
  <c r="K108" i="12"/>
  <c r="U75" i="12"/>
  <c r="U100" i="12"/>
  <c r="K107" i="12"/>
  <c r="U74" i="12"/>
  <c r="U114" i="12"/>
  <c r="U106" i="12"/>
  <c r="U98" i="12"/>
  <c r="U113" i="12"/>
  <c r="U105" i="12"/>
  <c r="U97" i="12"/>
  <c r="U112" i="12"/>
  <c r="U104" i="12"/>
  <c r="U96" i="12"/>
  <c r="I32" i="12"/>
  <c r="K115" i="12"/>
  <c r="K116" i="12"/>
  <c r="I52" i="12"/>
  <c r="B30" i="2"/>
  <c r="G15" i="12"/>
  <c r="J48" i="12"/>
  <c r="K48" i="12" s="1"/>
  <c r="M58" i="12"/>
  <c r="W58" i="12" s="1"/>
  <c r="M48" i="12"/>
  <c r="W48" i="12" s="1"/>
  <c r="J7" i="12"/>
  <c r="K7" i="12" s="1"/>
  <c r="J45" i="12"/>
  <c r="U45" i="12" s="1"/>
  <c r="M45" i="12"/>
  <c r="W45" i="12" s="1"/>
  <c r="M7" i="12"/>
  <c r="W7" i="12" s="1"/>
  <c r="I42" i="12"/>
  <c r="G35" i="12"/>
  <c r="I35" i="12" s="1"/>
  <c r="H42" i="12"/>
  <c r="J46" i="12"/>
  <c r="M46" i="12"/>
  <c r="W46" i="12" s="1"/>
  <c r="H41" i="12"/>
  <c r="I41" i="12"/>
  <c r="J12" i="12"/>
  <c r="K12" i="12" s="1"/>
  <c r="F28" i="12"/>
  <c r="B32" i="1"/>
  <c r="B30" i="1"/>
  <c r="B31" i="1"/>
  <c r="H90" i="12"/>
  <c r="B29" i="1"/>
  <c r="I72" i="12"/>
  <c r="I70" i="12"/>
  <c r="F32" i="12"/>
  <c r="I71" i="12"/>
  <c r="G71" i="12"/>
  <c r="F34" i="12" s="1"/>
  <c r="F35" i="12" s="1"/>
  <c r="F38" i="12" s="1"/>
  <c r="B27" i="2"/>
  <c r="B26" i="2"/>
  <c r="I89" i="12"/>
  <c r="G89" i="12"/>
  <c r="I30" i="12"/>
  <c r="H30" i="12"/>
  <c r="I27" i="12"/>
  <c r="H27" i="12"/>
  <c r="G27" i="12"/>
  <c r="G28" i="12" s="1"/>
  <c r="F27" i="12"/>
  <c r="I26" i="12"/>
  <c r="H26" i="12"/>
  <c r="G26" i="12"/>
  <c r="I24" i="12"/>
  <c r="G24" i="12"/>
  <c r="F23" i="12"/>
  <c r="G18" i="12"/>
  <c r="F18" i="12"/>
  <c r="H18" i="20" s="1"/>
  <c r="G17" i="12"/>
  <c r="F17" i="12"/>
  <c r="H17" i="20" s="1"/>
  <c r="F14" i="12"/>
  <c r="H14" i="20" s="1"/>
  <c r="J10" i="12"/>
  <c r="G11" i="12"/>
  <c r="I11" i="12" s="1"/>
  <c r="J5" i="12"/>
  <c r="J3" i="12"/>
  <c r="J4" i="12"/>
  <c r="J2" i="12"/>
  <c r="I13" i="12"/>
  <c r="G4" i="12"/>
  <c r="I4" i="20" s="1"/>
  <c r="F11" i="12"/>
  <c r="H2" i="12"/>
  <c r="F79" i="12"/>
  <c r="AF2" i="12"/>
  <c r="F25" i="2"/>
  <c r="E25" i="2"/>
  <c r="D25" i="2"/>
  <c r="C25" i="2"/>
  <c r="B24" i="2"/>
  <c r="B23" i="2"/>
  <c r="B22" i="2"/>
  <c r="F20" i="2"/>
  <c r="E20" i="2"/>
  <c r="D20" i="2"/>
  <c r="C20" i="2"/>
  <c r="B20" i="2"/>
  <c r="F18" i="2"/>
  <c r="E18" i="2"/>
  <c r="D18" i="2"/>
  <c r="C18" i="2"/>
  <c r="B16" i="2"/>
  <c r="I18" i="21" s="1"/>
  <c r="L18" i="21" s="1"/>
  <c r="O18" i="21" s="1"/>
  <c r="F15" i="2"/>
  <c r="E15" i="2"/>
  <c r="C15" i="2"/>
  <c r="B15" i="2"/>
  <c r="B10" i="2"/>
  <c r="F5" i="12"/>
  <c r="H5" i="20" s="1"/>
  <c r="H9" i="20" s="1"/>
  <c r="B2" i="2"/>
  <c r="F51" i="12" l="1"/>
  <c r="F52" i="12" s="1"/>
  <c r="H51" i="12"/>
  <c r="H52" i="12" s="1"/>
  <c r="M86" i="12"/>
  <c r="R52" i="23"/>
  <c r="S52" i="23" s="1"/>
  <c r="T52" i="23" s="1"/>
  <c r="R51" i="23"/>
  <c r="S51" i="23" s="1"/>
  <c r="T51" i="23" s="1"/>
  <c r="G15" i="21"/>
  <c r="J15" i="21" s="1"/>
  <c r="M15" i="21" s="1"/>
  <c r="H15" i="20"/>
  <c r="F23" i="21"/>
  <c r="J37" i="23"/>
  <c r="J39" i="23"/>
  <c r="I39" i="21"/>
  <c r="I37" i="21"/>
  <c r="I26" i="21"/>
  <c r="L26" i="21" s="1"/>
  <c r="O26" i="21" s="1"/>
  <c r="R15" i="23"/>
  <c r="S15" i="23" s="1"/>
  <c r="T15" i="23" s="1"/>
  <c r="N15" i="23"/>
  <c r="I39" i="23"/>
  <c r="I37" i="23"/>
  <c r="E39" i="21"/>
  <c r="E37" i="21"/>
  <c r="I31" i="21"/>
  <c r="L31" i="21" s="1"/>
  <c r="O31" i="21" s="1"/>
  <c r="I29" i="21"/>
  <c r="L29" i="21" s="1"/>
  <c r="O29" i="21" s="1"/>
  <c r="I4" i="21"/>
  <c r="L4" i="21" s="1"/>
  <c r="O4" i="21" s="1"/>
  <c r="I2" i="21"/>
  <c r="L2" i="21" s="1"/>
  <c r="O2" i="21" s="1"/>
  <c r="E23" i="23" a="1"/>
  <c r="E23" i="23" s="1"/>
  <c r="E23" i="21"/>
  <c r="L39" i="23"/>
  <c r="L37" i="23"/>
  <c r="I30" i="21"/>
  <c r="L30" i="21" s="1"/>
  <c r="O30" i="21" s="1"/>
  <c r="I32" i="21"/>
  <c r="L32" i="21" s="1"/>
  <c r="O32" i="21" s="1"/>
  <c r="G55" i="12"/>
  <c r="G56" i="12" s="1"/>
  <c r="I52" i="21"/>
  <c r="L52" i="21" s="1"/>
  <c r="O52" i="21" s="1"/>
  <c r="I51" i="21"/>
  <c r="L51" i="21" s="1"/>
  <c r="O51" i="21" s="1"/>
  <c r="H51" i="21"/>
  <c r="K51" i="21" s="1"/>
  <c r="N51" i="21" s="1"/>
  <c r="G51" i="21"/>
  <c r="J51" i="21" s="1"/>
  <c r="M51" i="21" s="1"/>
  <c r="P15" i="23"/>
  <c r="M37" i="23"/>
  <c r="M39" i="23"/>
  <c r="K37" i="23"/>
  <c r="K39" i="23"/>
  <c r="F39" i="21"/>
  <c r="F37" i="21"/>
  <c r="G52" i="21"/>
  <c r="J52" i="21" s="1"/>
  <c r="M52" i="21" s="1"/>
  <c r="H52" i="21"/>
  <c r="K52" i="21" s="1"/>
  <c r="N52" i="21" s="1"/>
  <c r="Q15" i="23"/>
  <c r="O15" i="23"/>
  <c r="I19" i="20"/>
  <c r="E20" i="23"/>
  <c r="O20" i="23" s="1"/>
  <c r="M20" i="20"/>
  <c r="J20" i="12"/>
  <c r="K20" i="12" s="1"/>
  <c r="N20" i="12" s="1"/>
  <c r="R20" i="12" s="1" a="1"/>
  <c r="R20" i="12" s="1"/>
  <c r="H19" i="20"/>
  <c r="Q20" i="23"/>
  <c r="F86" i="12"/>
  <c r="J86" i="12" s="1"/>
  <c r="K86" i="12" s="1"/>
  <c r="M19" i="12"/>
  <c r="W19" i="12" s="1"/>
  <c r="J19" i="12"/>
  <c r="K19" i="12" s="1"/>
  <c r="N19" i="12" s="1"/>
  <c r="P19" i="12" s="1"/>
  <c r="M49" i="12"/>
  <c r="W49" i="12" s="1"/>
  <c r="H56" i="12"/>
  <c r="F85" i="12"/>
  <c r="J20" i="20"/>
  <c r="L20" i="20" s="1"/>
  <c r="M28" i="20"/>
  <c r="M20" i="12"/>
  <c r="W20" i="12" s="1"/>
  <c r="J47" i="12"/>
  <c r="K47" i="12" s="1"/>
  <c r="E21" i="23"/>
  <c r="O21" i="23" s="1"/>
  <c r="Q21" i="23"/>
  <c r="G90" i="12"/>
  <c r="I90" i="12"/>
  <c r="M90" i="12" s="1"/>
  <c r="R21" i="23"/>
  <c r="S21" i="23" s="1"/>
  <c r="T21" i="23" s="1"/>
  <c r="R19" i="23"/>
  <c r="S19" i="23" s="1"/>
  <c r="T19" i="23" s="1"/>
  <c r="N19" i="23"/>
  <c r="P21" i="23"/>
  <c r="R20" i="23"/>
  <c r="S20" i="23" s="1"/>
  <c r="T20" i="23" s="1"/>
  <c r="N20" i="23"/>
  <c r="K30" i="20"/>
  <c r="N30" i="20" s="1"/>
  <c r="O30" i="20" s="1" a="1"/>
  <c r="O30" i="20" s="1"/>
  <c r="J24" i="20"/>
  <c r="L24" i="20" s="1"/>
  <c r="M24" i="20"/>
  <c r="K27" i="20"/>
  <c r="N27" i="20" s="1"/>
  <c r="O27" i="20" s="1" a="1"/>
  <c r="O27" i="20" s="1"/>
  <c r="L26" i="20"/>
  <c r="K26" i="20"/>
  <c r="N26" i="20" s="1"/>
  <c r="O26" i="20" s="1" a="1"/>
  <c r="O26" i="20" s="1"/>
  <c r="G21" i="20"/>
  <c r="G25" i="12"/>
  <c r="G25" i="20"/>
  <c r="I25" i="20"/>
  <c r="M25" i="20" s="1"/>
  <c r="F21" i="20"/>
  <c r="J28" i="20"/>
  <c r="X58" i="12"/>
  <c r="X48" i="12"/>
  <c r="X7" i="12"/>
  <c r="X47" i="12"/>
  <c r="X45" i="12"/>
  <c r="X46" i="12"/>
  <c r="F25" i="12"/>
  <c r="F26" i="12" s="1"/>
  <c r="F24" i="12"/>
  <c r="L115" i="12"/>
  <c r="N115" i="12" s="1"/>
  <c r="R115" i="12" s="1"/>
  <c r="L10" i="18" s="1"/>
  <c r="K12" i="20"/>
  <c r="N12" i="20" s="1"/>
  <c r="O12" i="20" s="1" a="1"/>
  <c r="O12" i="20" s="1"/>
  <c r="M2" i="20"/>
  <c r="N2" i="20" s="1"/>
  <c r="O2" i="20" s="1" a="1"/>
  <c r="O2" i="20" s="1"/>
  <c r="N3" i="20"/>
  <c r="O3" i="20" s="1" a="1"/>
  <c r="O3" i="20" s="1"/>
  <c r="B23" i="19"/>
  <c r="K13" i="20"/>
  <c r="N13" i="20" s="1"/>
  <c r="O13" i="20" s="1" a="1"/>
  <c r="O13" i="20" s="1"/>
  <c r="E9" i="19"/>
  <c r="B9" i="19"/>
  <c r="H9" i="19"/>
  <c r="B2" i="19"/>
  <c r="K23" i="19"/>
  <c r="J7" i="20"/>
  <c r="L7" i="20" s="1"/>
  <c r="N99" i="12"/>
  <c r="R99" i="12" s="1"/>
  <c r="C13" i="18" s="1"/>
  <c r="T7" i="12"/>
  <c r="I28" i="12"/>
  <c r="J28" i="12" s="1"/>
  <c r="U28" i="12" s="1"/>
  <c r="T12" i="12"/>
  <c r="I17" i="12"/>
  <c r="I17" i="20"/>
  <c r="J17" i="20" s="1"/>
  <c r="L17" i="20" s="1"/>
  <c r="I18" i="12"/>
  <c r="I18" i="20"/>
  <c r="J18" i="20" s="1"/>
  <c r="L18" i="20" s="1"/>
  <c r="M7" i="20"/>
  <c r="U48" i="12"/>
  <c r="I15" i="12"/>
  <c r="J15" i="12" s="1"/>
  <c r="U15" i="12" s="1"/>
  <c r="I15" i="20"/>
  <c r="U49" i="12"/>
  <c r="J16" i="20"/>
  <c r="M16" i="20"/>
  <c r="M10" i="20"/>
  <c r="K10" i="20"/>
  <c r="M11" i="20"/>
  <c r="K11" i="20"/>
  <c r="L13" i="19"/>
  <c r="L27" i="19"/>
  <c r="U12" i="12"/>
  <c r="I25" i="19"/>
  <c r="I11" i="19"/>
  <c r="I10" i="19"/>
  <c r="I24" i="19"/>
  <c r="U7" i="12"/>
  <c r="K46" i="12"/>
  <c r="U46" i="12"/>
  <c r="K2" i="19"/>
  <c r="H2" i="19"/>
  <c r="E2" i="19"/>
  <c r="K58" i="12"/>
  <c r="H70" i="12"/>
  <c r="M70" i="12" s="1"/>
  <c r="L116" i="12"/>
  <c r="N116" i="12" s="1"/>
  <c r="R116" i="12" s="1"/>
  <c r="L98" i="12"/>
  <c r="N98" i="12" s="1"/>
  <c r="R98" i="12" s="1"/>
  <c r="L106" i="12"/>
  <c r="L95" i="12"/>
  <c r="N95" i="12" s="1"/>
  <c r="R95" i="12" s="1"/>
  <c r="L104" i="12"/>
  <c r="L97" i="12"/>
  <c r="N97" i="12" s="1"/>
  <c r="R97" i="12" s="1"/>
  <c r="L105" i="12"/>
  <c r="L114" i="12"/>
  <c r="L99" i="12"/>
  <c r="L107" i="12"/>
  <c r="N107" i="12" s="1"/>
  <c r="R107" i="12" s="1"/>
  <c r="L103" i="12"/>
  <c r="L112" i="12"/>
  <c r="N112" i="12" s="1"/>
  <c r="R112" i="12" s="1"/>
  <c r="L96" i="12"/>
  <c r="L113" i="12"/>
  <c r="N113" i="12" s="1"/>
  <c r="R113" i="12" s="1"/>
  <c r="L100" i="12"/>
  <c r="L108" i="12"/>
  <c r="N108" i="12" s="1"/>
  <c r="R108" i="12" s="1"/>
  <c r="L102" i="12"/>
  <c r="N102" i="12" s="1"/>
  <c r="R102" i="12" s="1"/>
  <c r="L101" i="12"/>
  <c r="L109" i="12"/>
  <c r="N109" i="12" s="1"/>
  <c r="R109" i="12" s="1"/>
  <c r="L111" i="12"/>
  <c r="N111" i="12" s="1"/>
  <c r="R111" i="12" s="1"/>
  <c r="L118" i="12"/>
  <c r="H35" i="12"/>
  <c r="H33" i="12"/>
  <c r="F90" i="12"/>
  <c r="F89" i="12"/>
  <c r="H11" i="12"/>
  <c r="U11" i="12" s="1"/>
  <c r="H32" i="12"/>
  <c r="H23" i="12"/>
  <c r="F44" i="12"/>
  <c r="H34" i="12"/>
  <c r="F33" i="12"/>
  <c r="G39" i="12"/>
  <c r="I55" i="12"/>
  <c r="L58" i="12"/>
  <c r="L7" i="12"/>
  <c r="N7" i="12" s="1"/>
  <c r="L45" i="12"/>
  <c r="L48" i="12"/>
  <c r="N48" i="12" s="1"/>
  <c r="P48" i="12" s="1"/>
  <c r="M42" i="12"/>
  <c r="W42" i="12" s="1"/>
  <c r="L49" i="12"/>
  <c r="K45" i="12"/>
  <c r="J42" i="12"/>
  <c r="L42" i="12" s="1"/>
  <c r="J41" i="12"/>
  <c r="K41" i="12" s="1"/>
  <c r="M41" i="12"/>
  <c r="W41" i="12" s="1"/>
  <c r="L46" i="12"/>
  <c r="H18" i="12"/>
  <c r="F84" i="12"/>
  <c r="H17" i="12"/>
  <c r="F83" i="12"/>
  <c r="B3" i="2"/>
  <c r="G5" i="12"/>
  <c r="I4" i="12"/>
  <c r="B6" i="2"/>
  <c r="B5" i="2"/>
  <c r="B18" i="2"/>
  <c r="B7" i="2"/>
  <c r="B4" i="2"/>
  <c r="B9" i="2"/>
  <c r="H13" i="12"/>
  <c r="F80" i="12"/>
  <c r="G73" i="12"/>
  <c r="G21" i="12"/>
  <c r="J27" i="12"/>
  <c r="K27" i="12" s="1"/>
  <c r="G72" i="12"/>
  <c r="H89" i="12"/>
  <c r="I25" i="12"/>
  <c r="M26" i="12"/>
  <c r="W26" i="12" s="1"/>
  <c r="F4" i="12"/>
  <c r="I10" i="12"/>
  <c r="F21" i="12"/>
  <c r="H21" i="20" s="1"/>
  <c r="F70" i="12"/>
  <c r="F72" i="12" s="1"/>
  <c r="F78" i="12"/>
  <c r="J30" i="12"/>
  <c r="K30" i="12" s="1"/>
  <c r="M30" i="12"/>
  <c r="W30" i="12" s="1"/>
  <c r="M27" i="12"/>
  <c r="W27" i="12" s="1"/>
  <c r="F71" i="12"/>
  <c r="F73" i="12" s="1"/>
  <c r="H5" i="12"/>
  <c r="F9" i="12"/>
  <c r="F16" i="12"/>
  <c r="H3" i="12"/>
  <c r="H10" i="12"/>
  <c r="H14" i="12"/>
  <c r="I2" i="12"/>
  <c r="U2" i="12" s="1"/>
  <c r="L2" i="12"/>
  <c r="L10" i="12"/>
  <c r="L19" i="12"/>
  <c r="L11" i="12"/>
  <c r="L3" i="12"/>
  <c r="M51" i="12" l="1"/>
  <c r="W51" i="12" s="1"/>
  <c r="N49" i="12"/>
  <c r="P49" i="12" s="1"/>
  <c r="J51" i="12"/>
  <c r="U51" i="12" s="1"/>
  <c r="J52" i="12"/>
  <c r="U52" i="12" s="1"/>
  <c r="L47" i="12"/>
  <c r="N47" i="12" s="1"/>
  <c r="P47" i="12" s="1"/>
  <c r="H53" i="12"/>
  <c r="M53" i="12" s="1"/>
  <c r="W53" i="12" s="1"/>
  <c r="M52" i="12"/>
  <c r="W52" i="12" s="1"/>
  <c r="X19" i="12"/>
  <c r="U47" i="12"/>
  <c r="P23" i="23"/>
  <c r="I4" i="19"/>
  <c r="X51" i="12"/>
  <c r="L86" i="12"/>
  <c r="N86" i="12" s="1"/>
  <c r="X20" i="12"/>
  <c r="J19" i="20"/>
  <c r="L19" i="20" s="1"/>
  <c r="G23" i="12"/>
  <c r="I23" i="21"/>
  <c r="L23" i="21" s="1"/>
  <c r="O23" i="21" s="1"/>
  <c r="G23" i="20"/>
  <c r="I23" i="20"/>
  <c r="G39" i="21"/>
  <c r="J39" i="21" s="1"/>
  <c r="M39" i="21" s="1"/>
  <c r="H39" i="21"/>
  <c r="K39" i="21" s="1"/>
  <c r="N39" i="21" s="1"/>
  <c r="L39" i="21"/>
  <c r="O39" i="21" s="1"/>
  <c r="R37" i="23"/>
  <c r="S37" i="23" s="1"/>
  <c r="T37" i="23" s="1"/>
  <c r="R39" i="23"/>
  <c r="S39" i="23" s="1"/>
  <c r="T39" i="23" s="1"/>
  <c r="R23" i="23"/>
  <c r="S23" i="23" s="1"/>
  <c r="T23" i="23" s="1"/>
  <c r="U12" i="23" s="1"/>
  <c r="N23" i="23"/>
  <c r="Q23" i="23"/>
  <c r="O23" i="23"/>
  <c r="G14" i="12"/>
  <c r="I14" i="12" s="1"/>
  <c r="J14" i="12" s="1"/>
  <c r="K14" i="12" s="1"/>
  <c r="N14" i="12" s="1"/>
  <c r="I15" i="21"/>
  <c r="L15" i="21" s="1"/>
  <c r="O15" i="21" s="1"/>
  <c r="G14" i="20"/>
  <c r="L16" i="20" s="1"/>
  <c r="I3" i="21"/>
  <c r="L3" i="21" s="1"/>
  <c r="O3" i="21" s="1"/>
  <c r="I5" i="21"/>
  <c r="L5" i="21" s="1"/>
  <c r="O5" i="21" s="1"/>
  <c r="T19" i="12"/>
  <c r="I6" i="21"/>
  <c r="L6" i="21" s="1"/>
  <c r="O6" i="21" s="1"/>
  <c r="G6" i="12"/>
  <c r="I6" i="12" s="1"/>
  <c r="G23" i="21"/>
  <c r="J23" i="21" s="1"/>
  <c r="M23" i="21" s="1"/>
  <c r="H23" i="21"/>
  <c r="K23" i="21" s="1"/>
  <c r="N23" i="21" s="1"/>
  <c r="L37" i="21"/>
  <c r="O37" i="21" s="1"/>
  <c r="G37" i="21"/>
  <c r="J37" i="21" s="1"/>
  <c r="M37" i="21" s="1"/>
  <c r="H37" i="21"/>
  <c r="K37" i="21" s="1"/>
  <c r="N37" i="21" s="1"/>
  <c r="L20" i="12"/>
  <c r="T20" i="12"/>
  <c r="U86" i="12"/>
  <c r="K20" i="20"/>
  <c r="N20" i="20" s="1"/>
  <c r="O20" i="20" s="1" a="1"/>
  <c r="O20" i="20" s="1"/>
  <c r="P20" i="12"/>
  <c r="U20" i="12"/>
  <c r="U19" i="12"/>
  <c r="M19" i="20"/>
  <c r="N21" i="23"/>
  <c r="R19" i="12" a="1"/>
  <c r="R19" i="12" s="1"/>
  <c r="I4" i="18" s="1"/>
  <c r="J90" i="12"/>
  <c r="K90" i="12" s="1"/>
  <c r="N90" i="12" s="1"/>
  <c r="X49" i="12"/>
  <c r="K24" i="20"/>
  <c r="N24" i="20" s="1"/>
  <c r="O24" i="20" s="1" a="1"/>
  <c r="O24" i="20" s="1"/>
  <c r="J25" i="20"/>
  <c r="L25" i="20" s="1"/>
  <c r="L28" i="20"/>
  <c r="K28" i="20"/>
  <c r="X41" i="12"/>
  <c r="X26" i="12"/>
  <c r="X27" i="12"/>
  <c r="X42" i="12"/>
  <c r="X30" i="12"/>
  <c r="R48" i="12" a="1"/>
  <c r="R48" i="12" s="1"/>
  <c r="R7" i="12" a="1"/>
  <c r="R7" i="12" s="1"/>
  <c r="P7" i="12"/>
  <c r="N11" i="20"/>
  <c r="O11" i="20" s="1" a="1"/>
  <c r="O11" i="20" s="1"/>
  <c r="K7" i="20"/>
  <c r="N7" i="20" s="1"/>
  <c r="O7" i="20" s="1" a="1"/>
  <c r="O7" i="20" s="1"/>
  <c r="N10" i="20"/>
  <c r="O10" i="20" s="1" a="1"/>
  <c r="O10" i="20" s="1"/>
  <c r="L3" i="19"/>
  <c r="I6" i="19"/>
  <c r="K11" i="12"/>
  <c r="U10" i="12"/>
  <c r="L6" i="19"/>
  <c r="C58" i="14"/>
  <c r="N118" i="12"/>
  <c r="R118" i="12" s="1"/>
  <c r="L13" i="18" s="1"/>
  <c r="N96" i="12"/>
  <c r="R96" i="12" s="1"/>
  <c r="C59" i="14" s="1"/>
  <c r="N104" i="12"/>
  <c r="R104" i="12" s="1"/>
  <c r="F13" i="18" s="1"/>
  <c r="T27" i="12"/>
  <c r="N46" i="12"/>
  <c r="P46" i="12" s="1"/>
  <c r="T10" i="12"/>
  <c r="I21" i="12"/>
  <c r="I21" i="20"/>
  <c r="J21" i="20" s="1"/>
  <c r="L21" i="20" s="1"/>
  <c r="M18" i="20"/>
  <c r="K18" i="20"/>
  <c r="M28" i="12"/>
  <c r="W28" i="12" s="1"/>
  <c r="T28" i="12"/>
  <c r="N103" i="12"/>
  <c r="R103" i="12" s="1"/>
  <c r="F12" i="18" s="1"/>
  <c r="N101" i="12"/>
  <c r="R101" i="12" s="1"/>
  <c r="F11" i="18" s="1"/>
  <c r="I11" i="18"/>
  <c r="L11" i="18"/>
  <c r="M15" i="20"/>
  <c r="J15" i="20"/>
  <c r="T11" i="12"/>
  <c r="I5" i="12"/>
  <c r="T5" i="12" s="1"/>
  <c r="I5" i="20"/>
  <c r="N106" i="12"/>
  <c r="R106" i="12" s="1"/>
  <c r="I10" i="18" s="1"/>
  <c r="M2" i="12"/>
  <c r="W2" i="12" s="1"/>
  <c r="T2" i="12"/>
  <c r="N100" i="12"/>
  <c r="R100" i="12" s="1"/>
  <c r="F10" i="18" s="1"/>
  <c r="M15" i="12"/>
  <c r="W15" i="12" s="1"/>
  <c r="T15" i="12"/>
  <c r="L4" i="12"/>
  <c r="H4" i="20"/>
  <c r="U27" i="12"/>
  <c r="M17" i="20"/>
  <c r="K17" i="20"/>
  <c r="K16" i="20"/>
  <c r="I12" i="18"/>
  <c r="U30" i="12"/>
  <c r="C11" i="18"/>
  <c r="F12" i="19"/>
  <c r="F26" i="19"/>
  <c r="U42" i="12"/>
  <c r="U41" i="12"/>
  <c r="N58" i="12"/>
  <c r="P58" i="12" s="1"/>
  <c r="K28" i="12"/>
  <c r="J34" i="12"/>
  <c r="K34" i="12" s="1"/>
  <c r="H38" i="12"/>
  <c r="H83" i="12"/>
  <c r="U83" i="12" s="1"/>
  <c r="M33" i="12"/>
  <c r="W33" i="12" s="1"/>
  <c r="H80" i="12"/>
  <c r="J80" i="12" s="1"/>
  <c r="L80" i="12" s="1"/>
  <c r="H84" i="12"/>
  <c r="J84" i="12" s="1"/>
  <c r="L84" i="12" s="1"/>
  <c r="H24" i="12"/>
  <c r="J24" i="12" s="1"/>
  <c r="K24" i="12" s="1"/>
  <c r="H71" i="12"/>
  <c r="J71" i="12" s="1"/>
  <c r="K71" i="12" s="1"/>
  <c r="N71" i="12" s="1"/>
  <c r="H9" i="12"/>
  <c r="I38" i="12"/>
  <c r="H16" i="12"/>
  <c r="K15" i="12"/>
  <c r="N15" i="12" s="1"/>
  <c r="H78" i="12"/>
  <c r="M35" i="12"/>
  <c r="W35" i="12" s="1"/>
  <c r="J35" i="12"/>
  <c r="K35" i="12" s="1"/>
  <c r="M34" i="12"/>
  <c r="W34" i="12" s="1"/>
  <c r="H44" i="12"/>
  <c r="J32" i="12"/>
  <c r="K32" i="12" s="1"/>
  <c r="M32" i="12"/>
  <c r="W32" i="12" s="1"/>
  <c r="N45" i="12"/>
  <c r="P45" i="12" s="1"/>
  <c r="F77" i="12"/>
  <c r="G77" i="12" s="1"/>
  <c r="F39" i="12" s="1"/>
  <c r="F40" i="12" s="1"/>
  <c r="G16" i="12"/>
  <c r="J89" i="12"/>
  <c r="K89" i="12" s="1"/>
  <c r="J33" i="12"/>
  <c r="U33" i="12" s="1"/>
  <c r="G38" i="12"/>
  <c r="I56" i="12"/>
  <c r="M55" i="12"/>
  <c r="W55" i="12" s="1"/>
  <c r="J55" i="12"/>
  <c r="U55" i="12" s="1"/>
  <c r="I39" i="12"/>
  <c r="G40" i="12"/>
  <c r="K52" i="12"/>
  <c r="L52" i="12"/>
  <c r="K42" i="12"/>
  <c r="L41" i="12"/>
  <c r="N41" i="12" s="1"/>
  <c r="P41" i="12" s="1"/>
  <c r="M17" i="12"/>
  <c r="W17" i="12" s="1"/>
  <c r="H21" i="12"/>
  <c r="F87" i="12"/>
  <c r="M18" i="12"/>
  <c r="W18" i="12" s="1"/>
  <c r="J18" i="12"/>
  <c r="L18" i="12" s="1"/>
  <c r="J17" i="12"/>
  <c r="K17" i="12" s="1"/>
  <c r="L28" i="12"/>
  <c r="I3" i="12"/>
  <c r="U3" i="12" s="1"/>
  <c r="B8" i="2"/>
  <c r="I23" i="12"/>
  <c r="M89" i="12"/>
  <c r="L27" i="12"/>
  <c r="N27" i="12" s="1"/>
  <c r="J70" i="12"/>
  <c r="K70" i="12" s="1"/>
  <c r="K2" i="12"/>
  <c r="H4" i="12"/>
  <c r="U4" i="12" s="1"/>
  <c r="G9" i="12"/>
  <c r="L30" i="12"/>
  <c r="N30" i="12" s="1"/>
  <c r="K10" i="12"/>
  <c r="M10" i="12"/>
  <c r="W10" i="12" s="1"/>
  <c r="L5" i="12"/>
  <c r="B10" i="4"/>
  <c r="B8" i="4"/>
  <c r="K51" i="12" l="1"/>
  <c r="H54" i="12"/>
  <c r="L15" i="12"/>
  <c r="R49" i="12" a="1"/>
  <c r="R49" i="12" s="1"/>
  <c r="X52" i="12"/>
  <c r="J53" i="12"/>
  <c r="U53" i="12" s="1"/>
  <c r="R47" i="12" a="1"/>
  <c r="R47" i="12" s="1"/>
  <c r="K13" i="14" s="1"/>
  <c r="L51" i="12"/>
  <c r="N51" i="12" s="1"/>
  <c r="P51" i="12" s="1"/>
  <c r="U90" i="12"/>
  <c r="I6" i="20"/>
  <c r="L90" i="12"/>
  <c r="U48" i="23"/>
  <c r="I14" i="20"/>
  <c r="M14" i="20" s="1"/>
  <c r="L15" i="20"/>
  <c r="R23" i="21"/>
  <c r="W24" i="21" s="1"/>
  <c r="U24" i="23"/>
  <c r="Z24" i="23" s="1"/>
  <c r="U52" i="23"/>
  <c r="Y52" i="23" s="1"/>
  <c r="U23" i="23"/>
  <c r="U15" i="23"/>
  <c r="Z14" i="23" s="1"/>
  <c r="U38" i="23"/>
  <c r="U32" i="23"/>
  <c r="Z12" i="23"/>
  <c r="U45" i="23"/>
  <c r="U18" i="23"/>
  <c r="U20" i="23"/>
  <c r="U46" i="23"/>
  <c r="U21" i="23"/>
  <c r="U10" i="23"/>
  <c r="Z10" i="23" s="1"/>
  <c r="U30" i="23"/>
  <c r="U36" i="23"/>
  <c r="U5" i="23"/>
  <c r="U49" i="23"/>
  <c r="U31" i="23"/>
  <c r="U43" i="23"/>
  <c r="U44" i="23"/>
  <c r="U42" i="23"/>
  <c r="U17" i="23"/>
  <c r="U47" i="23"/>
  <c r="U27" i="23"/>
  <c r="U22" i="23"/>
  <c r="K19" i="20"/>
  <c r="N19" i="20" s="1"/>
  <c r="O19" i="20" s="1" a="1"/>
  <c r="O19" i="20" s="1"/>
  <c r="U4" i="23"/>
  <c r="U39" i="23"/>
  <c r="Q37" i="21"/>
  <c r="P37" i="21"/>
  <c r="U29" i="23"/>
  <c r="U2" i="23"/>
  <c r="U37" i="23"/>
  <c r="R6" i="21"/>
  <c r="W6" i="21" s="1"/>
  <c r="P39" i="21"/>
  <c r="M23" i="20"/>
  <c r="J23" i="20"/>
  <c r="L23" i="20" s="1"/>
  <c r="U33" i="23"/>
  <c r="U19" i="23"/>
  <c r="R5" i="21"/>
  <c r="U41" i="23"/>
  <c r="U35" i="23"/>
  <c r="U25" i="23"/>
  <c r="Z25" i="23" s="1"/>
  <c r="U3" i="23"/>
  <c r="R37" i="21"/>
  <c r="R21" i="21"/>
  <c r="R10" i="21"/>
  <c r="W10" i="21" s="1"/>
  <c r="R30" i="21"/>
  <c r="R19" i="21"/>
  <c r="R48" i="21"/>
  <c r="R25" i="21"/>
  <c r="R22" i="21"/>
  <c r="W22" i="21" s="1"/>
  <c r="R44" i="21"/>
  <c r="R29" i="21"/>
  <c r="R31" i="21"/>
  <c r="R26" i="21"/>
  <c r="W26" i="21" s="1"/>
  <c r="R32" i="21"/>
  <c r="R18" i="21"/>
  <c r="R41" i="21"/>
  <c r="W41" i="21" s="1"/>
  <c r="R45" i="21"/>
  <c r="R40" i="21"/>
  <c r="R20" i="21"/>
  <c r="R47" i="21"/>
  <c r="R53" i="21"/>
  <c r="W53" i="21" s="1"/>
  <c r="R50" i="21"/>
  <c r="W51" i="21" s="1"/>
  <c r="R2" i="21"/>
  <c r="R49" i="21"/>
  <c r="R46" i="21"/>
  <c r="R38" i="21"/>
  <c r="R4" i="21"/>
  <c r="R17" i="21"/>
  <c r="R3" i="21"/>
  <c r="R12" i="21"/>
  <c r="W12" i="21" s="1"/>
  <c r="R24" i="21"/>
  <c r="W25" i="21" s="1"/>
  <c r="Q25" i="21"/>
  <c r="Q40" i="21"/>
  <c r="Q30" i="21"/>
  <c r="Q52" i="21"/>
  <c r="Q12" i="21"/>
  <c r="V12" i="21" s="1"/>
  <c r="Q45" i="21"/>
  <c r="Q46" i="21"/>
  <c r="Q48" i="21"/>
  <c r="Q6" i="21"/>
  <c r="V6" i="21" s="1"/>
  <c r="Q29" i="21"/>
  <c r="Q3" i="21"/>
  <c r="Q50" i="21"/>
  <c r="V51" i="21" s="1"/>
  <c r="Q2" i="21"/>
  <c r="Q21" i="21"/>
  <c r="Q41" i="21"/>
  <c r="V41" i="21" s="1"/>
  <c r="Q10" i="21"/>
  <c r="V10" i="21" s="1"/>
  <c r="Q4" i="21"/>
  <c r="Q31" i="21"/>
  <c r="Q18" i="21"/>
  <c r="Q19" i="21"/>
  <c r="Q49" i="21"/>
  <c r="Q53" i="21"/>
  <c r="V53" i="21" s="1"/>
  <c r="Q44" i="21"/>
  <c r="Q47" i="21"/>
  <c r="Q20" i="21"/>
  <c r="Q22" i="21"/>
  <c r="Q5" i="21"/>
  <c r="Q23" i="21"/>
  <c r="V24" i="21" s="1"/>
  <c r="Q26" i="21"/>
  <c r="V26" i="21" s="1"/>
  <c r="Q24" i="21"/>
  <c r="V25" i="21" s="1"/>
  <c r="Q17" i="21"/>
  <c r="Q32" i="21"/>
  <c r="Q15" i="21"/>
  <c r="V14" i="21" s="1"/>
  <c r="Q38" i="21"/>
  <c r="N16" i="20"/>
  <c r="O16" i="20" s="1" a="1"/>
  <c r="O16" i="20" s="1"/>
  <c r="U50" i="23"/>
  <c r="U40" i="23"/>
  <c r="U26" i="23"/>
  <c r="Y26" i="23" s="1"/>
  <c r="P23" i="21"/>
  <c r="U24" i="21" s="1"/>
  <c r="P25" i="21"/>
  <c r="P45" i="21"/>
  <c r="P29" i="21"/>
  <c r="P6" i="21"/>
  <c r="U6" i="21" s="1"/>
  <c r="P52" i="21"/>
  <c r="P5" i="21"/>
  <c r="P53" i="21"/>
  <c r="U53" i="21" s="1"/>
  <c r="P40" i="21"/>
  <c r="P17" i="21"/>
  <c r="P30" i="21"/>
  <c r="P49" i="21"/>
  <c r="P31" i="21"/>
  <c r="P41" i="21"/>
  <c r="U41" i="21" s="1"/>
  <c r="P50" i="21"/>
  <c r="U51" i="21" s="1"/>
  <c r="P22" i="21"/>
  <c r="P19" i="21"/>
  <c r="P3" i="21"/>
  <c r="P12" i="21"/>
  <c r="U12" i="21" s="1"/>
  <c r="P15" i="21"/>
  <c r="U14" i="21" s="1"/>
  <c r="P10" i="21"/>
  <c r="U10" i="21" s="1"/>
  <c r="P2" i="21"/>
  <c r="P46" i="21"/>
  <c r="P48" i="21"/>
  <c r="P21" i="21"/>
  <c r="P32" i="21"/>
  <c r="P4" i="21"/>
  <c r="P44" i="21"/>
  <c r="P20" i="21"/>
  <c r="P24" i="21"/>
  <c r="U25" i="21" s="1"/>
  <c r="P51" i="21"/>
  <c r="U52" i="21" s="1"/>
  <c r="P18" i="21"/>
  <c r="P38" i="21"/>
  <c r="U37" i="21" s="1"/>
  <c r="P47" i="21"/>
  <c r="P26" i="21"/>
  <c r="U26" i="21" s="1"/>
  <c r="R15" i="21"/>
  <c r="W14" i="21" s="1"/>
  <c r="Q51" i="21"/>
  <c r="V52" i="21" s="1"/>
  <c r="R39" i="21"/>
  <c r="R52" i="21"/>
  <c r="U6" i="23"/>
  <c r="Y6" i="23" s="1"/>
  <c r="U51" i="23"/>
  <c r="Z51" i="23" s="1"/>
  <c r="U53" i="23"/>
  <c r="Z53" i="23" s="1" a="1"/>
  <c r="Z53" i="23" s="1"/>
  <c r="Q39" i="21"/>
  <c r="R51" i="21"/>
  <c r="W52" i="21" s="1"/>
  <c r="K25" i="20"/>
  <c r="N25" i="20" s="1"/>
  <c r="O25" i="20" s="1" a="1"/>
  <c r="O25" i="20" s="1"/>
  <c r="N28" i="20"/>
  <c r="O28" i="20" s="1" a="1"/>
  <c r="O28" i="20" s="1"/>
  <c r="X17" i="12"/>
  <c r="X35" i="12"/>
  <c r="X34" i="12"/>
  <c r="X2" i="12"/>
  <c r="X15" i="12"/>
  <c r="X33" i="12"/>
  <c r="X18" i="12"/>
  <c r="X32" i="12"/>
  <c r="X28" i="12"/>
  <c r="X55" i="12"/>
  <c r="X10" i="12"/>
  <c r="X53" i="12"/>
  <c r="R41" i="12" a="1"/>
  <c r="R41" i="12" s="1"/>
  <c r="R46" i="12" a="1"/>
  <c r="R46" i="12" s="1"/>
  <c r="R58" i="12" a="1"/>
  <c r="R58" i="12" s="1"/>
  <c r="O15" i="14" s="1"/>
  <c r="R45" i="12" a="1"/>
  <c r="R45" i="12" s="1"/>
  <c r="N2" i="12"/>
  <c r="P2" i="12" s="1"/>
  <c r="R30" i="12" a="1"/>
  <c r="R30" i="12" s="1"/>
  <c r="L6" i="18" s="1"/>
  <c r="P30" i="12"/>
  <c r="R27" i="12" a="1"/>
  <c r="R27" i="12" s="1"/>
  <c r="L3" i="18" s="1"/>
  <c r="P27" i="12"/>
  <c r="R15" i="12" a="1"/>
  <c r="R15" i="12" s="1"/>
  <c r="P15" i="12"/>
  <c r="R14" i="12" a="1"/>
  <c r="R14" i="12" s="1"/>
  <c r="P14" i="12"/>
  <c r="N28" i="12"/>
  <c r="L35" i="12"/>
  <c r="N35" i="12" s="1"/>
  <c r="P35" i="12" s="1"/>
  <c r="M5" i="12"/>
  <c r="W5" i="12" s="1"/>
  <c r="C10" i="18"/>
  <c r="B9" i="18" s="1"/>
  <c r="K5" i="12"/>
  <c r="U32" i="12"/>
  <c r="U34" i="12"/>
  <c r="M71" i="12"/>
  <c r="K9" i="18"/>
  <c r="N18" i="20"/>
  <c r="O18" i="20" s="1" a="1"/>
  <c r="O18" i="20" s="1"/>
  <c r="N17" i="20"/>
  <c r="O17" i="20" s="1" a="1"/>
  <c r="O17" i="20" s="1"/>
  <c r="I12" i="19"/>
  <c r="K15" i="20"/>
  <c r="N15" i="20" s="1"/>
  <c r="O15" i="20" s="1" a="1"/>
  <c r="O15" i="20" s="1"/>
  <c r="L4" i="19"/>
  <c r="H9" i="18"/>
  <c r="F3" i="19"/>
  <c r="E9" i="18"/>
  <c r="C11" i="19"/>
  <c r="T17" i="12"/>
  <c r="T4" i="12"/>
  <c r="T14" i="12"/>
  <c r="K3" i="12"/>
  <c r="T3" i="12"/>
  <c r="K21" i="20"/>
  <c r="M21" i="20"/>
  <c r="M14" i="12"/>
  <c r="W14" i="12" s="1"/>
  <c r="K5" i="20"/>
  <c r="M5" i="20"/>
  <c r="U5" i="12"/>
  <c r="J14" i="20"/>
  <c r="L14" i="20" s="1"/>
  <c r="I9" i="20"/>
  <c r="M4" i="20"/>
  <c r="K4" i="20"/>
  <c r="T24" i="12"/>
  <c r="U35" i="12"/>
  <c r="T18" i="12"/>
  <c r="U14" i="12"/>
  <c r="M38" i="12"/>
  <c r="W38" i="12" s="1"/>
  <c r="I26" i="19"/>
  <c r="M44" i="12"/>
  <c r="W44" i="12" s="1"/>
  <c r="H73" i="12"/>
  <c r="J38" i="12"/>
  <c r="U38" i="12" s="1"/>
  <c r="I3" i="19"/>
  <c r="L24" i="19"/>
  <c r="L10" i="19"/>
  <c r="U24" i="12"/>
  <c r="U18" i="12"/>
  <c r="C10" i="19"/>
  <c r="U17" i="12"/>
  <c r="M84" i="12"/>
  <c r="L34" i="12"/>
  <c r="N34" i="12" s="1"/>
  <c r="P34" i="12" s="1"/>
  <c r="U70" i="12"/>
  <c r="M80" i="12"/>
  <c r="H87" i="12"/>
  <c r="U87" i="12" s="1"/>
  <c r="M24" i="12"/>
  <c r="W24" i="12" s="1"/>
  <c r="H25" i="12"/>
  <c r="U80" i="12"/>
  <c r="U89" i="12"/>
  <c r="H77" i="12"/>
  <c r="I16" i="12"/>
  <c r="U71" i="12"/>
  <c r="U84" i="12"/>
  <c r="I77" i="12"/>
  <c r="G78" i="12"/>
  <c r="I78" i="12" s="1"/>
  <c r="M78" i="12" s="1"/>
  <c r="L89" i="12"/>
  <c r="N89" i="12" s="1"/>
  <c r="L33" i="12"/>
  <c r="K33" i="12"/>
  <c r="L32" i="12"/>
  <c r="N32" i="12" s="1"/>
  <c r="P32" i="12" s="1"/>
  <c r="G44" i="12"/>
  <c r="I40" i="12"/>
  <c r="J26" i="12"/>
  <c r="H40" i="12"/>
  <c r="N42" i="12"/>
  <c r="P42" i="12" s="1"/>
  <c r="L24" i="12"/>
  <c r="K55" i="12"/>
  <c r="L55" i="12"/>
  <c r="J56" i="12"/>
  <c r="U56" i="12" s="1"/>
  <c r="M56" i="12"/>
  <c r="W56" i="12" s="1"/>
  <c r="N52" i="12"/>
  <c r="P52" i="12" s="1"/>
  <c r="K53" i="12"/>
  <c r="L53" i="12"/>
  <c r="M54" i="12"/>
  <c r="W54" i="12" s="1"/>
  <c r="J54" i="12"/>
  <c r="U54" i="12" s="1"/>
  <c r="L14" i="12"/>
  <c r="K84" i="12"/>
  <c r="J21" i="12"/>
  <c r="L21" i="12" s="1"/>
  <c r="M21" i="12"/>
  <c r="W21" i="12" s="1"/>
  <c r="K18" i="12"/>
  <c r="N18" i="12" s="1"/>
  <c r="L17" i="12"/>
  <c r="N17" i="12" s="1"/>
  <c r="M3" i="12"/>
  <c r="W3" i="12" s="1"/>
  <c r="N10" i="12"/>
  <c r="M23" i="12"/>
  <c r="W23" i="12" s="1"/>
  <c r="J23" i="12"/>
  <c r="U23" i="12" s="1"/>
  <c r="K80" i="12"/>
  <c r="N80" i="12" s="1"/>
  <c r="L70" i="12"/>
  <c r="N70" i="12" s="1"/>
  <c r="L71" i="12"/>
  <c r="I9" i="12"/>
  <c r="M4" i="12"/>
  <c r="W4" i="12" s="1"/>
  <c r="K4" i="12"/>
  <c r="H79" i="12"/>
  <c r="R51" i="12" l="1" a="1"/>
  <c r="R51" i="12" s="1"/>
  <c r="AC24" i="23"/>
  <c r="Z29" i="23" a="1"/>
  <c r="Z29" i="23" s="1"/>
  <c r="Y10" i="23"/>
  <c r="Y44" i="23"/>
  <c r="Y31" i="23"/>
  <c r="Y46" i="23"/>
  <c r="Y14" i="23"/>
  <c r="Y4" i="23"/>
  <c r="Z39" i="23" a="1"/>
  <c r="Z39" i="23" s="1"/>
  <c r="Y25" i="23"/>
  <c r="Z44" i="23" a="1"/>
  <c r="Z44" i="23" s="1"/>
  <c r="Z4" i="23" a="1"/>
  <c r="Z4" i="23" s="1"/>
  <c r="Y22" i="23"/>
  <c r="Y12" i="23"/>
  <c r="Y29" i="23"/>
  <c r="Y53" i="23"/>
  <c r="Z31" i="23" a="1"/>
  <c r="Z31" i="23" s="1"/>
  <c r="Y19" i="23"/>
  <c r="Z46" i="23" a="1"/>
  <c r="Z46" i="23" s="1"/>
  <c r="Y17" i="23"/>
  <c r="Z37" i="23" a="1"/>
  <c r="Z37" i="23" s="1"/>
  <c r="Z19" i="23" a="1"/>
  <c r="Z19" i="23" s="1"/>
  <c r="Y39" i="23"/>
  <c r="V39" i="21"/>
  <c r="Y24" i="21"/>
  <c r="V17" i="21"/>
  <c r="Z41" i="23" a="1"/>
  <c r="Z41" i="23" s="1"/>
  <c r="Y37" i="23"/>
  <c r="Y49" i="23"/>
  <c r="Y2" i="23"/>
  <c r="Y33" i="23"/>
  <c r="W44" i="21"/>
  <c r="Z26" i="23" a="1"/>
  <c r="Z26" i="23" s="1"/>
  <c r="Y24" i="23"/>
  <c r="AB24" i="23" s="1"/>
  <c r="U4" i="21"/>
  <c r="V44" i="21"/>
  <c r="Z22" i="23" a="1"/>
  <c r="Z22" i="23" s="1"/>
  <c r="Y41" i="23"/>
  <c r="Z52" i="23"/>
  <c r="AC51" i="23" s="1"/>
  <c r="Z49" i="23" a="1"/>
  <c r="Z49" i="23" s="1"/>
  <c r="Z33" i="23"/>
  <c r="Z17" i="23" a="1"/>
  <c r="Z17" i="23" s="1"/>
  <c r="Z6" i="23"/>
  <c r="W39" i="21"/>
  <c r="U2" i="21"/>
  <c r="Y2" i="21" s="1"/>
  <c r="Z24" i="21"/>
  <c r="V19" i="21"/>
  <c r="W4" i="21"/>
  <c r="W29" i="21"/>
  <c r="U31" i="21"/>
  <c r="U44" i="21"/>
  <c r="U49" i="21"/>
  <c r="U29" i="21"/>
  <c r="V37" i="21"/>
  <c r="V31" i="21"/>
  <c r="V29" i="21"/>
  <c r="W49" i="21"/>
  <c r="V46" i="21"/>
  <c r="AA24" i="21"/>
  <c r="W17" i="21"/>
  <c r="W31" i="21"/>
  <c r="Y51" i="23"/>
  <c r="U17" i="21"/>
  <c r="Z10" i="21"/>
  <c r="K23" i="20"/>
  <c r="N23" i="20" s="1"/>
  <c r="O23" i="20" s="1" a="1"/>
  <c r="O23" i="20" s="1"/>
  <c r="W46" i="21"/>
  <c r="Z2" i="23" a="1"/>
  <c r="Z2" i="23" s="1"/>
  <c r="U22" i="21"/>
  <c r="W2" i="21"/>
  <c r="U19" i="21"/>
  <c r="U39" i="21"/>
  <c r="Y37" i="21" s="1"/>
  <c r="U46" i="21"/>
  <c r="Y51" i="21"/>
  <c r="V49" i="21"/>
  <c r="V2" i="21"/>
  <c r="AA51" i="21"/>
  <c r="W19" i="21"/>
  <c r="Z51" i="21"/>
  <c r="Y10" i="21"/>
  <c r="AA10" i="21"/>
  <c r="V22" i="21"/>
  <c r="Z17" i="21" s="1"/>
  <c r="V4" i="21"/>
  <c r="W37" i="21"/>
  <c r="AA37" i="21" s="1"/>
  <c r="AC10" i="23"/>
  <c r="X4" i="12"/>
  <c r="X3" i="12"/>
  <c r="X54" i="12"/>
  <c r="X21" i="12"/>
  <c r="X56" i="12"/>
  <c r="X44" i="12"/>
  <c r="X5" i="12"/>
  <c r="X14" i="12"/>
  <c r="X24" i="12"/>
  <c r="X23" i="12"/>
  <c r="X38" i="12"/>
  <c r="R34" i="12" a="1"/>
  <c r="R34" i="12" s="1"/>
  <c r="R32" i="12" a="1"/>
  <c r="R32" i="12" s="1"/>
  <c r="R2" i="12" a="1"/>
  <c r="R2" i="12" s="1"/>
  <c r="R52" i="12" a="1"/>
  <c r="R52" i="12" s="1"/>
  <c r="R35" i="12" a="1"/>
  <c r="R35" i="12" s="1"/>
  <c r="R42" i="12" a="1"/>
  <c r="R42" i="12" s="1"/>
  <c r="G14" i="14" s="1"/>
  <c r="R10" i="12" a="1"/>
  <c r="R10" i="12" s="1"/>
  <c r="F3" i="18" s="1"/>
  <c r="P10" i="12"/>
  <c r="R18" i="12" a="1"/>
  <c r="R18" i="12" s="1"/>
  <c r="P18" i="12"/>
  <c r="R17" i="12" a="1"/>
  <c r="R17" i="12" s="1"/>
  <c r="P17" i="12"/>
  <c r="R28" i="12" a="1"/>
  <c r="R28" i="12" s="1"/>
  <c r="L4" i="18" s="1"/>
  <c r="K2" i="18" s="1"/>
  <c r="P28" i="12"/>
  <c r="N5" i="12"/>
  <c r="N21" i="20"/>
  <c r="O21" i="20" s="1" a="1"/>
  <c r="O21" i="20" s="1"/>
  <c r="C4" i="19"/>
  <c r="C13" i="19"/>
  <c r="N4" i="20"/>
  <c r="O4" i="20" s="1" a="1"/>
  <c r="O4" i="20" s="1"/>
  <c r="N5" i="20"/>
  <c r="O5" i="20" s="1" a="1"/>
  <c r="O5" i="20" s="1"/>
  <c r="U26" i="12"/>
  <c r="T26" i="12"/>
  <c r="J9" i="20"/>
  <c r="L9" i="20" s="1"/>
  <c r="M9" i="20"/>
  <c r="U21" i="12"/>
  <c r="T21" i="12"/>
  <c r="K14" i="20"/>
  <c r="N14" i="20" s="1"/>
  <c r="O14" i="20" s="1" a="1"/>
  <c r="O14" i="20" s="1"/>
  <c r="M16" i="12"/>
  <c r="W16" i="12" s="1"/>
  <c r="T23" i="12"/>
  <c r="L11" i="19"/>
  <c r="L25" i="19"/>
  <c r="N3" i="12"/>
  <c r="C3" i="19"/>
  <c r="F27" i="19"/>
  <c r="F13" i="19"/>
  <c r="I27" i="19"/>
  <c r="I13" i="19"/>
  <c r="N24" i="12"/>
  <c r="N84" i="12"/>
  <c r="M40" i="12"/>
  <c r="W40" i="12" s="1"/>
  <c r="J77" i="12"/>
  <c r="K77" i="12" s="1"/>
  <c r="J16" i="12"/>
  <c r="U16" i="12" s="1"/>
  <c r="M25" i="12"/>
  <c r="W25" i="12" s="1"/>
  <c r="J25" i="12"/>
  <c r="T25" i="12" s="1"/>
  <c r="M77" i="12"/>
  <c r="H39" i="12"/>
  <c r="J40" i="12"/>
  <c r="U40" i="12" s="1"/>
  <c r="N33" i="12"/>
  <c r="P33" i="12" s="1"/>
  <c r="J44" i="12"/>
  <c r="U44" i="12" s="1"/>
  <c r="K12" i="14"/>
  <c r="L26" i="12"/>
  <c r="K26" i="12"/>
  <c r="N26" i="12" s="1"/>
  <c r="L38" i="12"/>
  <c r="K38" i="12"/>
  <c r="N55" i="12"/>
  <c r="P55" i="12" s="1"/>
  <c r="K56" i="12"/>
  <c r="L56" i="12"/>
  <c r="N53" i="12"/>
  <c r="P53" i="12" s="1"/>
  <c r="K54" i="12"/>
  <c r="L54" i="12"/>
  <c r="K21" i="12"/>
  <c r="N21" i="12" s="1"/>
  <c r="N4" i="12"/>
  <c r="L23" i="12"/>
  <c r="K23" i="12"/>
  <c r="J79" i="12"/>
  <c r="U79" i="12" s="1"/>
  <c r="M79" i="12"/>
  <c r="J78" i="12"/>
  <c r="H72" i="12"/>
  <c r="M9" i="12"/>
  <c r="W9" i="12" s="1"/>
  <c r="J9" i="12"/>
  <c r="U9" i="12" s="1"/>
  <c r="L12" i="12"/>
  <c r="M12" i="12"/>
  <c r="W12" i="12" s="1"/>
  <c r="M11" i="12"/>
  <c r="W11" i="12" s="1"/>
  <c r="M73" i="12"/>
  <c r="J73" i="12"/>
  <c r="AB2" i="23" l="1"/>
  <c r="AC29" i="23"/>
  <c r="AB29" i="23"/>
  <c r="AB44" i="23"/>
  <c r="AB10" i="23"/>
  <c r="AB37" i="23"/>
  <c r="AB17" i="23"/>
  <c r="Y29" i="21"/>
  <c r="AC37" i="23"/>
  <c r="AC44" i="23"/>
  <c r="AB51" i="23"/>
  <c r="AA2" i="21"/>
  <c r="Z37" i="21"/>
  <c r="Z44" i="21"/>
  <c r="AA44" i="21"/>
  <c r="AC17" i="23"/>
  <c r="Z29" i="21"/>
  <c r="AC2" i="23"/>
  <c r="Y44" i="21"/>
  <c r="AA29" i="21"/>
  <c r="AA17" i="21"/>
  <c r="Z2" i="21"/>
  <c r="Y17" i="21"/>
  <c r="X12" i="12"/>
  <c r="X40" i="12"/>
  <c r="X9" i="12"/>
  <c r="X16" i="12"/>
  <c r="X25" i="12"/>
  <c r="X11" i="12"/>
  <c r="I3" i="18"/>
  <c r="C13" i="14"/>
  <c r="R53" i="12" a="1"/>
  <c r="R53" i="12" s="1"/>
  <c r="K14" i="14" s="1"/>
  <c r="R55" i="12" a="1"/>
  <c r="R55" i="12" s="1"/>
  <c r="R4" i="12" a="1"/>
  <c r="R4" i="12" s="1"/>
  <c r="P4" i="12"/>
  <c r="R21" i="12" a="1"/>
  <c r="R21" i="12" s="1"/>
  <c r="P21" i="12"/>
  <c r="R3" i="12" a="1"/>
  <c r="R3" i="12" s="1"/>
  <c r="C3" i="18" s="1"/>
  <c r="P3" i="12"/>
  <c r="R26" i="12" a="1"/>
  <c r="R26" i="12" s="1"/>
  <c r="I6" i="18" s="1"/>
  <c r="P26" i="12"/>
  <c r="R24" i="12" a="1"/>
  <c r="R24" i="12" s="1"/>
  <c r="P24" i="12"/>
  <c r="R5" i="12" a="1"/>
  <c r="R5" i="12" s="1"/>
  <c r="P5" i="12"/>
  <c r="C6" i="19"/>
  <c r="I5" i="19"/>
  <c r="U25" i="12"/>
  <c r="F6" i="19"/>
  <c r="F4" i="19"/>
  <c r="T16" i="12"/>
  <c r="K9" i="20"/>
  <c r="N9" i="20" s="1"/>
  <c r="O9" i="20" s="1" a="1"/>
  <c r="O9" i="20" s="1"/>
  <c r="T9" i="12"/>
  <c r="K40" i="12"/>
  <c r="F25" i="19"/>
  <c r="F11" i="19"/>
  <c r="L40" i="12"/>
  <c r="R33" i="12" a="1"/>
  <c r="R33" i="12" s="1"/>
  <c r="C12" i="14" s="1"/>
  <c r="L77" i="12"/>
  <c r="N77" i="12" s="1"/>
  <c r="K16" i="12"/>
  <c r="L16" i="12"/>
  <c r="U77" i="12"/>
  <c r="L73" i="12"/>
  <c r="U73" i="12"/>
  <c r="K78" i="12"/>
  <c r="U78" i="12"/>
  <c r="L25" i="12"/>
  <c r="K25" i="12"/>
  <c r="M39" i="12"/>
  <c r="W39" i="12" s="1"/>
  <c r="J39" i="12"/>
  <c r="U39" i="12" s="1"/>
  <c r="L44" i="12"/>
  <c r="K44" i="12"/>
  <c r="N38" i="12"/>
  <c r="P38" i="12" s="1"/>
  <c r="N56" i="12"/>
  <c r="P56" i="12" s="1"/>
  <c r="N54" i="12"/>
  <c r="P54" i="12" s="1"/>
  <c r="N23" i="12"/>
  <c r="N11" i="12"/>
  <c r="L78" i="12"/>
  <c r="K79" i="12"/>
  <c r="N79" i="12" s="1"/>
  <c r="L79" i="12"/>
  <c r="K9" i="12"/>
  <c r="N9" i="12" s="1"/>
  <c r="L9" i="12"/>
  <c r="J72" i="12"/>
  <c r="U72" i="12" s="1"/>
  <c r="M72" i="12"/>
  <c r="N12" i="12"/>
  <c r="K73" i="12"/>
  <c r="N73" i="12" s="1"/>
  <c r="AE29" i="23" l="1"/>
  <c r="AF29" i="23"/>
  <c r="AF2" i="23"/>
  <c r="AE2" i="23"/>
  <c r="X39" i="12"/>
  <c r="B10" i="14"/>
  <c r="C4" i="18"/>
  <c r="R54" i="12" a="1"/>
  <c r="R54" i="12" s="1"/>
  <c r="R56" i="12" a="1"/>
  <c r="R56" i="12" s="1"/>
  <c r="O13" i="14" s="1"/>
  <c r="R38" i="12" a="1"/>
  <c r="R38" i="12" s="1"/>
  <c r="R23" i="12" a="1"/>
  <c r="R23" i="12" s="1"/>
  <c r="P23" i="12"/>
  <c r="R11" i="12" a="1"/>
  <c r="R11" i="12" s="1"/>
  <c r="P11" i="12"/>
  <c r="R12" i="12" a="1"/>
  <c r="R12" i="12" s="1"/>
  <c r="P12" i="12"/>
  <c r="R9" i="12" a="1"/>
  <c r="R9" i="12" s="1"/>
  <c r="C6" i="18" s="1"/>
  <c r="P9" i="12"/>
  <c r="N40" i="12"/>
  <c r="P40" i="12" s="1"/>
  <c r="F24" i="19"/>
  <c r="F10" i="19"/>
  <c r="N78" i="12"/>
  <c r="N25" i="12"/>
  <c r="N16" i="12"/>
  <c r="K39" i="12"/>
  <c r="L39" i="12"/>
  <c r="N44" i="12"/>
  <c r="P44" i="12" s="1"/>
  <c r="O12" i="14"/>
  <c r="K72" i="12"/>
  <c r="N72" i="12" s="1"/>
  <c r="L72" i="12"/>
  <c r="M13" i="12"/>
  <c r="W13" i="12" s="1"/>
  <c r="J13" i="12"/>
  <c r="X13" i="12" l="1"/>
  <c r="R40" i="12" a="1"/>
  <c r="R40" i="12" s="1"/>
  <c r="G13" i="14" s="1"/>
  <c r="R44" i="12" a="1"/>
  <c r="R44" i="12" s="1"/>
  <c r="F4" i="18"/>
  <c r="R16" i="12" a="1"/>
  <c r="R16" i="12" s="1"/>
  <c r="F6" i="18" s="1"/>
  <c r="P16" i="12"/>
  <c r="R25" i="12" a="1"/>
  <c r="R25" i="12" s="1"/>
  <c r="I5" i="18" s="1"/>
  <c r="H2" i="18" s="1"/>
  <c r="P25" i="12"/>
  <c r="F5" i="19"/>
  <c r="U13" i="12"/>
  <c r="T13" i="12"/>
  <c r="K15" i="14"/>
  <c r="J10" i="14" s="1"/>
  <c r="N39" i="12"/>
  <c r="P39" i="12" s="1"/>
  <c r="N10" i="14"/>
  <c r="C15" i="14"/>
  <c r="L13" i="12"/>
  <c r="K13" i="12"/>
  <c r="R39" i="12" l="1" a="1"/>
  <c r="R39" i="12" s="1"/>
  <c r="AG8" i="12"/>
  <c r="AH8" i="12"/>
  <c r="G15" i="14"/>
  <c r="N13" i="12"/>
  <c r="R13" i="12" l="1" a="1"/>
  <c r="R13" i="12" s="1"/>
  <c r="F5" i="18" s="1"/>
  <c r="E2" i="18" s="1"/>
  <c r="P13" i="12"/>
  <c r="G12" i="14"/>
  <c r="F10" i="14" s="1"/>
  <c r="AI8" i="12"/>
  <c r="AJ8" i="12" s="1"/>
  <c r="R81" i="12" l="1"/>
  <c r="R86" i="12"/>
  <c r="R77" i="12"/>
  <c r="R72" i="12"/>
  <c r="R80" i="12"/>
  <c r="R78" i="12"/>
  <c r="R90" i="12"/>
  <c r="G7" i="14"/>
  <c r="R70" i="12"/>
  <c r="R87" i="12"/>
  <c r="K7" i="14"/>
  <c r="R88" i="12"/>
  <c r="O6" i="14"/>
  <c r="R89" i="12"/>
  <c r="R71" i="12"/>
  <c r="C7" i="14"/>
  <c r="R91" i="12"/>
  <c r="O4" i="14"/>
  <c r="R85" i="12"/>
  <c r="R74" i="12"/>
  <c r="R79" i="12"/>
  <c r="R75" i="12"/>
  <c r="R73" i="12"/>
  <c r="R84" i="12"/>
  <c r="R82" i="12" l="1"/>
  <c r="G4" i="14"/>
  <c r="O7" i="14"/>
  <c r="C5" i="14"/>
  <c r="R76" i="12"/>
  <c r="K6" i="14"/>
  <c r="K5" i="14"/>
  <c r="C4" i="14"/>
  <c r="G5" i="14"/>
  <c r="O5" i="14"/>
  <c r="K4" i="14"/>
  <c r="G6" i="14"/>
  <c r="N2" i="14" l="1"/>
  <c r="J2" i="14"/>
  <c r="F2" i="14"/>
  <c r="R83" i="12"/>
  <c r="H6" i="20"/>
  <c r="H6" i="12"/>
  <c r="G6" i="20"/>
  <c r="J6" i="12" l="1"/>
  <c r="M6" i="12"/>
  <c r="W6" i="12" s="1"/>
  <c r="M6" i="20"/>
  <c r="J6" i="20"/>
  <c r="L6" i="20" s="1"/>
  <c r="Y46" i="12" l="1"/>
  <c r="X6" i="12"/>
  <c r="Y10" i="12"/>
  <c r="Y27" i="12"/>
  <c r="Y34" i="12"/>
  <c r="Y55" i="12"/>
  <c r="Y21" i="12"/>
  <c r="Y49" i="12"/>
  <c r="Y4" i="12"/>
  <c r="Y23" i="12"/>
  <c r="Y56" i="12"/>
  <c r="Y5" i="12"/>
  <c r="Y14" i="12"/>
  <c r="Y53" i="12"/>
  <c r="Y54" i="12"/>
  <c r="Y50" i="12"/>
  <c r="Y41" i="12"/>
  <c r="Y18" i="12"/>
  <c r="Y52" i="12"/>
  <c r="Y26" i="12"/>
  <c r="Y40" i="12"/>
  <c r="Y16" i="12"/>
  <c r="Y39" i="12"/>
  <c r="Y13" i="12"/>
  <c r="T6" i="12"/>
  <c r="L6" i="12"/>
  <c r="K6" i="12"/>
  <c r="N6" i="12" s="1"/>
  <c r="U6" i="12"/>
  <c r="V6" i="12" s="1"/>
  <c r="K6" i="20"/>
  <c r="N6" i="20" s="1"/>
  <c r="O6" i="20" s="1" a="1"/>
  <c r="O6" i="20" s="1"/>
  <c r="C5" i="19"/>
  <c r="Y9" i="12" l="1"/>
  <c r="C34" i="19" s="1"/>
  <c r="Y43" i="12"/>
  <c r="Y28" i="12"/>
  <c r="Y17" i="12"/>
  <c r="I31" i="19" s="1"/>
  <c r="Y20" i="12"/>
  <c r="Y30" i="12"/>
  <c r="L34" i="19" s="1"/>
  <c r="Y12" i="12"/>
  <c r="Y32" i="12"/>
  <c r="C38" i="19" s="1"/>
  <c r="Y7" i="12"/>
  <c r="Y3" i="12"/>
  <c r="Y24" i="12"/>
  <c r="Y38" i="12"/>
  <c r="C41" i="19" s="1"/>
  <c r="Y2" i="12"/>
  <c r="Y11" i="12"/>
  <c r="Y51" i="12"/>
  <c r="I40" i="19" s="1"/>
  <c r="Y22" i="12"/>
  <c r="Y35" i="12"/>
  <c r="Y33" i="12"/>
  <c r="Y19" i="12"/>
  <c r="Y6" i="12"/>
  <c r="Y47" i="12"/>
  <c r="Y48" i="12"/>
  <c r="Y44" i="12"/>
  <c r="F41" i="19" s="1"/>
  <c r="Y15" i="12"/>
  <c r="F33" i="19" s="1"/>
  <c r="Y58" i="12"/>
  <c r="L41" i="19" s="1"/>
  <c r="Y25" i="12"/>
  <c r="Y37" i="12"/>
  <c r="Y42" i="12"/>
  <c r="F40" i="19" s="1"/>
  <c r="Y36" i="12"/>
  <c r="Y45" i="12"/>
  <c r="I38" i="19" s="1"/>
  <c r="Z6" i="12"/>
  <c r="Z17" i="12"/>
  <c r="Z50" i="12"/>
  <c r="Z47" i="12"/>
  <c r="Z48" i="12"/>
  <c r="Z10" i="12"/>
  <c r="F45" i="19" s="1"/>
  <c r="Z33" i="12"/>
  <c r="Z34" i="12"/>
  <c r="Z51" i="12"/>
  <c r="Z53" i="12"/>
  <c r="Z55" i="12"/>
  <c r="L52" i="19" s="1"/>
  <c r="Z19" i="12"/>
  <c r="Z28" i="12"/>
  <c r="L46" i="19" s="1"/>
  <c r="Z32" i="12"/>
  <c r="Z18" i="12"/>
  <c r="Z49" i="12"/>
  <c r="Z27" i="12"/>
  <c r="L45" i="19" s="1"/>
  <c r="Z15" i="12"/>
  <c r="Z30" i="12"/>
  <c r="L48" i="19" s="1"/>
  <c r="Z37" i="12"/>
  <c r="Z58" i="12"/>
  <c r="L55" i="19" s="1"/>
  <c r="Z35" i="12"/>
  <c r="Z2" i="12"/>
  <c r="Z54" i="12"/>
  <c r="I55" i="19" s="1"/>
  <c r="Z23" i="12"/>
  <c r="Z4" i="12"/>
  <c r="Z21" i="12"/>
  <c r="Z14" i="12"/>
  <c r="Z56" i="12"/>
  <c r="L53" i="19" s="1"/>
  <c r="Z20" i="12"/>
  <c r="Z26" i="12"/>
  <c r="I48" i="19" s="1"/>
  <c r="Z45" i="12"/>
  <c r="Z7" i="12"/>
  <c r="C47" i="19" s="1"/>
  <c r="Z38" i="12"/>
  <c r="C55" i="19" s="1"/>
  <c r="Z3" i="12"/>
  <c r="Z44" i="12"/>
  <c r="F55" i="19" s="1"/>
  <c r="Z5" i="12"/>
  <c r="Z42" i="12"/>
  <c r="F54" i="19" s="1"/>
  <c r="Z24" i="12"/>
  <c r="Z52" i="12"/>
  <c r="Z29" i="12"/>
  <c r="Z43" i="12"/>
  <c r="Z41" i="12"/>
  <c r="Z46" i="12"/>
  <c r="Z40" i="12"/>
  <c r="Z11" i="12"/>
  <c r="Z12" i="12"/>
  <c r="Z9" i="12"/>
  <c r="C48" i="19" s="1"/>
  <c r="Z16" i="12"/>
  <c r="F48" i="19" s="1"/>
  <c r="Z25" i="12"/>
  <c r="Z39" i="12"/>
  <c r="F52" i="19" s="1"/>
  <c r="Z13" i="12"/>
  <c r="L32" i="19"/>
  <c r="L39" i="19"/>
  <c r="I34" i="19"/>
  <c r="L31" i="19"/>
  <c r="F38" i="19"/>
  <c r="I41" i="19"/>
  <c r="C32" i="19"/>
  <c r="L38" i="19"/>
  <c r="F31" i="19"/>
  <c r="F34" i="19"/>
  <c r="R6" i="12" a="1"/>
  <c r="R6" i="12" s="1"/>
  <c r="P6" i="12"/>
  <c r="F39" i="19"/>
  <c r="V17" i="12"/>
  <c r="V35" i="12"/>
  <c r="V23" i="12"/>
  <c r="V47" i="12"/>
  <c r="V39" i="12"/>
  <c r="V9" i="12"/>
  <c r="V38" i="12"/>
  <c r="C27" i="19" s="1"/>
  <c r="V28" i="12"/>
  <c r="L18" i="19" s="1"/>
  <c r="V4" i="12"/>
  <c r="V58" i="12"/>
  <c r="V49" i="12"/>
  <c r="V18" i="12"/>
  <c r="V26" i="12"/>
  <c r="I20" i="19" s="1"/>
  <c r="V32" i="12"/>
  <c r="V5" i="12"/>
  <c r="V27" i="12"/>
  <c r="L17" i="19" s="1"/>
  <c r="V41" i="12"/>
  <c r="V56" i="12"/>
  <c r="V51" i="12"/>
  <c r="V7" i="12"/>
  <c r="V19" i="12"/>
  <c r="V48" i="12"/>
  <c r="V40" i="12"/>
  <c r="V13" i="12"/>
  <c r="V55" i="12"/>
  <c r="V25" i="12"/>
  <c r="V30" i="12"/>
  <c r="L20" i="19" s="1"/>
  <c r="V15" i="12"/>
  <c r="V12" i="12"/>
  <c r="V50" i="12"/>
  <c r="V45" i="12"/>
  <c r="V44" i="12"/>
  <c r="V2" i="12"/>
  <c r="V14" i="12"/>
  <c r="V34" i="12"/>
  <c r="V21" i="12"/>
  <c r="V11" i="12"/>
  <c r="F18" i="19" s="1"/>
  <c r="V33" i="12"/>
  <c r="V42" i="12"/>
  <c r="V3" i="12"/>
  <c r="V53" i="12"/>
  <c r="V10" i="12"/>
  <c r="F17" i="19" s="1"/>
  <c r="V46" i="12"/>
  <c r="V16" i="12"/>
  <c r="F20" i="19" s="1"/>
  <c r="V20" i="12"/>
  <c r="I18" i="19" s="1"/>
  <c r="V52" i="12"/>
  <c r="V24" i="12"/>
  <c r="V54" i="12"/>
  <c r="AH11" i="12"/>
  <c r="AG11" i="12"/>
  <c r="I46" i="19" l="1"/>
  <c r="C59" i="19"/>
  <c r="D59" i="19" s="1"/>
  <c r="F53" i="19"/>
  <c r="E51" i="19" s="1"/>
  <c r="I53" i="19"/>
  <c r="I39" i="19"/>
  <c r="H37" i="19" s="1"/>
  <c r="I32" i="19"/>
  <c r="C39" i="19"/>
  <c r="B37" i="19" s="1"/>
  <c r="C31" i="19"/>
  <c r="C33" i="19"/>
  <c r="I33" i="19"/>
  <c r="F32" i="19"/>
  <c r="E30" i="19" s="1"/>
  <c r="Q6" i="12"/>
  <c r="Q55" i="12"/>
  <c r="L66" i="19" s="1"/>
  <c r="Q3" i="12"/>
  <c r="Q32" i="12"/>
  <c r="Q57" i="12"/>
  <c r="Q10" i="12"/>
  <c r="F59" i="19" s="1"/>
  <c r="Q24" i="12"/>
  <c r="Q48" i="12"/>
  <c r="Q15" i="12"/>
  <c r="Q47" i="12"/>
  <c r="Q41" i="12"/>
  <c r="Q2" i="12"/>
  <c r="Q7" i="12"/>
  <c r="Q33" i="12"/>
  <c r="Q4" i="12"/>
  <c r="Q49" i="12"/>
  <c r="Q19" i="12"/>
  <c r="Q18" i="12"/>
  <c r="Q27" i="12"/>
  <c r="L59" i="19" s="1"/>
  <c r="Q45" i="12"/>
  <c r="Q56" i="12"/>
  <c r="L67" i="19" s="1"/>
  <c r="M67" i="19" s="1"/>
  <c r="Q30" i="12"/>
  <c r="L62" i="19" s="1"/>
  <c r="M62" i="19" s="1"/>
  <c r="Q14" i="12"/>
  <c r="Q21" i="12"/>
  <c r="Q17" i="12"/>
  <c r="Q42" i="12"/>
  <c r="F68" i="19" s="1"/>
  <c r="G68" i="19" s="1"/>
  <c r="Q38" i="12"/>
  <c r="C69" i="19" s="1"/>
  <c r="D69" i="19" s="1"/>
  <c r="Q34" i="12"/>
  <c r="Q51" i="12"/>
  <c r="Q52" i="12"/>
  <c r="Q46" i="12"/>
  <c r="Q54" i="12"/>
  <c r="I69" i="19" s="1"/>
  <c r="J69" i="19" s="1"/>
  <c r="Q28" i="12"/>
  <c r="L60" i="19" s="1"/>
  <c r="M60" i="19" s="1"/>
  <c r="Q35" i="12"/>
  <c r="Q20" i="12"/>
  <c r="Q43" i="12"/>
  <c r="Q53" i="12"/>
  <c r="Q26" i="12"/>
  <c r="I62" i="19" s="1"/>
  <c r="J62" i="19" s="1"/>
  <c r="Q23" i="12"/>
  <c r="Q44" i="12"/>
  <c r="F69" i="19" s="1"/>
  <c r="G69" i="19" s="1"/>
  <c r="Q58" i="12"/>
  <c r="L69" i="19" s="1"/>
  <c r="M69" i="19" s="1"/>
  <c r="Q11" i="12"/>
  <c r="Q40" i="12"/>
  <c r="F67" i="19" s="1"/>
  <c r="G67" i="19" s="1"/>
  <c r="Q9" i="12"/>
  <c r="C62" i="19" s="1"/>
  <c r="D62" i="19" s="1"/>
  <c r="Q12" i="12"/>
  <c r="Q25" i="12"/>
  <c r="Q39" i="12"/>
  <c r="F66" i="19" s="1"/>
  <c r="Q5" i="12"/>
  <c r="Q16" i="12"/>
  <c r="F62" i="19" s="1"/>
  <c r="G62" i="19" s="1"/>
  <c r="Q13" i="12"/>
  <c r="K37" i="19"/>
  <c r="I52" i="19"/>
  <c r="F46" i="19"/>
  <c r="C53" i="19"/>
  <c r="C46" i="19"/>
  <c r="K30" i="19"/>
  <c r="C45" i="19"/>
  <c r="C52" i="19"/>
  <c r="I54" i="19"/>
  <c r="E37" i="19"/>
  <c r="I47" i="19"/>
  <c r="K51" i="19"/>
  <c r="F47" i="19"/>
  <c r="I45" i="19"/>
  <c r="K44" i="19"/>
  <c r="C25" i="19"/>
  <c r="K16" i="19"/>
  <c r="C24" i="19"/>
  <c r="C20" i="19"/>
  <c r="I19" i="19"/>
  <c r="F19" i="19"/>
  <c r="E16" i="19" s="1"/>
  <c r="C19" i="19"/>
  <c r="C18" i="19"/>
  <c r="C6" i="14"/>
  <c r="B2" i="14" s="1"/>
  <c r="C5" i="18"/>
  <c r="B2" i="18" s="1"/>
  <c r="AI11" i="12"/>
  <c r="AJ11" i="12" s="1"/>
  <c r="C17" i="19"/>
  <c r="I17" i="19"/>
  <c r="C61" i="19" l="1"/>
  <c r="D61" i="19" s="1"/>
  <c r="I67" i="19"/>
  <c r="J67" i="19" s="1"/>
  <c r="H30" i="19"/>
  <c r="I59" i="19"/>
  <c r="J59" i="19" s="1"/>
  <c r="C67" i="19"/>
  <c r="D67" i="19" s="1"/>
  <c r="B30" i="19"/>
  <c r="I60" i="19"/>
  <c r="J60" i="19" s="1"/>
  <c r="B44" i="19"/>
  <c r="E44" i="19"/>
  <c r="C60" i="19"/>
  <c r="I61" i="19"/>
  <c r="J61" i="19" s="1"/>
  <c r="I68" i="19"/>
  <c r="J68" i="19" s="1"/>
  <c r="H51" i="19"/>
  <c r="G59" i="19"/>
  <c r="B51" i="19"/>
  <c r="I66" i="19"/>
  <c r="C66" i="19"/>
  <c r="G66" i="19"/>
  <c r="E65" i="19"/>
  <c r="M59" i="19"/>
  <c r="K58" i="19"/>
  <c r="F60" i="19"/>
  <c r="G60" i="19" s="1"/>
  <c r="K65" i="19"/>
  <c r="M66" i="19"/>
  <c r="F61" i="19"/>
  <c r="G61" i="19" s="1"/>
  <c r="H44" i="19"/>
  <c r="B16" i="19"/>
  <c r="H16" i="19"/>
  <c r="H58" i="19" l="1"/>
  <c r="E58" i="19"/>
  <c r="D66" i="19"/>
  <c r="B65" i="19"/>
  <c r="D60" i="19"/>
  <c r="B58" i="19"/>
  <c r="H65" i="19"/>
  <c r="J66"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tc={B0B14612-A594-4A21-A474-C4CA3418FE01}</author>
  </authors>
  <commentList>
    <comment ref="F23" authorId="0" shapeId="0" xr:uid="{B0B14612-A594-4A21-A474-C4CA3418FE01}">
      <text>
        <t>[Threaded comment]
Your version of Excel allows you to read this threaded comment; however, any edits to it will get removed if the file is opened in a newer version of Excel. Learn more: https://go.microsoft.com/fwlink/?linkid=870924
Comment:
    These statistics may not be useful, but a quick fix could make them useful. I need to discuss with Mark</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<sst xmlns="http://schemas.openxmlformats.org/spreadsheetml/2006/main" count="4723" uniqueCount="2084">
  <si>
    <t>Demographic</t>
  </si>
  <si>
    <t>All</t>
  </si>
  <si>
    <t>Black</t>
  </si>
  <si>
    <t>Hispanic</t>
  </si>
  <si>
    <t>White</t>
  </si>
  <si>
    <t>Asian</t>
  </si>
  <si>
    <t>Metric</t>
  </si>
  <si>
    <t>Demographics</t>
  </si>
  <si>
    <t>Variable</t>
  </si>
  <si>
    <t>Value</t>
  </si>
  <si>
    <t>Description</t>
  </si>
  <si>
    <t>Source</t>
  </si>
  <si>
    <t xml:space="preserve">  </t>
  </si>
  <si>
    <r>
      <t>p̂</t>
    </r>
    <r>
      <rPr>
        <vertAlign val="subscript"/>
        <sz val="11"/>
        <color theme="1"/>
        <rFont val="Calibri"/>
        <family val="2"/>
        <scheme val="minor"/>
      </rPr>
      <t>1</t>
    </r>
  </si>
  <si>
    <r>
      <t>p̂</t>
    </r>
    <r>
      <rPr>
        <vertAlign val="subscript"/>
        <sz val="11"/>
        <color theme="1"/>
        <rFont val="Calibri"/>
        <family val="2"/>
        <scheme val="minor"/>
      </rPr>
      <t>2</t>
    </r>
    <r>
      <rPr>
        <sz val="11"/>
        <color theme="1"/>
        <rFont val="Calibri"/>
        <family val="2"/>
        <scheme val="minor"/>
      </rPr>
      <t/>
    </r>
  </si>
  <si>
    <t>p̂</t>
  </si>
  <si>
    <r>
      <t>n</t>
    </r>
    <r>
      <rPr>
        <vertAlign val="subscript"/>
        <sz val="11"/>
        <color theme="1"/>
        <rFont val="Calibri"/>
        <family val="2"/>
        <scheme val="minor"/>
      </rPr>
      <t>1</t>
    </r>
  </si>
  <si>
    <r>
      <t>n</t>
    </r>
    <r>
      <rPr>
        <vertAlign val="subscript"/>
        <sz val="11"/>
        <color theme="1"/>
        <rFont val="Calibri"/>
        <family val="2"/>
        <scheme val="minor"/>
      </rPr>
      <t>2</t>
    </r>
    <r>
      <rPr>
        <sz val="11"/>
        <color theme="1"/>
        <rFont val="Calibri"/>
        <family val="2"/>
        <scheme val="minor"/>
      </rPr>
      <t/>
    </r>
  </si>
  <si>
    <t>Number of Black and Latinx 4th graders in Chicago</t>
  </si>
  <si>
    <t>Number of White and Asian 4th graders in Chicago</t>
  </si>
  <si>
    <t>Proportion of Black and Latinx 4th graders proficient in math</t>
  </si>
  <si>
    <t>Proportion of White and Asian 4th graders proficient in math</t>
  </si>
  <si>
    <t>Proportion of 4th graders proficient in math</t>
  </si>
  <si>
    <t>NAEP</t>
  </si>
  <si>
    <t>Equation</t>
  </si>
  <si>
    <t>CPS</t>
  </si>
  <si>
    <t xml:space="preserve">Equity Gap </t>
  </si>
  <si>
    <t>Academic standard for number of standard deviations away from the mean before a value is considered significantly different from the population</t>
  </si>
  <si>
    <t>z</t>
  </si>
  <si>
    <t>s</t>
  </si>
  <si>
    <t>Number of standard deviations away from the mean that the difference between White/Asian and Black/Latinx populations are</t>
  </si>
  <si>
    <t>The Number of Statistically Significant increments we are away from equity for the given metric, in this case 4th grade math proficiency</t>
  </si>
  <si>
    <t>K-8</t>
  </si>
  <si>
    <t>Job Title</t>
  </si>
  <si>
    <t>Software Developers and Software Quality Assurance Analysts and Testers</t>
  </si>
  <si>
    <t>Computer Network Architects</t>
  </si>
  <si>
    <t>Computer and Information Systems Managers</t>
  </si>
  <si>
    <t>Computer Systems Analysts</t>
  </si>
  <si>
    <t>Computer Network Support Specialists</t>
  </si>
  <si>
    <t>Network and Computer Systems Administrators</t>
  </si>
  <si>
    <t>Computer Occupations, All Other</t>
  </si>
  <si>
    <t>Computer Programmers</t>
  </si>
  <si>
    <t>Web Developers and Digital Interface Designers</t>
  </si>
  <si>
    <t>SOC</t>
  </si>
  <si>
    <t>11-3021</t>
  </si>
  <si>
    <t>15-1211</t>
  </si>
  <si>
    <t>15-1231</t>
  </si>
  <si>
    <t>15-1241</t>
  </si>
  <si>
    <t>15-1244</t>
  </si>
  <si>
    <t>15-1251</t>
  </si>
  <si>
    <t>15-1256</t>
  </si>
  <si>
    <t>15-1257</t>
  </si>
  <si>
    <t>15-1299</t>
  </si>
  <si>
    <t>Computer Hardware Engineers</t>
  </si>
  <si>
    <t>Database Administrators and Architects</t>
  </si>
  <si>
    <t>17-2061</t>
  </si>
  <si>
    <t>15-1245</t>
  </si>
  <si>
    <t>Weight</t>
  </si>
  <si>
    <t>Equity Gap</t>
  </si>
  <si>
    <t>TBD</t>
  </si>
  <si>
    <t>Significance level</t>
  </si>
  <si>
    <t>Inversed Significance</t>
  </si>
  <si>
    <t>Incremental Significance</t>
  </si>
  <si>
    <t>Illinois CS/Computing Conferral (EMSI)</t>
  </si>
  <si>
    <t>USA CS/Computing Conferral (EMSI)</t>
  </si>
  <si>
    <t>Distance from Equity</t>
  </si>
  <si>
    <t>All College Students - ALL CS/Computing Degree Enrollment</t>
  </si>
  <si>
    <t>Education</t>
  </si>
  <si>
    <t>8th grade algebra passing</t>
  </si>
  <si>
    <t>8th grade interest in STEM</t>
  </si>
  <si>
    <t>Completion of Pre-Calc/Algebra by Graduation</t>
  </si>
  <si>
    <t>Completion of Calc by Graduation</t>
  </si>
  <si>
    <t>Completion of Dual Credit in CS/IT</t>
  </si>
  <si>
    <t>Career Interest in IT Sophomore Year</t>
  </si>
  <si>
    <t xml:space="preserve">AP CS Enrollment </t>
  </si>
  <si>
    <t xml:space="preserve">AP CS Completion </t>
  </si>
  <si>
    <t>District</t>
  </si>
  <si>
    <t>Chicago 299</t>
  </si>
  <si>
    <t>Highschool</t>
  </si>
  <si>
    <t xml:space="preserve">White </t>
  </si>
  <si>
    <t xml:space="preserve">Asian </t>
  </si>
  <si>
    <t>Total</t>
  </si>
  <si>
    <t>Number of Schools that offer AP CS</t>
  </si>
  <si>
    <t>Number of Schools that offer Algebra</t>
  </si>
  <si>
    <t>Old 4th Grade math Proficiency Example</t>
  </si>
  <si>
    <t>Framework</t>
  </si>
  <si>
    <t>Chicago Assessed</t>
  </si>
  <si>
    <t>Chicago Compared</t>
  </si>
  <si>
    <t>Access</t>
  </si>
  <si>
    <t>Progress</t>
  </si>
  <si>
    <t>HS</t>
  </si>
  <si>
    <t>Uni</t>
  </si>
  <si>
    <t>Employ</t>
  </si>
  <si>
    <t>Scaled Score</t>
  </si>
  <si>
    <t>Proficient</t>
  </si>
  <si>
    <t>Excellence</t>
  </si>
  <si>
    <t>STEM Enrichment Opportunities</t>
  </si>
  <si>
    <t>K-8 STEM Magnet School Enrollment in CPS</t>
  </si>
  <si>
    <t>(Illinois CS/Computing Enrollment vs Illinois HS Graduation Rate) vs ( USA CS/Computing Enrollment vs USA HS Graduation Rate)</t>
  </si>
  <si>
    <t>(Illinois CS/Computing Enrollment vs Illinois Demographics of 18-24 year olds) vs (USA CS/Computing Enrollment vs USA Demographics of 18-24 year olds)</t>
  </si>
  <si>
    <t>Illinois CS/Computing Degree Enrollment vs USA CS/Computing Degree Enrollment</t>
  </si>
  <si>
    <t>Illinois CS/Computing Degree Persistance B/H vs Illinois CS/Computing Degree Persistance W/A</t>
  </si>
  <si>
    <t>Illinois CS/Computing Degree Conferral B/H vs Illinois CS/Computing Degree Conferral W/A</t>
  </si>
  <si>
    <t>Illinois CS/Computing Degree Persistance for Top Three Universities B/H vs Illinois CS/Computing Degree Persistance for Top Three Universities W/A</t>
  </si>
  <si>
    <t>Illinois CS/Computing Degree Conferral for Top Three Universities B/H vs Illinois CS/Computing Degree Conferral for Top Three Universities W/A</t>
  </si>
  <si>
    <t>Illinois CS/Computing Enrollment B/H vs Illinois College Enrollment B/H</t>
  </si>
  <si>
    <t>Illinois CS/Computing Enrollment B/H vs Illinois Demographics of 18-24 year olds B/H</t>
  </si>
  <si>
    <t>Illinois CS/Computing Enrollment B/H vs Illinois HS Graduation Rate B/H</t>
  </si>
  <si>
    <t>Illinois CS/Computing Degree Enrollment B/H vs Illinois CS/Computing Degree Enrollment W/A</t>
  </si>
  <si>
    <t>Illinois CS/Computing Degree Persistance B/H vs USA CS/Computing Degree Persistance B/H</t>
  </si>
  <si>
    <t>Illinois CS/Computing Degree Conferral B/H vs USA CS/Computing Degree Conferral B/H</t>
  </si>
  <si>
    <t>Illinois CS/Computing Degree Persistance for Top Three Universities B/H vs USA CS/Computing Degree Persistance for Top Three Universities B/H</t>
  </si>
  <si>
    <t>Illinois CS/Computing Degree Conferral for Top Three Universities B/H vs USA CS/Computing Degree Conferral for Top Three Universities B/H</t>
  </si>
  <si>
    <t>(Illinois CS/Computing Enrollment B/H vs College Enrollment Illinois B/H) vs (USA CS/Computing Enrollment B/H vs College Enrollment USA B/H)</t>
  </si>
  <si>
    <t>CPS 4th grade math proficient and above B/H vs CPS 4th grade math proficient and above W/A</t>
  </si>
  <si>
    <t>CPS 8th grade math proficient and above B/H vs CPS  8th grade math proficient and above W/A</t>
  </si>
  <si>
    <t>CPS 4th grade math advanced B/H vs CPS 4th grade math advanced W/A</t>
  </si>
  <si>
    <t>CPS 8th grade math advanced B/H vs CPS 8th grade math advanced W/A</t>
  </si>
  <si>
    <t>CPS K-8 STEM Magnet School Enrollment B/H vs CPS K-8 STEM Magnet School Enrollment W/A</t>
  </si>
  <si>
    <t>CPS 4th grade math Advanced B/H to CPS 8th grade math Advanced B/H</t>
  </si>
  <si>
    <t>CPS 4th grade math proficient and above B/H vs USA 4th grade math proficient and above B/H</t>
  </si>
  <si>
    <t>CPS 8th grade math proficient and above B/H vs USA 8th grade math proficient and above B/H</t>
  </si>
  <si>
    <t>CPS 4th grade math advanced B/H vs USA 4th grade math advanced B/H</t>
  </si>
  <si>
    <t>CPS 8th grade math advanced B/H vs USA 8th grade math advanced B/H</t>
  </si>
  <si>
    <t xml:space="preserve">Key: </t>
  </si>
  <si>
    <t>Data has been collected and number has been calculated</t>
  </si>
  <si>
    <t>Data has not been collected, but is easily attainable</t>
  </si>
  <si>
    <t>Data has not been collected, and is not easily attainable</t>
  </si>
  <si>
    <t>B/H means Black and Hispanic Populations</t>
  </si>
  <si>
    <t>W/A means White and Asian Populations</t>
  </si>
  <si>
    <t>CPS means Chicago Public Schools</t>
  </si>
  <si>
    <t>CPS HS SAT Math Proficiency and Above B/H vs CPS SAT Math Proficiency and Above W/A</t>
  </si>
  <si>
    <t>CPS HS SAT Math Proficiency and Above B/H vs USA SAT Math Proficiency and Above B/H</t>
  </si>
  <si>
    <t>CPS HS STEM Magnet School Enrollment B/H vs CPS HS STEM Magnet School Enrollment W/A</t>
  </si>
  <si>
    <t>Illinois AP CS Enrollment B/H vs Illinois AP CS Enrollment W/A</t>
  </si>
  <si>
    <t>Illinois AP CS Pass B/H vs Illinois AP CS Pass W/A</t>
  </si>
  <si>
    <t>CPS SAT Math Advanced B/H vs CPS SAT Math Advanced W/A</t>
  </si>
  <si>
    <t>CPS HS STEM Magnet School Enrollment B/H vs USA HS STEM Magnet School Enrollment B/H</t>
  </si>
  <si>
    <t>Illinois AP CS Enrollment B/H vs USA AP CS Enrollment B/H</t>
  </si>
  <si>
    <t>Illinois means Illinois Public Highschools</t>
  </si>
  <si>
    <t>Chicago MSA Employee Demographics for tech jobs B/H vs Chicago MSA Population Demographics B/H</t>
  </si>
  <si>
    <t>Chicago MSA Employee Demographics for high paying tech jobs B/H vs Chicago MSA Population Demographics B/H</t>
  </si>
  <si>
    <t>Chicago MSA Location of Tech Jobs B/H vs Chicago MSA Location of Tech Jobs W/A</t>
  </si>
  <si>
    <t>Illinois 3 year CS Degree Conferral B/H to Chicago MSA 19-24 Employee Demographics B/H</t>
  </si>
  <si>
    <t>Chicago MSA Employee Demographics for tech jobs B/H vs USA Employee Demographics for tech jobs B/H</t>
  </si>
  <si>
    <t>Chicago MSA Employee Demographics for high pay tech jobs B/H vs USA Employee Demographics for high pay tech jobs B/H</t>
  </si>
  <si>
    <t>Chicago MSA Location of Tech Jobs B/H vs USA location of Tech Jobs B/H</t>
  </si>
  <si>
    <t>(Illinois 3 year CS Degree Conferral B/H to Chicago MSA 19-24 Employee Demographics B/H) vs (USA 3 year CS Degree Conferral B/H to USA 19-24 tech job Employee Demographics B/H)</t>
  </si>
  <si>
    <t>Illinois means Illinois Universities</t>
  </si>
  <si>
    <t>Illinois HS AP CS Pass B/H to Illinois CS/Computing Enrollment B/H</t>
  </si>
  <si>
    <t>Data is somewhat collected, and I need to think about how to fully do this metric</t>
  </si>
  <si>
    <t>Chicago MSA means Chicago metropolitan Area</t>
  </si>
  <si>
    <t>Illinois AP CS Pass B/H vs USA AP CS Pass B/H</t>
  </si>
  <si>
    <t>CPS SAT Math Advanced B/H vs USA SAT Math Advanced B/H</t>
  </si>
  <si>
    <t>N1</t>
  </si>
  <si>
    <t>N2</t>
  </si>
  <si>
    <t>P1</t>
  </si>
  <si>
    <t>P2</t>
  </si>
  <si>
    <t>P</t>
  </si>
  <si>
    <t>Life Point</t>
  </si>
  <si>
    <t>Absolute or Comparative</t>
  </si>
  <si>
    <t>Absolute</t>
  </si>
  <si>
    <t>Comparative</t>
  </si>
  <si>
    <t>CPS K-8 STEM Magnet School Enrollment vs USA K-8 STEM Magnet School Enrollment</t>
  </si>
  <si>
    <t>CPS K-8 STEM Magnet School Enrollment B/H vs CPS K-8 School Enrollment B/H</t>
  </si>
  <si>
    <t>CPS HS STEM Magnet School Enrollment B/H vs CPS HS School Enrollment B/H</t>
  </si>
  <si>
    <t>CPS 8th grade Math proficiency and above B/H vs  CPS HS SAT Math Proficiency and above B/H</t>
  </si>
  <si>
    <t>USA 8th grade Math proficiency and above B/H vs  USA HS SAT Math Proficiency and above B/H</t>
  </si>
  <si>
    <t>Questions/Comments</t>
  </si>
  <si>
    <t>Illinois CS/Computing Degree Persistence for Top Three Universities B/H vs Illinois CS/Computing Degree Persistence for Top Three Universities W/A</t>
  </si>
  <si>
    <t>Location</t>
  </si>
  <si>
    <t>Chicago/Illinois</t>
  </si>
  <si>
    <t>For all CPS NAEP metrics, the metrics use a sample of the entire population. This effects the significance test. My calculation assumes that this sample is how the entire population would perform on the test. Is this ok?</t>
  </si>
  <si>
    <t>Absolute Index</t>
  </si>
  <si>
    <t>University</t>
  </si>
  <si>
    <t>Employment</t>
  </si>
  <si>
    <t>USA</t>
  </si>
  <si>
    <t>USA 4th grade math proficient and above B/H vs USA 4th grade math proficient and above W/A</t>
  </si>
  <si>
    <t>USA 4th grade math advanced B/H vs USA 4th grade math advanced W/A</t>
  </si>
  <si>
    <t>USA 8th grade math proficient and above B/H vs USA  8th grade math proficient and above W/A</t>
  </si>
  <si>
    <t>USA 8th grade math advanced B/H vs USA 8th grade math advanced W/A</t>
  </si>
  <si>
    <t>USA K-8 STEM Magnet School Enrollment B/H vs USA K-8 School Enrollment B/H</t>
  </si>
  <si>
    <t>USA 4th grade math Advanced B/H to USA 8th grade math Advanced B/H</t>
  </si>
  <si>
    <t>USA HS SAT Math Proficiency and Above B/H vs USA SAT Math Proficiency and Above W/A</t>
  </si>
  <si>
    <t>USA SAT Math Advanced B/H vs USA SAT Math Advanced W/A</t>
  </si>
  <si>
    <t>USA AP CS Pass B/H vs USA AP CS Pass W/A</t>
  </si>
  <si>
    <t>USA AP CS Enrollment B/H vs USA AP CS Enrollment W/A</t>
  </si>
  <si>
    <t>USA HS STEM Magnet School Enrollment B/H vs USA HS School Enrollment B/H</t>
  </si>
  <si>
    <t>USA CS/Computing Degree Persistance B/H vs USA CS/Computing Degree Persistance W/A</t>
  </si>
  <si>
    <t>USA CS/Computing Degree Conferral B/H vs USA CS/Computing Degree Conferral W/A</t>
  </si>
  <si>
    <t>USA CS/Computing Degree Conferral for Top Three Universities B/H vs USA CS/Computing Degree Conferral for Top Three Universities W/A</t>
  </si>
  <si>
    <t>USA CS/Computing Degree Persistence for Top Three Universities B/H vs USA CS/Computing Degree Persistence for Top Three Universities W/A</t>
  </si>
  <si>
    <t>USA CS/Computing Degree Enrollment B/H vs USA CS/Computing Degree Enrollment W/A</t>
  </si>
  <si>
    <t>USA CS/Computing Enrollment B/H vs USA Demographics of 18-24 year olds B/H</t>
  </si>
  <si>
    <t>USA CS/Computing Enrollment B/H vs USA HS Graduation Rate B/H</t>
  </si>
  <si>
    <t>USA CS/Computing Enrollment B/H vs USA College Enrollment B/H</t>
  </si>
  <si>
    <t>USA HS AP CS Pass B/H to USA CS/Computing Enrollment B/H</t>
  </si>
  <si>
    <t>USA Location of Tech Jobs B/H vs USA Location of Tech Jobs W/A</t>
  </si>
  <si>
    <t>USA 3 year CS Degree Conferral B/H to USA 19-24 Employee Demographics B/H</t>
  </si>
  <si>
    <t>CPS 8th grade Math proficiency and above B/H vs CPS HS SAT Math Proficiency and above B/H vs USA 8th grade Math proficiency and above B/H vs  USA HS SAT Math Proficiency and above B/H</t>
  </si>
  <si>
    <t>CPS 4th grade math Advanced B/H vs CPS 8th grade math Advanced B/H vs USA 4th grade math Advanced B/H vs USA 8th grade math Advanced B/H</t>
  </si>
  <si>
    <t>Illinois AP CS Pass B/H vs Illinois CS/Computing Enrollment B/H vs USA AP CS Pass B/H vs USA CS/Computing Enrollment B/H</t>
  </si>
  <si>
    <t>NA</t>
  </si>
  <si>
    <t>Illinois CS/Computing Degree Enrollment B/H vs USA CS/Computing Degree Enrollment B/H</t>
  </si>
  <si>
    <t>K-8 STEM Magnet School Enrollment (CPS School Directory)</t>
  </si>
  <si>
    <t>4th grade proficient in Math (NAEP)</t>
  </si>
  <si>
    <t>4th grade Advanced in Math (NAEP)</t>
  </si>
  <si>
    <t>8th grade  proficient in Math (NAEP)</t>
  </si>
  <si>
    <t>8th grade Advanced in math (NAEP)</t>
  </si>
  <si>
    <t>AP CS enrollment (P33 Excel)</t>
  </si>
  <si>
    <t>AP CS Pass (P33 Excel)</t>
  </si>
  <si>
    <t>SAT Meets and Exceeds in Math (ISBE report card)</t>
  </si>
  <si>
    <t>SAT Exceeds in Math (ISBE report card)</t>
  </si>
  <si>
    <t>STEM Magnet HS Enrollment (CPS School directory)</t>
  </si>
  <si>
    <t>Illinois Highschool Graduation Rates (ISBE)</t>
  </si>
  <si>
    <t>CS/Computing enrollment (IBHE)</t>
  </si>
  <si>
    <t>CS/Computing conferral (IBHE)</t>
  </si>
  <si>
    <t>3 year CS/Computing conferral (EMSI)</t>
  </si>
  <si>
    <t>Employee Demographics (EMSI)</t>
  </si>
  <si>
    <t>19-24 year olds in tech workforce (EMSI)</t>
  </si>
  <si>
    <t>USA 4th grade math Proficient and above (NAEP)</t>
  </si>
  <si>
    <t>USA 4th grade math advanced (NAEP)</t>
  </si>
  <si>
    <t>USA 8th grade math proficient and above (NAEP)</t>
  </si>
  <si>
    <t>USA 8th grade math advanced (NAEP)</t>
  </si>
  <si>
    <t>USA Employment Demographics for 11 top tech jobs (EMSI)</t>
  </si>
  <si>
    <t>USA SAT Math bench mark and above (College Board)</t>
  </si>
  <si>
    <t>USA SAT Exceeds (College Board)</t>
  </si>
  <si>
    <t>USA AP CS Enroll (P33 Excel)</t>
  </si>
  <si>
    <t>USA AP CS Pass (P33 Excel)</t>
  </si>
  <si>
    <t>Top Three Illinois universities CS 2022 Enrollment (ISBE)</t>
  </si>
  <si>
    <t>Top Three Illinois universities CS 2021 Conferral (ISBE)</t>
  </si>
  <si>
    <t>Top Three Illinois Universities 2022 Enrollment (ISBE)</t>
  </si>
  <si>
    <t>Top Three Illinois Universities 2021 Conferral (ISBE)</t>
  </si>
  <si>
    <t>Top 3 Highest Paying CS Jobs Chicago MSA (EMSI)</t>
  </si>
  <si>
    <t>Top 3 highest Paying CS Jobs USA (EMSI)</t>
  </si>
  <si>
    <t>USA Degree Conferral (NCES)</t>
  </si>
  <si>
    <t>2021 SAT takers in CPS (CPS)</t>
  </si>
  <si>
    <t>National NAEP 4th grader demographics (NAEP)</t>
  </si>
  <si>
    <t>National NAEP 8th grader demographics (NAEP)</t>
  </si>
  <si>
    <t>Top Three USA Universities Conferral (IPEDS)</t>
  </si>
  <si>
    <t>Top Three USA Universities CS conferral (EMSI)</t>
  </si>
  <si>
    <t>Top Three USA Universities Enrollment (IPEDS)</t>
  </si>
  <si>
    <t>USA Universities Enrollment (IPEDS)</t>
  </si>
  <si>
    <t>Top Three USA Universities CS Enrollment (Collected individually from School's website)</t>
  </si>
  <si>
    <t>Should we use test takers only, or a projection on the entire US population</t>
  </si>
  <si>
    <t>Different tests is not ideal to show progression, this can be discussed and adjusted</t>
  </si>
  <si>
    <t>Chicago MSA Employee Demographics for tech jobs B/H vs Chicago MSA 20-64 year old Population Demographics B/H</t>
  </si>
  <si>
    <t>USA Employee Demographics for tech jobs B/H vs USA Population 20-64 Demographics B/H</t>
  </si>
  <si>
    <t>USA Employee Demographics for high paying tech jobs B/H vs USA Population 20-64 Demographics B/H</t>
  </si>
  <si>
    <t>Chicago</t>
  </si>
  <si>
    <t>CPS HS STEM Magnet School Enrollment B/H vs CPS HS STEM Enrollment W/A</t>
  </si>
  <si>
    <t>CPS K-8 STEM Magnet School Enrollment B/H vs CPS K-8 STEM magnet School W/A</t>
  </si>
  <si>
    <t>Stanford CS Enrollment Demographcis (Stanford Student Project)</t>
  </si>
  <si>
    <t>Carnegie Mellon CS Enrollment Demographcis (College Factual)</t>
  </si>
  <si>
    <t>MIT CS Enrollment (EECS MIT Report)</t>
  </si>
  <si>
    <t>USA Universities CS Enrollment (EMSI Estimate)</t>
  </si>
  <si>
    <t>Upper Bound Chicago/Illinois</t>
  </si>
  <si>
    <t>Upper Bound USA</t>
  </si>
  <si>
    <t>Chicago Scale 30</t>
  </si>
  <si>
    <t>US scale 90</t>
  </si>
  <si>
    <t>Chicago Scale 90</t>
  </si>
  <si>
    <t>US scale 270</t>
  </si>
  <si>
    <t>Chicago unscaled</t>
  </si>
  <si>
    <t>USA unscaled</t>
  </si>
  <si>
    <t>Is this stat important? Does knowing if there is a difference between B/H enrollment into STEM magnet schools vs normal schools show access?</t>
  </si>
  <si>
    <t>I think this is the stronger of the two stats, maybe weight this one higher</t>
  </si>
  <si>
    <t>Waiting on the Pinkerton data</t>
  </si>
  <si>
    <t>Comparative stats no longer need index scores just graphs</t>
  </si>
  <si>
    <t>I see no problems with this statistic</t>
  </si>
  <si>
    <t>The statistic is fine, but AP data for CPS would be more helpful, this is currently all of Illinois</t>
  </si>
  <si>
    <t>I think there is an issue with this statistic because we are comparing results from two different tests. However, the state of Illinois is making both decisions on what is proficient so it may be ok, but I would be open to looking for new metrics</t>
  </si>
  <si>
    <t>This metric should be fine, but because graduation rates are not reported by major and race, and enrollment is not broken down by year we are comparing the total enrollment (freshman to senior) to graduates (seniors). This should be fine but it is not intuitive</t>
  </si>
  <si>
    <t>This stat is fine</t>
  </si>
  <si>
    <t>This statisitc should be fine</t>
  </si>
  <si>
    <t>This statistic should be fine</t>
  </si>
  <si>
    <t>I feel weird about comparing CS pass to CS enrollment just because taking an AP CS test in Illinois does not mean you go to an Illinois school and being an Illinois CS student does not mean you took the AP CS test in Illinois</t>
  </si>
  <si>
    <t>This statistics is fine however we should consider that comparing populations with vastly different populations will inherently be more significant, this is not a bad thing and logically makes sense but is something I would like to discuss in more detail</t>
  </si>
  <si>
    <t>CIP</t>
  </si>
  <si>
    <t>Degree</t>
  </si>
  <si>
    <t>Computer Science and Information Technology</t>
  </si>
  <si>
    <t>Computer Engineering</t>
  </si>
  <si>
    <t>I need to figure out how to do this one, I have the right data, I just have to manipulate it to make it more relevant to what we want to know</t>
  </si>
  <si>
    <t>This metric should be fine, we discussed it and it was approved</t>
  </si>
  <si>
    <t>I have to look into this to see if thihs analysis is possible, if it isnt we have to come up with a better way to determine access for the USA</t>
  </si>
  <si>
    <t xml:space="preserve">USA and Chicago have different scales because theu have vastly differnent populations. The different populations does not mean they need to be scaled differently, but I thought it might be something we should consider. </t>
  </si>
  <si>
    <t>Some of the numbers were estimated because the USA reports numbers differently than Illinois. USA reports as ranges of 530-590, 600-660, and 670-800. Illinois reports as 540 and above and 640 and above</t>
  </si>
  <si>
    <t>This statistic is fine</t>
  </si>
  <si>
    <t>This statisic is fine</t>
  </si>
  <si>
    <t>hard to measure, need to do more research</t>
  </si>
  <si>
    <t>The US does not report degree enrollment which is used to look at persistance, I estimated these numbers by looking at graduation rates and going backwards</t>
  </si>
  <si>
    <t>These numbers are a close estimate by using both the EMSI and NCES data. NCES does not report conferral by every major, but just groups, while EMSI does not report bachelors conferral by demographics, combining the estimates from the two, we get a close estimate</t>
  </si>
  <si>
    <t>Enrollment numbers were estimated from different sources because they are not tracked to the level we needed, I think the estimation is fine, but this is definitely one of the metrics that would benefit from better data</t>
  </si>
  <si>
    <t>Enrollment numbers were estimated, better data would make these more compelling</t>
  </si>
  <si>
    <t>Enrollment data was estimated</t>
  </si>
  <si>
    <t>This metric should be fine</t>
  </si>
  <si>
    <t>I have to think about how to do this one correctly</t>
  </si>
  <si>
    <t>Conferral was estimated from EMSI data because they do not break up the conferrals by race and bachelor degrees</t>
  </si>
  <si>
    <t>Compares proportion of B/H and W/A 4th graders proficient and above in math</t>
  </si>
  <si>
    <t>Compares proportion of B/H and W/A 8th graders proficient and above in math</t>
  </si>
  <si>
    <t>Compares proportion of B/H and W/A 4th graders advanced in math</t>
  </si>
  <si>
    <t>Compares proportion of B/H and W/A 8th graders advanced in math</t>
  </si>
  <si>
    <t>Compares B/H enrollment into K-8 STEM Magnet schools vs K-8 Non-STEM Magnet Schools</t>
  </si>
  <si>
    <t>Compares B/H enrollment into K-8 STEM Magnet Schools vs W/A students</t>
  </si>
  <si>
    <t>Q1 USA</t>
  </si>
  <si>
    <t>Q3 USA</t>
  </si>
  <si>
    <t>IQR</t>
  </si>
  <si>
    <t>USA Upper Bound</t>
  </si>
  <si>
    <t>Q1 Chicago</t>
  </si>
  <si>
    <t>Q3 Chicago</t>
  </si>
  <si>
    <t>Chicago Upper Bound</t>
  </si>
  <si>
    <t>How are we going to scale the numbers?</t>
  </si>
  <si>
    <t>how are we going to weight the different metrics?</t>
  </si>
  <si>
    <t>When we compare persistence, we are looking at all CS graduates (Seniors) and dividing it by all CS enrollment (Freshman, Sophmore, junior, and Senior). This is because
 data is not reported by years. The analysis is fine because we do it to both B/H and W/A but it looks weird. We can also divide enrollment by 4 and then the analysis would show what percent of the average class graduates but that also comes with its own problems. overall, either works and is valid but which would we prefer to do?</t>
  </si>
  <si>
    <t>Our metric comparing AP CS Pass to CS enrollment into college will probably receive some questions. Passing AP CS in Illinois does not mean you will enroll into CS in
 Illinois, and enrolling into CS in Illinois does not guarantee you took the AP CS test and passed in Illinois. Is this fine, or should we think about another example?</t>
  </si>
  <si>
    <t>When we compare 8th grade math to 12th grade math we are comparing two different tests NAEP math test and SAT, is that ok?</t>
  </si>
  <si>
    <t>Significance Tests are great because they take into account proportion and population size. The only problem with that is because the US has a much larger population,
the USA metrics will be inherently more significant. This makes sense, but it may be hard to compare the US and Chicago 1 to 1. Some work arounds is that we scale 
the numbers based on population sizes or we calculate the USA numbers using population sizes of Chicago. This would be a direct 1:1 comparison, but we would have to be
clear about we are doing. Furthermore, I will have to research the validity of this. I know that people adjust numbers to be per capita, and this would be similar, but I don't 
know if this would be how they do it. Realistically, the analysis would be "If the US was the size of Chicago, this is what the inequity of the US would look like using current US figures.</t>
  </si>
  <si>
    <t>The US numbers for College are estimated, the estimates are not that bad, but this is definitely the sorest spot of the analysis. I think it would work for a v1 analysis,
 but I think a request to IPED may be necessary in the future. What are your thoughts?</t>
  </si>
  <si>
    <t>Should progress take into consideration all proficiency and excellence metrics?</t>
  </si>
  <si>
    <t>Do we like the names Proficiency and excellence?</t>
  </si>
  <si>
    <t>This does not have to be answered now, but should be an ongoing thought. What metrics can we include that paints a fuller picture of whats happening in Chicago?
For example, access in K-8 can be defined also monetarily and geographically not just by enrollment. Also, we could look at computer access or home life stats like parents who hold a CS degree. Obviously, data would be hard to come by, but these are the types of stats that might make our access scores more correct. Right now are current scores for access are lower than what they probably are in real life, and that might be because we are not capturing everything we need to capture. At the same time, our current access stats must be published because it does tell some of the story, and more importantly, that we are thinking about the problem with an appropriate framework. Overall, I suggest making a small note about future metrics we want to include on the dashboard just so people know that updates will come through out the dashboards lifetime. What do you think?</t>
  </si>
  <si>
    <t>No</t>
  </si>
  <si>
    <t>Yes</t>
  </si>
  <si>
    <t>Yes, but this data was not used see Row 14</t>
  </si>
  <si>
    <t>USA High paying Tech Jobs Demographics (EMSI)</t>
  </si>
  <si>
    <t>USA 19-24 Employee Demographics (EMSI)</t>
  </si>
  <si>
    <t>USA 3 year CS degree Conferral (EMSI)</t>
  </si>
  <si>
    <t>MIT Enrollment (MIT website)</t>
  </si>
  <si>
    <t>Stanford Enrollment (Stanford Website)</t>
  </si>
  <si>
    <t>Carnegie Mellon Enrollment (College Website)</t>
  </si>
  <si>
    <t>Were any estimations used Y/N ?</t>
  </si>
  <si>
    <t>Yes (rounding)</t>
  </si>
  <si>
    <t>https://www.cps.edu/about/district-data/demographics/</t>
  </si>
  <si>
    <t>CPS 4th grade population (CPS 2021-2022)</t>
  </si>
  <si>
    <t>CPS 8th grade population (CPS 2021-2022)</t>
  </si>
  <si>
    <t>CPS k-8 population (CPS 2021-2022)</t>
  </si>
  <si>
    <t>CPS 9th grade population (CPS 2021-2022)</t>
  </si>
  <si>
    <t>CPS 10th grade population (CPS 2021-2022)</t>
  </si>
  <si>
    <t>CPS 11th grade population (CPS 2021-2022)</t>
  </si>
  <si>
    <t>CPS 12th grade population (CPS 2021-2022)</t>
  </si>
  <si>
    <t>CPS HS population (CPS 2021-2022)</t>
  </si>
  <si>
    <t>Illinois HS Seniors (ISBE 2021-2022)</t>
  </si>
  <si>
    <t>https://www.isbe.net/pages/fall-enrollment-counts.aspx</t>
  </si>
  <si>
    <t>https://www.illinoisreportcard.com/state.aspx?source=studentcharacteristics&amp;source2=enrollment&amp;Stateid=IL</t>
  </si>
  <si>
    <t>Description of Estimation</t>
  </si>
  <si>
    <t>Multiplied Total number of Seniors by the demographic breakdown of Illinois K-12</t>
  </si>
  <si>
    <t>Multiplied 2021 4-year Graduation Rate by 2018 enrollment demographics that were estimated in the same manner as H11</t>
  </si>
  <si>
    <t>Weights</t>
  </si>
  <si>
    <t>Illinois CS/Computing Degree Enrollment for Top Three Universities B/H vs Illinois CS/Computing Degree Enrollment for Top Three Universities W/A</t>
  </si>
  <si>
    <t>Multiplied Total number of Highschoolers by the demographic breakdown of Illinois K-12</t>
  </si>
  <si>
    <t>https://www.ibhe.org/EnrollmentsDegrees/search.aspx</t>
  </si>
  <si>
    <t>Illinois HS Graduates (ISBE 2020-2021)</t>
  </si>
  <si>
    <t>All Highschool Students in Illinois (ISBE 2021-2022)</t>
  </si>
  <si>
    <t>This was found subtracting two numbers in the data sets</t>
  </si>
  <si>
    <t>All Degrees conferred in Illinois (ISBE 2020-2021)</t>
  </si>
  <si>
    <t>All People in Chicago (Census 2020)</t>
  </si>
  <si>
    <t>Yes(rounding)</t>
  </si>
  <si>
    <t>Numbers were rounded on the website</t>
  </si>
  <si>
    <t>https://statisticalatlas.com/place/Illinois/Chicago/Race-and-Ethnicity</t>
  </si>
  <si>
    <t>https://a.economicmodeling.com/analyst/?t=3rP1N#h=h5NLD&amp;page=demographics_table&amp;vertical=edo&amp;nation=us</t>
  </si>
  <si>
    <t>https://reports.collegeboard.org/media/2022-04/2021-total-group-sat-suite-of-assessments-annual-report%20%281%29.pdf</t>
  </si>
  <si>
    <t>2021 SAT takers in USA (College Board 2021)</t>
  </si>
  <si>
    <t>Illinois 18-24 Population (EMSI 2022)</t>
  </si>
  <si>
    <t>Chicago MSA 20-64 Demographics (EMSI 2022)</t>
  </si>
  <si>
    <t>https://www.cps.edu/globalassets/cps-pages/about-cps/district-data/metrics/assessment-reports/assessment_psatsat_schoollevel_2021.xls</t>
  </si>
  <si>
    <t>https://www.nationsreportcard.gov/mathematics/supportive_files/2019_technical_appendix_math.pdf</t>
  </si>
  <si>
    <t>https://nces.ed.gov/nationsreportcard/subject/publications/dst2019/pdf/2020015XC4.pdf</t>
  </si>
  <si>
    <t>Source 1</t>
  </si>
  <si>
    <t>Source 2 (If necessary)</t>
  </si>
  <si>
    <t>Chicago NAEP 4th grader demographics (NAEP 2019)</t>
  </si>
  <si>
    <t>Chicago NAEP 8th grader demographics (NAEP 2019)</t>
  </si>
  <si>
    <t>https://nces.ed.gov/nationsreportcard/subject/publications/dst2019/pdf/2020015xc8.pdf</t>
  </si>
  <si>
    <t>https://nces.ed.gov/nationsreportcard/subject/publications/stt2019/pdf/2020013np4.pdf</t>
  </si>
  <si>
    <t>https://nces.ed.gov/nationsreportcard/subject/publications/stt2019/pdf/2020013NP8.pdf</t>
  </si>
  <si>
    <t>US 4th grade population (NCES 2020)</t>
  </si>
  <si>
    <t>US 8th grade population (NCES 2020)</t>
  </si>
  <si>
    <t>US Highschool Population (NCES 2020)</t>
  </si>
  <si>
    <t>Numbers were provided with rounded figures</t>
  </si>
  <si>
    <t>https://nces.ed.gov/programs/digest/d21/tables/dt21_203.65.asp</t>
  </si>
  <si>
    <t>https://www.census.gov/library/stories/2021/08/improved-race-ethnicity-measures-reveal-united-states-population-much-more-multiracial.html</t>
  </si>
  <si>
    <t>https://a.economicmodeling.com/analyst/?t=3rP32#h=h5NtJ&amp;page=demographics_table&amp;vertical=edo&amp;nation=us</t>
  </si>
  <si>
    <t>US Population (USA Census 2020)</t>
  </si>
  <si>
    <t>US 20-64 Population (EMSI 2022)</t>
  </si>
  <si>
    <t>US 18-24 year old population (NCES 2021)</t>
  </si>
  <si>
    <t>https://nces.ed.gov/programs/digest/d21/tables/dt21_101.20.asp</t>
  </si>
  <si>
    <t>NCES projects highschools graduates each year, these are the 2021-2022 projections</t>
  </si>
  <si>
    <t>US Highschool Graduates (NCES 2021-2022)</t>
  </si>
  <si>
    <t>https://nces.ed.gov/programs/digest/d21/tables/dt21_219.30.asp</t>
  </si>
  <si>
    <t>https://www.cps.edu/search/?pageNumber=1&amp;context=Schools&amp;sortId=a-z</t>
  </si>
  <si>
    <t>Cannot be copied and pasted</t>
  </si>
  <si>
    <t>USA CS/Computing Degree Enrollment for Top Three Universities B/H vs USA CS/Computing Degree Enrollment for Top Three Universities W/A</t>
  </si>
  <si>
    <t>Pearcy Keppel Index</t>
  </si>
  <si>
    <t>Scaled</t>
  </si>
  <si>
    <t>Population Index</t>
  </si>
  <si>
    <t>PKI scaled</t>
  </si>
  <si>
    <t>Proficiency</t>
  </si>
  <si>
    <t>Range</t>
  </si>
  <si>
    <t>Sqrt Linearized</t>
  </si>
  <si>
    <t>Sqrt DfE</t>
  </si>
  <si>
    <t>Index New w sqrt</t>
  </si>
  <si>
    <t>Index new</t>
  </si>
  <si>
    <t>Scale of sqrt index</t>
  </si>
  <si>
    <t>Scale of index new</t>
  </si>
  <si>
    <t>Linearized with equal pop</t>
  </si>
  <si>
    <t xml:space="preserve">Numbers were reported in groups of 15-19 and 20-24, I multiplied the total number 15-19 by 2/5 so that it estimates the total number of 18 and 19 year olds. 
Then I multiplied the proportions of demographics in the 15-19 range and estimated how many people of each demographic made up the 18 and 19 estimate. </t>
  </si>
  <si>
    <t>Internet Access</t>
  </si>
  <si>
    <t>CPS 4th grade math Proficiency and above B/H vs CPS 4th grade math Proficiency and above W/A</t>
  </si>
  <si>
    <t>CPS 8th grade math Proficiency and above B/H vs CPS  8th grade math Proficiency and above W/A</t>
  </si>
  <si>
    <t>USA 4th grade math Proficiency and above B/H vs USA 4th grade math Proficiency and above W/A</t>
  </si>
  <si>
    <t>CPS AP CS 3 or 4 B/H vs CPS AP CS 3 or 4 W/A</t>
  </si>
  <si>
    <t>CPS AP CS 5 B/H vs CPS AP CS 5 W/A</t>
  </si>
  <si>
    <t>CPS AP CS Enrollment B/H vs CPS AP CS Enrollment W/A</t>
  </si>
  <si>
    <t>Naviance Data (IT Interest)</t>
  </si>
  <si>
    <t>Naviance Data (STEM Interest)</t>
  </si>
  <si>
    <t>r1</t>
  </si>
  <si>
    <t>r2</t>
  </si>
  <si>
    <t>R (unweighted)</t>
  </si>
  <si>
    <t>R(Weighted)</t>
  </si>
  <si>
    <t>Black_Hispanic</t>
  </si>
  <si>
    <t>White_Asian</t>
  </si>
  <si>
    <t>4th grade proficient in math (naep)</t>
  </si>
  <si>
    <t>4th grade advanced in math (naep)</t>
  </si>
  <si>
    <t>8th grade proficient in math (naep)</t>
  </si>
  <si>
    <t>8th grade advanced in math (naep)</t>
  </si>
  <si>
    <t>k-8 stem magnet school enrollment (cps school directory)</t>
  </si>
  <si>
    <t>ap cs enrollment (p33 excel)</t>
  </si>
  <si>
    <t>ap cs pass (p33 excel)</t>
  </si>
  <si>
    <t>cps sat meets and exceeds in math (isbe report card)</t>
  </si>
  <si>
    <t>cps sat exceeds in math (isbe report card)</t>
  </si>
  <si>
    <t>cps stem magnet hs enrollment (cps school directory)</t>
  </si>
  <si>
    <t>illinois hs graduates (isbe)</t>
  </si>
  <si>
    <t>cs/computing enrollment (ibhe)</t>
  </si>
  <si>
    <t>cs/computing conferral (ibhe)</t>
  </si>
  <si>
    <t>3 year cs/computing conferral (emsi)</t>
  </si>
  <si>
    <t>employee demographics (emsi)</t>
  </si>
  <si>
    <t>19-24 year olds in tech workforce (emsi)</t>
  </si>
  <si>
    <t>usa 4th grade math proficient and above (naep)</t>
  </si>
  <si>
    <t>usa 4th grade math advanced (naep)</t>
  </si>
  <si>
    <t>usa 8th grade math proficient and above (naep)</t>
  </si>
  <si>
    <t>usa 8th grade math advanced (naep)</t>
  </si>
  <si>
    <t>usa cs/computing conferral (emsi)</t>
  </si>
  <si>
    <t>illinois cs/computing conferral (emsi)</t>
  </si>
  <si>
    <t>usa-illinois cs/computing conferral(emsi)</t>
  </si>
  <si>
    <t>usa employment demographics for 11 top tech jobs (emsi)</t>
  </si>
  <si>
    <t>usa employment - illinois employment for 11 top tech jobs (emsi)</t>
  </si>
  <si>
    <t>usa sat math bench mark and above (college board)</t>
  </si>
  <si>
    <t>usa sat benchmark - cps sat benchmark</t>
  </si>
  <si>
    <t>cps sat benchmark (isbe)</t>
  </si>
  <si>
    <t>4th grade below basic in math (naep)</t>
  </si>
  <si>
    <t>4th grade basic in math (naep)</t>
  </si>
  <si>
    <t>8th grade below basic in math (naep)</t>
  </si>
  <si>
    <t>8th grade basic in math (naep)</t>
  </si>
  <si>
    <t>usa sat exceeds (college board)</t>
  </si>
  <si>
    <t>usa ap cs enroll (p33 excel)</t>
  </si>
  <si>
    <t>usa ap cs pass (p33 excel)</t>
  </si>
  <si>
    <t>top three illinois universities cs 2022 enrollment (isbe)</t>
  </si>
  <si>
    <t>top three illinois universities cs 2021 conferral (isbe)</t>
  </si>
  <si>
    <t>top three illinois universities 2022 enrollment (isbe)</t>
  </si>
  <si>
    <t>top three illinois universities 2021 conferral (isbe)</t>
  </si>
  <si>
    <t>top 3 highest paying cs jobs chicago msa (emsi)</t>
  </si>
  <si>
    <t>top 3 highest paying cs jobs usa (emsi)</t>
  </si>
  <si>
    <t>usa degree conferral (nces)</t>
  </si>
  <si>
    <t>top three usa universities cs enrollment (collected individually from school's website)</t>
  </si>
  <si>
    <t>top three usa universities cs conferral (emsi)</t>
  </si>
  <si>
    <t>top three usa universities enrollment (ipeds)</t>
  </si>
  <si>
    <t>top three usa universities conferral (ipeds)</t>
  </si>
  <si>
    <t>usa universities cs enrollment (emsi estimate)</t>
  </si>
  <si>
    <t>usa universities enrollment (ipeds)</t>
  </si>
  <si>
    <t>usa high paying tech jobs demographics (emsi)</t>
  </si>
  <si>
    <t>usa 19-24 employee demographics (emsi)</t>
  </si>
  <si>
    <t>stanford cs enrollment demographcis (stanford student project)</t>
  </si>
  <si>
    <t>carnegie mellon cs enrollment demographcis (college factual)</t>
  </si>
  <si>
    <t>mit cs enrollment (eecs mit report)</t>
  </si>
  <si>
    <t>usa 3 year cs degree conferral (emsi)</t>
  </si>
  <si>
    <t>mit enrollment (mit website)</t>
  </si>
  <si>
    <t>stanford enrollment (stanford website)</t>
  </si>
  <si>
    <t>carnegie mellon enrollment (college website)</t>
  </si>
  <si>
    <t>MAD(unweighted)</t>
  </si>
  <si>
    <t>MAD SQRT (Unweighted)</t>
  </si>
  <si>
    <t>MAD Scaled (unweighted)</t>
  </si>
  <si>
    <t>MAD(weighted)</t>
  </si>
  <si>
    <t>MAD SQRT (weighted)</t>
  </si>
  <si>
    <t>MAD Scaled (weighted)</t>
  </si>
  <si>
    <t>Illinois 18-24 year old demographic vs Illinois College Enrollment B/H W/A</t>
  </si>
  <si>
    <t>Employee Demographics for 19-24 year olds vs conferral B/H and W/A</t>
  </si>
  <si>
    <t>Geommetric R (unweighted)</t>
  </si>
  <si>
    <t>MAD(Geometric)</t>
  </si>
  <si>
    <t>MAD Scaled (Geometric)</t>
  </si>
  <si>
    <t>MAD SQRT (Geometric)</t>
  </si>
  <si>
    <t>USA 8th grade math Proficiency and above B/H vs USA 8th grade math Proficiency and above W/A</t>
  </si>
  <si>
    <t>USA K-8 STEM Magnet School Enrollment B/H vs USA K-8 STEM magnet School W/A</t>
  </si>
  <si>
    <t>USA AP CS 5 B/H vs USA AP CS 5 W/A</t>
  </si>
  <si>
    <t>USA HS STEM Magnet School Enrollment B/H vs USA HS STEM Enrollment W/A</t>
  </si>
  <si>
    <t>USA 18-24 year old demographic vs USA College Enrollment B/H W/A</t>
  </si>
  <si>
    <t>USA Employee Demographics for high paying tech jobs B/H vs USA Population Demographics B/H</t>
  </si>
  <si>
    <t>USA Employee Demographics for tech jobs B/H vs USA 20-64 year old Population Demographics B/H</t>
  </si>
  <si>
    <t>USA AP CS scored 3 or 4  (P33 Excel)</t>
  </si>
  <si>
    <t>USA AP CS scored 5  (P33 Excel)</t>
  </si>
  <si>
    <t>NO</t>
  </si>
  <si>
    <t>USA AP CS 3 or 4</t>
  </si>
  <si>
    <t>USA AP CS 5</t>
  </si>
  <si>
    <t>USA AP CS 3 and above B/H vs USA AP CS 3 and above W/A</t>
  </si>
  <si>
    <t>Weights per Metric with all data</t>
  </si>
  <si>
    <t>Weights per Metric with given data</t>
  </si>
  <si>
    <t>Framework Score (unweighted)</t>
  </si>
  <si>
    <t>Framework Score (Geometric)</t>
  </si>
  <si>
    <t>Framework Score (weighted)</t>
  </si>
  <si>
    <t>Framework Weights</t>
  </si>
  <si>
    <t>Lifepoint Score (unweighted)</t>
  </si>
  <si>
    <t>Lifepoint Score (Geometric)</t>
  </si>
  <si>
    <t>Lifepoint Score (weighted)</t>
  </si>
  <si>
    <t>Geometric Mean</t>
  </si>
  <si>
    <t>MAD</t>
  </si>
  <si>
    <t>MAD Sqrt</t>
  </si>
  <si>
    <t>MAD Scaled</t>
  </si>
  <si>
    <t>Metric Weights</t>
  </si>
  <si>
    <t>Metric Weights Proxy</t>
  </si>
  <si>
    <t>Framework Score Arithmetic Weighted Mean</t>
  </si>
  <si>
    <t>Framework Score Geometric Weighted Mean</t>
  </si>
  <si>
    <t xml:space="preserve">lifepoint score arithmetic mean </t>
  </si>
  <si>
    <t>lifepoint score geometric mean</t>
  </si>
  <si>
    <t>Geography Score Arithmetic Mean</t>
  </si>
  <si>
    <t>Geography Score Geometric Mean</t>
  </si>
  <si>
    <t>lifepoint weight</t>
  </si>
  <si>
    <t>Lack of Internet Access</t>
  </si>
  <si>
    <t>CS Opportunities in 4th grade classroom USA</t>
  </si>
  <si>
    <t>CS Interest</t>
  </si>
  <si>
    <t>Census Tract</t>
  </si>
  <si>
    <t>Census Tract Name</t>
  </si>
  <si>
    <t>2021 Jobs</t>
  </si>
  <si>
    <t>8391.00 (in Cook county, IL)</t>
  </si>
  <si>
    <t>818.00 (in Cook county, IL)</t>
  </si>
  <si>
    <t>7608.01 (in Cook county, IL)</t>
  </si>
  <si>
    <t>3201.00 (in Cook county, IL)</t>
  </si>
  <si>
    <t>8460.02 (in DuPage county, IL)</t>
  </si>
  <si>
    <t>2819.00 (in Cook county, IL)</t>
  </si>
  <si>
    <t>8046.03 (in Cook county, IL)</t>
  </si>
  <si>
    <t>8446.01 (in DuPage county, IL)</t>
  </si>
  <si>
    <t>8645.05 (in Lake county, IL)</t>
  </si>
  <si>
    <t>8422.00 (in Cook county, IL)</t>
  </si>
  <si>
    <t>2801.00 (in Cook county, IL)</t>
  </si>
  <si>
    <t>8461.02 (in DuPage county, IL)</t>
  </si>
  <si>
    <t>8402.01 (in DuPage county, IL)</t>
  </si>
  <si>
    <t>8465.19 (in DuPage county, IL)</t>
  </si>
  <si>
    <t>8016.06 (in Cook county, IL)</t>
  </si>
  <si>
    <t>3204.00 (in Cook county, IL)</t>
  </si>
  <si>
    <t>817.00 (in Cook county, IL)</t>
  </si>
  <si>
    <t>7707.00 (in Cook county, IL)</t>
  </si>
  <si>
    <t>8461.06 (in DuPage county, IL)</t>
  </si>
  <si>
    <t>8649.03 (in Lake county, IL)</t>
  </si>
  <si>
    <t>8046.09 (in Cook county, IL)</t>
  </si>
  <si>
    <t>8047.01 (in Cook county, IL)</t>
  </si>
  <si>
    <t>814.03 (in Cook county, IL)</t>
  </si>
  <si>
    <t>8444.01 (in DuPage county, IL)</t>
  </si>
  <si>
    <t>8464.13 (in DuPage county, IL)</t>
  </si>
  <si>
    <t>8413.13 (in DuPage county, IL)</t>
  </si>
  <si>
    <t>8419.00 (in Cook county, IL)</t>
  </si>
  <si>
    <t>8048.05 (in Cook county, IL)</t>
  </si>
  <si>
    <t>8016.01 (in Cook county, IL)</t>
  </si>
  <si>
    <t>8330.00 (in Cook county, IL)</t>
  </si>
  <si>
    <t>8423.00 (in Cook county, IL)</t>
  </si>
  <si>
    <t>7703.00 (in Cook county, IL)</t>
  </si>
  <si>
    <t>8042.01 (in Cook county, IL)</t>
  </si>
  <si>
    <t>8401.01 (in DuPage county, IL)</t>
  </si>
  <si>
    <t>8185.00 (in Cook county, IL)</t>
  </si>
  <si>
    <t>8662.00 (in Lake county, IL)</t>
  </si>
  <si>
    <t>815.00 (in Cook county, IL)</t>
  </si>
  <si>
    <t>8459.02 (in DuPage county, IL)</t>
  </si>
  <si>
    <t>8015.00 (in Cook county, IL)</t>
  </si>
  <si>
    <t>8645.13 (in Lake county, IL)</t>
  </si>
  <si>
    <t>8443.01 (in DuPage county, IL)</t>
  </si>
  <si>
    <t>2519.00 (in Cook county, IL)</t>
  </si>
  <si>
    <t>7705.00 (in Cook county, IL)</t>
  </si>
  <si>
    <t>814.01 (in Cook county, IL)</t>
  </si>
  <si>
    <t>8094.00 (in Cook county, IL)</t>
  </si>
  <si>
    <t>8331.00 (in Cook county, IL)</t>
  </si>
  <si>
    <t>8362.00 (in Cook county, IL)</t>
  </si>
  <si>
    <t>8506.00 (in Kane county, IL)</t>
  </si>
  <si>
    <t>8323.00 (in Cook county, IL)</t>
  </si>
  <si>
    <t>8835.14 (in Will county, IL)</t>
  </si>
  <si>
    <t>8467.02 (in DuPage county, IL)</t>
  </si>
  <si>
    <t>8407.05 (in DuPage county, IL)</t>
  </si>
  <si>
    <t>7704.00 (in Cook county, IL)</t>
  </si>
  <si>
    <t>8051.07 (in Cook county, IL)</t>
  </si>
  <si>
    <t>8648.02 (in Lake county, IL)</t>
  </si>
  <si>
    <t>8400.00 (in DuPage county, IL)</t>
  </si>
  <si>
    <t>7702.02 (in Cook county, IL)</t>
  </si>
  <si>
    <t>8409.01 (in DuPage county, IL)</t>
  </si>
  <si>
    <t>8444.02 (in DuPage county, IL)</t>
  </si>
  <si>
    <t>8030.05 (in Cook county, IL)</t>
  </si>
  <si>
    <t>8087.02 (in Cook county, IL)</t>
  </si>
  <si>
    <t>8415.01 (in DuPage county, IL)</t>
  </si>
  <si>
    <t>8464.05 (in DuPage county, IL)</t>
  </si>
  <si>
    <t>8443.06 (in DuPage county, IL)</t>
  </si>
  <si>
    <t>8425.00 (in DuPage county, IL)</t>
  </si>
  <si>
    <t>8465.15 (in DuPage county, IL)</t>
  </si>
  <si>
    <t>8645.21 (in Lake county, IL)</t>
  </si>
  <si>
    <t>8018.00 (in Cook county, IL)</t>
  </si>
  <si>
    <t>26.02 (in Kenosha county, WI)</t>
  </si>
  <si>
    <t>8648.01 (in Lake county, IL)</t>
  </si>
  <si>
    <t>8528.03 (in Kane county, IL)</t>
  </si>
  <si>
    <t>8025.05 (in Cook county, IL)</t>
  </si>
  <si>
    <t>8463.13 (in DuPage county, IL)</t>
  </si>
  <si>
    <t>8078.00 (in Cook county, IL)</t>
  </si>
  <si>
    <t>8426.03 (in DuPage county, IL)</t>
  </si>
  <si>
    <t>8100.00 (in Cook county, IL)</t>
  </si>
  <si>
    <t>8445.01 (in DuPage county, IL)</t>
  </si>
  <si>
    <t>8051.05 (in Cook county, IL)</t>
  </si>
  <si>
    <t>2105.01 (in Cook county, IL)</t>
  </si>
  <si>
    <t>2213.00 (in Cook county, IL)</t>
  </si>
  <si>
    <t>8030.12 (in Cook county, IL)</t>
  </si>
  <si>
    <t>8318.00 (in Cook county, IL)</t>
  </si>
  <si>
    <t>8413.15 (in DuPage county, IL)</t>
  </si>
  <si>
    <t>6.01 (in Kenosha county, WI)</t>
  </si>
  <si>
    <t>9800.00 (in Cook county, IL)</t>
  </si>
  <si>
    <t>8019.01 (in Cook county, IL)</t>
  </si>
  <si>
    <t>8612.01 (in Lake county, IL)</t>
  </si>
  <si>
    <t>8036.12 (in Cook county, IL)</t>
  </si>
  <si>
    <t>8645.22 (in Lake county, IL)</t>
  </si>
  <si>
    <t>3301.00 (in Cook county, IL)</t>
  </si>
  <si>
    <t>8644.08 (in Lake county, IL)</t>
  </si>
  <si>
    <t>8463.07 (in DuPage county, IL)</t>
  </si>
  <si>
    <t>8629.01 (in Lake county, IL)</t>
  </si>
  <si>
    <t>7706.02 (in Cook county, IL)</t>
  </si>
  <si>
    <t>8458.03 (in DuPage county, IL)</t>
  </si>
  <si>
    <t>8465.04 (in DuPage county, IL)</t>
  </si>
  <si>
    <t>8042.02 (in Cook county, IL)</t>
  </si>
  <si>
    <t>8411.14 (in DuPage county, IL)</t>
  </si>
  <si>
    <t>8462.06 (in DuPage county, IL)</t>
  </si>
  <si>
    <t>8447.02 (in DuPage county, IL)</t>
  </si>
  <si>
    <t>8179.00 (in Cook county, IL)</t>
  </si>
  <si>
    <t>14.00 (in Kenosha county, WI)</t>
  </si>
  <si>
    <t>8801.21 (in Will county, IL)</t>
  </si>
  <si>
    <t>813.00 (in Cook county, IL)</t>
  </si>
  <si>
    <t>8409.07 (in DuPage county, IL)</t>
  </si>
  <si>
    <t>816.00 (in Cook county, IL)</t>
  </si>
  <si>
    <t>8202.01 (in Cook county, IL)</t>
  </si>
  <si>
    <t>8655.02 (in Lake county, IL)</t>
  </si>
  <si>
    <t>8446.02 (in DuPage county, IL)</t>
  </si>
  <si>
    <t>8017.02 (in Cook county, IL)</t>
  </si>
  <si>
    <t>8081.00 (in Cook county, IL)</t>
  </si>
  <si>
    <t>8289.00 (in Cook county, IL)</t>
  </si>
  <si>
    <t>812.01 (in Cook county, IL)</t>
  </si>
  <si>
    <t>8619.02 (in Lake county, IL)</t>
  </si>
  <si>
    <t>8802.02 (in Will county, IL)</t>
  </si>
  <si>
    <t>8443.05 (in DuPage county, IL)</t>
  </si>
  <si>
    <t>8645.16 (in Lake county, IL)</t>
  </si>
  <si>
    <t>8644.02 (in Lake county, IL)</t>
  </si>
  <si>
    <t>8465.09 (in DuPage county, IL)</t>
  </si>
  <si>
    <t>8026.05 (in Cook county, IL)</t>
  </si>
  <si>
    <t>8520.03 (in Kane county, IL)</t>
  </si>
  <si>
    <t>8426.00 (in Cook county, IL)</t>
  </si>
  <si>
    <t>8073.00 (in Cook county, IL)</t>
  </si>
  <si>
    <t>8027.02 (in Cook county, IL)</t>
  </si>
  <si>
    <t>8520.02 (in Kane county, IL)</t>
  </si>
  <si>
    <t>8123.01 (in Cook county, IL)</t>
  </si>
  <si>
    <t>8460.03 (in DuPage county, IL)</t>
  </si>
  <si>
    <t>8642.05 (in Lake county, IL)</t>
  </si>
  <si>
    <t>8010.00 (in Cook county, IL)</t>
  </si>
  <si>
    <t>8611.06 (in Lake county, IL)</t>
  </si>
  <si>
    <t>8382.00 (in Cook county, IL)</t>
  </si>
  <si>
    <t>8645.19 (in Lake county, IL)</t>
  </si>
  <si>
    <t>8095.00 (in Cook county, IL)</t>
  </si>
  <si>
    <t>8161.00 (in Cook county, IL)</t>
  </si>
  <si>
    <t>8421.00 (in DuPage county, IL)</t>
  </si>
  <si>
    <t>8105.02 (in Cook county, IL)</t>
  </si>
  <si>
    <t>8039.01 (in Cook county, IL)</t>
  </si>
  <si>
    <t>8033.00 (in Cook county, IL)</t>
  </si>
  <si>
    <t>10.00 (in Kenosha county, WI)</t>
  </si>
  <si>
    <t>8442.01 (in DuPage county, IL)</t>
  </si>
  <si>
    <t>8232.00 (in Cook county, IL)</t>
  </si>
  <si>
    <t>8218.00 (in Cook county, IL)</t>
  </si>
  <si>
    <t>8239.03 (in Cook county, IL)</t>
  </si>
  <si>
    <t>8076.00 (in Cook county, IL)</t>
  </si>
  <si>
    <t>8417.04 (in DuPage county, IL)</t>
  </si>
  <si>
    <t>8708.03 (in McHenry county, IL)</t>
  </si>
  <si>
    <t>8023.00 (in Cook county, IL)</t>
  </si>
  <si>
    <t>8464.11 (in DuPage county, IL)</t>
  </si>
  <si>
    <t>8080.01 (in Cook county, IL)</t>
  </si>
  <si>
    <t>8069.00 (in Cook county, IL)</t>
  </si>
  <si>
    <t>8221.02 (in Cook county, IL)</t>
  </si>
  <si>
    <t>23.00 (in Kenosha county, WI)</t>
  </si>
  <si>
    <t>8209.01 (in Cook county, IL)</t>
  </si>
  <si>
    <t>8649.04 (in Lake county, IL)</t>
  </si>
  <si>
    <t>8546.00 (in Kane county, IL)</t>
  </si>
  <si>
    <t>8461.03 (in DuPage county, IL)</t>
  </si>
  <si>
    <t>8525.00 (in Kane county, IL)</t>
  </si>
  <si>
    <t>8519.10 (in Kane county, IL)</t>
  </si>
  <si>
    <t>8113.02 (in Cook county, IL)</t>
  </si>
  <si>
    <t>8429.00 (in DuPage county, IL)</t>
  </si>
  <si>
    <t>15.00 (in Kenosha county, WI)</t>
  </si>
  <si>
    <t>8522.02 (in Kane county, IL)</t>
  </si>
  <si>
    <t>8445.02 (in DuPage county, IL)</t>
  </si>
  <si>
    <t>8237.03 (in Cook county, IL)</t>
  </si>
  <si>
    <t>8460.04 (in DuPage county, IL)</t>
  </si>
  <si>
    <t>8464.09 (in DuPage county, IL)</t>
  </si>
  <si>
    <t>8241.20 (in Cook county, IL)</t>
  </si>
  <si>
    <t>8016.08 (in Cook county, IL)</t>
  </si>
  <si>
    <t>8056.00 (in Cook county, IL)</t>
  </si>
  <si>
    <t>8390.00 (in Cook county, IL)</t>
  </si>
  <si>
    <t>7708.00 (in Cook county, IL)</t>
  </si>
  <si>
    <t>8636.03 (in Lake county, IL)</t>
  </si>
  <si>
    <t>8240.03 (in Cook county, IL)</t>
  </si>
  <si>
    <t>8414.03 (in DuPage county, IL)</t>
  </si>
  <si>
    <t>8626.03 (in Lake county, IL)</t>
  </si>
  <si>
    <t>8083.01 (in Cook county, IL)</t>
  </si>
  <si>
    <t>8412.10 (in DuPage county, IL)</t>
  </si>
  <si>
    <t>8037.02 (in Cook county, IL)</t>
  </si>
  <si>
    <t>8803.12 (in Will county, IL)</t>
  </si>
  <si>
    <t>8453.00 (in DuPage county, IL)</t>
  </si>
  <si>
    <t>8464.04 (in DuPage county, IL)</t>
  </si>
  <si>
    <t>8465.07 (in DuPage county, IL)</t>
  </si>
  <si>
    <t>8708.07 (in McHenry county, IL)</t>
  </si>
  <si>
    <t>425.05 (in Lake county, IN)</t>
  </si>
  <si>
    <t>8412.08 (in DuPage county, IL)</t>
  </si>
  <si>
    <t>8713.06 (in McHenry county, IL)</t>
  </si>
  <si>
    <t>8411.02 (in DuPage county, IL)</t>
  </si>
  <si>
    <t>8409.04 (in DuPage county, IL)</t>
  </si>
  <si>
    <t>8411.11 (in DuPage county, IL)</t>
  </si>
  <si>
    <t>319.00 (in Cook county, IL)</t>
  </si>
  <si>
    <t>8410.02 (in DuPage county, IL)</t>
  </si>
  <si>
    <t>8144.00 (in Cook county, IL)</t>
  </si>
  <si>
    <t>209.00 (in Lake county, IN)</t>
  </si>
  <si>
    <t>2435.00 (in Cook county, IL)</t>
  </si>
  <si>
    <t>8465.14 (in DuPage county, IL)</t>
  </si>
  <si>
    <t>8450.00 (in DuPage county, IL)</t>
  </si>
  <si>
    <t>8048.03 (in Cook county, IL)</t>
  </si>
  <si>
    <t>8640.02 (in Lake county, IL)</t>
  </si>
  <si>
    <t>8381.00 (in Cook county, IL)</t>
  </si>
  <si>
    <t>8432.00 (in DuPage county, IL)</t>
  </si>
  <si>
    <t>8048.10 (in Cook county, IL)</t>
  </si>
  <si>
    <t>8635.00 (in Lake county, IL)</t>
  </si>
  <si>
    <t>8643.08 (in Lake county, IL)</t>
  </si>
  <si>
    <t>8038.00 (in Cook county, IL)</t>
  </si>
  <si>
    <t>7203.00 (in Cook county, IL)</t>
  </si>
  <si>
    <t>502.03 (in Porter county, IN)</t>
  </si>
  <si>
    <t>8616.03 (in Lake county, IL)</t>
  </si>
  <si>
    <t>8654.00 (in Lake county, IL)</t>
  </si>
  <si>
    <t>8036.04 (in Cook county, IL)</t>
  </si>
  <si>
    <t>8529.03 (in Kane county, IL)</t>
  </si>
  <si>
    <t>508.00 (in Porter county, IN)</t>
  </si>
  <si>
    <t>8836.06 (in Will county, IL)</t>
  </si>
  <si>
    <t>8504.00 (in Kane county, IL)</t>
  </si>
  <si>
    <t>22.00 (in DeKalb county, IL)</t>
  </si>
  <si>
    <t>1101.00 (in Cook county, IL)</t>
  </si>
  <si>
    <t>402.01 (in Cook county, IL)</t>
  </si>
  <si>
    <t>3206.00 (in Cook county, IL)</t>
  </si>
  <si>
    <t>8117.01 (in Cook county, IL)</t>
  </si>
  <si>
    <t>25.00 (in Kenosha county, WI)</t>
  </si>
  <si>
    <t>423.00 (in Lake county, IN)</t>
  </si>
  <si>
    <t>8241.17 (in Cook county, IL)</t>
  </si>
  <si>
    <t>8904.00 (in Kendall county, IL)</t>
  </si>
  <si>
    <t>8632.02 (in Lake county, IL)</t>
  </si>
  <si>
    <t>8518.01 (in Kane county, IL)</t>
  </si>
  <si>
    <t>8062.02 (in Cook county, IL)</t>
  </si>
  <si>
    <t>8526.01 (in Kane county, IL)</t>
  </si>
  <si>
    <t>1105.02 (in Cook county, IL)</t>
  </si>
  <si>
    <t>8244.00 (in Cook county, IL)</t>
  </si>
  <si>
    <t>8288.01 (in Cook county, IL)</t>
  </si>
  <si>
    <t>8041.02 (in Cook county, IL)</t>
  </si>
  <si>
    <t>8835.17 (in Will county, IL)</t>
  </si>
  <si>
    <t>1711.00 (in Cook county, IL)</t>
  </si>
  <si>
    <t>8240.06 (in Cook county, IL)</t>
  </si>
  <si>
    <t>8077.00 (in Cook county, IL)</t>
  </si>
  <si>
    <t>8051.11 (in Cook county, IL)</t>
  </si>
  <si>
    <t>2104.00 (in Cook county, IL)</t>
  </si>
  <si>
    <t>8275.00 (in Cook county, IL)</t>
  </si>
  <si>
    <t>8036.08 (in Cook county, IL)</t>
  </si>
  <si>
    <t>8835.04 (in Will county, IL)</t>
  </si>
  <si>
    <t>8041.06 (in Cook county, IL)</t>
  </si>
  <si>
    <t>8615.04 (in Lake county, IL)</t>
  </si>
  <si>
    <t>8201.03 (in Cook county, IL)</t>
  </si>
  <si>
    <t>8641.06 (in Lake county, IL)</t>
  </si>
  <si>
    <t>1003.00 (in Cook county, IL)</t>
  </si>
  <si>
    <t>8036.10 (in Cook county, IL)</t>
  </si>
  <si>
    <t>8065.01 (in Cook county, IL)</t>
  </si>
  <si>
    <t>8204.00 (in Cook county, IL)</t>
  </si>
  <si>
    <t>8519.09 (in Kane county, IL)</t>
  </si>
  <si>
    <t>4108.00 (in Cook county, IL)</t>
  </si>
  <si>
    <t>8066.00 (in Cook county, IL)</t>
  </si>
  <si>
    <t>8300.04 (in Cook county, IL)</t>
  </si>
  <si>
    <t>8080.02 (in Cook county, IL)</t>
  </si>
  <si>
    <t>8246.02 (in Cook county, IL)</t>
  </si>
  <si>
    <t>8413.12 (in DuPage county, IL)</t>
  </si>
  <si>
    <t>711.00 (in Cook county, IL)</t>
  </si>
  <si>
    <t>8016.03 (in Cook county, IL)</t>
  </si>
  <si>
    <t>8202.02 (in Cook county, IL)</t>
  </si>
  <si>
    <t>8463.04 (in DuPage county, IL)</t>
  </si>
  <si>
    <t>8449.01 (in DuPage county, IL)</t>
  </si>
  <si>
    <t>8284.01 (in Cook county, IL)</t>
  </si>
  <si>
    <t>8024.02 (in Cook county, IL)</t>
  </si>
  <si>
    <t>8408.02 (in DuPage county, IL)</t>
  </si>
  <si>
    <t>602.00 (in Cook county, IL)</t>
  </si>
  <si>
    <t>8547.00 (in Kane county, IL)</t>
  </si>
  <si>
    <t>8030.10 (in Cook county, IL)</t>
  </si>
  <si>
    <t>8245.03 (in Cook county, IL)</t>
  </si>
  <si>
    <t>8615.07 (in Lake county, IL)</t>
  </si>
  <si>
    <t>8237.02 (in Cook county, IL)</t>
  </si>
  <si>
    <t>1502.00 (in Cook county, IL)</t>
  </si>
  <si>
    <t>8713.01 (in McHenry county, IL)</t>
  </si>
  <si>
    <t>1203.00 (in Cook county, IL)</t>
  </si>
  <si>
    <t>8236.05 (in Cook county, IL)</t>
  </si>
  <si>
    <t>8832.11 (in Will county, IL)</t>
  </si>
  <si>
    <t>8240.05 (in Cook county, IL)</t>
  </si>
  <si>
    <t>8507.01 (in Kane county, IL)</t>
  </si>
  <si>
    <t>311.00 (in Cook county, IL)</t>
  </si>
  <si>
    <t>8638.01 (in Lake county, IL)</t>
  </si>
  <si>
    <t>1001.00 (in Cook county, IL)</t>
  </si>
  <si>
    <t>6505.00 (in Cook county, IL)</t>
  </si>
  <si>
    <t>8116.00 (in Cook county, IL)</t>
  </si>
  <si>
    <t>8804.04 (in Will county, IL)</t>
  </si>
  <si>
    <t>8418.02 (in DuPage county, IL)</t>
  </si>
  <si>
    <t>8427.03 (in DuPage county, IL)</t>
  </si>
  <si>
    <t>8701.01 (in McHenry county, IL)</t>
  </si>
  <si>
    <t>13.00 (in Kenosha county, WI)</t>
  </si>
  <si>
    <t>8708.08 (in McHenry county, IL)</t>
  </si>
  <si>
    <t>8836.02 (in Will county, IL)</t>
  </si>
  <si>
    <t>902.00 (in Cook county, IL)</t>
  </si>
  <si>
    <t>8461.04 (in DuPage county, IL)</t>
  </si>
  <si>
    <t>8637.02 (in Lake county, IL)</t>
  </si>
  <si>
    <t>8195.00 (in Cook county, IL)</t>
  </si>
  <si>
    <t>814.02 (in Cook county, IL)</t>
  </si>
  <si>
    <t>8709.02 (in McHenry county, IL)</t>
  </si>
  <si>
    <t>8.00 (in DeKalb county, IL)</t>
  </si>
  <si>
    <t>8238.03 (in Cook county, IL)</t>
  </si>
  <si>
    <t>8608.10 (in Lake county, IL)</t>
  </si>
  <si>
    <t>8025.04 (in Cook county, IL)</t>
  </si>
  <si>
    <t>8645.20 (in Lake county, IL)</t>
  </si>
  <si>
    <t>8399.00 (in Cook county, IL)</t>
  </si>
  <si>
    <t>8658.01 (in Lake county, IL)</t>
  </si>
  <si>
    <t>8529.07 (in Kane county, IL)</t>
  </si>
  <si>
    <t>8314.00 (in Cook county, IL)</t>
  </si>
  <si>
    <t>8639.02 (in Lake county, IL)</t>
  </si>
  <si>
    <t>8644.03 (in Lake county, IL)</t>
  </si>
  <si>
    <t>8005.00 (in Cook county, IL)</t>
  </si>
  <si>
    <t>3106.00 (in Cook county, IL)</t>
  </si>
  <si>
    <t>8061.02 (in Cook county, IL)</t>
  </si>
  <si>
    <t>8286.01 (in Cook county, IL)</t>
  </si>
  <si>
    <t>8413.08 (in DuPage county, IL)</t>
  </si>
  <si>
    <t>8422.00 (in DuPage county, IL)</t>
  </si>
  <si>
    <t>8841.03 (in Will county, IL)</t>
  </si>
  <si>
    <t>8112.00 (in Cook county, IL)</t>
  </si>
  <si>
    <t>8241.15 (in Cook county, IL)</t>
  </si>
  <si>
    <t>8030.07 (in Cook county, IL)</t>
  </si>
  <si>
    <t>8411.04 (in DuPage county, IL)</t>
  </si>
  <si>
    <t>2101.00 (in Cook county, IL)</t>
  </si>
  <si>
    <t>1701.00 (in Cook county, IL)</t>
  </si>
  <si>
    <t>8803.13 (in Will county, IL)</t>
  </si>
  <si>
    <t>8545.04 (in Kane county, IL)</t>
  </si>
  <si>
    <t>8427.10 (in DuPage county, IL)</t>
  </si>
  <si>
    <t>2216.00 (in Cook county, IL)</t>
  </si>
  <si>
    <t>8803.08 (in Will county, IL)</t>
  </si>
  <si>
    <t>8125.00 (in Cook county, IL)</t>
  </si>
  <si>
    <t>8820.00 (in Will county, IL)</t>
  </si>
  <si>
    <t>8241.16 (in Cook county, IL)</t>
  </si>
  <si>
    <t>8333.00 (in Cook county, IL)</t>
  </si>
  <si>
    <t>8208.00 (in Cook county, IL)</t>
  </si>
  <si>
    <t>8466.04 (in DuPage county, IL)</t>
  </si>
  <si>
    <t>8501.03 (in Kane county, IL)</t>
  </si>
  <si>
    <t>8043.11 (in Cook county, IL)</t>
  </si>
  <si>
    <t>8647.00 (in Lake county, IL)</t>
  </si>
  <si>
    <t>8417.06 (in DuPage county, IL)</t>
  </si>
  <si>
    <t>8021.00 (in Cook county, IL)</t>
  </si>
  <si>
    <t>8640.01 (in Lake county, IL)</t>
  </si>
  <si>
    <t>8055.02 (in Cook county, IL)</t>
  </si>
  <si>
    <t>8300.05 (in Cook county, IL)</t>
  </si>
  <si>
    <t>8413.25 (in DuPage county, IL)</t>
  </si>
  <si>
    <t>8180.00 (in Cook county, IL)</t>
  </si>
  <si>
    <t>8183.00 (in Cook county, IL)</t>
  </si>
  <si>
    <t>8419.02 (in DuPage county, IL)</t>
  </si>
  <si>
    <t>8119.00 (in Cook county, IL)</t>
  </si>
  <si>
    <t>8457.03 (in DuPage county, IL)</t>
  </si>
  <si>
    <t>8511.01 (in Kane county, IL)</t>
  </si>
  <si>
    <t>2505.00 (in Cook county, IL)</t>
  </si>
  <si>
    <t>8278.01 (in Cook county, IL)</t>
  </si>
  <si>
    <t>8055.01 (in Cook county, IL)</t>
  </si>
  <si>
    <t>8811.08 (in Will county, IL)</t>
  </si>
  <si>
    <t>8184.01 (in Cook county, IL)</t>
  </si>
  <si>
    <t>8461.05 (in DuPage county, IL)</t>
  </si>
  <si>
    <t>2415.00 (in Cook county, IL)</t>
  </si>
  <si>
    <t>8013.00 (in Cook county, IL)</t>
  </si>
  <si>
    <t>8433.00 (in Cook county, IL)</t>
  </si>
  <si>
    <t>8527.00 (in Kane county, IL)</t>
  </si>
  <si>
    <t>2432.00 (in Cook county, IL)</t>
  </si>
  <si>
    <t>8068.01 (in Cook county, IL)</t>
  </si>
  <si>
    <t>505.00 (in Cook county, IL)</t>
  </si>
  <si>
    <t>8307.00 (in Cook county, IL)</t>
  </si>
  <si>
    <t>8449.02 (in DuPage county, IL)</t>
  </si>
  <si>
    <t>8835.22 (in Will county, IL)</t>
  </si>
  <si>
    <t>9801.00 (in Cook county, IL)</t>
  </si>
  <si>
    <t>8519.08 (in Kane county, IL)</t>
  </si>
  <si>
    <t>8643.07 (in Lake county, IL)</t>
  </si>
  <si>
    <t>2712.00 (in Cook county, IL)</t>
  </si>
  <si>
    <t>1303.00 (in Cook county, IL)</t>
  </si>
  <si>
    <t>8412.04 (in DuPage county, IL)</t>
  </si>
  <si>
    <t>8835.16 (in Will county, IL)</t>
  </si>
  <si>
    <t>13.00 (in DeKalb county, IL)</t>
  </si>
  <si>
    <t>8464.10 (in DuPage county, IL)</t>
  </si>
  <si>
    <t>8060.04 (in Cook county, IL)</t>
  </si>
  <si>
    <t>8532.00 (in Kane county, IL)</t>
  </si>
  <si>
    <t>410.02 (in Lake county, IN)</t>
  </si>
  <si>
    <t>8451.00 (in DuPage county, IL)</t>
  </si>
  <si>
    <t>8519.04 (in Kane county, IL)</t>
  </si>
  <si>
    <t>504.07 (in Porter county, IN)</t>
  </si>
  <si>
    <t>8803.07 (in Will county, IL)</t>
  </si>
  <si>
    <t>8901.01 (in Kendall county, IL)</t>
  </si>
  <si>
    <t>407.00 (in Cook county, IL)</t>
  </si>
  <si>
    <t>5701.00 (in Cook county, IL)</t>
  </si>
  <si>
    <t>8835.07 (in Will county, IL)</t>
  </si>
  <si>
    <t>5805.02 (in Cook county, IL)</t>
  </si>
  <si>
    <t>321.00 (in Cook county, IL)</t>
  </si>
  <si>
    <t>107.02 (in Cook county, IL)</t>
  </si>
  <si>
    <t>8639.04 (in Lake county, IL)</t>
  </si>
  <si>
    <t>8828.02 (in Will county, IL)</t>
  </si>
  <si>
    <t>803.00 (in Cook county, IL)</t>
  </si>
  <si>
    <t>8141.00 (in Cook county, IL)</t>
  </si>
  <si>
    <t>8045.07 (in Cook county, IL)</t>
  </si>
  <si>
    <t>7.00 (in Grundy county, IL)</t>
  </si>
  <si>
    <t>8529.06 (in Kane county, IL)</t>
  </si>
  <si>
    <t>8272.00 (in Cook county, IL)</t>
  </si>
  <si>
    <t>8432.00 (in Cook county, IL)</t>
  </si>
  <si>
    <t>8420.00 (in Cook county, IL)</t>
  </si>
  <si>
    <t>208.02 (in Cook county, IL)</t>
  </si>
  <si>
    <t>8020.02 (in Cook county, IL)</t>
  </si>
  <si>
    <t>8016.07 (in Cook county, IL)</t>
  </si>
  <si>
    <t>8037.01 (in Cook county, IL)</t>
  </si>
  <si>
    <t>2414.00 (in Cook county, IL)</t>
  </si>
  <si>
    <t>5001.00 (in Cook county, IL)</t>
  </si>
  <si>
    <t>5103.00 (in Cook county, IL)</t>
  </si>
  <si>
    <t>8810.12 (in Will county, IL)</t>
  </si>
  <si>
    <t>8072.00 (in Cook county, IL)</t>
  </si>
  <si>
    <t>8548.00 (in Kane county, IL)</t>
  </si>
  <si>
    <t>8622.00 (in Lake county, IL)</t>
  </si>
  <si>
    <t>8065.02 (in Cook county, IL)</t>
  </si>
  <si>
    <t>7402.00 (in Cook county, IL)</t>
  </si>
  <si>
    <t>8524.02 (in Kane county, IL)</t>
  </si>
  <si>
    <t>8416.06 (in DuPage county, IL)</t>
  </si>
  <si>
    <t>8465.17 (in DuPage county, IL)</t>
  </si>
  <si>
    <t>8201.01 (in Cook county, IL)</t>
  </si>
  <si>
    <t>8045.06 (in Cook county, IL)</t>
  </si>
  <si>
    <t>8465.21 (in DuPage county, IL)</t>
  </si>
  <si>
    <t>8507.02 (in Kane county, IL)</t>
  </si>
  <si>
    <t>8051.12 (in Cook county, IL)</t>
  </si>
  <si>
    <t>8104.00 (in Cook county, IL)</t>
  </si>
  <si>
    <t>403.00 (in Lake county, IN)</t>
  </si>
  <si>
    <t>8035.00 (in Cook county, IL)</t>
  </si>
  <si>
    <t>8426.01 (in DuPage county, IL)</t>
  </si>
  <si>
    <t>2804.00 (in Cook county, IL)</t>
  </si>
  <si>
    <t>8047.13 (in Cook county, IL)</t>
  </si>
  <si>
    <t>206.02 (in Cook county, IL)</t>
  </si>
  <si>
    <t>8632.01 (in Lake county, IL)</t>
  </si>
  <si>
    <t>8241.05 (in Cook county, IL)</t>
  </si>
  <si>
    <t>8198.01 (in Cook county, IL)</t>
  </si>
  <si>
    <t>430.02 (in Lake county, IN)</t>
  </si>
  <si>
    <t>8287.01 (in Cook county, IL)</t>
  </si>
  <si>
    <t>8523.00 (in Kane county, IL)</t>
  </si>
  <si>
    <t>8709.05 (in McHenry county, IL)</t>
  </si>
  <si>
    <t>8002.00 (in Cook county, IL)</t>
  </si>
  <si>
    <t>8610.11 (in Lake county, IL)</t>
  </si>
  <si>
    <t>8413.10 (in DuPage county, IL)</t>
  </si>
  <si>
    <t>8427.11 (in DuPage county, IL)</t>
  </si>
  <si>
    <t>8545.01 (in Kane county, IL)</t>
  </si>
  <si>
    <t>8300.06 (in Cook county, IL)</t>
  </si>
  <si>
    <t>8822.00 (in Will county, IL)</t>
  </si>
  <si>
    <t>501.00 (in Cook county, IL)</t>
  </si>
  <si>
    <t>511.01 (in Porter county, IN)</t>
  </si>
  <si>
    <t>8325.00 (in Cook county, IL)</t>
  </si>
  <si>
    <t>1301.00 (in Cook county, IL)</t>
  </si>
  <si>
    <t>8256.00 (in Cook county, IL)</t>
  </si>
  <si>
    <t>4302.00 (in Cook county, IL)</t>
  </si>
  <si>
    <t>8519.05 (in Kane county, IL)</t>
  </si>
  <si>
    <t>8414.01 (in DuPage county, IL)</t>
  </si>
  <si>
    <t>8022.00 (in Cook county, IL)</t>
  </si>
  <si>
    <t>1604.00 (in Cook county, IL)</t>
  </si>
  <si>
    <t>8043.10 (in Cook county, IL)</t>
  </si>
  <si>
    <t>8646.01 (in Lake county, IL)</t>
  </si>
  <si>
    <t>8901.02 (in Kendall county, IL)</t>
  </si>
  <si>
    <t>8549.00 (in Kane county, IL)</t>
  </si>
  <si>
    <t>6913.00 (in Cook county, IL)</t>
  </si>
  <si>
    <t>8609.06 (in Lake county, IL)</t>
  </si>
  <si>
    <t>8615.08 (in Lake county, IL)</t>
  </si>
  <si>
    <t>8049.01 (in Cook county, IL)</t>
  </si>
  <si>
    <t>7.00 (in Kenosha county, WI)</t>
  </si>
  <si>
    <t>8008.00 (in Cook county, IL)</t>
  </si>
  <si>
    <t>8060.02 (in Cook county, IL)</t>
  </si>
  <si>
    <t>8636.01 (in Lake county, IL)</t>
  </si>
  <si>
    <t>1504.01 (in Cook county, IL)</t>
  </si>
  <si>
    <t>8041.05 (in Cook county, IL)</t>
  </si>
  <si>
    <t>8011.00 (in Cook county, IL)</t>
  </si>
  <si>
    <t>8114.02 (in Cook county, IL)</t>
  </si>
  <si>
    <t>8657.00 (in Lake county, IL)</t>
  </si>
  <si>
    <t>8059.01 (in Cook county, IL)</t>
  </si>
  <si>
    <t>8410.04 (in DuPage county, IL)</t>
  </si>
  <si>
    <t>8416.05 (in DuPage county, IL)</t>
  </si>
  <si>
    <t>801.00 (in Cook county, IL)</t>
  </si>
  <si>
    <t>8103.01 (in Cook county, IL)</t>
  </si>
  <si>
    <t>2406.00 (in Cook county, IL)</t>
  </si>
  <si>
    <t>103.00 (in Cook county, IL)</t>
  </si>
  <si>
    <t>1710.00 (in Cook county, IL)</t>
  </si>
  <si>
    <t>2430.00 (in Cook county, IL)</t>
  </si>
  <si>
    <t>8030.08 (in Cook county, IL)</t>
  </si>
  <si>
    <t>8804.12 (in Will county, IL)</t>
  </si>
  <si>
    <t>317.00 (in Cook county, IL)</t>
  </si>
  <si>
    <t>5502.00 (in Cook county, IL)</t>
  </si>
  <si>
    <t>4.00 (in Kenosha county, WI)</t>
  </si>
  <si>
    <t>8416.03 (in DuPage county, IL)</t>
  </si>
  <si>
    <t>8343.00 (in Cook county, IL)</t>
  </si>
  <si>
    <t>8016.05 (in Cook county, IL)</t>
  </si>
  <si>
    <t>8608.09 (in Lake county, IL)</t>
  </si>
  <si>
    <t>8458.07 (in DuPage county, IL)</t>
  </si>
  <si>
    <t>8205.01 (in Cook county, IL)</t>
  </si>
  <si>
    <t>8426.04 (in DuPage county, IL)</t>
  </si>
  <si>
    <t>8101.00 (in Cook county, IL)</t>
  </si>
  <si>
    <t>8529.05 (in Kane county, IL)</t>
  </si>
  <si>
    <t>8404.00 (in Cook county, IL)</t>
  </si>
  <si>
    <t>8427.02 (in DuPage county, IL)</t>
  </si>
  <si>
    <t>8028.02 (in Cook county, IL)</t>
  </si>
  <si>
    <t>8458.05 (in DuPage county, IL)</t>
  </si>
  <si>
    <t>8308.00 (in Cook county, IL)</t>
  </si>
  <si>
    <t>810.00 (in Cook county, IL)</t>
  </si>
  <si>
    <t>8030.13 (in Cook county, IL)</t>
  </si>
  <si>
    <t>8115.00 (in Cook county, IL)</t>
  </si>
  <si>
    <t>8029.00 (in Cook county, IL)</t>
  </si>
  <si>
    <t>8427.06 (in DuPage county, IL)</t>
  </si>
  <si>
    <t>15.00 (in DeKalb county, IL)</t>
  </si>
  <si>
    <t>8120.00 (in Cook county, IL)</t>
  </si>
  <si>
    <t>8465.13 (in DuPage county, IL)</t>
  </si>
  <si>
    <t>8833.06 (in Will county, IL)</t>
  </si>
  <si>
    <t>8148.00 (in Cook county, IL)</t>
  </si>
  <si>
    <t>8245.07 (in Cook county, IL)</t>
  </si>
  <si>
    <t>8411.00 (in Cook county, IL)</t>
  </si>
  <si>
    <t>8413.22 (in DuPage county, IL)</t>
  </si>
  <si>
    <t>8017.01 (in Cook county, IL)</t>
  </si>
  <si>
    <t>8255.01 (in Cook county, IL)</t>
  </si>
  <si>
    <t>8644.09 (in Lake county, IL)</t>
  </si>
  <si>
    <t>8047.09 (in Cook county, IL)</t>
  </si>
  <si>
    <t>8157.01 (in Cook county, IL)</t>
  </si>
  <si>
    <t>8297.00 (in Cook county, IL)</t>
  </si>
  <si>
    <t>8279.01 (in Cook county, IL)</t>
  </si>
  <si>
    <t>8711.04 (in McHenry county, IL)</t>
  </si>
  <si>
    <t>8448.02 (in DuPage county, IL)</t>
  </si>
  <si>
    <t>8533.00 (in Kane county, IL)</t>
  </si>
  <si>
    <t>8045.05 (in Cook county, IL)</t>
  </si>
  <si>
    <t>3103.00 (in Cook county, IL)</t>
  </si>
  <si>
    <t>8413.16 (in DuPage county, IL)</t>
  </si>
  <si>
    <t>8715.00 (in McHenry county, IL)</t>
  </si>
  <si>
    <t>309.00 (in Cook county, IL)</t>
  </si>
  <si>
    <t>509.00 (in Porter county, IN)</t>
  </si>
  <si>
    <t>8050.01 (in Cook county, IL)</t>
  </si>
  <si>
    <t>8165.00 (in Cook county, IL)</t>
  </si>
  <si>
    <t>8614.03 (in Lake county, IL)</t>
  </si>
  <si>
    <t>8706.03 (in McHenry county, IL)</t>
  </si>
  <si>
    <t>8413.00 (in Cook county, IL)</t>
  </si>
  <si>
    <t>5804.00 (in Cook county, IL)</t>
  </si>
  <si>
    <t>4908.00 (in Cook county, IL)</t>
  </si>
  <si>
    <t>8225.00 (in Cook county, IL)</t>
  </si>
  <si>
    <t>8166.00 (in Cook county, IL)</t>
  </si>
  <si>
    <t>8230.01 (in Cook county, IL)</t>
  </si>
  <si>
    <t>2412.00 (in Cook county, IL)</t>
  </si>
  <si>
    <t>8463.12 (in DuPage county, IL)</t>
  </si>
  <si>
    <t>8410.03 (in DuPage county, IL)</t>
  </si>
  <si>
    <t>8505.00 (in Kane county, IL)</t>
  </si>
  <si>
    <t>8040.00 (in Cook county, IL)</t>
  </si>
  <si>
    <t>8075.00 (in Cook county, IL)</t>
  </si>
  <si>
    <t>8521.01 (in Kane county, IL)</t>
  </si>
  <si>
    <t>8129.00 (in Cook county, IL)</t>
  </si>
  <si>
    <t>1512.00 (in Cook county, IL)</t>
  </si>
  <si>
    <t>8109.00 (in Cook county, IL)</t>
  </si>
  <si>
    <t>8378.00 (in Cook county, IL)</t>
  </si>
  <si>
    <t>432.02 (in Lake county, IN)</t>
  </si>
  <si>
    <t>8713.11 (in McHenry county, IL)</t>
  </si>
  <si>
    <t>8407.04 (in DuPage county, IL)</t>
  </si>
  <si>
    <t>1005.00 (in Cook county, IL)</t>
  </si>
  <si>
    <t>8803.06 (in Will county, IL)</t>
  </si>
  <si>
    <t>8459.01 (in DuPage county, IL)</t>
  </si>
  <si>
    <t>8456.01 (in DuPage county, IL)</t>
  </si>
  <si>
    <t>8051.10 (in Cook county, IL)</t>
  </si>
  <si>
    <t>8255.04 (in Cook county, IL)</t>
  </si>
  <si>
    <t>8034.00 (in Cook county, IL)</t>
  </si>
  <si>
    <t>8407.06 (in DuPage county, IL)</t>
  </si>
  <si>
    <t>4905.00 (in Cook county, IL)</t>
  </si>
  <si>
    <t>7403.00 (in Cook county, IL)</t>
  </si>
  <si>
    <t>8048.09 (in Cook county, IL)</t>
  </si>
  <si>
    <t>8007.00 (in Cook county, IL)</t>
  </si>
  <si>
    <t>433.00 (in Lake county, IN)</t>
  </si>
  <si>
    <t>8465.10 (in DuPage county, IL)</t>
  </si>
  <si>
    <t>2421.00 (in Cook county, IL)</t>
  </si>
  <si>
    <t>8061.04 (in Cook county, IL)</t>
  </si>
  <si>
    <t>8326.00 (in Cook county, IL)</t>
  </si>
  <si>
    <t>8801.09 (in Will county, IL)</t>
  </si>
  <si>
    <t>27.00 (in Kenosha county, WI)</t>
  </si>
  <si>
    <t>1911.00 (in Cook county, IL)</t>
  </si>
  <si>
    <t>8630.04 (in Lake county, IL)</t>
  </si>
  <si>
    <t>8521.02 (in Kane county, IL)</t>
  </si>
  <si>
    <t>8801.20 (in Will county, IL)</t>
  </si>
  <si>
    <t>8282.02 (in Cook county, IL)</t>
  </si>
  <si>
    <t>7501.00 (in Cook county, IL)</t>
  </si>
  <si>
    <t>4112.00 (in Cook county, IL)</t>
  </si>
  <si>
    <t>8644.10 (in Lake county, IL)</t>
  </si>
  <si>
    <t>8102.00 (in Cook county, IL)</t>
  </si>
  <si>
    <t>8701.02 (in McHenry county, IL)</t>
  </si>
  <si>
    <t>8630.03 (in Lake county, IL)</t>
  </si>
  <si>
    <t>8212.00 (in Cook county, IL)</t>
  </si>
  <si>
    <t>8829.00 (in Will county, IL)</t>
  </si>
  <si>
    <t>8645.14 (in Lake county, IL)</t>
  </si>
  <si>
    <t>506.00 (in Cook county, IL)</t>
  </si>
  <si>
    <t>8168.00 (in Cook county, IL)</t>
  </si>
  <si>
    <t>401.00 (in Cook county, IL)</t>
  </si>
  <si>
    <t>424.03 (in Lake county, IN)</t>
  </si>
  <si>
    <t>8464.12 (in DuPage county, IL)</t>
  </si>
  <si>
    <t>8906.00 (in Kendall county, IL)</t>
  </si>
  <si>
    <t>8463.05 (in DuPage county, IL)</t>
  </si>
  <si>
    <t>802.02 (in Cook county, IL)</t>
  </si>
  <si>
    <t>8003.00 (in Cook county, IL)</t>
  </si>
  <si>
    <t>8025.06 (in Cook county, IL)</t>
  </si>
  <si>
    <t>8610.09 (in Lake county, IL)</t>
  </si>
  <si>
    <t>5608.00 (in Cook county, IL)</t>
  </si>
  <si>
    <t>8046.06 (in Cook county, IL)</t>
  </si>
  <si>
    <t>314.00 (in Cook county, IL)</t>
  </si>
  <si>
    <t>303.00 (in Lake county, IN)</t>
  </si>
  <si>
    <t>8805.02 (in Will county, IL)</t>
  </si>
  <si>
    <t>505.06 (in Porter county, IN)</t>
  </si>
  <si>
    <t>8122.00 (in Cook county, IL)</t>
  </si>
  <si>
    <t>8645.18 (in Lake county, IL)</t>
  </si>
  <si>
    <t>507.02 (in Porter county, IN)</t>
  </si>
  <si>
    <t>8501.05 (in Kane county, IL)</t>
  </si>
  <si>
    <t>8009.00 (in Cook county, IL)</t>
  </si>
  <si>
    <t>8645.11 (in Lake county, IL)</t>
  </si>
  <si>
    <t>8071.00 (in Cook county, IL)</t>
  </si>
  <si>
    <t>8182.00 (in Cook county, IL)</t>
  </si>
  <si>
    <t>104.00 (in Cook county, IL)</t>
  </si>
  <si>
    <t>8841.01 (in Will county, IL)</t>
  </si>
  <si>
    <t>8803.09 (in Will county, IL)</t>
  </si>
  <si>
    <t>8241.22 (in Cook county, IL)</t>
  </si>
  <si>
    <t>302.00 (in Cook county, IL)</t>
  </si>
  <si>
    <t>8802.03 (in Will county, IL)</t>
  </si>
  <si>
    <t>425.03 (in Lake county, IN)</t>
  </si>
  <si>
    <t>8241.06 (in Cook county, IL)</t>
  </si>
  <si>
    <t>2214.00 (in Cook county, IL)</t>
  </si>
  <si>
    <t>8020.04 (in Cook county, IL)</t>
  </si>
  <si>
    <t>8238.06 (in Cook county, IL)</t>
  </si>
  <si>
    <t>8089.00 (in Cook county, IL)</t>
  </si>
  <si>
    <t>8811.12 (in Will county, IL)</t>
  </si>
  <si>
    <t>8299.02 (in Cook county, IL)</t>
  </si>
  <si>
    <t>8458.09 (in DuPage county, IL)</t>
  </si>
  <si>
    <t>8088.00 (in Cook county, IL)</t>
  </si>
  <si>
    <t>8298.00 (in Cook county, IL)</t>
  </si>
  <si>
    <t>8367.00 (in Cook county, IL)</t>
  </si>
  <si>
    <t>8545.03 (in Kane county, IL)</t>
  </si>
  <si>
    <t>8205.02 (in Cook county, IL)</t>
  </si>
  <si>
    <t>8540.01 (in Kane county, IL)</t>
  </si>
  <si>
    <t>8427.08 (in DuPage county, IL)</t>
  </si>
  <si>
    <t>8245.05 (in Cook county, IL)</t>
  </si>
  <si>
    <t>3017.01 (in Cook county, IL)</t>
  </si>
  <si>
    <t>8524.01 (in Kane county, IL)</t>
  </si>
  <si>
    <t>8283.00 (in Cook county, IL)</t>
  </si>
  <si>
    <t>8838.10 (in Will county, IL)</t>
  </si>
  <si>
    <t>310.00 (in Cook county, IL)</t>
  </si>
  <si>
    <t>8253.03 (in Cook county, IL)</t>
  </si>
  <si>
    <t>2426.00 (in Cook county, IL)</t>
  </si>
  <si>
    <t>8233.02 (in Cook county, IL)</t>
  </si>
  <si>
    <t>8417.03 (in DuPage county, IL)</t>
  </si>
  <si>
    <t>8503.02 (in Kane county, IL)</t>
  </si>
  <si>
    <t>510.02 (in Porter county, IN)</t>
  </si>
  <si>
    <t>8528.06 (in Kane county, IL)</t>
  </si>
  <si>
    <t>8455.02 (in DuPage county, IL)</t>
  </si>
  <si>
    <t>8111.00 (in Cook county, IL)</t>
  </si>
  <si>
    <t>8411.08 (in DuPage county, IL)</t>
  </si>
  <si>
    <t>8544.00 (in Kane county, IL)</t>
  </si>
  <si>
    <t>5609.00 (in Cook county, IL)</t>
  </si>
  <si>
    <t>1204.00 (in Cook county, IL)</t>
  </si>
  <si>
    <t>507.04 (in Porter county, IN)</t>
  </si>
  <si>
    <t>8241.23 (in Cook county, IL)</t>
  </si>
  <si>
    <t>8458.10 (in DuPage county, IL)</t>
  </si>
  <si>
    <t>8803.14 (in Will county, IL)</t>
  </si>
  <si>
    <t>4.00 (in Grundy county, IL)</t>
  </si>
  <si>
    <t>8255.03 (in Cook county, IL)</t>
  </si>
  <si>
    <t>8604.00 (in Lake county, IL)</t>
  </si>
  <si>
    <t>8616.10 (in Lake county, IL)</t>
  </si>
  <si>
    <t>7004.02 (in Cook county, IL)</t>
  </si>
  <si>
    <t>8282.01 (in Cook county, IL)</t>
  </si>
  <si>
    <t>8637.01 (in Lake county, IL)</t>
  </si>
  <si>
    <t>8615.09 (in Lake county, IL)</t>
  </si>
  <si>
    <t>8441.00 (in DuPage county, IL)</t>
  </si>
  <si>
    <t>8041.08 (in Cook county, IL)</t>
  </si>
  <si>
    <t>8309.00 (in Cook county, IL)</t>
  </si>
  <si>
    <t>8092.00 (in Cook county, IL)</t>
  </si>
  <si>
    <t>427.04 (in Lake county, IN)</t>
  </si>
  <si>
    <t>8157.02 (in Cook county, IL)</t>
  </si>
  <si>
    <t>8411.13 (in DuPage county, IL)</t>
  </si>
  <si>
    <t>8463.10 (in DuPage county, IL)</t>
  </si>
  <si>
    <t>3907.00 (in Cook county, IL)</t>
  </si>
  <si>
    <t>625.00 (in Cook county, IL)</t>
  </si>
  <si>
    <t>404.01 (in Lake county, IN)</t>
  </si>
  <si>
    <t>318.00 (in Cook county, IL)</t>
  </si>
  <si>
    <t>2420.00 (in Cook county, IL)</t>
  </si>
  <si>
    <t>8221.01 (in Cook county, IL)</t>
  </si>
  <si>
    <t>7706.01 (in Cook county, IL)</t>
  </si>
  <si>
    <t>8032.00 (in Cook county, IL)</t>
  </si>
  <si>
    <t>8041.09 (in Cook county, IL)</t>
  </si>
  <si>
    <t>124.00 (in Lake county, IN)</t>
  </si>
  <si>
    <t>2403.00 (in Cook county, IL)</t>
  </si>
  <si>
    <t>8832.08 (in Will county, IL)</t>
  </si>
  <si>
    <t>2423.00 (in Cook county, IL)</t>
  </si>
  <si>
    <t>8616.04 (in Lake county, IL)</t>
  </si>
  <si>
    <t>8082.00 (in Cook county, IL)</t>
  </si>
  <si>
    <t>8456.02 (in DuPage county, IL)</t>
  </si>
  <si>
    <t>4909.01 (in Cook county, IL)</t>
  </si>
  <si>
    <t>8526.06 (in Kane county, IL)</t>
  </si>
  <si>
    <t>8616.09 (in Lake county, IL)</t>
  </si>
  <si>
    <t>8801.17 (in Will county, IL)</t>
  </si>
  <si>
    <t>8716.00 (in McHenry county, IL)</t>
  </si>
  <si>
    <t>4401.01 (in Cook county, IL)</t>
  </si>
  <si>
    <t>4804.00 (in Cook county, IL)</t>
  </si>
  <si>
    <t>615.00 (in Cook county, IL)</t>
  </si>
  <si>
    <t>8079.00 (in Cook county, IL)</t>
  </si>
  <si>
    <t>8401.03 (in DuPage county, IL)</t>
  </si>
  <si>
    <t>6404.00 (in Cook county, IL)</t>
  </si>
  <si>
    <t>8510.00 (in Kane county, IL)</t>
  </si>
  <si>
    <t>8322.00 (in Cook county, IL)</t>
  </si>
  <si>
    <t>8274.00 (in Cook county, IL)</t>
  </si>
  <si>
    <t>8413.26 (in DuPage county, IL)</t>
  </si>
  <si>
    <t>502.00 (in Cook county, IL)</t>
  </si>
  <si>
    <t>8057.01 (in Cook county, IL)</t>
  </si>
  <si>
    <t>8905.00 (in Kendall county, IL)</t>
  </si>
  <si>
    <t>3.00 (in Kenosha county, WI)</t>
  </si>
  <si>
    <t>8801.14 (in Will county, IL)</t>
  </si>
  <si>
    <t>18.00 (in Kenosha county, WI)</t>
  </si>
  <si>
    <t>8284.02 (in Cook county, IL)</t>
  </si>
  <si>
    <t>8310.00 (in Cook county, IL)</t>
  </si>
  <si>
    <t>8610.10 (in Lake county, IL)</t>
  </si>
  <si>
    <t>8524.03 (in Kane county, IL)</t>
  </si>
  <si>
    <t>8641.01 (in Lake county, IL)</t>
  </si>
  <si>
    <t>8108.00 (in Cook county, IL)</t>
  </si>
  <si>
    <t>1007.00 (in Cook county, IL)</t>
  </si>
  <si>
    <t>405.01 (in Lake county, IN)</t>
  </si>
  <si>
    <t>8448.01 (in DuPage county, IL)</t>
  </si>
  <si>
    <t>8643.05 (in Lake county, IL)</t>
  </si>
  <si>
    <t>8608.06 (in Lake county, IL)</t>
  </si>
  <si>
    <t>1408.00 (in Cook county, IL)</t>
  </si>
  <si>
    <t>8645.17 (in Lake county, IL)</t>
  </si>
  <si>
    <t>8164.02 (in Cook county, IL)</t>
  </si>
  <si>
    <t>8641.05 (in Lake county, IL)</t>
  </si>
  <si>
    <t>6809.00 (in Cook county, IL)</t>
  </si>
  <si>
    <t>707.00 (in Cook county, IL)</t>
  </si>
  <si>
    <t>2424.00 (in Cook county, IL)</t>
  </si>
  <si>
    <t>4605.00 (in Cook county, IL)</t>
  </si>
  <si>
    <t>2002.00 (in Cook county, IL)</t>
  </si>
  <si>
    <t>8342.00 (in Cook county, IL)</t>
  </si>
  <si>
    <t>8047.15 (in Cook county, IL)</t>
  </si>
  <si>
    <t>8058.02 (in Cook county, IL)</t>
  </si>
  <si>
    <t>8175.00 (in Cook county, IL)</t>
  </si>
  <si>
    <t>8634.00 (in Lake county, IL)</t>
  </si>
  <si>
    <t>8708.09 (in McHenry county, IL)</t>
  </si>
  <si>
    <t>4503.00 (in Cook county, IL)</t>
  </si>
  <si>
    <t>8907.00 (in Kendall county, IL)</t>
  </si>
  <si>
    <t>29.03 (in Kenosha county, WI)</t>
  </si>
  <si>
    <t>8439.00 (in Cook county, IL)</t>
  </si>
  <si>
    <t>8833.07 (in Will county, IL)</t>
  </si>
  <si>
    <t>8409.10 (in DuPage county, IL)</t>
  </si>
  <si>
    <t>8424.00 (in DuPage county, IL)</t>
  </si>
  <si>
    <t>8128.01 (in Cook county, IL)</t>
  </si>
  <si>
    <t>8413.27 (in DuPage county, IL)</t>
  </si>
  <si>
    <t>7207.00 (in Cook county, IL)</t>
  </si>
  <si>
    <t>8025.03 (in Cook county, IL)</t>
  </si>
  <si>
    <t>8043.05 (in Cook county, IL)</t>
  </si>
  <si>
    <t>1.02 (in Grundy county, IL)</t>
  </si>
  <si>
    <t>8641.07 (in Lake county, IL)</t>
  </si>
  <si>
    <t>419.00 (in Lake county, IN)</t>
  </si>
  <si>
    <t>206.00 (in Lake county, IN)</t>
  </si>
  <si>
    <t>503.00 (in Porter county, IN)</t>
  </si>
  <si>
    <t>8132.00 (in Cook county, IL)</t>
  </si>
  <si>
    <t>1103.00 (in Cook county, IL)</t>
  </si>
  <si>
    <t>8639.03 (in Lake county, IL)</t>
  </si>
  <si>
    <t>8457.04 (in DuPage county, IL)</t>
  </si>
  <si>
    <t>8299.01 (in Cook county, IL)</t>
  </si>
  <si>
    <t>8618.04 (in Lake county, IL)</t>
  </si>
  <si>
    <t>8835.19 (in Will county, IL)</t>
  </si>
  <si>
    <t>8416.04 (in DuPage county, IL)</t>
  </si>
  <si>
    <t>4911.00 (in Cook county, IL)</t>
  </si>
  <si>
    <t>3005.00 (in Cook county, IL)</t>
  </si>
  <si>
    <t>8408.01 (in DuPage county, IL)</t>
  </si>
  <si>
    <t>8159.00 (in Cook county, IL)</t>
  </si>
  <si>
    <t>30.02 (in Kenosha county, WI)</t>
  </si>
  <si>
    <t>102.05 (in Lake county, IN)</t>
  </si>
  <si>
    <t>207.01 (in Cook county, IL)</t>
  </si>
  <si>
    <t>8057.02 (in Cook county, IL)</t>
  </si>
  <si>
    <t>8253.04 (in Cook county, IL)</t>
  </si>
  <si>
    <t>8118.00 (in Cook county, IL)</t>
  </si>
  <si>
    <t>8636.04 (in Lake county, IL)</t>
  </si>
  <si>
    <t>8044.03 (in Cook county, IL)</t>
  </si>
  <si>
    <t>2.00 (in DeKalb county, IL)</t>
  </si>
  <si>
    <t>112.00 (in Lake county, IN)</t>
  </si>
  <si>
    <t>8241.13 (in Cook county, IL)</t>
  </si>
  <si>
    <t>8433.01 (in DuPage county, IL)</t>
  </si>
  <si>
    <t>8443.07 (in DuPage county, IL)</t>
  </si>
  <si>
    <t>8626.05 (in Lake county, IL)</t>
  </si>
  <si>
    <t>8835.13 (in Will county, IL)</t>
  </si>
  <si>
    <t>8171.01 (in Cook county, IL)</t>
  </si>
  <si>
    <t>5702.00 (in Cook county, IL)</t>
  </si>
  <si>
    <t>6405.00 (in Cook county, IL)</t>
  </si>
  <si>
    <t>8458.02 (in DuPage county, IL)</t>
  </si>
  <si>
    <t>8026.08 (in Cook county, IL)</t>
  </si>
  <si>
    <t>1602.00 (in Cook county, IL)</t>
  </si>
  <si>
    <t>8227.01 (in Cook county, IL)</t>
  </si>
  <si>
    <t>8436.00 (in Cook county, IL)</t>
  </si>
  <si>
    <t>4401.02 (in Cook county, IL)</t>
  </si>
  <si>
    <t>8803.10 (in Will county, IL)</t>
  </si>
  <si>
    <t>2106.02 (in Cook county, IL)</t>
  </si>
  <si>
    <t>3108.00 (in Cook county, IL)</t>
  </si>
  <si>
    <t>413.02 (in Lake county, IN)</t>
  </si>
  <si>
    <t>8644.07 (in Lake county, IL)</t>
  </si>
  <si>
    <t>1404.00 (in Cook county, IL)</t>
  </si>
  <si>
    <t>8051.09 (in Cook county, IL)</t>
  </si>
  <si>
    <t>8462.02 (in DuPage county, IL)</t>
  </si>
  <si>
    <t>201.00 (in Cook county, IL)</t>
  </si>
  <si>
    <t>8437.00 (in Cook county, IL)</t>
  </si>
  <si>
    <t>1006.00 (in Cook county, IL)</t>
  </si>
  <si>
    <t>8133.01 (in Cook county, IL)</t>
  </si>
  <si>
    <t>8830.00 (in Will county, IL)</t>
  </si>
  <si>
    <t>901.00 (in Cook county, IL)</t>
  </si>
  <si>
    <t>8406.00 (in DuPage county, IL)</t>
  </si>
  <si>
    <t>8642.03 (in Lake county, IL)</t>
  </si>
  <si>
    <t>8051.08 (in Cook county, IL)</t>
  </si>
  <si>
    <t>5501.00 (in Cook county, IL)</t>
  </si>
  <si>
    <t>425.04 (in Lake county, IN)</t>
  </si>
  <si>
    <t>8254.00 (in Cook county, IL)</t>
  </si>
  <si>
    <t>8223.02 (in Cook county, IL)</t>
  </si>
  <si>
    <t>1002.00 (in Cook county, IL)</t>
  </si>
  <si>
    <t>8530.04 (in Kane county, IL)</t>
  </si>
  <si>
    <t>8462.07 (in DuPage county, IL)</t>
  </si>
  <si>
    <t>8609.03 (in Lake county, IL)</t>
  </si>
  <si>
    <t>208.00 (in Lake county, IN)</t>
  </si>
  <si>
    <t>903.00 (in Cook county, IL)</t>
  </si>
  <si>
    <t>4204.00 (in Cook county, IL)</t>
  </si>
  <si>
    <t>8392.00 (in Cook county, IL)</t>
  </si>
  <si>
    <t>4106.00 (in Cook county, IL)</t>
  </si>
  <si>
    <t>8239.01 (in Cook county, IL)</t>
  </si>
  <si>
    <t>404.02 (in Lake county, IN)</t>
  </si>
  <si>
    <t>3510.00 (in Cook county, IL)</t>
  </si>
  <si>
    <t>8429.00 (in Cook county, IL)</t>
  </si>
  <si>
    <t>8192.00 (in Cook county, IL)</t>
  </si>
  <si>
    <t>2205.00 (in Cook county, IL)</t>
  </si>
  <si>
    <t>8810.09 (in Will county, IL)</t>
  </si>
  <si>
    <t>8261.00 (in Cook county, IL)</t>
  </si>
  <si>
    <t>8431.00 (in DuPage county, IL)</t>
  </si>
  <si>
    <t>8616.07 (in Lake county, IL)</t>
  </si>
  <si>
    <t>8246.01 (in Cook county, IL)</t>
  </si>
  <si>
    <t>8084.00 (in Cook county, IL)</t>
  </si>
  <si>
    <t>8610.14 (in Lake county, IL)</t>
  </si>
  <si>
    <t>4202.00 (in Cook county, IL)</t>
  </si>
  <si>
    <t>8312.00 (in Cook county, IL)</t>
  </si>
  <si>
    <t>7113.00 (in Cook county, IL)</t>
  </si>
  <si>
    <t>8646.02 (in Lake county, IL)</t>
  </si>
  <si>
    <t>8705.00 (in McHenry county, IL)</t>
  </si>
  <si>
    <t>8012.00 (in Cook county, IL)</t>
  </si>
  <si>
    <t>8281.00 (in Cook county, IL)</t>
  </si>
  <si>
    <t>8059.02 (in Cook county, IL)</t>
  </si>
  <si>
    <t>627.00 (in Cook county, IL)</t>
  </si>
  <si>
    <t>8233.03 (in Cook county, IL)</t>
  </si>
  <si>
    <t>8810.06 (in Will county, IL)</t>
  </si>
  <si>
    <t>8462.09 (in DuPage county, IL)</t>
  </si>
  <si>
    <t>8054.02 (in Cook county, IL)</t>
  </si>
  <si>
    <t>5610.00 (in Cook county, IL)</t>
  </si>
  <si>
    <t>8644.12 (in Lake county, IL)</t>
  </si>
  <si>
    <t>203.02 (in Cook county, IL)</t>
  </si>
  <si>
    <t>1801.00 (in Cook county, IL)</t>
  </si>
  <si>
    <t>8236.02 (in Cook county, IL)</t>
  </si>
  <si>
    <t>8068.02 (in Cook county, IL)</t>
  </si>
  <si>
    <t>8540.02 (in Kane county, IL)</t>
  </si>
  <si>
    <t>8036.03 (in Cook county, IL)</t>
  </si>
  <si>
    <t>1601.00 (in Cook county, IL)</t>
  </si>
  <si>
    <t>8277.00 (in Cook county, IL)</t>
  </si>
  <si>
    <t>8464.08 (in DuPage county, IL)</t>
  </si>
  <si>
    <t>428.01 (in Lake county, IN)</t>
  </si>
  <si>
    <t>8805.05 (in Will county, IL)</t>
  </si>
  <si>
    <t>8452.00 (in DuPage county, IL)</t>
  </si>
  <si>
    <t>208.01 (in Cook county, IL)</t>
  </si>
  <si>
    <t>8649.01 (in Lake county, IL)</t>
  </si>
  <si>
    <t>8160.00 (in Cook county, IL)</t>
  </si>
  <si>
    <t>8197.00 (in Cook county, IL)</t>
  </si>
  <si>
    <t>624.00 (in Cook county, IL)</t>
  </si>
  <si>
    <t>8811.16 (in Will county, IL)</t>
  </si>
  <si>
    <t>8804.18 (in Will county, IL)</t>
  </si>
  <si>
    <t>8426.05 (in DuPage county, IL)</t>
  </si>
  <si>
    <t>633.03 (in Cook county, IL)</t>
  </si>
  <si>
    <t>8409.11 (in DuPage county, IL)</t>
  </si>
  <si>
    <t>2405.00 (in Cook county, IL)</t>
  </si>
  <si>
    <t>2207.02 (in Cook county, IL)</t>
  </si>
  <si>
    <t>1202.00 (in Cook county, IL)</t>
  </si>
  <si>
    <t>8447.01 (in DuPage county, IL)</t>
  </si>
  <si>
    <t>630.00 (in Cook county, IL)</t>
  </si>
  <si>
    <t>8235.00 (in Cook county, IL)</t>
  </si>
  <si>
    <t>710.00 (in Cook county, IL)</t>
  </si>
  <si>
    <t>8300.07 (in Cook county, IL)</t>
  </si>
  <si>
    <t>804.00 (in Cook county, IL)</t>
  </si>
  <si>
    <t>8465.11 (in DuPage county, IL)</t>
  </si>
  <si>
    <t>626.00 (in Cook county, IL)</t>
  </si>
  <si>
    <t>8036.06 (in Cook county, IL)</t>
  </si>
  <si>
    <t>26.01 (in Kenosha county, WI)</t>
  </si>
  <si>
    <t>8420.00 (in DuPage county, IL)</t>
  </si>
  <si>
    <t>8804.15 (in Will county, IL)</t>
  </si>
  <si>
    <t>8645.12 (in Lake county, IL)</t>
  </si>
  <si>
    <t>8226.01 (in Cook county, IL)</t>
  </si>
  <si>
    <t>8713.05 (in McHenry county, IL)</t>
  </si>
  <si>
    <t>7306.00 (in Cook county, IL)</t>
  </si>
  <si>
    <t>8061.03 (in Cook county, IL)</t>
  </si>
  <si>
    <t>8608.11 (in Lake county, IL)</t>
  </si>
  <si>
    <t>8156.00 (in Cook county, IL)</t>
  </si>
  <si>
    <t>8043.09 (in Cook county, IL)</t>
  </si>
  <si>
    <t>7702.01 (in Cook county, IL)</t>
  </si>
  <si>
    <t>301.01 (in Cook county, IL)</t>
  </si>
  <si>
    <t>6.00 (in DeKalb county, IL)</t>
  </si>
  <si>
    <t>8703.02 (in McHenry county, IL)</t>
  </si>
  <si>
    <t>8501.06 (in Kane county, IL)</t>
  </si>
  <si>
    <t>811.00 (in Cook county, IL)</t>
  </si>
  <si>
    <t>8097.00 (in Cook county, IL)</t>
  </si>
  <si>
    <t>8440.02 (in DuPage county, IL)</t>
  </si>
  <si>
    <t>5206.00 (in Cook county, IL)</t>
  </si>
  <si>
    <t>308.00 (in Cook county, IL)</t>
  </si>
  <si>
    <t>426.02 (in Lake county, IN)</t>
  </si>
  <si>
    <t>209.01 (in Cook county, IL)</t>
  </si>
  <si>
    <t>8412.09 (in DuPage county, IL)</t>
  </si>
  <si>
    <t>8652.00 (in Lake county, IL)</t>
  </si>
  <si>
    <t>8047.14 (in Cook county, IL)</t>
  </si>
  <si>
    <t>8801.15 (in Will county, IL)</t>
  </si>
  <si>
    <t>3801.00 (in Cook county, IL)</t>
  </si>
  <si>
    <t>8706.06 (in McHenry county, IL)</t>
  </si>
  <si>
    <t>8046.08 (in Cook county, IL)</t>
  </si>
  <si>
    <t>8402.02 (in DuPage county, IL)</t>
  </si>
  <si>
    <t>8437.00 (in DuPage county, IL)</t>
  </si>
  <si>
    <t>8321.00 (in Cook county, IL)</t>
  </si>
  <si>
    <t>8036.05 (in Cook county, IL)</t>
  </si>
  <si>
    <t>7305.00 (in Cook county, IL)</t>
  </si>
  <si>
    <t>8411.03 (in DuPage county, IL)</t>
  </si>
  <si>
    <t>8030.15 (in Cook county, IL)</t>
  </si>
  <si>
    <t>29.04 (in Kenosha county, WI)</t>
  </si>
  <si>
    <t>8436.01 (in DuPage county, IL)</t>
  </si>
  <si>
    <t>402.00 (in Lake county, IN)</t>
  </si>
  <si>
    <t>8046.10 (in Cook county, IL)</t>
  </si>
  <si>
    <t>102.02 (in Cook county, IL)</t>
  </si>
  <si>
    <t>8625.01 (in Lake county, IL)</t>
  </si>
  <si>
    <t>8811.07 (in Will county, IL)</t>
  </si>
  <si>
    <t>8316.00 (in Cook county, IL)</t>
  </si>
  <si>
    <t>8136.00 (in Cook county, IL)</t>
  </si>
  <si>
    <t>8067.00 (in Cook county, IL)</t>
  </si>
  <si>
    <t>8610.12 (in Lake county, IL)</t>
  </si>
  <si>
    <t>8237.05 (in Cook county, IL)</t>
  </si>
  <si>
    <t>620.00 (in Cook county, IL)</t>
  </si>
  <si>
    <t>8231.01 (in Cook county, IL)</t>
  </si>
  <si>
    <t>8401.04 (in DuPage county, IL)</t>
  </si>
  <si>
    <t>8137.01 (in Cook county, IL)</t>
  </si>
  <si>
    <t>623.00 (in Cook county, IL)</t>
  </si>
  <si>
    <t>8207.00 (in Cook county, IL)</t>
  </si>
  <si>
    <t>8430.00 (in DuPage county, IL)</t>
  </si>
  <si>
    <t>8710.03 (in McHenry county, IL)</t>
  </si>
  <si>
    <t>408.01 (in Lake county, IN)</t>
  </si>
  <si>
    <t>1901.00 (in Cook county, IL)</t>
  </si>
  <si>
    <t>514.00 (in Cook county, IL)</t>
  </si>
  <si>
    <t>501.01 (in Porter county, IN)</t>
  </si>
  <si>
    <t>8438.00 (in DuPage county, IL)</t>
  </si>
  <si>
    <t>8805.07 (in Will county, IL)</t>
  </si>
  <si>
    <t>8465.24 (in DuPage county, IL)</t>
  </si>
  <si>
    <t>404.02 (in Cook county, IL)</t>
  </si>
  <si>
    <t>8096.00 (in Cook county, IL)</t>
  </si>
  <si>
    <t>8045.08 (in Cook county, IL)</t>
  </si>
  <si>
    <t>1607.00 (in Cook county, IL)</t>
  </si>
  <si>
    <t>512.00 (in Cook county, IL)</t>
  </si>
  <si>
    <t>1503.00 (in Cook county, IL)</t>
  </si>
  <si>
    <t>8245.06 (in Cook county, IL)</t>
  </si>
  <si>
    <t>8462.03 (in DuPage county, IL)</t>
  </si>
  <si>
    <t>8250.00 (in Cook county, IL)</t>
  </si>
  <si>
    <t>8428.00 (in DuPage county, IL)</t>
  </si>
  <si>
    <t>8425.00 (in Cook county, IL)</t>
  </si>
  <si>
    <t>8602.00 (in Lake county, IL)</t>
  </si>
  <si>
    <t>8319.00 (in Cook county, IL)</t>
  </si>
  <si>
    <t>8832.15 (in Will county, IL)</t>
  </si>
  <si>
    <t>4907.00 (in Cook county, IL)</t>
  </si>
  <si>
    <t>2.00 (in Grundy county, IL)</t>
  </si>
  <si>
    <t>8458.11 (in DuPage county, IL)</t>
  </si>
  <si>
    <t>8712.06 (in McHenry county, IL)</t>
  </si>
  <si>
    <t>7608.03 (in Cook county, IL)</t>
  </si>
  <si>
    <t>8278.05 (in Cook county, IL)</t>
  </si>
  <si>
    <t>608.00 (in Cook county, IL)</t>
  </si>
  <si>
    <t>8626.04 (in Lake county, IL)</t>
  </si>
  <si>
    <t>2514.00 (in Cook county, IL)</t>
  </si>
  <si>
    <t>8351.00 (in Cook county, IL)</t>
  </si>
  <si>
    <t>3009.00 (in Cook county, IL)</t>
  </si>
  <si>
    <t>3302.00 (in Cook county, IL)</t>
  </si>
  <si>
    <t>5801.00 (in Cook county, IL)</t>
  </si>
  <si>
    <t>4408.00 (in Cook county, IL)</t>
  </si>
  <si>
    <t>8238.05 (in Cook county, IL)</t>
  </si>
  <si>
    <t>8311.00 (in Cook county, IL)</t>
  </si>
  <si>
    <t>8713.10 (in McHenry county, IL)</t>
  </si>
  <si>
    <t>8528.08 (in Kane county, IL)</t>
  </si>
  <si>
    <t>604.00 (in Cook county, IL)</t>
  </si>
  <si>
    <t>8295.00 (in Cook county, IL)</t>
  </si>
  <si>
    <t>8616.11 (in Lake county, IL)</t>
  </si>
  <si>
    <t>8708.10 (in McHenry county, IL)</t>
  </si>
  <si>
    <t>8194.00 (in Cook county, IL)</t>
  </si>
  <si>
    <t>8258.03 (in Cook county, IL)</t>
  </si>
  <si>
    <t>8226.02 (in Cook county, IL)</t>
  </si>
  <si>
    <t>2521.01 (in Cook county, IL)</t>
  </si>
  <si>
    <t>1506.00 (in Cook county, IL)</t>
  </si>
  <si>
    <t>4406.00 (in Cook county, IL)</t>
  </si>
  <si>
    <t>8117.02 (in Cook county, IL)</t>
  </si>
  <si>
    <t>8806.02 (in Will county, IL)</t>
  </si>
  <si>
    <t>8415.04 (in DuPage county, IL)</t>
  </si>
  <si>
    <t>8296.00 (in Cook county, IL)</t>
  </si>
  <si>
    <t>8834.01 (in Will county, IL)</t>
  </si>
  <si>
    <t>8421.00 (in Cook county, IL)</t>
  </si>
  <si>
    <t>8113.01 (in Cook county, IL)</t>
  </si>
  <si>
    <t>8131.00 (in Cook county, IL)</t>
  </si>
  <si>
    <t>8528.05 (in Kane county, IL)</t>
  </si>
  <si>
    <t>8801.07 (in Will county, IL)</t>
  </si>
  <si>
    <t>8615.10 (in Lake county, IL)</t>
  </si>
  <si>
    <t>505.07 (in Porter county, IN)</t>
  </si>
  <si>
    <t>8191.00 (in Cook county, IL)</t>
  </si>
  <si>
    <t>2305.00 (in Cook county, IL)</t>
  </si>
  <si>
    <t>632.00 (in Cook county, IL)</t>
  </si>
  <si>
    <t>8440.01 (in DuPage county, IL)</t>
  </si>
  <si>
    <t>8091.00 (in Cook county, IL)</t>
  </si>
  <si>
    <t>8285.05 (in Cook county, IL)</t>
  </si>
  <si>
    <t>8644.11 (in Lake county, IL)</t>
  </si>
  <si>
    <t>8712.05 (in McHenry county, IL)</t>
  </si>
  <si>
    <t>307.03 (in Cook county, IL)</t>
  </si>
  <si>
    <t>8004.00 (in Cook county, IL)</t>
  </si>
  <si>
    <t>8407.00 (in Cook county, IL)</t>
  </si>
  <si>
    <t>1302.00 (in Cook county, IL)</t>
  </si>
  <si>
    <t>6103.00 (in Cook county, IL)</t>
  </si>
  <si>
    <t>502.02 (in Porter county, IN)</t>
  </si>
  <si>
    <t>8190.00 (in Cook county, IL)</t>
  </si>
  <si>
    <t>8279.02 (in Cook county, IL)</t>
  </si>
  <si>
    <t>8026.10 (in Cook county, IL)</t>
  </si>
  <si>
    <t>8240.04 (in Cook county, IL)</t>
  </si>
  <si>
    <t>8611.05 (in Lake county, IL)</t>
  </si>
  <si>
    <t>8241.07 (in Cook county, IL)</t>
  </si>
  <si>
    <t>427.02 (in Lake county, IN)</t>
  </si>
  <si>
    <t>7201.00 (in Cook county, IL)</t>
  </si>
  <si>
    <t>701.02 (in Cook county, IL)</t>
  </si>
  <si>
    <t>8462.08 (in DuPage county, IL)</t>
  </si>
  <si>
    <t>8074.00 (in Cook county, IL)</t>
  </si>
  <si>
    <t>8835.15 (in Will county, IL)</t>
  </si>
  <si>
    <t>8154.00 (in Cook county, IL)</t>
  </si>
  <si>
    <t>609.00 (in Cook county, IL)</t>
  </si>
  <si>
    <t>204.00 (in Cook county, IL)</t>
  </si>
  <si>
    <t>8278.02 (in Cook county, IL)</t>
  </si>
  <si>
    <t>8426.02 (in DuPage county, IL)</t>
  </si>
  <si>
    <t>501.03 (in Porter county, IN)</t>
  </si>
  <si>
    <t>405.02 (in Lake county, IN)</t>
  </si>
  <si>
    <t>8660.00 (in Lake county, IL)</t>
  </si>
  <si>
    <t>2504.00 (in Cook county, IL)</t>
  </si>
  <si>
    <t>1011.00 (in Jasper county, IN)</t>
  </si>
  <si>
    <t>8410.00 (in Cook county, IL)</t>
  </si>
  <si>
    <t>8710.04 (in McHenry county, IL)</t>
  </si>
  <si>
    <t>8036.07 (in Cook county, IL)</t>
  </si>
  <si>
    <t>8611.08 (in Lake county, IL)</t>
  </si>
  <si>
    <t>8417.05 (in DuPage county, IL)</t>
  </si>
  <si>
    <t>8098.00 (in Cook county, IL)</t>
  </si>
  <si>
    <t>8083.02 (in Cook county, IL)</t>
  </si>
  <si>
    <t>8053.01 (in Cook county, IL)</t>
  </si>
  <si>
    <t>8170.00 (in Cook county, IL)</t>
  </si>
  <si>
    <t>1104.00 (in Cook county, IL)</t>
  </si>
  <si>
    <t>8641.08 (in Lake county, IL)</t>
  </si>
  <si>
    <t>8149.00 (in Cook county, IL)</t>
  </si>
  <si>
    <t>6.02 (in Kenosha county, WI)</t>
  </si>
  <si>
    <t>315.01 (in Cook county, IL)</t>
  </si>
  <si>
    <t>802.01 (in Cook county, IL)</t>
  </si>
  <si>
    <t>8409.08 (in DuPage county, IL)</t>
  </si>
  <si>
    <t>8465.18 (in DuPage county, IL)</t>
  </si>
  <si>
    <t>8043.08 (in Cook county, IL)</t>
  </si>
  <si>
    <t>8616.08 (in Lake county, IL)</t>
  </si>
  <si>
    <t>8163.00 (in Cook county, IL)</t>
  </si>
  <si>
    <t>424.02 (in Lake county, IN)</t>
  </si>
  <si>
    <t>8522.01 (in Kane county, IL)</t>
  </si>
  <si>
    <t>6810.00 (in Cook county, IL)</t>
  </si>
  <si>
    <t>4110.00 (in Cook county, IL)</t>
  </si>
  <si>
    <t>8832.06 (in Will county, IL)</t>
  </si>
  <si>
    <t>3.00 (in DeKalb county, IL)</t>
  </si>
  <si>
    <t>2309.00 (in Cook county, IL)</t>
  </si>
  <si>
    <t>3814.00 (in Cook county, IL)</t>
  </si>
  <si>
    <t>6303.00 (in Cook county, IL)</t>
  </si>
  <si>
    <t>8455.07 (in DuPage county, IL)</t>
  </si>
  <si>
    <t>8403.04 (in DuPage county, IL)</t>
  </si>
  <si>
    <t>8618.03 (in Lake county, IL)</t>
  </si>
  <si>
    <t>202.00 (in Cook county, IL)</t>
  </si>
  <si>
    <t>8124.00 (in Cook county, IL)</t>
  </si>
  <si>
    <t>7404.00 (in Cook county, IL)</t>
  </si>
  <si>
    <t>8832.13 (in Will county, IL)</t>
  </si>
  <si>
    <t>1406.02 (in Cook county, IL)</t>
  </si>
  <si>
    <t>8620.00 (in Lake county, IL)</t>
  </si>
  <si>
    <t>8214.02 (in Cook county, IL)</t>
  </si>
  <si>
    <t>427.03 (in Lake county, IN)</t>
  </si>
  <si>
    <t>8714.04 (in McHenry county, IL)</t>
  </si>
  <si>
    <t>8530.01 (in Kane county, IL)</t>
  </si>
  <si>
    <t>703.00 (in Cook county, IL)</t>
  </si>
  <si>
    <t>8217.00 (in Cook county, IL)</t>
  </si>
  <si>
    <t>8463.15 (in DuPage county, IL)</t>
  </si>
  <si>
    <t>8712.02 (in McHenry county, IL)</t>
  </si>
  <si>
    <t>633.01 (in Cook county, IL)</t>
  </si>
  <si>
    <t>8709.03 (in McHenry county, IL)</t>
  </si>
  <si>
    <t>8300.08 (in Cook county, IL)</t>
  </si>
  <si>
    <t>8047.11 (in Cook county, IL)</t>
  </si>
  <si>
    <t>8413.07 (in DuPage county, IL)</t>
  </si>
  <si>
    <t>8411.10 (in DuPage county, IL)</t>
  </si>
  <si>
    <t>8427.04 (in DuPage county, IL)</t>
  </si>
  <si>
    <t>8103.02 (in Cook county, IL)</t>
  </si>
  <si>
    <t>6406.00 (in Cook county, IL)</t>
  </si>
  <si>
    <t>8302.01 (in Cook county, IL)</t>
  </si>
  <si>
    <t>8530.05 (in Kane county, IL)</t>
  </si>
  <si>
    <t>3018.01 (in Cook county, IL)</t>
  </si>
  <si>
    <t>8121.00 (in Cook county, IL)</t>
  </si>
  <si>
    <t>8831.00 (in Will county, IL)</t>
  </si>
  <si>
    <t>4610.00 (in Cook county, IL)</t>
  </si>
  <si>
    <t>4307.00 (in Cook county, IL)</t>
  </si>
  <si>
    <t>8601.01 (in Lake county, IL)</t>
  </si>
  <si>
    <t>8463.08 (in DuPage county, IL)</t>
  </si>
  <si>
    <t>4604.00 (in Cook county, IL)</t>
  </si>
  <si>
    <t>8188.00 (in Cook county, IL)</t>
  </si>
  <si>
    <t>306.01 (in Cook county, IL)</t>
  </si>
  <si>
    <t>426.09 (in Lake county, IN)</t>
  </si>
  <si>
    <t>8435.00 (in DuPage county, IL)</t>
  </si>
  <si>
    <t>8169.00 (in Cook county, IL)</t>
  </si>
  <si>
    <t>8211.02 (in Cook county, IL)</t>
  </si>
  <si>
    <t>8801.19 (in Will county, IL)</t>
  </si>
  <si>
    <t>8519.07 (in Kane county, IL)</t>
  </si>
  <si>
    <t>30.01 (in Kenosha county, WI)</t>
  </si>
  <si>
    <t>8305.00 (in Cook county, IL)</t>
  </si>
  <si>
    <t>313.00 (in Cook county, IL)</t>
  </si>
  <si>
    <t>8707.03 (in McHenry county, IL)</t>
  </si>
  <si>
    <t>8236.04 (in Cook county, IL)</t>
  </si>
  <si>
    <t>8424.00 (in Cook county, IL)</t>
  </si>
  <si>
    <t>425.01 (in Lake county, IN)</t>
  </si>
  <si>
    <t>125.00 (in Lake county, IN)</t>
  </si>
  <si>
    <t>8801.18 (in Will county, IL)</t>
  </si>
  <si>
    <t>8413.14 (in DuPage county, IL)</t>
  </si>
  <si>
    <t>428.02 (in Lake county, IN)</t>
  </si>
  <si>
    <t>8811.13 (in Will county, IL)</t>
  </si>
  <si>
    <t>8530.07 (in Kane county, IL)</t>
  </si>
  <si>
    <t>8835.21 (in Will county, IL)</t>
  </si>
  <si>
    <t>28.00 (in Kenosha county, WI)</t>
  </si>
  <si>
    <t>7505.00 (in Cook county, IL)</t>
  </si>
  <si>
    <t>203.01 (in Cook county, IL)</t>
  </si>
  <si>
    <t>8803.05 (in Will county, IL)</t>
  </si>
  <si>
    <t>634.00 (in Cook county, IL)</t>
  </si>
  <si>
    <t>8371.00 (in Cook county, IL)</t>
  </si>
  <si>
    <t>8804.11 (in Will county, IL)</t>
  </si>
  <si>
    <t>306.04 (in Cook county, IL)</t>
  </si>
  <si>
    <t>7.00 (in DeKalb county, IL)</t>
  </si>
  <si>
    <t>2425.00 (in Cook county, IL)</t>
  </si>
  <si>
    <t>8206.06 (in Cook county, IL)</t>
  </si>
  <si>
    <t>8134.00 (in Cook county, IL)</t>
  </si>
  <si>
    <t>4904.00 (in Cook county, IL)</t>
  </si>
  <si>
    <t>8090.00 (in Cook county, IL)</t>
  </si>
  <si>
    <t>1.00 (in DeKalb county, IL)</t>
  </si>
  <si>
    <t>8380.00 (in Cook county, IL)</t>
  </si>
  <si>
    <t>8230.02 (in Cook county, IL)</t>
  </si>
  <si>
    <t>6403.00 (in Cook county, IL)</t>
  </si>
  <si>
    <t>622.00 (in Cook county, IL)</t>
  </si>
  <si>
    <t>8241.19 (in Cook county, IL)</t>
  </si>
  <si>
    <t>5611.00 (in Cook county, IL)</t>
  </si>
  <si>
    <t>8209.02 (in Cook county, IL)</t>
  </si>
  <si>
    <t>409.00 (in Lake county, IN)</t>
  </si>
  <si>
    <t>8265.00 (in Cook county, IL)</t>
  </si>
  <si>
    <t>8030.17 (in Cook county, IL)</t>
  </si>
  <si>
    <t>6606.00 (in Cook county, IL)</t>
  </si>
  <si>
    <t>603.00 (in Cook county, IL)</t>
  </si>
  <si>
    <t>8127.00 (in Cook county, IL)</t>
  </si>
  <si>
    <t>8706.04 (in McHenry county, IL)</t>
  </si>
  <si>
    <t>8239.04 (in Cook county, IL)</t>
  </si>
  <si>
    <t>8837.00 (in Will county, IL)</t>
  </si>
  <si>
    <t>8300.03 (in Cook county, IL)</t>
  </si>
  <si>
    <t>8609.04 (in Lake county, IL)</t>
  </si>
  <si>
    <t>701.01 (in Cook county, IL)</t>
  </si>
  <si>
    <t>307.06 (in Cook county, IL)</t>
  </si>
  <si>
    <t>103.02 (in Lake county, IN)</t>
  </si>
  <si>
    <t>8253.02 (in Cook county, IL)</t>
  </si>
  <si>
    <t>5002.00 (in Cook county, IL)</t>
  </si>
  <si>
    <t>8070.00 (in Cook county, IL)</t>
  </si>
  <si>
    <t>426.05 (in Lake county, IN)</t>
  </si>
  <si>
    <t>1702.00 (in Cook county, IL)</t>
  </si>
  <si>
    <t>714.00 (in Cook county, IL)</t>
  </si>
  <si>
    <t>211.00 (in Lake county, IN)</t>
  </si>
  <si>
    <t>8412.06 (in DuPage county, IL)</t>
  </si>
  <si>
    <t>1903.00 (in Cook county, IL)</t>
  </si>
  <si>
    <t>8403.03 (in DuPage county, IL)</t>
  </si>
  <si>
    <t>8656.00 (in Lake county, IL)</t>
  </si>
  <si>
    <t>8050.02 (in Cook county, IL)</t>
  </si>
  <si>
    <t>8238.01 (in Cook county, IL)</t>
  </si>
  <si>
    <t>29.06 (in Kenosha county, WI)</t>
  </si>
  <si>
    <t>8285.03 (in Cook county, IL)</t>
  </si>
  <si>
    <t>4107.00 (in Cook county, IL)</t>
  </si>
  <si>
    <t>2925.00 (in Cook county, IL)</t>
  </si>
  <si>
    <t>8454.02 (in DuPage county, IL)</t>
  </si>
  <si>
    <t>8046.11 (in Cook county, IL)</t>
  </si>
  <si>
    <t>105.00 (in Lake county, IN)</t>
  </si>
  <si>
    <t>506.04 (in Porter county, IN)</t>
  </si>
  <si>
    <t>8210.01 (in Cook county, IL)</t>
  </si>
  <si>
    <t>8711.07 (in McHenry county, IL)</t>
  </si>
  <si>
    <t>1608.00 (in Cook county, IL)</t>
  </si>
  <si>
    <t>4.00 (in DeKalb county, IL)</t>
  </si>
  <si>
    <t>8247.01 (in Cook county, IL)</t>
  </si>
  <si>
    <t>8832.09 (in Will county, IL)</t>
  </si>
  <si>
    <t>8530.06 (in Kane county, IL)</t>
  </si>
  <si>
    <t>6308.00 (in Cook county, IL)</t>
  </si>
  <si>
    <t>8193.00 (in Cook county, IL)</t>
  </si>
  <si>
    <t>8610.13 (in Lake county, IL)</t>
  </si>
  <si>
    <t>8832.10 (in Will county, IL)</t>
  </si>
  <si>
    <t>2416.00 (in Cook county, IL)</t>
  </si>
  <si>
    <t>403.00 (in Cook county, IL)</t>
  </si>
  <si>
    <t>8145.00 (in Cook county, IL)</t>
  </si>
  <si>
    <t>7005.01 (in Cook county, IL)</t>
  </si>
  <si>
    <t>420.00 (in Lake county, IN)</t>
  </si>
  <si>
    <t>8403.00 (in Cook county, IL)</t>
  </si>
  <si>
    <t>8465.22 (in DuPage county, IL)</t>
  </si>
  <si>
    <t>1511.00 (in Cook county, IL)</t>
  </si>
  <si>
    <t>612.00 (in Cook county, IL)</t>
  </si>
  <si>
    <t>8416.07 (in DuPage county, IL)</t>
  </si>
  <si>
    <t>7401.00 (in Cook county, IL)</t>
  </si>
  <si>
    <t>8.00 (in Grundy county, IL)</t>
  </si>
  <si>
    <t>1009.02 (in Jasper county, IN)</t>
  </si>
  <si>
    <t>8508.00 (in Kane county, IL)</t>
  </si>
  <si>
    <t>1609.00 (in Cook county, IL)</t>
  </si>
  <si>
    <t>8199.00 (in Cook county, IL)</t>
  </si>
  <si>
    <t>1703.00 (in Cook county, IL)</t>
  </si>
  <si>
    <t>8531.00 (in Kane county, IL)</t>
  </si>
  <si>
    <t>8430.00 (in Cook county, IL)</t>
  </si>
  <si>
    <t>8433.02 (in DuPage county, IL)</t>
  </si>
  <si>
    <t>4403.00 (in Cook county, IL)</t>
  </si>
  <si>
    <t>8047.06 (in Cook county, IL)</t>
  </si>
  <si>
    <t>8114.01 (in Cook county, IL)</t>
  </si>
  <si>
    <t>6503.01 (in Cook county, IL)</t>
  </si>
  <si>
    <t>8397.00 (in Cook county, IL)</t>
  </si>
  <si>
    <t>301.02 (in Cook county, IL)</t>
  </si>
  <si>
    <t>8704.01 (in McHenry county, IL)</t>
  </si>
  <si>
    <t>4805.00 (in Cook county, IL)</t>
  </si>
  <si>
    <t>8262.02 (in Cook county, IL)</t>
  </si>
  <si>
    <t>2522.01 (in Cook county, IL)</t>
  </si>
  <si>
    <t>4306.00 (in Cook county, IL)</t>
  </si>
  <si>
    <t>8712.07 (in McHenry county, IL)</t>
  </si>
  <si>
    <t>8206.04 (in Cook county, IL)</t>
  </si>
  <si>
    <t>4906.00 (in Cook county, IL)</t>
  </si>
  <si>
    <t>8189.00 (in Cook county, IL)</t>
  </si>
  <si>
    <t>8171.02 (in Cook county, IL)</t>
  </si>
  <si>
    <t>8030.14 (in Cook county, IL)</t>
  </si>
  <si>
    <t>1909.00 (in Cook county, IL)</t>
  </si>
  <si>
    <t>7101.00 (in Cook county, IL)</t>
  </si>
  <si>
    <t>1605.01 (in Cook county, IL)</t>
  </si>
  <si>
    <t>8138.02 (in Cook county, IL)</t>
  </si>
  <si>
    <t>8293.01 (in Cook county, IL)</t>
  </si>
  <si>
    <t>8805.03 (in Will county, IL)</t>
  </si>
  <si>
    <t>8046.07 (in Cook county, IL)</t>
  </si>
  <si>
    <t>503.00 (in Cook county, IL)</t>
  </si>
  <si>
    <t>8229.00 (in Cook county, IL)</t>
  </si>
  <si>
    <t>8107.02 (in Cook county, IL)</t>
  </si>
  <si>
    <t>5.00 (in DeKalb county, IL)</t>
  </si>
  <si>
    <t>1004.00 (in Cook county, IL)</t>
  </si>
  <si>
    <t>305.00 (in Cook county, IL)</t>
  </si>
  <si>
    <t>8839.02 (in Will county, IL)</t>
  </si>
  <si>
    <t>7202.00 (in Cook county, IL)</t>
  </si>
  <si>
    <t>8463.14 (in DuPage county, IL)</t>
  </si>
  <si>
    <t>8001.00 (in Cook county, IL)</t>
  </si>
  <si>
    <t>8642.04 (in Lake county, IL)</t>
  </si>
  <si>
    <t>8273.00 (in Cook county, IL)</t>
  </si>
  <si>
    <t>8262.01 (in Cook county, IL)</t>
  </si>
  <si>
    <t>8838.09 (in Will county, IL)</t>
  </si>
  <si>
    <t>8467.01 (in DuPage county, IL)</t>
  </si>
  <si>
    <t>505.01 (in Porter county, IN)</t>
  </si>
  <si>
    <t>8653.00 (in Lake county, IL)</t>
  </si>
  <si>
    <t>8388.00 (in Cook county, IL)</t>
  </si>
  <si>
    <t>8809.01 (in Will county, IL)</t>
  </si>
  <si>
    <t>3602.00 (in Cook county, IL)</t>
  </si>
  <si>
    <t>5303.00 (in Cook county, IL)</t>
  </si>
  <si>
    <t>8263.04 (in Cook county, IL)</t>
  </si>
  <si>
    <t>5907.00 (in Cook county, IL)</t>
  </si>
  <si>
    <t>8455.10 (in DuPage county, IL)</t>
  </si>
  <si>
    <t>8133.02 (in Cook county, IL)</t>
  </si>
  <si>
    <t>8455.08 (in DuPage county, IL)</t>
  </si>
  <si>
    <t>8039.02 (in Cook county, IL)</t>
  </si>
  <si>
    <t>8292.00 (in Cook county, IL)</t>
  </si>
  <si>
    <t>3807.00 (in Cook county, IL)</t>
  </si>
  <si>
    <t>2602.00 (in Cook county, IL)</t>
  </si>
  <si>
    <t>8383.00 (in Cook county, IL)</t>
  </si>
  <si>
    <t>8047.10 (in Cook county, IL)</t>
  </si>
  <si>
    <t>8373.00 (in Cook county, IL)</t>
  </si>
  <si>
    <t>102.01 (in Lake county, IN)</t>
  </si>
  <si>
    <t>8712.09 (in McHenry county, IL)</t>
  </si>
  <si>
    <t>812.02 (in Cook county, IL)</t>
  </si>
  <si>
    <t>307.00 (in Lake county, IN)</t>
  </si>
  <si>
    <t>7709.02 (in Cook county, IL)</t>
  </si>
  <si>
    <t>628.00 (in Cook county, IL)</t>
  </si>
  <si>
    <t>701.03 (in Cook county, IL)</t>
  </si>
  <si>
    <t>3107.00 (in Cook county, IL)</t>
  </si>
  <si>
    <t>3404.00 (in Cook county, IL)</t>
  </si>
  <si>
    <t>504.02 (in Porter county, IN)</t>
  </si>
  <si>
    <t>8206.03 (in Cook county, IL)</t>
  </si>
  <si>
    <t>8028.01 (in Cook county, IL)</t>
  </si>
  <si>
    <t>8044.06 (in Cook county, IL)</t>
  </si>
  <si>
    <t>410.01 (in Lake county, IN)</t>
  </si>
  <si>
    <t>8811.05 (in Will county, IL)</t>
  </si>
  <si>
    <t>1102.00 (in Cook county, IL)</t>
  </si>
  <si>
    <t>7307.00 (in Cook county, IL)</t>
  </si>
  <si>
    <t>207.00 (in Lake county, IN)</t>
  </si>
  <si>
    <t>1610.00 (in Cook county, IL)</t>
  </si>
  <si>
    <t>3514.00 (in Cook county, IL)</t>
  </si>
  <si>
    <t>6502.00 (in Cook county, IL)</t>
  </si>
  <si>
    <t>8044.04 (in Cook county, IL)</t>
  </si>
  <si>
    <t>8803.03 (in Will county, IL)</t>
  </si>
  <si>
    <t>8026.07 (in Cook county, IL)</t>
  </si>
  <si>
    <t>307.02 (in Cook county, IL)</t>
  </si>
  <si>
    <t>8201.04 (in Cook county, IL)</t>
  </si>
  <si>
    <t>8286.02 (in Cook county, IL)</t>
  </si>
  <si>
    <t>8324.00 (in Cook county, IL)</t>
  </si>
  <si>
    <t>8210.02 (in Cook county, IL)</t>
  </si>
  <si>
    <t>8411.12 (in DuPage county, IL)</t>
  </si>
  <si>
    <t>8439.00 (in DuPage county, IL)</t>
  </si>
  <si>
    <t>8804.14 (in Will county, IL)</t>
  </si>
  <si>
    <t>8172.00 (in Cook county, IL)</t>
  </si>
  <si>
    <t>8707.02 (in McHenry county, IL)</t>
  </si>
  <si>
    <t>2510.00 (in Cook county, IL)</t>
  </si>
  <si>
    <t>8435.00 (in Cook county, IL)</t>
  </si>
  <si>
    <t>8219.00 (in Cook county, IL)</t>
  </si>
  <si>
    <t>8249.00 (in Cook county, IL)</t>
  </si>
  <si>
    <t>8142.00 (in Cook county, IL)</t>
  </si>
  <si>
    <t>2427.00 (in Cook county, IL)</t>
  </si>
  <si>
    <t>8086.00 (in Cook county, IL)</t>
  </si>
  <si>
    <t>8818.00 (in Will county, IL)</t>
  </si>
  <si>
    <t>8306.00 (in Cook county, IL)</t>
  </si>
  <si>
    <t>702.00 (in Cook county, IL)</t>
  </si>
  <si>
    <t>7002.00 (in Cook county, IL)</t>
  </si>
  <si>
    <t>8024.04 (in Cook county, IL)</t>
  </si>
  <si>
    <t>8224.00 (in Cook county, IL)</t>
  </si>
  <si>
    <t>3109.00 (in Cook county, IL)</t>
  </si>
  <si>
    <t>2838.00 (in Cook county, IL)</t>
  </si>
  <si>
    <t>8396.00 (in Cook county, IL)</t>
  </si>
  <si>
    <t>8366.00 (in Cook county, IL)</t>
  </si>
  <si>
    <t>8436.02 (in DuPage county, IL)</t>
  </si>
  <si>
    <t>7004.01 (in Cook county, IL)</t>
  </si>
  <si>
    <t>8655.01 (in Lake county, IL)</t>
  </si>
  <si>
    <t>8835.05 (in Will county, IL)</t>
  </si>
  <si>
    <t>24.00 (in Kenosha county, WI)</t>
  </si>
  <si>
    <t>8711.08 (in McHenry county, IL)</t>
  </si>
  <si>
    <t>429.01 (in Lake county, IN)</t>
  </si>
  <si>
    <t>1704.00 (in Cook county, IL)</t>
  </si>
  <si>
    <t>3812.00 (in Cook county, IL)</t>
  </si>
  <si>
    <t>2433.00 (in Cook county, IL)</t>
  </si>
  <si>
    <t>8645.15 (in Lake county, IL)</t>
  </si>
  <si>
    <t>7003.01 (in Cook county, IL)</t>
  </si>
  <si>
    <t>2003.00 (in Cook county, IL)</t>
  </si>
  <si>
    <t>102.01 (in Cook county, IL)</t>
  </si>
  <si>
    <t>619.02 (in Cook county, IL)</t>
  </si>
  <si>
    <t>430.01 (in Lake county, IN)</t>
  </si>
  <si>
    <t>7302.01 (in Cook county, IL)</t>
  </si>
  <si>
    <t>3904.00 (in Cook county, IL)</t>
  </si>
  <si>
    <t>8457.02 (in DuPage county, IL)</t>
  </si>
  <si>
    <t>8839.04 (in Will county, IL)</t>
  </si>
  <si>
    <t>7102.00 (in Cook county, IL)</t>
  </si>
  <si>
    <t>8285.06 (in Cook county, IL)</t>
  </si>
  <si>
    <t>8060.01 (in Cook county, IL)</t>
  </si>
  <si>
    <t>8833.05 (in Will county, IL)</t>
  </si>
  <si>
    <t>8264.02 (in Cook county, IL)</t>
  </si>
  <si>
    <t>207.02 (in Cook county, IL)</t>
  </si>
  <si>
    <t>16.00 (in DeKalb county, IL)</t>
  </si>
  <si>
    <t>8048.04 (in Cook county, IL)</t>
  </si>
  <si>
    <t>1611.00 (in Cook county, IL)</t>
  </si>
  <si>
    <t>8903.01 (in Kendall county, IL)</t>
  </si>
  <si>
    <t>424.01 (in Lake county, IN)</t>
  </si>
  <si>
    <t>8645.10 (in Lake county, IL)</t>
  </si>
  <si>
    <t>429.02 (in Lake county, IN)</t>
  </si>
  <si>
    <t>2909.00 (in Cook county, IL)</t>
  </si>
  <si>
    <t>7205.00 (in Cook county, IL)</t>
  </si>
  <si>
    <t>426.08 (in Lake county, IN)</t>
  </si>
  <si>
    <t>7204.00 (in Cook county, IL)</t>
  </si>
  <si>
    <t>4313.02 (in Cook county, IL)</t>
  </si>
  <si>
    <t>1201.00 (in Cook county, IL)</t>
  </si>
  <si>
    <t>8465.23 (in DuPage county, IL)</t>
  </si>
  <si>
    <t>8810.07 (in Will county, IL)</t>
  </si>
  <si>
    <t>8259.00 (in Cook county, IL)</t>
  </si>
  <si>
    <t>8838.04 (in Will county, IL)</t>
  </si>
  <si>
    <t>8411.09 (in DuPage county, IL)</t>
  </si>
  <si>
    <t>409.00 (in Cook county, IL)</t>
  </si>
  <si>
    <t>1013.00 (in Jasper county, IN)</t>
  </si>
  <si>
    <t>8443.04 (in DuPage county, IL)</t>
  </si>
  <si>
    <t>8026.09 (in Cook county, IL)</t>
  </si>
  <si>
    <t>8454.01 (in DuPage county, IL)</t>
  </si>
  <si>
    <t>8227.02 (in Cook county, IL)</t>
  </si>
  <si>
    <t>8216.00 (in Cook county, IL)</t>
  </si>
  <si>
    <t>8241.08 (in Cook county, IL)</t>
  </si>
  <si>
    <t>8258.02 (in Cook county, IL)</t>
  </si>
  <si>
    <t>7112.00 (in Cook county, IL)</t>
  </si>
  <si>
    <t>508.00 (in Cook county, IL)</t>
  </si>
  <si>
    <t>8020.03 (in Cook county, IL)</t>
  </si>
  <si>
    <t>6805.00 (in Cook county, IL)</t>
  </si>
  <si>
    <t>7504.00 (in Cook county, IL)</t>
  </si>
  <si>
    <t>8539.00 (in Kane county, IL)</t>
  </si>
  <si>
    <t>21.00 (in Kenosha county, WI)</t>
  </si>
  <si>
    <t>8257.00 (in Cook county, IL)</t>
  </si>
  <si>
    <t>8255.05 (in Cook county, IL)</t>
  </si>
  <si>
    <t>8513.02 (in Kane county, IL)</t>
  </si>
  <si>
    <t>1.03 (in Grundy county, IL)</t>
  </si>
  <si>
    <t>8248.00 (in Cook county, IL)</t>
  </si>
  <si>
    <t>4701.00 (in Cook county, IL)</t>
  </si>
  <si>
    <t>8350.00 (in Cook county, IL)</t>
  </si>
  <si>
    <t>5301.00 (in Cook county, IL)</t>
  </si>
  <si>
    <t>8317.00 (in Cook county, IL)</t>
  </si>
  <si>
    <t>8027.01 (in Cook county, IL)</t>
  </si>
  <si>
    <t>8401.02 (in DuPage county, IL)</t>
  </si>
  <si>
    <t>8063.00 (in Cook county, IL)</t>
  </si>
  <si>
    <t>8610.07 (in Lake county, IL)</t>
  </si>
  <si>
    <t>8128.02 (in Cook county, IL)</t>
  </si>
  <si>
    <t>8503.01 (in Kane county, IL)</t>
  </si>
  <si>
    <t>8138.01 (in Cook county, IL)</t>
  </si>
  <si>
    <t>8352.00 (in Cook county, IL)</t>
  </si>
  <si>
    <t>206.01 (in Cook county, IL)</t>
  </si>
  <si>
    <t>8155.00 (in Cook county, IL)</t>
  </si>
  <si>
    <t>4203.00 (in Cook county, IL)</t>
  </si>
  <si>
    <t>8463.11 (in DuPage county, IL)</t>
  </si>
  <si>
    <t>408.00 (in Cook county, IL)</t>
  </si>
  <si>
    <t>8184.02 (in Cook county, IL)</t>
  </si>
  <si>
    <t>8062.01 (in Cook county, IL)</t>
  </si>
  <si>
    <t>102.03 (in Lake county, IN)</t>
  </si>
  <si>
    <t>706.00 (in Cook county, IL)</t>
  </si>
  <si>
    <t>3018.03 (in Cook county, IL)</t>
  </si>
  <si>
    <t>8811.11 (in Will county, IL)</t>
  </si>
  <si>
    <t>105.03 (in Cook county, IL)</t>
  </si>
  <si>
    <t>6812.00 (in Cook county, IL)</t>
  </si>
  <si>
    <t>2521.02 (in Cook county, IL)</t>
  </si>
  <si>
    <t>6912.00 (in Cook county, IL)</t>
  </si>
  <si>
    <t>8241.14 (in Cook county, IL)</t>
  </si>
  <si>
    <t>8702.00 (in McHenry county, IL)</t>
  </si>
  <si>
    <t>8258.01 (in Cook county, IL)</t>
  </si>
  <si>
    <t>8234.00 (in Cook county, IL)</t>
  </si>
  <si>
    <t>8276.00 (in Cook county, IL)</t>
  </si>
  <si>
    <t>8031.00 (in Cook county, IL)</t>
  </si>
  <si>
    <t>14.00 (in DeKalb county, IL)</t>
  </si>
  <si>
    <t>1606.02 (in Cook county, IL)</t>
  </si>
  <si>
    <t>8423.00 (in DuPage county, IL)</t>
  </si>
  <si>
    <t>2431.00 (in Cook county, IL)</t>
  </si>
  <si>
    <t>8711.06 (in McHenry county, IL)</t>
  </si>
  <si>
    <t>7003.02 (in Cook county, IL)</t>
  </si>
  <si>
    <t>104.00 (in Lake county, IN)</t>
  </si>
  <si>
    <t>416.00 (in Lake county, IN)</t>
  </si>
  <si>
    <t>8601.03 (in Lake county, IL)</t>
  </si>
  <si>
    <t>8804.19 (in Will county, IL)</t>
  </si>
  <si>
    <t>8810.02 (in Will county, IL)</t>
  </si>
  <si>
    <t>8642.06 (in Lake county, IL)</t>
  </si>
  <si>
    <t>6903.00 (in Cook county, IL)</t>
  </si>
  <si>
    <t>312.00 (in Cook county, IL)</t>
  </si>
  <si>
    <t>1902.00 (in Cook county, IL)</t>
  </si>
  <si>
    <t>2714.00 (in Cook county, IL)</t>
  </si>
  <si>
    <t>8810.05 (in Will county, IL)</t>
  </si>
  <si>
    <t>605.00 (in Cook county, IL)</t>
  </si>
  <si>
    <t>8536.00 (in Kane county, IL)</t>
  </si>
  <si>
    <t>6503.02 (in Cook county, IL)</t>
  </si>
  <si>
    <t>8613.03 (in Lake county, IL)</t>
  </si>
  <si>
    <t>3.00 (in Grundy county, IL)</t>
  </si>
  <si>
    <t>1504.02 (in Cook county, IL)</t>
  </si>
  <si>
    <t>8266.00 (in Cook county, IL)</t>
  </si>
  <si>
    <t>205.00 (in Cook county, IL)</t>
  </si>
  <si>
    <t>401.00 (in Lake county, IN)</t>
  </si>
  <si>
    <t>715.00 (in Cook county, IL)</t>
  </si>
  <si>
    <t>8458.08 (in DuPage county, IL)</t>
  </si>
  <si>
    <t>203.00 (in Lake county, IN)</t>
  </si>
  <si>
    <t>8014.00 (in Cook county, IL)</t>
  </si>
  <si>
    <t>2203.00 (in Cook county, IL)</t>
  </si>
  <si>
    <t>8414.04 (in DuPage county, IL)</t>
  </si>
  <si>
    <t>2210.00 (in Cook county, IL)</t>
  </si>
  <si>
    <t>506.03 (in Porter county, IN)</t>
  </si>
  <si>
    <t>8203.00 (in Cook county, IL)</t>
  </si>
  <si>
    <t>7107.00 (in Cook county, IL)</t>
  </si>
  <si>
    <t>8806.01 (in Will county, IL)</t>
  </si>
  <si>
    <t>304.00 (in Lake county, IN)</t>
  </si>
  <si>
    <t>8809.03 (in Will county, IL)</t>
  </si>
  <si>
    <t>USA HS offering CS</t>
  </si>
  <si>
    <t>CS Interest Highschool</t>
  </si>
  <si>
    <t>White/Asian Weighted</t>
  </si>
  <si>
    <t>Black Proportion</t>
  </si>
  <si>
    <t>Hispanic Proportion</t>
  </si>
  <si>
    <t>White Proporiton</t>
  </si>
  <si>
    <t>Asian Proportion</t>
  </si>
  <si>
    <t>Black Population</t>
  </si>
  <si>
    <t>White Population</t>
  </si>
  <si>
    <t>Hispanic Population</t>
  </si>
  <si>
    <t>Asian Population</t>
  </si>
  <si>
    <t>Black Current Total</t>
  </si>
  <si>
    <t>Black Equitable Total</t>
  </si>
  <si>
    <t>Hispanic Equitable Total</t>
  </si>
  <si>
    <t>Hispanic Current Total</t>
  </si>
  <si>
    <t>https://www.illinoisreportcard.com/District.aspx?source=trends&amp;source2=sat.details&amp;Districtid=15016299025</t>
  </si>
  <si>
    <t>https://www.cps.edu/search/?context=Schools&amp;sortId=a-z</t>
  </si>
  <si>
    <t>https://www.illinoisreportcard.com/District.aspx?source=trends&amp;source2=graduationrate&amp;Districtid=15016299025</t>
  </si>
  <si>
    <t>http://www.ibhe.org/EnrollmentsDegrees/search.aspx</t>
  </si>
  <si>
    <t>Data not disaggregated by undergraduate and graduate, so I estimated the numbers proportionally knowing the total amount of bachelors degrees and total number of degrees handedout by race</t>
  </si>
  <si>
    <t>https://a.economicmodeling.com/analyst/?t=3ryNb#h=hHD8v&amp;page=historic_completions&amp;vertical=edo&amp;nation=us</t>
  </si>
  <si>
    <t>Data not broken down by race and age so I estimated knowing total racial breakdown and total age breakdown</t>
  </si>
  <si>
    <t>https://nces.ed.gov/nationsreportcard/subject/publications/stt2019/pdf/2020013np8.pdf</t>
  </si>
  <si>
    <t>4th grade math proficiency and above (NAEP 2019)</t>
  </si>
  <si>
    <t>8th grade math proficiency and above (NAEP 2019)</t>
  </si>
  <si>
    <t>8th grade math advanced (NAEP 2019)</t>
  </si>
  <si>
    <t>4th grade math advanced (NAEP 2019)</t>
  </si>
  <si>
    <t xml:space="preserve">Black </t>
  </si>
  <si>
    <t>11th grade SAT Math proficiency and above (CPS 2021)</t>
  </si>
  <si>
    <t>11th grade SAT Math advanced  (CPS 2021)</t>
  </si>
  <si>
    <t>College</t>
  </si>
  <si>
    <t>CPS K-8 STEM magnet school Enrollment (CPS School Directory)</t>
  </si>
  <si>
    <t>CPS HS STEM magnet school Enrollment (CPS School Directory)</t>
  </si>
  <si>
    <t>CS degree Persistance at Illinois Univerisites (IBHE)</t>
  </si>
  <si>
    <t>CS degree conferrals at Illinois Univerisites (IBHE)</t>
  </si>
  <si>
    <t>CS degree persistance at Northwestern,Uchicago, UIUC (IBHE)</t>
  </si>
  <si>
    <t>CS degree conferral at Northwesten, Uchicago, UIUC (IBHE)</t>
  </si>
  <si>
    <t>CS degree enrollment at Northwestern,Uchicago, UIUC (IBHE)</t>
  </si>
  <si>
    <t>CS degree enrollment at Illinois Universities (IBHE)</t>
  </si>
  <si>
    <t>18-24 year old Illinois college enrollment (IBHE and Census)</t>
  </si>
  <si>
    <t>Number of College Students(IBHE)</t>
  </si>
  <si>
    <t>College Enrollment in Illinois (IBHE 2021-2022)</t>
  </si>
  <si>
    <t>Top 11 tech jobs Demographics</t>
  </si>
  <si>
    <t>Top 3 tech jobs Demographics</t>
  </si>
  <si>
    <t>Proportion of CPS students that are at advanced in math by Racial/Ethnic group</t>
  </si>
  <si>
    <t>Proportion of CPS K-8 students that are enrolled into a STEM magnet school by racial/ethnic group</t>
  </si>
  <si>
    <t>Proportion of 11th grade CPS students that are at or above proficiency in SAT math by racial/ethnic group</t>
  </si>
  <si>
    <t>Proportion of CPS students that are at or above proficiency in math by racial/ethnic group</t>
  </si>
  <si>
    <t>Proportion of 11th grade CPS students that are advanced in SAT math by racial/ethnic group</t>
  </si>
  <si>
    <t>Proportion of CPS HS students that are enrolled into a STEM magnet school bby racial/ethnic group</t>
  </si>
  <si>
    <t>Proportion of Computer Science Degrees conferred to College students that enrolled into CS freshman year by racial/ethnic group</t>
  </si>
  <si>
    <t>Proportion of degrees conferred to college students that are CS degree by racial/ethnic group</t>
  </si>
  <si>
    <t>Proportion of degrees conferred to college students that are CS degree at a top 3 Illinois university by racial/ethnic group</t>
  </si>
  <si>
    <t>Proportion of Computer Science Degrees conferred to College students that enrolled into CS freshman year at a top 3 Illinois university by racial/ethnic group</t>
  </si>
  <si>
    <t>Proportion of college students that enrolled into a CS degree at a top 3 Illinois university by racial/ethnic group</t>
  </si>
  <si>
    <t>Proportion of college students that enrolled into a CS degree by racial/ethnic group</t>
  </si>
  <si>
    <t>Proportion of 18-24 year olds that enroled into college by racial/ethnic group</t>
  </si>
  <si>
    <t>Proportion of 20-64 year olds in the Chicago MSA with a top 11 tech job by racial/ethnic group</t>
  </si>
  <si>
    <t>Proportion of 20-64 year olds in the Chicago MSA with a top 3 tech job by racial/ethnic group</t>
  </si>
  <si>
    <t>None</t>
  </si>
  <si>
    <t>Chicago MSA Degree Holders (EMSI 2021-2022)</t>
  </si>
  <si>
    <t>USA Degree Holders (EMSI 2021-2022)</t>
  </si>
  <si>
    <t>8th grade math proficiency and above</t>
  </si>
  <si>
    <t>4th grade math proficiency and above</t>
  </si>
  <si>
    <t>4th grade math advanced</t>
  </si>
  <si>
    <t>8th grade math advanced</t>
  </si>
  <si>
    <t>k-8 stem magnet school enrolllment</t>
  </si>
  <si>
    <t>11th grade sat math proficiency and above</t>
  </si>
  <si>
    <t>11th grade sat math advanced</t>
  </si>
  <si>
    <t>HS stem magnet school enrolllment</t>
  </si>
  <si>
    <t>Illinois cs degree persistence</t>
  </si>
  <si>
    <t>Illinois cs degree conferral</t>
  </si>
  <si>
    <t>Illinois top 3 cs degree conferral</t>
  </si>
  <si>
    <t>Illinois top 3 cs degree enrollment</t>
  </si>
  <si>
    <t>Illinois top 3 cs degree persistence</t>
  </si>
  <si>
    <t>Illinois cs degree enrollment</t>
  </si>
  <si>
    <t>Illinois 18 to 24 year old college enrollment</t>
  </si>
  <si>
    <t>Chicago msa tech employee demographics</t>
  </si>
  <si>
    <t>Chicago msa top 3 jobs employee demographics</t>
  </si>
  <si>
    <t>Black Area Proportion</t>
  </si>
  <si>
    <t>Hispanic Area Proportion</t>
  </si>
  <si>
    <t>White Area Proportion</t>
  </si>
  <si>
    <t>Asian Area Proportion</t>
  </si>
  <si>
    <t>Black Area Population</t>
  </si>
  <si>
    <t>Hispanic Area Population</t>
  </si>
  <si>
    <t>White Area Population</t>
  </si>
  <si>
    <t>Asian Area Population</t>
  </si>
  <si>
    <t>Race</t>
  </si>
  <si>
    <t>Sample</t>
  </si>
  <si>
    <t>estimated</t>
  </si>
  <si>
    <t>YES</t>
  </si>
  <si>
    <t>8th grade proficient in Math (NAEP)</t>
  </si>
  <si>
    <t>CPS SAT Meets and Exceeds in Math (ISBE report card)</t>
  </si>
  <si>
    <t>CPS SAT Exceeds in Math (ISBE report card)</t>
  </si>
  <si>
    <t>CPS STEM Magnet HS Enrollment (CPS School directory)</t>
  </si>
  <si>
    <t>Illinois HS Graduates (ISBE)</t>
  </si>
  <si>
    <t>CPS SAT Benchmark (ISBE)</t>
  </si>
  <si>
    <t>4th grade Below Basic in Math (NAEP)</t>
  </si>
  <si>
    <t>4th grade Basic in Math (NAEP)</t>
  </si>
  <si>
    <t>8th grade below basic in Math (NAEP)</t>
  </si>
  <si>
    <t>8th grade basic in math (NAEP)</t>
  </si>
  <si>
    <t>4th graders with elementary schools offering CS USA (Google Survey)</t>
  </si>
  <si>
    <t>USA Lack of Internet Access (NCES)</t>
  </si>
  <si>
    <t>USA interest in CS 9th-12th grade (Google Survey)</t>
  </si>
  <si>
    <t>USA interest in CS 5th-8th grade (Google Survey)</t>
  </si>
  <si>
    <t>USA HS offering  CS (Google Survey)</t>
  </si>
  <si>
    <t>Number of students without internet access (NCES)</t>
  </si>
  <si>
    <t>4th graders with elementary schools offering CS USA (Amazon Survey)</t>
  </si>
  <si>
    <t>USA interest in CS 9th-12th grade (Amazon Survey)</t>
  </si>
  <si>
    <t>USA interest in CS 5th-8th grade (Amazon Survey)</t>
  </si>
  <si>
    <t>USA HS offering  CS (Amazon Survey)</t>
  </si>
  <si>
    <t>Number of 5-17 year olds (NCES)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</si>
</sst>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00"/>
  </numFmts>
  <fonts count="13" x14ac:knownFonts="1">
    <font>
      <sz val="11"/>
      <color theme="1"/>
      <name val="Calibri"/>
      <family val="2"/>
      <scheme val="minor"/>
    </font>
    <font>
      <sz val="11"/>
      <color theme="1"/>
      <name val="Calibri"/>
      <family val="2"/>
      <scheme val="minor"/>
    </font>
    <font>
      <sz val="11"/>
      <name val="Calibri"/>
      <family val="2"/>
      <scheme val="minor"/>
    </font>
    <font>
      <vertAlign val="subscript"/>
      <sz val="11"/>
      <color theme="1"/>
      <name val="Calibri"/>
      <family val="2"/>
      <scheme val="minor"/>
    </font>
    <font>
      <sz val="8"/>
      <name val="Calibri"/>
      <family val="2"/>
      <scheme val="minor"/>
    </font>
    <font>
      <sz val="10"/>
      <color theme="1"/>
      <name val="Arial"/>
      <family val="2"/>
    </font>
    <font>
      <b/>
      <sz val="11"/>
      <color theme="1"/>
      <name val="Calibri"/>
      <family val="2"/>
      <scheme val="minor"/>
    </font>
    <font>
      <sz val="11"/>
      <color theme="0"/>
      <name val="Calibri"/>
      <family val="2"/>
      <scheme val="minor"/>
    </font>
    <font>
      <u/>
      <sz val="11"/>
      <color theme="10"/>
      <name val="Calibri"/>
      <family val="2"/>
      <scheme val="minor"/>
    </font>
    <font>
      <sz val="6"/>
      <color rgb="FF24292F"/>
      <name val="Segoe UI"/>
      <family val="2"/>
    </font>
    <font>
      <sz val="11"/>
      <color rgb="FF000000"/>
      <name val="Calibri"/>
      <family val="2"/>
      <scheme val="minor"/>
    </font>
    <font>
      <sz val="6"/>
      <color rgb="FF24292F"/>
      <name val="Segoe UI"/>
      <family val="2"/>
    </font>
    <font>
      <sz val="6"/>
      <color theme="1"/>
      <name val="Segoe UI"/>
      <family val="2"/>
    </font>
  </fonts>
  <fills count="13">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rgb="FF002060"/>
        <bgColor indexed="64"/>
      </patternFill>
    </fill>
    <fill>
      <patternFill patternType="solid">
        <fgColor rgb="FF0070C0"/>
        <bgColor indexed="64"/>
      </patternFill>
    </fill>
    <fill>
      <patternFill patternType="solid">
        <fgColor theme="1"/>
        <bgColor indexed="64"/>
      </patternFill>
    </fill>
    <fill>
      <patternFill patternType="solid">
        <fgColor theme="4"/>
        <bgColor indexed="64"/>
      </patternFill>
    </fill>
    <fill>
      <patternFill patternType="solid">
        <fgColor rgb="FFFFFFFF"/>
        <bgColor indexed="64"/>
      </patternFill>
    </fill>
    <fill>
      <patternFill patternType="solid">
        <fgColor theme="7"/>
        <bgColor indexed="64"/>
      </patternFill>
    </fill>
  </fills>
  <borders count="9">
    <border>
      <left/>
      <right/>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9" fontId="1" fillId="0" borderId="0" applyFont="0" applyFill="0" applyBorder="0" applyAlignment="0" applyProtection="0"/>
    <xf numFmtId="43" fontId="1" fillId="0" borderId="0" applyFont="0" applyFill="0" applyBorder="0" applyAlignment="0" applyProtection="0"/>
    <xf numFmtId="0" fontId="8" fillId="0" borderId="0" applyNumberFormat="0" applyFill="0" applyBorder="0" applyAlignment="0" applyProtection="0"/>
  </cellStyleXfs>
  <cellXfs count="155">
    <xf numFmtId="0" fontId="0" fillId="0" borderId="0" xfId="0"/>
    <xf numFmtId="0" fontId="0" fillId="0" borderId="0" xfId="0" applyAlignment="1">
      <alignment horizontal="center"/>
    </xf>
    <xf numFmtId="0" fontId="0" fillId="0" borderId="0" xfId="0" applyFill="1" applyBorder="1"/>
    <xf numFmtId="0" fontId="0" fillId="0" borderId="0" xfId="0" applyBorder="1"/>
    <xf numFmtId="0" fontId="0" fillId="2" borderId="0" xfId="0" applyFill="1"/>
    <xf numFmtId="3" fontId="0" fillId="0" borderId="0" xfId="0" applyNumberFormat="1"/>
    <xf numFmtId="10" fontId="0" fillId="0" borderId="0" xfId="0" applyNumberFormat="1"/>
    <xf numFmtId="0" fontId="0" fillId="0" borderId="0" xfId="0" applyAlignment="1" applyProtection="1">
      <alignment horizontal="left" vertical="center"/>
      <protection locked="0"/>
    </xf>
    <xf numFmtId="0" fontId="0" fillId="3" borderId="0" xfId="0" applyFill="1"/>
    <xf numFmtId="0" fontId="0" fillId="0" borderId="0" xfId="0" applyFill="1"/>
    <xf numFmtId="0" fontId="2" fillId="0" borderId="0" xfId="0" applyFont="1" applyFill="1"/>
    <xf numFmtId="0" fontId="5" fillId="0" borderId="0" xfId="0" applyFont="1" applyFill="1"/>
    <xf numFmtId="0" fontId="0" fillId="4" borderId="0" xfId="0" applyFill="1"/>
    <xf numFmtId="0" fontId="0" fillId="5" borderId="0" xfId="0" applyFill="1"/>
    <xf numFmtId="0" fontId="0" fillId="0" borderId="3" xfId="0" applyBorder="1"/>
    <xf numFmtId="0" fontId="0" fillId="6" borderId="0" xfId="0" applyFill="1"/>
    <xf numFmtId="0" fontId="6" fillId="0" borderId="3" xfId="0" applyFont="1" applyBorder="1" applyAlignment="1">
      <alignment horizontal="center"/>
    </xf>
    <xf numFmtId="0" fontId="0" fillId="4" borderId="5"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4" borderId="6" xfId="0" applyFill="1" applyBorder="1" applyAlignment="1">
      <alignment horizontal="center" vertical="center"/>
    </xf>
    <xf numFmtId="0" fontId="0" fillId="4" borderId="4" xfId="0" applyFill="1" applyBorder="1" applyAlignment="1">
      <alignment horizontal="center" vertical="center"/>
    </xf>
    <xf numFmtId="0" fontId="0" fillId="0" borderId="0" xfId="0" applyBorder="1" applyAlignment="1">
      <alignment vertical="center"/>
    </xf>
    <xf numFmtId="0" fontId="0" fillId="0" borderId="0" xfId="0" applyFill="1" applyBorder="1" applyAlignment="1">
      <alignment vertical="center" wrapText="1"/>
    </xf>
    <xf numFmtId="0" fontId="0" fillId="0" borderId="0" xfId="0" applyFill="1" applyBorder="1" applyAlignment="1">
      <alignment vertical="center"/>
    </xf>
    <xf numFmtId="0" fontId="6" fillId="0" borderId="6" xfId="0" applyFont="1" applyBorder="1" applyAlignment="1">
      <alignment horizontal="center"/>
    </xf>
    <xf numFmtId="0" fontId="0" fillId="4" borderId="3" xfId="0" applyFill="1" applyBorder="1" applyAlignment="1">
      <alignment vertical="center"/>
    </xf>
    <xf numFmtId="0" fontId="0" fillId="4" borderId="3" xfId="0" applyFill="1" applyBorder="1" applyAlignment="1">
      <alignment vertical="center" wrapText="1"/>
    </xf>
    <xf numFmtId="0" fontId="0" fillId="3" borderId="3" xfId="0" applyFill="1" applyBorder="1" applyAlignment="1">
      <alignment vertical="center"/>
    </xf>
    <xf numFmtId="0" fontId="0" fillId="5" borderId="3" xfId="0" applyFill="1" applyBorder="1" applyAlignment="1">
      <alignment vertical="center" wrapText="1"/>
    </xf>
    <xf numFmtId="0" fontId="0" fillId="5" borderId="3" xfId="0" applyFill="1" applyBorder="1" applyAlignment="1">
      <alignment vertical="center"/>
    </xf>
    <xf numFmtId="0" fontId="0" fillId="0" borderId="3" xfId="0" quotePrefix="1" applyBorder="1"/>
    <xf numFmtId="0" fontId="0" fillId="0" borderId="3" xfId="0" applyBorder="1" applyAlignment="1">
      <alignment vertical="center"/>
    </xf>
    <xf numFmtId="0" fontId="0" fillId="0" borderId="3" xfId="0" applyFill="1" applyBorder="1"/>
    <xf numFmtId="0" fontId="0" fillId="6" borderId="3" xfId="0" applyFill="1" applyBorder="1" applyAlignment="1">
      <alignment vertical="center"/>
    </xf>
    <xf numFmtId="9" fontId="0" fillId="0" borderId="0" xfId="1" applyFont="1" applyAlignment="1">
      <alignment horizontal="center" vertical="center"/>
    </xf>
    <xf numFmtId="0" fontId="0" fillId="3" borderId="3" xfId="0" applyFill="1" applyBorder="1" applyAlignment="1">
      <alignment horizontal="left" vertical="center"/>
    </xf>
    <xf numFmtId="0" fontId="0" fillId="0" borderId="0" xfId="2" applyNumberFormat="1" applyFont="1" applyBorder="1"/>
    <xf numFmtId="0" fontId="0" fillId="0" borderId="0" xfId="2" applyNumberFormat="1" applyFont="1" applyFill="1" applyBorder="1"/>
    <xf numFmtId="0" fontId="0" fillId="0" borderId="0" xfId="0" applyNumberFormat="1"/>
    <xf numFmtId="0" fontId="0" fillId="0" borderId="3" xfId="0" applyFill="1" applyBorder="1" applyAlignment="1">
      <alignment horizontal="center" vertical="center"/>
    </xf>
    <xf numFmtId="0" fontId="0" fillId="0" borderId="3" xfId="0" applyFill="1" applyBorder="1" applyAlignment="1">
      <alignment vertical="center"/>
    </xf>
    <xf numFmtId="2" fontId="0" fillId="0" borderId="3" xfId="0" applyNumberFormat="1" applyBorder="1"/>
    <xf numFmtId="2" fontId="0" fillId="0" borderId="3" xfId="0" applyNumberFormat="1" applyFill="1" applyBorder="1"/>
    <xf numFmtId="0" fontId="0" fillId="0" borderId="0" xfId="0" applyAlignment="1">
      <alignment horizontal="center"/>
    </xf>
    <xf numFmtId="0" fontId="0" fillId="0" borderId="0" xfId="0" applyAlignment="1">
      <alignment horizontal="center" vertical="center"/>
    </xf>
    <xf numFmtId="0" fontId="0" fillId="0" borderId="0" xfId="0" applyAlignment="1"/>
    <xf numFmtId="2" fontId="0" fillId="0" borderId="0" xfId="0" applyNumberFormat="1" applyAlignment="1"/>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center" wrapText="1"/>
    </xf>
    <xf numFmtId="0" fontId="0" fillId="0" borderId="0" xfId="0" applyAlignment="1">
      <alignment horizontal="left"/>
    </xf>
    <xf numFmtId="0" fontId="0" fillId="0" borderId="0" xfId="0" applyAlignment="1">
      <alignment horizontal="left" wrapText="1"/>
    </xf>
    <xf numFmtId="0" fontId="8" fillId="0" borderId="0" xfId="3"/>
    <xf numFmtId="0" fontId="8" fillId="0" borderId="0" xfId="3" applyAlignment="1">
      <alignment horizontal="left"/>
    </xf>
    <xf numFmtId="0" fontId="8" fillId="0" borderId="0" xfId="3" applyAlignment="1">
      <alignment wrapText="1"/>
    </xf>
    <xf numFmtId="0" fontId="8" fillId="0" borderId="0" xfId="3" applyFill="1" applyBorder="1"/>
    <xf numFmtId="0" fontId="0" fillId="8" borderId="0" xfId="0" applyFill="1" applyAlignment="1"/>
    <xf numFmtId="0" fontId="0" fillId="0" borderId="0" xfId="0" applyNumberFormat="1" applyFont="1"/>
    <xf numFmtId="0" fontId="0" fillId="8" borderId="0" xfId="0" applyFill="1"/>
    <xf numFmtId="0" fontId="0" fillId="0" borderId="5" xfId="0" applyFill="1" applyBorder="1"/>
    <xf numFmtId="0" fontId="0" fillId="0" borderId="3" xfId="0" applyBorder="1" applyAlignment="1">
      <alignment horizontal="right"/>
    </xf>
    <xf numFmtId="0" fontId="0" fillId="9" borderId="0" xfId="0" applyFill="1"/>
    <xf numFmtId="2" fontId="0" fillId="9" borderId="3" xfId="0" applyNumberFormat="1" applyFill="1" applyBorder="1"/>
    <xf numFmtId="2" fontId="0" fillId="8" borderId="3" xfId="0" applyNumberFormat="1" applyFill="1" applyBorder="1"/>
    <xf numFmtId="0" fontId="0" fillId="3" borderId="3" xfId="0" applyFill="1" applyBorder="1" applyAlignment="1">
      <alignment horizontal="center" vertical="center"/>
    </xf>
    <xf numFmtId="0" fontId="0" fillId="0" borderId="0" xfId="0" applyFill="1" applyAlignment="1"/>
    <xf numFmtId="2" fontId="0" fillId="10" borderId="3" xfId="0" applyNumberFormat="1" applyFill="1" applyBorder="1"/>
    <xf numFmtId="0" fontId="9" fillId="11" borderId="0" xfId="0" applyFont="1" applyFill="1" applyAlignment="1">
      <alignment horizontal="left" vertical="center"/>
    </xf>
    <xf numFmtId="0" fontId="0" fillId="0" borderId="8" xfId="0" applyBorder="1"/>
    <xf numFmtId="0" fontId="0" fillId="4" borderId="8" xfId="0" applyFill="1" applyBorder="1" applyAlignment="1">
      <alignment vertical="center"/>
    </xf>
    <xf numFmtId="0" fontId="0" fillId="4" borderId="8" xfId="0" applyFill="1" applyBorder="1" applyAlignment="1">
      <alignment vertical="center" wrapText="1"/>
    </xf>
    <xf numFmtId="0" fontId="0" fillId="5" borderId="8" xfId="0" applyFill="1" applyBorder="1" applyAlignment="1">
      <alignment vertical="center"/>
    </xf>
    <xf numFmtId="0" fontId="0" fillId="5" borderId="8" xfId="0" applyFill="1" applyBorder="1" applyAlignment="1">
      <alignment vertical="center" wrapText="1"/>
    </xf>
    <xf numFmtId="0" fontId="0" fillId="6" borderId="8" xfId="0" applyFill="1" applyBorder="1" applyAlignment="1">
      <alignment vertical="center"/>
    </xf>
    <xf numFmtId="0" fontId="0" fillId="2" borderId="3" xfId="0" applyFill="1" applyBorder="1"/>
    <xf numFmtId="0" fontId="0" fillId="5" borderId="3" xfId="0" applyFill="1" applyBorder="1"/>
    <xf numFmtId="0" fontId="0" fillId="6" borderId="3" xfId="0" applyFill="1" applyBorder="1"/>
    <xf numFmtId="0" fontId="0" fillId="8" borderId="3" xfId="0" applyFill="1" applyBorder="1"/>
    <xf numFmtId="0" fontId="0" fillId="12" borderId="3" xfId="0" applyFill="1" applyBorder="1"/>
    <xf numFmtId="0" fontId="0" fillId="5" borderId="8" xfId="0" applyFill="1" applyBorder="1"/>
    <xf numFmtId="0" fontId="0" fillId="5" borderId="8" xfId="0" applyNumberFormat="1" applyFill="1" applyBorder="1"/>
    <xf numFmtId="0" fontId="0" fillId="0" borderId="8" xfId="0" applyNumberFormat="1" applyBorder="1"/>
    <xf numFmtId="0" fontId="0" fillId="12" borderId="8" xfId="0" applyNumberFormat="1" applyFill="1" applyBorder="1"/>
    <xf numFmtId="0" fontId="0" fillId="8" borderId="8" xfId="0" applyFill="1" applyBorder="1"/>
    <xf numFmtId="0" fontId="0" fillId="6" borderId="8" xfId="0" applyNumberFormat="1" applyFill="1" applyBorder="1"/>
    <xf numFmtId="0" fontId="0" fillId="0" borderId="3" xfId="0" applyBorder="1" applyAlignment="1">
      <alignment horizontal="center" vertical="center"/>
    </xf>
    <xf numFmtId="0" fontId="0" fillId="8" borderId="3" xfId="0" applyFill="1" applyBorder="1" applyAlignment="1">
      <alignment vertical="center"/>
    </xf>
    <xf numFmtId="0" fontId="0" fillId="3" borderId="5" xfId="0" applyFill="1" applyBorder="1"/>
    <xf numFmtId="0" fontId="0" fillId="3" borderId="0" xfId="0" applyFill="1" applyBorder="1"/>
    <xf numFmtId="0" fontId="0" fillId="0" borderId="3" xfId="0" applyBorder="1" applyAlignment="1">
      <alignment horizontal="center" vertical="center"/>
    </xf>
    <xf numFmtId="0" fontId="0" fillId="0" borderId="3" xfId="0" applyBorder="1" applyAlignment="1">
      <alignment horizontal="center"/>
    </xf>
    <xf numFmtId="164" fontId="0" fillId="0" borderId="0" xfId="0" applyNumberFormat="1"/>
    <xf numFmtId="164" fontId="0" fillId="0" borderId="3" xfId="0" applyNumberFormat="1" applyFill="1" applyBorder="1"/>
    <xf numFmtId="0" fontId="2" fillId="4" borderId="8" xfId="0" applyFont="1" applyFill="1" applyBorder="1" applyAlignment="1">
      <alignment vertical="center" wrapText="1"/>
    </xf>
    <xf numFmtId="0" fontId="0" fillId="0" borderId="3" xfId="0" applyFill="1" applyBorder="1" applyAlignment="1">
      <alignment horizontal="center"/>
    </xf>
    <xf numFmtId="0" fontId="0" fillId="0" borderId="3" xfId="0" applyNumberFormat="1" applyBorder="1"/>
    <xf numFmtId="0" fontId="0" fillId="8" borderId="3" xfId="0" applyFill="1" applyBorder="1" applyAlignment="1">
      <alignment horizontal="center"/>
    </xf>
    <xf numFmtId="1" fontId="0" fillId="0" borderId="0" xfId="0" applyNumberFormat="1"/>
    <xf numFmtId="1" fontId="0" fillId="0" borderId="3" xfId="0" applyNumberFormat="1" applyBorder="1"/>
    <xf numFmtId="1" fontId="0" fillId="5" borderId="3" xfId="0" applyNumberFormat="1" applyFill="1" applyBorder="1"/>
    <xf numFmtId="1" fontId="0" fillId="0" borderId="4" xfId="0" applyNumberFormat="1" applyBorder="1"/>
    <xf numFmtId="1" fontId="0" fillId="0" borderId="6" xfId="0" applyNumberFormat="1" applyBorder="1"/>
    <xf numFmtId="1" fontId="0" fillId="0" borderId="5" xfId="0" applyNumberFormat="1" applyBorder="1"/>
    <xf numFmtId="1" fontId="10" fillId="0" borderId="0" xfId="0" applyNumberFormat="1" applyFont="1" applyFill="1" applyBorder="1" applyAlignment="1">
      <alignment horizontal="right" wrapText="1"/>
    </xf>
    <xf numFmtId="1" fontId="0" fillId="6" borderId="3" xfId="0" applyNumberFormat="1" applyFill="1" applyBorder="1"/>
    <xf numFmtId="0" fontId="0" fillId="6" borderId="0" xfId="0" applyFill="1" applyAlignment="1"/>
    <xf numFmtId="164" fontId="0" fillId="6" borderId="3" xfId="0" applyNumberFormat="1" applyFill="1" applyBorder="1"/>
    <xf numFmtId="0" fontId="0" fillId="11" borderId="0" xfId="0" applyFill="1"/>
    <xf numFmtId="0" fontId="11" fillId="11" borderId="0" xfId="0" applyFont="1" applyFill="1" applyAlignment="1">
      <alignment horizontal="left" vertical="center"/>
    </xf>
    <xf numFmtId="0" fontId="12" fillId="2" borderId="0" xfId="0" applyFont="1" applyFill="1"/>
    <xf numFmtId="0" fontId="12" fillId="2" borderId="0" xfId="0" applyFont="1" applyFill="1" applyAlignment="1">
      <alignment horizontal="left"/>
    </xf>
    <xf numFmtId="3" fontId="12" fillId="2" borderId="0" xfId="0" applyNumberFormat="1" applyFont="1" applyFill="1" applyAlignment="1">
      <alignment horizontal="left"/>
    </xf>
    <xf numFmtId="0" fontId="0" fillId="5" borderId="5" xfId="0" applyFill="1" applyBorder="1" applyAlignment="1">
      <alignment horizontal="center" vertical="center"/>
    </xf>
    <xf numFmtId="0" fontId="0" fillId="5" borderId="6" xfId="0" applyFill="1" applyBorder="1" applyAlignment="1">
      <alignment horizontal="center" vertical="center"/>
    </xf>
    <xf numFmtId="0" fontId="0" fillId="5" borderId="4" xfId="0" applyFill="1" applyBorder="1" applyAlignment="1">
      <alignment horizontal="center" vertical="center" wrapText="1"/>
    </xf>
    <xf numFmtId="0" fontId="0" fillId="5" borderId="5" xfId="0" applyFill="1" applyBorder="1" applyAlignment="1">
      <alignment horizontal="center" vertical="center" wrapText="1"/>
    </xf>
    <xf numFmtId="0" fontId="0" fillId="4" borderId="5" xfId="0" applyFill="1" applyBorder="1" applyAlignment="1">
      <alignment horizontal="center" vertical="center" wrapText="1"/>
    </xf>
    <xf numFmtId="0" fontId="0" fillId="0" borderId="7"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4" borderId="3"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6" borderId="6"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5" borderId="6" xfId="0" applyFill="1" applyBorder="1" applyAlignment="1">
      <alignment horizontal="center" vertical="center" wrapText="1"/>
    </xf>
    <xf numFmtId="0" fontId="0" fillId="4" borderId="4" xfId="0" applyFill="1" applyBorder="1" applyAlignment="1">
      <alignment horizontal="center" vertical="center" wrapText="1"/>
    </xf>
    <xf numFmtId="0" fontId="0" fillId="4" borderId="6"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0" borderId="0" xfId="0" applyAlignment="1">
      <alignment horizontal="center"/>
    </xf>
    <xf numFmtId="0" fontId="0" fillId="0" borderId="0" xfId="0" applyAlignment="1">
      <alignment horizontal="center" vertical="center" textRotation="90"/>
    </xf>
    <xf numFmtId="0" fontId="0" fillId="0" borderId="0" xfId="0" applyFill="1" applyAlignment="1">
      <alignment horizontal="center"/>
    </xf>
    <xf numFmtId="0" fontId="0" fillId="0" borderId="0" xfId="0" applyAlignment="1">
      <alignment horizontal="center" vertical="center"/>
    </xf>
    <xf numFmtId="0" fontId="0" fillId="7" borderId="0" xfId="0" applyFill="1" applyAlignment="1">
      <alignment horizontal="center"/>
    </xf>
    <xf numFmtId="0" fontId="7" fillId="7" borderId="0" xfId="0" applyFont="1" applyFill="1" applyAlignment="1">
      <alignment horizontal="center" vertical="center"/>
    </xf>
    <xf numFmtId="0" fontId="0" fillId="7" borderId="0" xfId="0" applyFill="1" applyAlignment="1">
      <alignment horizontal="center" vertical="center"/>
    </xf>
    <xf numFmtId="0" fontId="0" fillId="0" borderId="3" xfId="0" applyBorder="1" applyAlignment="1">
      <alignment horizontal="center" vertical="center"/>
    </xf>
    <xf numFmtId="0" fontId="0" fillId="3" borderId="3" xfId="0" applyFill="1" applyBorder="1" applyAlignment="1">
      <alignment horizontal="center"/>
    </xf>
    <xf numFmtId="0" fontId="0" fillId="0" borderId="3" xfId="0" applyBorder="1" applyAlignment="1">
      <alignment horizontal="center"/>
    </xf>
    <xf numFmtId="0" fontId="0" fillId="6" borderId="3" xfId="0" applyFill="1" applyBorder="1" applyAlignment="1">
      <alignment horizontal="center" vertical="center"/>
    </xf>
    <xf numFmtId="0" fontId="0" fillId="9" borderId="0" xfId="0" applyFill="1" applyAlignment="1">
      <alignment horizontal="center"/>
    </xf>
  </cellXfs>
  <cellStyles count="4">
    <cellStyle name="Comma" xfId="2" builtinId="3"/>
    <cellStyle name="Hyperlink" xfId="3" builtinId="8"/>
    <cellStyle name="Normal" xfId="0" builtinId="0"/>
    <cellStyle name="Percent" xfId="1" builtinId="5"/>
  </cellStyles>
  <dxfs count="35">
    <dxf>
      <fill>
        <patternFill>
          <bgColor theme="8"/>
        </patternFill>
      </fill>
    </dxf>
    <dxf>
      <fill>
        <patternFill>
          <bgColor rgb="FF00B0F0"/>
        </patternFill>
      </fill>
    </dxf>
    <dxf>
      <fill>
        <patternFill>
          <bgColor theme="8"/>
        </patternFill>
      </fill>
    </dxf>
    <dxf>
      <fill>
        <patternFill>
          <bgColor rgb="FF92D050"/>
        </patternFill>
      </fill>
    </dxf>
    <dxf>
      <fill>
        <patternFill>
          <bgColor rgb="FF7030A0"/>
        </patternFill>
      </fill>
    </dxf>
    <dxf>
      <fill>
        <patternFill>
          <bgColor rgb="FFFF2FC9"/>
        </patternFill>
      </fill>
    </dxf>
    <dxf>
      <fill>
        <patternFill>
          <bgColor theme="8"/>
        </patternFill>
      </fill>
    </dxf>
    <dxf>
      <fill>
        <patternFill>
          <bgColor theme="8"/>
        </patternFill>
      </fill>
    </dxf>
    <dxf>
      <fill>
        <patternFill>
          <bgColor rgb="FF00B0F0"/>
        </patternFill>
      </fill>
    </dxf>
    <dxf>
      <fill>
        <patternFill>
          <bgColor theme="8"/>
        </patternFill>
      </fill>
    </dxf>
    <dxf>
      <fill>
        <patternFill>
          <bgColor rgb="FF92D050"/>
        </patternFill>
      </fill>
    </dxf>
    <dxf>
      <fill>
        <patternFill>
          <bgColor rgb="FF7030A0"/>
        </patternFill>
      </fill>
    </dxf>
    <dxf>
      <fill>
        <patternFill>
          <bgColor rgb="FFFF2FC9"/>
        </patternFill>
      </fill>
    </dxf>
    <dxf>
      <fill>
        <patternFill>
          <bgColor theme="8"/>
        </patternFill>
      </fill>
    </dxf>
    <dxf>
      <fill>
        <patternFill>
          <bgColor theme="8"/>
        </patternFill>
      </fill>
    </dxf>
    <dxf>
      <fill>
        <patternFill>
          <bgColor rgb="FF00B0F0"/>
        </patternFill>
      </fill>
    </dxf>
    <dxf>
      <fill>
        <patternFill>
          <bgColor theme="8"/>
        </patternFill>
      </fill>
    </dxf>
    <dxf>
      <fill>
        <patternFill>
          <bgColor rgb="FF92D050"/>
        </patternFill>
      </fill>
    </dxf>
    <dxf>
      <fill>
        <patternFill>
          <bgColor rgb="FF7030A0"/>
        </patternFill>
      </fill>
    </dxf>
    <dxf>
      <fill>
        <patternFill>
          <bgColor rgb="FFFF2FC9"/>
        </patternFill>
      </fill>
    </dxf>
    <dxf>
      <fill>
        <patternFill>
          <bgColor theme="8"/>
        </patternFill>
      </fill>
    </dxf>
    <dxf>
      <fill>
        <patternFill>
          <bgColor theme="8"/>
        </patternFill>
      </fill>
    </dxf>
    <dxf>
      <fill>
        <patternFill>
          <bgColor rgb="FF92D050"/>
        </patternFill>
      </fill>
    </dxf>
    <dxf>
      <fill>
        <patternFill>
          <bgColor rgb="FF7030A0"/>
        </patternFill>
      </fill>
    </dxf>
    <dxf>
      <fill>
        <patternFill>
          <bgColor rgb="FFFF2FC9"/>
        </patternFill>
      </fill>
    </dxf>
    <dxf>
      <fill>
        <patternFill>
          <bgColor theme="8"/>
        </patternFill>
      </fill>
    </dxf>
    <dxf>
      <fill>
        <patternFill>
          <bgColor theme="8"/>
        </patternFill>
      </fill>
    </dxf>
    <dxf>
      <fill>
        <patternFill>
          <bgColor rgb="FF92D050"/>
        </patternFill>
      </fill>
    </dxf>
    <dxf>
      <fill>
        <patternFill>
          <bgColor rgb="FF7030A0"/>
        </patternFill>
      </fill>
    </dxf>
    <dxf>
      <fill>
        <patternFill>
          <bgColor rgb="FFFF2FC9"/>
        </patternFill>
      </fill>
    </dxf>
    <dxf>
      <fill>
        <patternFill>
          <bgColor theme="8"/>
        </patternFill>
      </fill>
    </dxf>
    <dxf>
      <fill>
        <patternFill>
          <bgColor rgb="FF92D050"/>
        </patternFill>
      </fill>
    </dxf>
    <dxf>
      <fill>
        <patternFill>
          <bgColor rgb="FF7030A0"/>
        </patternFill>
      </fill>
    </dxf>
    <dxf>
      <fill>
        <patternFill>
          <bgColor rgb="FFFF2FC9"/>
        </patternFill>
      </fill>
    </dxf>
    <dxf>
      <fill>
        <patternFill>
          <bgColor theme="8"/>
        </patternFill>
      </fill>
    </dxf>
  </dxfs>
  <tableStyles count="0" defaultTableStyle="TableStyleMedium2" defaultPivotStyle="PivotStyleLight16"/>
  <colors>
    <mruColors>
      <color rgb="FFFF2FC9"/>
      <color rgb="FF48184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13</xdr:col>
      <xdr:colOff>68942</xdr:colOff>
      <xdr:row>58</xdr:row>
      <xdr:rowOff>60831</xdr:rowOff>
    </xdr:from>
    <xdr:to>
      <xdr:col>17</xdr:col>
      <xdr:colOff>857853</xdr:colOff>
      <xdr:row>68</xdr:row>
      <xdr:rowOff>125184</xdr:rowOff>
    </xdr:to>
    <xdr:pic>
      <xdr:nvPicPr>
        <xdr:cNvPr id="2" name="Picture 1" descr="Racial Equity Index Index of Disparity equation">
          <a:extLst>
            <a:ext uri="{FF2B5EF4-FFF2-40B4-BE49-F238E27FC236}">
              <a16:creationId xmlns:a16="http://schemas.microsoft.com/office/drawing/2014/main" id="{169E9C7D-297D-50DD-30E0-6E777E8903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395542" y="11109831"/>
          <a:ext cx="6880678" cy="19566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18</xdr:row>
      <xdr:rowOff>12701</xdr:rowOff>
    </xdr:from>
    <xdr:to>
      <xdr:col>2</xdr:col>
      <xdr:colOff>2387600</xdr:colOff>
      <xdr:row>24</xdr:row>
      <xdr:rowOff>62059</xdr:rowOff>
    </xdr:to>
    <xdr:pic>
      <xdr:nvPicPr>
        <xdr:cNvPr id="2" name="Picture 1">
          <a:extLst>
            <a:ext uri="{FF2B5EF4-FFF2-40B4-BE49-F238E27FC236}">
              <a16:creationId xmlns:a16="http://schemas.microsoft.com/office/drawing/2014/main" id="{30574F28-8F16-4BC3-8CE9-23CDC35C316B}"/>
            </a:ext>
          </a:extLst>
        </xdr:cNvPr>
        <xdr:cNvPicPr>
          <a:picLocks noChangeAspect="1"/>
        </xdr:cNvPicPr>
      </xdr:nvPicPr>
      <xdr:blipFill rotWithShape="1">
        <a:blip xmlns:r="http://schemas.openxmlformats.org/officeDocument/2006/relationships" r:embed="rId1"/>
        <a:srcRect t="20004"/>
        <a:stretch/>
      </xdr:blipFill>
      <xdr:spPr>
        <a:xfrm>
          <a:off x="0" y="3429001"/>
          <a:ext cx="3727450" cy="1154258"/>
        </a:xfrm>
        <a:prstGeom prst="rect">
          <a:avLst/>
        </a:prstGeom>
      </xdr:spPr>
    </xdr:pic>
    <xdr:clientData/>
  </xdr:twoCellAnchor>
  <xdr:twoCellAnchor>
    <xdr:from>
      <xdr:col>0</xdr:col>
      <xdr:colOff>12700</xdr:colOff>
      <xdr:row>10</xdr:row>
      <xdr:rowOff>152400</xdr:rowOff>
    </xdr:from>
    <xdr:to>
      <xdr:col>2</xdr:col>
      <xdr:colOff>342900</xdr:colOff>
      <xdr:row>13</xdr:row>
      <xdr:rowOff>57150</xdr:rowOff>
    </xdr:to>
    <xdr:sp macro="" textlink="">
      <xdr:nvSpPr>
        <xdr:cNvPr id="6" name="TextBox 5">
          <a:extLst>
            <a:ext uri="{FF2B5EF4-FFF2-40B4-BE49-F238E27FC236}">
              <a16:creationId xmlns:a16="http://schemas.microsoft.com/office/drawing/2014/main" id="{0E4187A7-0946-A2F4-973F-6FFC0AABE327}"/>
            </a:ext>
          </a:extLst>
        </xdr:cNvPr>
        <xdr:cNvSpPr txBox="1"/>
      </xdr:nvSpPr>
      <xdr:spPr>
        <a:xfrm>
          <a:off x="12700" y="2095500"/>
          <a:ext cx="167005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Two-Sample Proportion Significance</a:t>
          </a:r>
          <a:r>
            <a:rPr lang="en-US" sz="1100" baseline="0"/>
            <a:t> Test:</a:t>
          </a:r>
          <a:endParaRPr lang="en-US" sz="1100"/>
        </a:p>
      </xdr:txBody>
    </xdr:sp>
    <xdr:clientData/>
  </xdr:twoCellAnchor>
  <xdr:twoCellAnchor>
    <xdr:from>
      <xdr:col>2</xdr:col>
      <xdr:colOff>508000</xdr:colOff>
      <xdr:row>13</xdr:row>
      <xdr:rowOff>69850</xdr:rowOff>
    </xdr:from>
    <xdr:to>
      <xdr:col>2</xdr:col>
      <xdr:colOff>2108200</xdr:colOff>
      <xdr:row>16</xdr:row>
      <xdr:rowOff>139700</xdr:rowOff>
    </xdr:to>
    <xdr:pic>
      <xdr:nvPicPr>
        <xdr:cNvPr id="7" name="Picture 6">
          <a:extLst>
            <a:ext uri="{FF2B5EF4-FFF2-40B4-BE49-F238E27FC236}">
              <a16:creationId xmlns:a16="http://schemas.microsoft.com/office/drawing/2014/main" id="{C4DDC23F-9F68-5EB7-4AEC-470FCC4946F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47850" y="2565400"/>
          <a:ext cx="1600200" cy="622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2413000</xdr:colOff>
      <xdr:row>10</xdr:row>
      <xdr:rowOff>19050</xdr:rowOff>
    </xdr:from>
    <xdr:to>
      <xdr:col>3</xdr:col>
      <xdr:colOff>6350</xdr:colOff>
      <xdr:row>24</xdr:row>
      <xdr:rowOff>0</xdr:rowOff>
    </xdr:to>
    <xdr:sp macro="" textlink="">
      <xdr:nvSpPr>
        <xdr:cNvPr id="8" name="TextBox 7">
          <a:extLst>
            <a:ext uri="{FF2B5EF4-FFF2-40B4-BE49-F238E27FC236}">
              <a16:creationId xmlns:a16="http://schemas.microsoft.com/office/drawing/2014/main" id="{7EC95891-014F-9BB8-4372-24A43A349E54}"/>
            </a:ext>
          </a:extLst>
        </xdr:cNvPr>
        <xdr:cNvSpPr txBox="1"/>
      </xdr:nvSpPr>
      <xdr:spPr>
        <a:xfrm>
          <a:off x="3752850" y="1962150"/>
          <a:ext cx="6203950" cy="2559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 Two-Sample Proportion</a:t>
          </a:r>
          <a:r>
            <a:rPr lang="en-US" sz="1100" baseline="0"/>
            <a:t> Significance Test finds the likelihood a difference occurs if there was theoretically no difference between two groups. In this example, we are finding the probability the actual difference between 4th grade math proficiency in White/Asian and Black/Latinx students would occur if there was no theoretical difference between the two groups. Based on established academic and industry standards, we know that a z score, the number of standard deviations away from the mean, above 1.96 indicates a statistically significant difference between the groups . In this group, we found a z value of 57.7, indicating a very large statistical difference between math proficiency in White/Asian 4th graders and Black/Hispanic 4th graders. To quantify this large gap, we divide the actual z-value, 57.7, by the smallest theoretcially statistically significant value, 1.96. The number computed from this calculation, 29, indicates a magnitude for how different math proficiency is for White/Asian 4th graders and Black/Hispanic 4th graders. We refer to this number, 29, as the Equity gap. In sum, the Equity Gap indiciates the number of statistically significant increments we are away from there being no difference between White/Asian and Black/Latinx 4th graders in terms of math proficiency. We deem that no statistically significant difference between the two groups indicates that we live in an equitable society with equal opportunity for all. </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Sebastian Reid" id="{F8668BC6-A341-4ED2-ADEA-2A0B2B2BCD5F}" userId="S::Sebastian.Reid@P33Chicago.com::e4c9b179-5928-4e64-b06d-da43c56df63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23" dT="2022-07-26T00:06:06.10" personId="{F8668BC6-A341-4ED2-ADEA-2A0B2B2BCD5F}" id="{B0B14612-A594-4A21-A474-C4CA3418FE01}">
    <text>These statistics may not be useful, but a quick fix could make them useful. I need to discuss with Mark</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8" Type="http://schemas.openxmlformats.org/officeDocument/2006/relationships/hyperlink" Target="https://www.cps.edu/search/?context=Schools&amp;sortId=a-z" TargetMode="External"/><Relationship Id="rId13" Type="http://schemas.openxmlformats.org/officeDocument/2006/relationships/hyperlink" Target="https://a.economicmodeling.com/analyst/?t=3ryNb" TargetMode="External"/><Relationship Id="rId18" Type="http://schemas.openxmlformats.org/officeDocument/2006/relationships/hyperlink" Target="https://nces.ed.gov/nationsreportcard/subject/publications/stt2019/pdf/2020013NP8.pdf" TargetMode="External"/><Relationship Id="rId3" Type="http://schemas.openxmlformats.org/officeDocument/2006/relationships/hyperlink" Target="https://nces.ed.gov/nationsreportcard/subject/publications/stt2019/pdf/2020013np4.pdf" TargetMode="External"/><Relationship Id="rId21" Type="http://schemas.openxmlformats.org/officeDocument/2006/relationships/hyperlink" Target="https://a.economicmodeling.com/analyst/?t=3ryNb" TargetMode="External"/><Relationship Id="rId7" Type="http://schemas.openxmlformats.org/officeDocument/2006/relationships/hyperlink" Target="https://www.illinoisreportcard.com/District.aspx?source=trends&amp;source2=sat.details&amp;Districtid=15016299025" TargetMode="External"/><Relationship Id="rId12" Type="http://schemas.openxmlformats.org/officeDocument/2006/relationships/hyperlink" Target="https://a.economicmodeling.com/analyst/?t=3ryNb" TargetMode="External"/><Relationship Id="rId17" Type="http://schemas.openxmlformats.org/officeDocument/2006/relationships/hyperlink" Target="https://nces.ed.gov/nationsreportcard/subject/publications/stt2019/pdf/2020013NP8.pdf" TargetMode="External"/><Relationship Id="rId2" Type="http://schemas.openxmlformats.org/officeDocument/2006/relationships/hyperlink" Target="https://nces.ed.gov/nationsreportcard/subject/publications/stt2019/pdf/2020013NP8.pdf" TargetMode="External"/><Relationship Id="rId16" Type="http://schemas.openxmlformats.org/officeDocument/2006/relationships/hyperlink" Target="https://nces.ed.gov/nationsreportcard/subject/publications/stt2019/pdf/2020013np4.pdf" TargetMode="External"/><Relationship Id="rId20" Type="http://schemas.openxmlformats.org/officeDocument/2006/relationships/hyperlink" Target="https://a.economicmodeling.com/analyst/?t=3ryNb" TargetMode="External"/><Relationship Id="rId1" Type="http://schemas.openxmlformats.org/officeDocument/2006/relationships/hyperlink" Target="https://nces.ed.gov/nationsreportcard/subject/publications/stt2019/pdf/2020013np4.pdf" TargetMode="External"/><Relationship Id="rId6" Type="http://schemas.openxmlformats.org/officeDocument/2006/relationships/hyperlink" Target="https://www.illinoisreportcard.com/District.aspx?source=trends&amp;source2=sat.details&amp;Districtid=15016299025" TargetMode="External"/><Relationship Id="rId11" Type="http://schemas.openxmlformats.org/officeDocument/2006/relationships/hyperlink" Target="http://www.ibhe.org/EnrollmentsDegrees/search.aspx" TargetMode="External"/><Relationship Id="rId24" Type="http://schemas.openxmlformats.org/officeDocument/2006/relationships/printerSettings" Target="../printerSettings/printerSettings4.bin"/><Relationship Id="rId5" Type="http://schemas.openxmlformats.org/officeDocument/2006/relationships/hyperlink" Target="https://www.cps.edu/search/?pageNumber=1&amp;context=Schools&amp;sortId=a-z" TargetMode="External"/><Relationship Id="rId15" Type="http://schemas.openxmlformats.org/officeDocument/2006/relationships/hyperlink" Target="https://nces.ed.gov/nationsreportcard/subject/publications/stt2019/pdf/2020013np8.pdf" TargetMode="External"/><Relationship Id="rId23" Type="http://schemas.openxmlformats.org/officeDocument/2006/relationships/hyperlink" Target="https://reports.collegeboard.org/media/2022-04/2021-total-group-sat-suite-of-assessments-annual-report%20%281%29.pdf" TargetMode="External"/><Relationship Id="rId10" Type="http://schemas.openxmlformats.org/officeDocument/2006/relationships/hyperlink" Target="http://www.ibhe.org/EnrollmentsDegrees/search.aspx" TargetMode="External"/><Relationship Id="rId19" Type="http://schemas.openxmlformats.org/officeDocument/2006/relationships/hyperlink" Target="https://a.economicmodeling.com/analyst/?t=3ryNb" TargetMode="External"/><Relationship Id="rId4" Type="http://schemas.openxmlformats.org/officeDocument/2006/relationships/hyperlink" Target="https://nces.ed.gov/nationsreportcard/subject/publications/stt2019/pdf/2020013NP8.pdf" TargetMode="External"/><Relationship Id="rId9" Type="http://schemas.openxmlformats.org/officeDocument/2006/relationships/hyperlink" Target="https://www.illinoisreportcard.com/District.aspx?source=trends&amp;source2=graduationrate&amp;Districtid=15016299025" TargetMode="External"/><Relationship Id="rId14" Type="http://schemas.openxmlformats.org/officeDocument/2006/relationships/hyperlink" Target="https://a.economicmodeling.com/analyst/?t=3ryNb" TargetMode="External"/><Relationship Id="rId22" Type="http://schemas.openxmlformats.org/officeDocument/2006/relationships/hyperlink" Target="https://reports.collegeboard.org/media/2022-04/2021-total-group-sat-suite-of-assessments-annual-report%20%281%29.pdf"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8" Type="http://schemas.openxmlformats.org/officeDocument/2006/relationships/hyperlink" Target="https://www.cps.edu/about/district-data/demographics/" TargetMode="External"/><Relationship Id="rId13" Type="http://schemas.openxmlformats.org/officeDocument/2006/relationships/hyperlink" Target="https://www.ibhe.org/EnrollmentsDegrees/search.aspx" TargetMode="External"/><Relationship Id="rId18" Type="http://schemas.openxmlformats.org/officeDocument/2006/relationships/hyperlink" Target="https://www.cps.edu/globalassets/cps-pages/about-cps/district-data/metrics/assessment-reports/assessment_psatsat_schoollevel_2021.xls" TargetMode="External"/><Relationship Id="rId26" Type="http://schemas.openxmlformats.org/officeDocument/2006/relationships/hyperlink" Target="https://www.census.gov/library/stories/2021/08/improved-race-ethnicity-measures-reveal-united-states-population-much-more-multiracial.html" TargetMode="External"/><Relationship Id="rId3" Type="http://schemas.openxmlformats.org/officeDocument/2006/relationships/hyperlink" Target="https://www.cps.edu/about/district-data/demographics/" TargetMode="External"/><Relationship Id="rId21" Type="http://schemas.openxmlformats.org/officeDocument/2006/relationships/hyperlink" Target="https://www.nationsreportcard.gov/mathematics/supportive_files/2019_technical_appendix_math.pdf" TargetMode="External"/><Relationship Id="rId7" Type="http://schemas.openxmlformats.org/officeDocument/2006/relationships/hyperlink" Target="https://www.cps.edu/about/district-data/demographics/" TargetMode="External"/><Relationship Id="rId12" Type="http://schemas.openxmlformats.org/officeDocument/2006/relationships/hyperlink" Target="https://www.ibhe.org/EnrollmentsDegrees/search.aspx" TargetMode="External"/><Relationship Id="rId17" Type="http://schemas.openxmlformats.org/officeDocument/2006/relationships/hyperlink" Target="https://a.economicmodeling.com/analyst/?t=3rP1N" TargetMode="External"/><Relationship Id="rId25" Type="http://schemas.openxmlformats.org/officeDocument/2006/relationships/hyperlink" Target="https://nces.ed.gov/programs/digest/d21/tables/dt21_203.65.asp" TargetMode="External"/><Relationship Id="rId33" Type="http://schemas.openxmlformats.org/officeDocument/2006/relationships/printerSettings" Target="../printerSettings/printerSettings6.bin"/><Relationship Id="rId2" Type="http://schemas.openxmlformats.org/officeDocument/2006/relationships/hyperlink" Target="https://www.cps.edu/about/district-data/demographics/" TargetMode="External"/><Relationship Id="rId16" Type="http://schemas.openxmlformats.org/officeDocument/2006/relationships/hyperlink" Target="https://reports.collegeboard.org/media/2022-04/2021-total-group-sat-suite-of-assessments-annual-report%20%281%29.pdf" TargetMode="External"/><Relationship Id="rId20" Type="http://schemas.openxmlformats.org/officeDocument/2006/relationships/hyperlink" Target="https://www.nationsreportcard.gov/mathematics/supportive_files/2019_technical_appendix_math.pdf" TargetMode="External"/><Relationship Id="rId29" Type="http://schemas.openxmlformats.org/officeDocument/2006/relationships/hyperlink" Target="https://nces.ed.gov/programs/digest/d21/tables/dt21_219.30.asp" TargetMode="External"/><Relationship Id="rId1" Type="http://schemas.openxmlformats.org/officeDocument/2006/relationships/hyperlink" Target="https://www.cps.edu/about/district-data/demographics/" TargetMode="External"/><Relationship Id="rId6" Type="http://schemas.openxmlformats.org/officeDocument/2006/relationships/hyperlink" Target="https://www.cps.edu/about/district-data/demographics/" TargetMode="External"/><Relationship Id="rId11" Type="http://schemas.openxmlformats.org/officeDocument/2006/relationships/hyperlink" Target="https://www.isbe.net/pages/fall-enrollment-counts.aspx" TargetMode="External"/><Relationship Id="rId24" Type="http://schemas.openxmlformats.org/officeDocument/2006/relationships/hyperlink" Target="https://nces.ed.gov/programs/digest/d21/tables/dt21_203.65.asp" TargetMode="External"/><Relationship Id="rId32" Type="http://schemas.openxmlformats.org/officeDocument/2006/relationships/hyperlink" Target="https://a.economicmodeling.com/analyst/?t=3rP32" TargetMode="External"/><Relationship Id="rId5" Type="http://schemas.openxmlformats.org/officeDocument/2006/relationships/hyperlink" Target="https://www.cps.edu/about/district-data/demographics/" TargetMode="External"/><Relationship Id="rId15" Type="http://schemas.openxmlformats.org/officeDocument/2006/relationships/hyperlink" Target="https://a.economicmodeling.com/analyst/?t=3rP1N" TargetMode="External"/><Relationship Id="rId23" Type="http://schemas.openxmlformats.org/officeDocument/2006/relationships/hyperlink" Target="https://nces.ed.gov/nationsreportcard/subject/publications/stt2019/pdf/2020013NP8.pdf" TargetMode="External"/><Relationship Id="rId28" Type="http://schemas.openxmlformats.org/officeDocument/2006/relationships/hyperlink" Target="https://nces.ed.gov/programs/digest/d21/tables/dt21_101.20.asp" TargetMode="External"/><Relationship Id="rId10" Type="http://schemas.openxmlformats.org/officeDocument/2006/relationships/hyperlink" Target="https://www.illinoisreportcard.com/state.aspx?source=studentcharacteristics&amp;source2=enrollment&amp;Stateid=IL" TargetMode="External"/><Relationship Id="rId19" Type="http://schemas.openxmlformats.org/officeDocument/2006/relationships/hyperlink" Target="https://nces.ed.gov/nationsreportcard/subject/publications/dst2019/pdf/2020015XC4.pdf" TargetMode="External"/><Relationship Id="rId31" Type="http://schemas.openxmlformats.org/officeDocument/2006/relationships/hyperlink" Target="https://a.economicmodeling.com/analyst/?t=3rP32" TargetMode="External"/><Relationship Id="rId4" Type="http://schemas.openxmlformats.org/officeDocument/2006/relationships/hyperlink" Target="https://www.cps.edu/about/district-data/demographics/" TargetMode="External"/><Relationship Id="rId9" Type="http://schemas.openxmlformats.org/officeDocument/2006/relationships/hyperlink" Target="https://www.isbe.net/pages/fall-enrollment-counts.aspx" TargetMode="External"/><Relationship Id="rId14" Type="http://schemas.openxmlformats.org/officeDocument/2006/relationships/hyperlink" Target="https://statisticalatlas.com/place/Illinois/Chicago/Race-and-Ethnicity" TargetMode="External"/><Relationship Id="rId22" Type="http://schemas.openxmlformats.org/officeDocument/2006/relationships/hyperlink" Target="https://nces.ed.gov/nationsreportcard/subject/publications/stt2019/pdf/2020013np4.pdf" TargetMode="External"/><Relationship Id="rId27" Type="http://schemas.openxmlformats.org/officeDocument/2006/relationships/hyperlink" Target="https://a.economicmodeling.com/analyst/?t=3rP32" TargetMode="External"/><Relationship Id="rId30" Type="http://schemas.openxmlformats.org/officeDocument/2006/relationships/hyperlink" Target="https://www.nationsreportcard.gov/mathematics/supportive_files/2019_technical_appendix_math.pdf"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EACE5-D681-42E4-92A5-46480E150F5A}">
  <dimension ref="A1:O25"/>
  <sheetViews>
    <sheetView topLeftCell="O1" zoomScale="85" zoomScaleNormal="85" workbookViewId="0">
      <selection activeCell="P10" sqref="P10"/>
    </sheetView>
  </sheetViews>
  <sheetFormatPr defaultRowHeight="14.5" x14ac:dyDescent="0.35"/>
  <cols>
    <col min="1" max="1" width="11.81640625" customWidth="1"/>
    <col min="2" max="2" width="82.26953125" customWidth="1"/>
    <col min="3" max="3" width="128.54296875" customWidth="1"/>
    <col min="5" max="5" width="12.6328125" customWidth="1"/>
    <col min="6" max="6" width="85.453125" customWidth="1"/>
    <col min="7" max="7" width="82.453125" customWidth="1"/>
    <col min="9" max="9" width="12.453125" customWidth="1"/>
    <col min="10" max="10" width="130.08984375" customWidth="1"/>
    <col min="11" max="11" width="129.6328125" customWidth="1"/>
    <col min="13" max="13" width="10.08984375" customWidth="1"/>
    <col min="14" max="14" width="102.54296875" customWidth="1"/>
    <col min="15" max="15" width="168.6328125" customWidth="1"/>
  </cols>
  <sheetData>
    <row r="1" spans="1:15" x14ac:dyDescent="0.35">
      <c r="A1" s="25" t="s">
        <v>32</v>
      </c>
      <c r="B1" s="14" t="s">
        <v>86</v>
      </c>
      <c r="C1" s="14" t="s">
        <v>87</v>
      </c>
      <c r="E1" s="16" t="s">
        <v>90</v>
      </c>
      <c r="F1" s="14" t="s">
        <v>86</v>
      </c>
      <c r="G1" s="14" t="s">
        <v>87</v>
      </c>
      <c r="I1" s="25" t="s">
        <v>91</v>
      </c>
      <c r="J1" s="14" t="s">
        <v>86</v>
      </c>
      <c r="K1" s="14" t="s">
        <v>87</v>
      </c>
      <c r="M1" s="25" t="s">
        <v>92</v>
      </c>
      <c r="N1" s="14" t="s">
        <v>86</v>
      </c>
      <c r="O1" s="14" t="s">
        <v>87</v>
      </c>
    </row>
    <row r="2" spans="1:15" ht="14.5" customHeight="1" x14ac:dyDescent="0.35">
      <c r="A2" s="126" t="s">
        <v>94</v>
      </c>
      <c r="B2" s="123" t="s">
        <v>114</v>
      </c>
      <c r="C2" s="134" t="s">
        <v>120</v>
      </c>
      <c r="E2" s="126" t="s">
        <v>94</v>
      </c>
      <c r="F2" s="138" t="s">
        <v>131</v>
      </c>
      <c r="G2" s="138" t="s">
        <v>132</v>
      </c>
      <c r="I2" s="126" t="s">
        <v>94</v>
      </c>
      <c r="J2" s="123" t="s">
        <v>101</v>
      </c>
      <c r="K2" s="134" t="s">
        <v>109</v>
      </c>
      <c r="M2" s="126" t="s">
        <v>94</v>
      </c>
      <c r="N2" s="129" t="s">
        <v>140</v>
      </c>
      <c r="O2" s="129" t="s">
        <v>144</v>
      </c>
    </row>
    <row r="3" spans="1:15" x14ac:dyDescent="0.35">
      <c r="A3" s="127"/>
      <c r="B3" s="124"/>
      <c r="C3" s="135"/>
      <c r="E3" s="127"/>
      <c r="F3" s="124"/>
      <c r="G3" s="124"/>
      <c r="I3" s="127"/>
      <c r="J3" s="124"/>
      <c r="K3" s="135"/>
      <c r="M3" s="127"/>
      <c r="N3" s="129"/>
      <c r="O3" s="129"/>
    </row>
    <row r="4" spans="1:15" x14ac:dyDescent="0.35">
      <c r="A4" s="127"/>
      <c r="B4" s="124" t="s">
        <v>115</v>
      </c>
      <c r="C4" s="124" t="s">
        <v>121</v>
      </c>
      <c r="E4" s="127"/>
      <c r="F4" s="124"/>
      <c r="G4" s="124"/>
      <c r="I4" s="127"/>
      <c r="J4" s="124" t="s">
        <v>102</v>
      </c>
      <c r="K4" s="135" t="s">
        <v>110</v>
      </c>
      <c r="M4" s="127"/>
      <c r="N4" s="129"/>
      <c r="O4" s="129"/>
    </row>
    <row r="5" spans="1:15" x14ac:dyDescent="0.35">
      <c r="A5" s="128"/>
      <c r="B5" s="124"/>
      <c r="C5" s="125"/>
      <c r="E5" s="128"/>
      <c r="F5" s="125"/>
      <c r="G5" s="125"/>
      <c r="H5" s="1"/>
      <c r="I5" s="128"/>
      <c r="J5" s="125"/>
      <c r="K5" s="136"/>
      <c r="M5" s="128"/>
      <c r="N5" s="129"/>
      <c r="O5" s="129"/>
    </row>
    <row r="6" spans="1:15" ht="16" customHeight="1" x14ac:dyDescent="0.35">
      <c r="A6" s="120" t="s">
        <v>95</v>
      </c>
      <c r="B6" s="123" t="s">
        <v>116</v>
      </c>
      <c r="C6" s="134" t="s">
        <v>122</v>
      </c>
      <c r="E6" s="126" t="s">
        <v>95</v>
      </c>
      <c r="F6" s="138" t="s">
        <v>136</v>
      </c>
      <c r="G6" s="140" t="s">
        <v>153</v>
      </c>
      <c r="I6" s="126" t="s">
        <v>95</v>
      </c>
      <c r="J6" s="134" t="s">
        <v>103</v>
      </c>
      <c r="K6" s="134" t="s">
        <v>111</v>
      </c>
      <c r="M6" s="126" t="s">
        <v>95</v>
      </c>
      <c r="N6" s="133" t="s">
        <v>141</v>
      </c>
      <c r="O6" s="133" t="s">
        <v>145</v>
      </c>
    </row>
    <row r="7" spans="1:15" x14ac:dyDescent="0.35">
      <c r="A7" s="121"/>
      <c r="B7" s="124"/>
      <c r="C7" s="135"/>
      <c r="E7" s="127"/>
      <c r="F7" s="119"/>
      <c r="G7" s="141"/>
      <c r="I7" s="127"/>
      <c r="J7" s="135"/>
      <c r="K7" s="135"/>
      <c r="M7" s="127"/>
      <c r="N7" s="133"/>
      <c r="O7" s="133"/>
    </row>
    <row r="8" spans="1:15" x14ac:dyDescent="0.35">
      <c r="A8" s="121"/>
      <c r="B8" s="124" t="s">
        <v>117</v>
      </c>
      <c r="C8" s="135" t="s">
        <v>123</v>
      </c>
      <c r="E8" s="127"/>
      <c r="F8" s="119" t="s">
        <v>135</v>
      </c>
      <c r="G8" s="141" t="s">
        <v>152</v>
      </c>
      <c r="I8" s="127"/>
      <c r="J8" s="135" t="s">
        <v>104</v>
      </c>
      <c r="K8" s="135" t="s">
        <v>112</v>
      </c>
      <c r="M8" s="127"/>
      <c r="N8" s="133"/>
      <c r="O8" s="133"/>
    </row>
    <row r="9" spans="1:15" x14ac:dyDescent="0.35">
      <c r="A9" s="122"/>
      <c r="B9" s="125"/>
      <c r="C9" s="136"/>
      <c r="E9" s="128"/>
      <c r="F9" s="139"/>
      <c r="G9" s="142"/>
      <c r="I9" s="128"/>
      <c r="J9" s="136"/>
      <c r="K9" s="136"/>
      <c r="M9" s="128"/>
      <c r="N9" s="133"/>
      <c r="O9" s="133"/>
    </row>
    <row r="10" spans="1:15" ht="14.5" customHeight="1" x14ac:dyDescent="0.35">
      <c r="A10" s="126" t="s">
        <v>88</v>
      </c>
      <c r="B10" s="119" t="s">
        <v>118</v>
      </c>
      <c r="C10" s="117" t="s">
        <v>97</v>
      </c>
      <c r="E10" s="126" t="s">
        <v>88</v>
      </c>
      <c r="F10" s="138" t="s">
        <v>134</v>
      </c>
      <c r="G10" s="140" t="s">
        <v>138</v>
      </c>
      <c r="I10" s="126" t="s">
        <v>88</v>
      </c>
      <c r="J10" s="21" t="s">
        <v>105</v>
      </c>
      <c r="K10" s="18" t="s">
        <v>113</v>
      </c>
      <c r="M10" s="126" t="s">
        <v>88</v>
      </c>
      <c r="N10" s="130"/>
      <c r="O10" s="130"/>
    </row>
    <row r="11" spans="1:15" x14ac:dyDescent="0.35">
      <c r="A11" s="127"/>
      <c r="B11" s="119"/>
      <c r="C11" s="118"/>
      <c r="E11" s="127"/>
      <c r="F11" s="119"/>
      <c r="G11" s="141"/>
      <c r="I11" s="127"/>
      <c r="J11" s="17" t="s">
        <v>106</v>
      </c>
      <c r="K11" s="19" t="s">
        <v>99</v>
      </c>
      <c r="M11" s="127"/>
      <c r="N11" s="131"/>
      <c r="O11" s="131"/>
    </row>
    <row r="12" spans="1:15" x14ac:dyDescent="0.35">
      <c r="A12" s="127"/>
      <c r="B12" s="124" t="s">
        <v>96</v>
      </c>
      <c r="C12" s="115" t="s">
        <v>96</v>
      </c>
      <c r="E12" s="127"/>
      <c r="F12" s="119" t="s">
        <v>133</v>
      </c>
      <c r="G12" s="118" t="s">
        <v>137</v>
      </c>
      <c r="I12" s="127"/>
      <c r="J12" s="17" t="s">
        <v>107</v>
      </c>
      <c r="K12" s="19" t="s">
        <v>98</v>
      </c>
      <c r="M12" s="127"/>
      <c r="N12" s="131"/>
      <c r="O12" s="131"/>
    </row>
    <row r="13" spans="1:15" x14ac:dyDescent="0.35">
      <c r="A13" s="128"/>
      <c r="B13" s="125"/>
      <c r="C13" s="116"/>
      <c r="E13" s="128"/>
      <c r="F13" s="139"/>
      <c r="G13" s="137"/>
      <c r="I13" s="122"/>
      <c r="J13" s="20" t="s">
        <v>108</v>
      </c>
      <c r="K13" s="20" t="s">
        <v>100</v>
      </c>
      <c r="M13" s="128"/>
      <c r="N13" s="132"/>
      <c r="O13" s="132"/>
    </row>
    <row r="15" spans="1:15" x14ac:dyDescent="0.35">
      <c r="B15" t="s">
        <v>124</v>
      </c>
      <c r="F15" t="s">
        <v>124</v>
      </c>
      <c r="J15" t="s">
        <v>124</v>
      </c>
      <c r="N15" t="s">
        <v>124</v>
      </c>
    </row>
    <row r="16" spans="1:15" x14ac:dyDescent="0.35">
      <c r="B16" s="12" t="s">
        <v>125</v>
      </c>
      <c r="F16" s="12" t="s">
        <v>125</v>
      </c>
      <c r="J16" s="12" t="s">
        <v>125</v>
      </c>
      <c r="N16" s="12" t="s">
        <v>125</v>
      </c>
    </row>
    <row r="17" spans="2:14" x14ac:dyDescent="0.35">
      <c r="B17" s="8" t="s">
        <v>126</v>
      </c>
      <c r="F17" s="8" t="s">
        <v>126</v>
      </c>
      <c r="J17" s="8" t="s">
        <v>126</v>
      </c>
      <c r="N17" s="8" t="s">
        <v>126</v>
      </c>
    </row>
    <row r="18" spans="2:14" x14ac:dyDescent="0.35">
      <c r="B18" s="13" t="s">
        <v>127</v>
      </c>
      <c r="E18" s="22"/>
      <c r="F18" s="13" t="s">
        <v>127</v>
      </c>
      <c r="G18" s="23"/>
      <c r="J18" s="13" t="s">
        <v>127</v>
      </c>
      <c r="N18" s="15" t="s">
        <v>150</v>
      </c>
    </row>
    <row r="19" spans="2:14" x14ac:dyDescent="0.35">
      <c r="B19" t="s">
        <v>128</v>
      </c>
      <c r="E19" s="22"/>
      <c r="F19" t="s">
        <v>128</v>
      </c>
      <c r="G19" s="23"/>
      <c r="J19" t="s">
        <v>128</v>
      </c>
      <c r="N19" s="13" t="s">
        <v>127</v>
      </c>
    </row>
    <row r="20" spans="2:14" x14ac:dyDescent="0.35">
      <c r="B20" t="s">
        <v>129</v>
      </c>
      <c r="E20" s="22"/>
      <c r="F20" t="s">
        <v>129</v>
      </c>
      <c r="G20" s="23"/>
      <c r="J20" t="s">
        <v>129</v>
      </c>
      <c r="N20" t="s">
        <v>128</v>
      </c>
    </row>
    <row r="21" spans="2:14" x14ac:dyDescent="0.35">
      <c r="B21" t="s">
        <v>130</v>
      </c>
      <c r="E21" s="22"/>
      <c r="F21" t="s">
        <v>130</v>
      </c>
      <c r="G21" s="23"/>
      <c r="J21" s="24" t="s">
        <v>148</v>
      </c>
      <c r="N21" t="s">
        <v>129</v>
      </c>
    </row>
    <row r="22" spans="2:14" x14ac:dyDescent="0.35">
      <c r="E22" s="22"/>
      <c r="F22" s="24" t="s">
        <v>139</v>
      </c>
      <c r="G22" s="24"/>
      <c r="N22" t="s">
        <v>151</v>
      </c>
    </row>
    <row r="23" spans="2:14" x14ac:dyDescent="0.35">
      <c r="E23" s="22"/>
      <c r="F23" s="24"/>
      <c r="G23" s="24"/>
      <c r="N23" s="24" t="s">
        <v>148</v>
      </c>
    </row>
    <row r="24" spans="2:14" x14ac:dyDescent="0.35">
      <c r="E24" s="22"/>
      <c r="F24" s="24"/>
      <c r="G24" s="24"/>
    </row>
    <row r="25" spans="2:14" x14ac:dyDescent="0.35">
      <c r="E25" s="22"/>
      <c r="F25" s="24"/>
      <c r="G25" s="24"/>
    </row>
  </sheetData>
  <mergeCells count="48">
    <mergeCell ref="G12:G13"/>
    <mergeCell ref="E2:E5"/>
    <mergeCell ref="F2:F5"/>
    <mergeCell ref="F10:F11"/>
    <mergeCell ref="F12:F13"/>
    <mergeCell ref="F6:F7"/>
    <mergeCell ref="F8:F9"/>
    <mergeCell ref="G6:G7"/>
    <mergeCell ref="G8:G9"/>
    <mergeCell ref="E6:E9"/>
    <mergeCell ref="E10:E13"/>
    <mergeCell ref="G2:G5"/>
    <mergeCell ref="G10:G11"/>
    <mergeCell ref="I2:I5"/>
    <mergeCell ref="I10:I13"/>
    <mergeCell ref="J2:J3"/>
    <mergeCell ref="J4:J5"/>
    <mergeCell ref="I6:I9"/>
    <mergeCell ref="J6:J7"/>
    <mergeCell ref="J8:J9"/>
    <mergeCell ref="K2:K3"/>
    <mergeCell ref="K4:K5"/>
    <mergeCell ref="M2:M5"/>
    <mergeCell ref="M10:M13"/>
    <mergeCell ref="K6:K7"/>
    <mergeCell ref="K8:K9"/>
    <mergeCell ref="M6:M9"/>
    <mergeCell ref="N2:N5"/>
    <mergeCell ref="N10:N13"/>
    <mergeCell ref="O2:O5"/>
    <mergeCell ref="O10:O13"/>
    <mergeCell ref="N6:N9"/>
    <mergeCell ref="O6:O9"/>
    <mergeCell ref="C12:C13"/>
    <mergeCell ref="C10:C11"/>
    <mergeCell ref="B10:B11"/>
    <mergeCell ref="A6:A9"/>
    <mergeCell ref="B2:B3"/>
    <mergeCell ref="B4:B5"/>
    <mergeCell ref="B6:B7"/>
    <mergeCell ref="B8:B9"/>
    <mergeCell ref="A2:A5"/>
    <mergeCell ref="A10:A13"/>
    <mergeCell ref="B12:B13"/>
    <mergeCell ref="C2:C3"/>
    <mergeCell ref="C4:C5"/>
    <mergeCell ref="C6:C7"/>
    <mergeCell ref="C8:C9"/>
  </mergeCells>
  <phoneticPr fontId="4" type="noConversion"/>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8022C-BEC3-40D1-B0AC-FD298E163146}">
  <dimension ref="A1:S69"/>
  <sheetViews>
    <sheetView workbookViewId="0">
      <selection activeCell="C4" sqref="C4"/>
    </sheetView>
  </sheetViews>
  <sheetFormatPr defaultRowHeight="14.5" x14ac:dyDescent="0.35"/>
  <cols>
    <col min="2" max="2" width="11.08984375" customWidth="1"/>
    <col min="5" max="5" width="10.7265625" customWidth="1"/>
    <col min="8" max="8" width="10.1796875" customWidth="1"/>
    <col min="11" max="11" width="9.7265625" customWidth="1"/>
  </cols>
  <sheetData>
    <row r="1" spans="1:17" x14ac:dyDescent="0.35">
      <c r="A1" s="144" t="s">
        <v>249</v>
      </c>
      <c r="B1" s="143" t="s">
        <v>32</v>
      </c>
      <c r="C1" s="143"/>
      <c r="D1" s="143"/>
      <c r="E1" s="143" t="s">
        <v>90</v>
      </c>
      <c r="F1" s="143"/>
      <c r="G1" s="143"/>
      <c r="H1" s="143" t="s">
        <v>174</v>
      </c>
      <c r="I1" s="143"/>
      <c r="J1" s="143"/>
      <c r="K1" s="143" t="s">
        <v>175</v>
      </c>
      <c r="L1" s="143"/>
      <c r="M1" s="143"/>
      <c r="P1" t="s">
        <v>395</v>
      </c>
      <c r="Q1" t="s">
        <v>391</v>
      </c>
    </row>
    <row r="2" spans="1:17" x14ac:dyDescent="0.35">
      <c r="A2" s="144"/>
      <c r="B2" s="143">
        <f>D3*$N$3+D4*$N$4+D5*$N$5+D6*$N$6</f>
        <v>49.5</v>
      </c>
      <c r="C2" s="143"/>
      <c r="D2" s="143"/>
      <c r="E2" s="143">
        <f t="shared" ref="E2" si="0">G3*$N$3+G4*$N$4+G5*$N$5+G6*$N$6</f>
        <v>54.300000000000004</v>
      </c>
      <c r="F2" s="143"/>
      <c r="G2" s="143"/>
      <c r="H2" s="143">
        <f t="shared" ref="H2" si="1">J3*$N$3+J4*$N$4+J5*$N$5+J6*$N$6</f>
        <v>21</v>
      </c>
      <c r="I2" s="143"/>
      <c r="J2" s="143"/>
      <c r="K2" s="143">
        <f>(M3*$N$3+M4*$N$4+M6*$N$6)/0.9</f>
        <v>45.111111111111107</v>
      </c>
      <c r="L2" s="143"/>
      <c r="M2" s="143"/>
      <c r="N2" t="s">
        <v>346</v>
      </c>
      <c r="P2">
        <v>0.40700000000000003</v>
      </c>
      <c r="Q2">
        <f t="shared" ref="Q2:Q28" si="2">ROUND((P2-MIN($P$2:$P$30))/(MAX($P$2:$P$30)-MIN($P$2:$P$30))*100,)</f>
        <v>93</v>
      </c>
    </row>
    <row r="3" spans="1:17" x14ac:dyDescent="0.35">
      <c r="A3" s="144"/>
      <c r="B3" t="s">
        <v>394</v>
      </c>
      <c r="C3">
        <f>'Significance Tests'!M2*'Significance Tests'!S2+'Significance Tests'!M3*'Significance Tests'!S3</f>
        <v>0.40700000000000003</v>
      </c>
      <c r="D3">
        <f>Q2</f>
        <v>93</v>
      </c>
      <c r="E3" t="s">
        <v>394</v>
      </c>
      <c r="F3">
        <f>'Significance Tests'!M10*'Significance Tests'!S10</f>
        <v>0.44199999999999995</v>
      </c>
      <c r="G3">
        <f>Q6</f>
        <v>100</v>
      </c>
      <c r="H3" t="s">
        <v>394</v>
      </c>
      <c r="I3">
        <f>'Significance Tests'!M17*'Significance Tests'!S17+'Significance Tests'!M18*'Significance Tests'!S18</f>
        <v>2.7400000000000001E-2</v>
      </c>
      <c r="J3">
        <f>Q10</f>
        <v>21</v>
      </c>
      <c r="K3" t="s">
        <v>394</v>
      </c>
      <c r="L3">
        <f>'Significance Tests'!M27*'Significance Tests'!S27</f>
        <v>0.24600000000000002</v>
      </c>
      <c r="M3">
        <f>Q14</f>
        <v>63</v>
      </c>
      <c r="N3">
        <v>0.3</v>
      </c>
      <c r="P3">
        <v>0.20850000000000002</v>
      </c>
      <c r="Q3">
        <f t="shared" si="2"/>
        <v>55</v>
      </c>
    </row>
    <row r="4" spans="1:17" x14ac:dyDescent="0.35">
      <c r="A4" s="144"/>
      <c r="B4" t="s">
        <v>95</v>
      </c>
      <c r="C4">
        <f>'Significance Tests'!M5*'Significance Tests'!S5+'Significance Tests'!M4*'Significance Tests'!S4</f>
        <v>0.20850000000000002</v>
      </c>
      <c r="D4">
        <f t="shared" ref="D4:D6" si="3">Q3</f>
        <v>55</v>
      </c>
      <c r="E4" t="s">
        <v>95</v>
      </c>
      <c r="F4">
        <f>'Significance Tests'!M11*'Significance Tests'!S11+'Significance Tests'!M12*'Significance Tests'!S12</f>
        <v>0.20500000000000002</v>
      </c>
      <c r="G4">
        <f t="shared" ref="G4:G6" si="4">Q7</f>
        <v>55</v>
      </c>
      <c r="H4" t="s">
        <v>95</v>
      </c>
      <c r="I4">
        <f>'Significance Tests'!M20*'Significance Tests'!S20+'Significance Tests'!M19*'Significance Tests'!S19</f>
        <v>9.0000000000000028E-3</v>
      </c>
      <c r="J4">
        <f t="shared" ref="J4:J6" si="5">Q11</f>
        <v>17</v>
      </c>
      <c r="K4" t="s">
        <v>95</v>
      </c>
      <c r="L4">
        <f>'Significance Tests'!M28*'Significance Tests'!S28</f>
        <v>0.24700000000000003</v>
      </c>
      <c r="M4">
        <f t="shared" ref="M4" si="6">Q15</f>
        <v>63</v>
      </c>
      <c r="N4">
        <v>0.3</v>
      </c>
      <c r="P4">
        <v>-2.0000000000000004E-2</v>
      </c>
      <c r="Q4">
        <f t="shared" si="2"/>
        <v>12</v>
      </c>
    </row>
    <row r="5" spans="1:17" x14ac:dyDescent="0.35">
      <c r="A5" s="144"/>
      <c r="B5" t="s">
        <v>88</v>
      </c>
      <c r="C5">
        <f>'Significance Tests'!M7*'Significance Tests'!S7+'Significance Tests'!M6*'Significance Tests'!S6</f>
        <v>-2.0000000000000004E-2</v>
      </c>
      <c r="D5">
        <f t="shared" si="3"/>
        <v>12</v>
      </c>
      <c r="E5" t="s">
        <v>88</v>
      </c>
      <c r="F5">
        <f>'Significance Tests'!M15*'Significance Tests'!S15+'Significance Tests'!M14*'Significance Tests'!S14+'Significance Tests'!M13*'Significance Tests'!S13</f>
        <v>6.2933333333333348E-3</v>
      </c>
      <c r="G5">
        <f t="shared" si="4"/>
        <v>17</v>
      </c>
      <c r="H5" t="s">
        <v>88</v>
      </c>
      <c r="I5">
        <f>'Significance Tests'!M21*'Significance Tests'!S21+'Significance Tests'!M23*'Significance Tests'!S23+'Significance Tests'!M24*'Significance Tests'!S24+'Significance Tests'!M25*'Significance Tests'!S25</f>
        <v>8.7249999999999994E-2</v>
      </c>
      <c r="J5">
        <f t="shared" si="5"/>
        <v>32</v>
      </c>
      <c r="K5" t="s">
        <v>88</v>
      </c>
      <c r="L5" t="s">
        <v>59</v>
      </c>
      <c r="M5" t="s">
        <v>59</v>
      </c>
      <c r="N5">
        <v>0.3</v>
      </c>
      <c r="P5">
        <v>-5.9999999999999984E-3</v>
      </c>
      <c r="Q5">
        <f t="shared" si="2"/>
        <v>15</v>
      </c>
    </row>
    <row r="6" spans="1:17" x14ac:dyDescent="0.35">
      <c r="A6" s="144"/>
      <c r="B6" t="s">
        <v>89</v>
      </c>
      <c r="C6">
        <f>'Significance Tests'!M9*'Significance Tests'!S9</f>
        <v>-5.9999999999999984E-3</v>
      </c>
      <c r="D6">
        <f t="shared" si="3"/>
        <v>15</v>
      </c>
      <c r="E6" t="s">
        <v>89</v>
      </c>
      <c r="F6">
        <f>'Significance Tests'!M16*'Significance Tests'!S16</f>
        <v>0.06</v>
      </c>
      <c r="G6">
        <f t="shared" si="4"/>
        <v>27</v>
      </c>
      <c r="H6" t="s">
        <v>89</v>
      </c>
      <c r="I6">
        <f>'Significance Tests'!M26*'Significance Tests'!S26</f>
        <v>-8.2000000000000017E-2</v>
      </c>
      <c r="J6">
        <f t="shared" si="5"/>
        <v>0</v>
      </c>
      <c r="K6" t="s">
        <v>89</v>
      </c>
      <c r="L6">
        <f>'Significance Tests'!M30*'Significance Tests'!S30</f>
        <v>6.4000000000000001E-2</v>
      </c>
      <c r="M6">
        <f>Q16</f>
        <v>28</v>
      </c>
      <c r="N6">
        <v>0.1</v>
      </c>
      <c r="P6">
        <v>0.44199999999999995</v>
      </c>
      <c r="Q6">
        <f t="shared" si="2"/>
        <v>100</v>
      </c>
    </row>
    <row r="7" spans="1:17" x14ac:dyDescent="0.35">
      <c r="P7">
        <v>0.20500000000000002</v>
      </c>
      <c r="Q7">
        <f t="shared" si="2"/>
        <v>55</v>
      </c>
    </row>
    <row r="8" spans="1:17" x14ac:dyDescent="0.35">
      <c r="A8" s="144" t="s">
        <v>176</v>
      </c>
      <c r="B8" s="143" t="s">
        <v>32</v>
      </c>
      <c r="C8" s="143"/>
      <c r="D8" s="143"/>
      <c r="E8" s="143" t="s">
        <v>90</v>
      </c>
      <c r="F8" s="143"/>
      <c r="G8" s="143"/>
      <c r="H8" s="143" t="s">
        <v>174</v>
      </c>
      <c r="I8" s="143"/>
      <c r="J8" s="143"/>
      <c r="K8" s="143" t="s">
        <v>175</v>
      </c>
      <c r="L8" s="143"/>
      <c r="M8" s="143"/>
      <c r="P8">
        <v>6.2933333333333348E-3</v>
      </c>
      <c r="Q8">
        <f t="shared" si="2"/>
        <v>17</v>
      </c>
    </row>
    <row r="9" spans="1:17" x14ac:dyDescent="0.35">
      <c r="A9" s="144"/>
      <c r="B9" s="143">
        <f>(D10*$N$3+D11*$N$4+D13*$N$6)/0.9</f>
        <v>37.777777777777779</v>
      </c>
      <c r="C9" s="143"/>
      <c r="D9" s="143"/>
      <c r="E9" s="143">
        <f t="shared" ref="E9" si="7">G10*$N$3+G11*$N$4+G12*$N$5+G13*$N$6</f>
        <v>48.7</v>
      </c>
      <c r="F9" s="143"/>
      <c r="G9" s="143"/>
      <c r="H9" s="143">
        <f t="shared" ref="H9" si="8">J10*$N$3+J11*$N$4+J12*$N$5+J13*$N$6</f>
        <v>28.5</v>
      </c>
      <c r="I9" s="143"/>
      <c r="J9" s="143"/>
      <c r="K9" s="143">
        <f>(M10*$N$3+M11*$N$4+M13*$N$6)/0.9</f>
        <v>36.111111111111107</v>
      </c>
      <c r="L9" s="143"/>
      <c r="M9" s="143"/>
      <c r="P9">
        <v>0.06</v>
      </c>
      <c r="Q9">
        <f t="shared" si="2"/>
        <v>27</v>
      </c>
    </row>
    <row r="10" spans="1:17" x14ac:dyDescent="0.35">
      <c r="A10" s="144"/>
      <c r="B10" t="s">
        <v>394</v>
      </c>
      <c r="C10">
        <f>'Significance Tests'!M32*'Significance Tests'!S32+'Significance Tests'!M34*'Significance Tests'!S34</f>
        <v>0.28450000000000003</v>
      </c>
      <c r="D10">
        <f>Q17</f>
        <v>70</v>
      </c>
      <c r="E10" t="s">
        <v>394</v>
      </c>
      <c r="F10" t="e">
        <f>'Significance Tests'!M39*'Significance Tests'!S39</f>
        <v>#REF!</v>
      </c>
      <c r="G10">
        <f>Q20</f>
        <v>84</v>
      </c>
      <c r="H10" t="s">
        <v>394</v>
      </c>
      <c r="I10">
        <f>'Significance Tests'!M45*'Significance Tests'!S45+'Significance Tests'!M46*'Significance Tests'!S46</f>
        <v>-5.9999999999999984E-3</v>
      </c>
      <c r="J10">
        <f>Q24</f>
        <v>15</v>
      </c>
      <c r="K10" t="s">
        <v>394</v>
      </c>
      <c r="L10">
        <f>'Significance Tests'!M55*'Significance Tests'!S55</f>
        <v>0.16200000000000001</v>
      </c>
      <c r="M10">
        <f>Q28</f>
        <v>47</v>
      </c>
      <c r="P10">
        <v>2.7400000000000001E-2</v>
      </c>
      <c r="Q10">
        <f t="shared" si="2"/>
        <v>21</v>
      </c>
    </row>
    <row r="11" spans="1:17" x14ac:dyDescent="0.35">
      <c r="A11" s="144"/>
      <c r="B11" t="s">
        <v>95</v>
      </c>
      <c r="C11">
        <f>'Significance Tests'!M33*'Significance Tests'!S33+'Significance Tests'!M35*'Significance Tests'!S35</f>
        <v>0.1173</v>
      </c>
      <c r="D11">
        <f t="shared" ref="D11" si="9">Q18</f>
        <v>38</v>
      </c>
      <c r="E11" t="s">
        <v>95</v>
      </c>
      <c r="F11">
        <f>'Significance Tests'!M40*'Significance Tests'!S40+'Significance Tests'!M41*'Significance Tests'!S41</f>
        <v>0.17399999999999999</v>
      </c>
      <c r="G11">
        <f t="shared" ref="G11:G13" si="10">Q21</f>
        <v>49</v>
      </c>
      <c r="H11" t="s">
        <v>95</v>
      </c>
      <c r="I11">
        <f>'Significance Tests'!M48*'Significance Tests'!S48+'Significance Tests'!M47*'Significance Tests'!S47</f>
        <v>8.6000000000000007E-2</v>
      </c>
      <c r="J11">
        <f t="shared" ref="J11:J13" si="11">Q25</f>
        <v>32</v>
      </c>
      <c r="K11" t="s">
        <v>95</v>
      </c>
      <c r="L11">
        <f>'Significance Tests'!M56*'Significance Tests'!S56</f>
        <v>0.17500000000000002</v>
      </c>
      <c r="M11">
        <f>S26</f>
        <v>49</v>
      </c>
      <c r="P11">
        <v>9.0000000000000028E-3</v>
      </c>
      <c r="Q11">
        <f t="shared" si="2"/>
        <v>17</v>
      </c>
    </row>
    <row r="12" spans="1:17" x14ac:dyDescent="0.35">
      <c r="A12" s="144"/>
      <c r="B12" t="s">
        <v>88</v>
      </c>
      <c r="C12" t="s">
        <v>59</v>
      </c>
      <c r="E12" t="s">
        <v>88</v>
      </c>
      <c r="F12">
        <f>'Significance Tests'!M42*'Significance Tests'!S42</f>
        <v>8.9999999999999993E-3</v>
      </c>
      <c r="G12">
        <f t="shared" si="10"/>
        <v>17</v>
      </c>
      <c r="H12" t="s">
        <v>88</v>
      </c>
      <c r="I12">
        <f>'Significance Tests'!M49*'Significance Tests'!S49+'Significance Tests'!M51*'Significance Tests'!S51+'Significance Tests'!M52*'Significance Tests'!S52+'Significance Tests'!M33*'Significance Tests'!S53</f>
        <v>0.14161009677307063</v>
      </c>
      <c r="J12">
        <f t="shared" si="11"/>
        <v>43</v>
      </c>
      <c r="K12" t="s">
        <v>88</v>
      </c>
      <c r="L12" t="s">
        <v>59</v>
      </c>
      <c r="P12">
        <v>8.7249999999999994E-2</v>
      </c>
      <c r="Q12">
        <f t="shared" si="2"/>
        <v>32</v>
      </c>
    </row>
    <row r="13" spans="1:17" x14ac:dyDescent="0.35">
      <c r="A13" s="144"/>
      <c r="B13" t="s">
        <v>89</v>
      </c>
      <c r="C13">
        <f>'Significance Tests'!M38*'Significance Tests'!S38</f>
        <v>5.9999999999999984E-4</v>
      </c>
      <c r="D13">
        <f>Q19</f>
        <v>16</v>
      </c>
      <c r="E13" t="s">
        <v>89</v>
      </c>
      <c r="F13">
        <f>'Significance Tests'!M44*'Significance Tests'!S44</f>
        <v>0.11299999999999996</v>
      </c>
      <c r="G13">
        <f t="shared" si="10"/>
        <v>37</v>
      </c>
      <c r="H13" t="s">
        <v>89</v>
      </c>
      <c r="I13">
        <f>'Significance Tests'!M54*'Significance Tests'!S54</f>
        <v>-4.0000000000000036E-3</v>
      </c>
      <c r="J13">
        <f t="shared" si="11"/>
        <v>15</v>
      </c>
      <c r="K13" t="s">
        <v>89</v>
      </c>
      <c r="L13">
        <f>'Significance Tests'!M58*'Significance Tests'!S58</f>
        <v>0.11400000000000002</v>
      </c>
      <c r="M13">
        <f>S27</f>
        <v>37</v>
      </c>
      <c r="P13">
        <v>-8.2000000000000017E-2</v>
      </c>
      <c r="Q13">
        <f t="shared" si="2"/>
        <v>0</v>
      </c>
    </row>
    <row r="14" spans="1:17" s="64" customFormat="1" x14ac:dyDescent="0.35">
      <c r="P14" s="64">
        <v>0.24600000000000002</v>
      </c>
      <c r="Q14" s="64">
        <f t="shared" si="2"/>
        <v>63</v>
      </c>
    </row>
    <row r="15" spans="1:17" x14ac:dyDescent="0.35">
      <c r="A15" s="144" t="s">
        <v>249</v>
      </c>
      <c r="B15" s="143" t="s">
        <v>32</v>
      </c>
      <c r="C15" s="143"/>
      <c r="D15" s="143"/>
      <c r="E15" s="143" t="s">
        <v>90</v>
      </c>
      <c r="F15" s="143"/>
      <c r="G15" s="143"/>
      <c r="H15" s="143" t="s">
        <v>174</v>
      </c>
      <c r="I15" s="143"/>
      <c r="J15" s="143"/>
      <c r="K15" s="143" t="s">
        <v>175</v>
      </c>
      <c r="L15" s="143"/>
      <c r="M15" s="143"/>
      <c r="P15">
        <v>0.24700000000000003</v>
      </c>
      <c r="Q15">
        <f t="shared" si="2"/>
        <v>63</v>
      </c>
    </row>
    <row r="16" spans="1:17" x14ac:dyDescent="0.35">
      <c r="A16" s="144"/>
      <c r="B16" s="143" t="e">
        <f>C17*$N$3+C18*$N$4+C19*$N$5+C20*$N$6</f>
        <v>#REF!</v>
      </c>
      <c r="C16" s="143"/>
      <c r="D16" s="143"/>
      <c r="E16" s="143" t="e">
        <f t="shared" ref="E16" si="12">F17*$N$3+F18*$N$4+F19*$N$5+F20*$N$6</f>
        <v>#REF!</v>
      </c>
      <c r="F16" s="143"/>
      <c r="G16" s="143"/>
      <c r="H16" s="143" t="e">
        <f t="shared" ref="H16" si="13">I17*$N$3+I18*$N$4+I19*$N$5+I20*$N$6</f>
        <v>#REF!</v>
      </c>
      <c r="I16" s="143"/>
      <c r="J16" s="143"/>
      <c r="K16" s="143" t="e">
        <f>(L17*$N$3+L18*$N$4+L20*$N$6)/0.9</f>
        <v>#REF!</v>
      </c>
      <c r="L16" s="143"/>
      <c r="M16" s="143"/>
      <c r="P16">
        <v>6.4000000000000001E-2</v>
      </c>
      <c r="Q16">
        <f t="shared" si="2"/>
        <v>28</v>
      </c>
    </row>
    <row r="17" spans="1:19" x14ac:dyDescent="0.35">
      <c r="A17" s="144"/>
      <c r="B17" t="s">
        <v>394</v>
      </c>
      <c r="C17" s="143" t="e">
        <f>'Significance Tests'!V2*'Significance Tests'!S2+'Significance Tests'!V3*'Significance Tests'!S3</f>
        <v>#REF!</v>
      </c>
      <c r="D17" s="143"/>
      <c r="E17" t="s">
        <v>394</v>
      </c>
      <c r="F17" s="143" t="e">
        <f>'Significance Tests'!V10*'Significance Tests'!S10</f>
        <v>#REF!</v>
      </c>
      <c r="G17" s="143"/>
      <c r="H17" t="s">
        <v>394</v>
      </c>
      <c r="I17" s="143" t="e">
        <f>'Significance Tests'!V17*'Significance Tests'!S17+'Significance Tests'!V18*'Significance Tests'!S18</f>
        <v>#REF!</v>
      </c>
      <c r="J17" s="143"/>
      <c r="K17" t="s">
        <v>394</v>
      </c>
      <c r="L17" s="143" t="e">
        <f>'Significance Tests'!V27*'Significance Tests'!S27</f>
        <v>#REF!</v>
      </c>
      <c r="M17" s="143"/>
      <c r="P17">
        <v>0.28450000000000003</v>
      </c>
      <c r="Q17">
        <f t="shared" si="2"/>
        <v>70</v>
      </c>
    </row>
    <row r="18" spans="1:19" x14ac:dyDescent="0.35">
      <c r="A18" s="144"/>
      <c r="B18" t="s">
        <v>95</v>
      </c>
      <c r="C18" s="143" t="e">
        <f>'Significance Tests'!V5*'Significance Tests'!S5+'Significance Tests'!V4*'Significance Tests'!S4</f>
        <v>#REF!</v>
      </c>
      <c r="D18" s="143"/>
      <c r="E18" t="s">
        <v>95</v>
      </c>
      <c r="F18" s="143" t="e">
        <f>'Significance Tests'!V11*'Significance Tests'!S11+'Significance Tests'!V12*'Significance Tests'!S12</f>
        <v>#REF!</v>
      </c>
      <c r="G18" s="143"/>
      <c r="H18" s="44" t="s">
        <v>95</v>
      </c>
      <c r="I18" s="143" t="e">
        <f>'Significance Tests'!V20*'Significance Tests'!S20+'Significance Tests'!V19*'Significance Tests'!S19</f>
        <v>#REF!</v>
      </c>
      <c r="J18" s="143"/>
      <c r="K18" t="s">
        <v>95</v>
      </c>
      <c r="L18" s="143" t="e">
        <f>'Significance Tests'!V28*'Significance Tests'!S28</f>
        <v>#REF!</v>
      </c>
      <c r="M18" s="143"/>
      <c r="P18">
        <v>0.11750000000000001</v>
      </c>
      <c r="Q18">
        <f t="shared" si="2"/>
        <v>38</v>
      </c>
    </row>
    <row r="19" spans="1:19" x14ac:dyDescent="0.35">
      <c r="A19" s="144"/>
      <c r="B19" t="s">
        <v>88</v>
      </c>
      <c r="C19" s="143" t="e">
        <f>'Significance Tests'!V7*'Significance Tests'!S7+'Significance Tests'!V6*'Significance Tests'!S6</f>
        <v>#REF!</v>
      </c>
      <c r="D19" s="143"/>
      <c r="E19" t="s">
        <v>88</v>
      </c>
      <c r="F19" s="143" t="e">
        <f>'Significance Tests'!V15*'Significance Tests'!S15+'Significance Tests'!V14*'Significance Tests'!S14+'Significance Tests'!V13*'Significance Tests'!S13</f>
        <v>#REF!</v>
      </c>
      <c r="G19" s="143"/>
      <c r="H19" t="s">
        <v>88</v>
      </c>
      <c r="I19" s="143" t="e">
        <f>'Significance Tests'!V21*'Significance Tests'!S21+'Significance Tests'!V23*'Significance Tests'!S23+'Significance Tests'!V24*'Significance Tests'!S24+'Significance Tests'!V25*'Significance Tests'!S25</f>
        <v>#REF!</v>
      </c>
      <c r="J19" s="143"/>
      <c r="K19" t="s">
        <v>88</v>
      </c>
      <c r="L19" s="143" t="s">
        <v>59</v>
      </c>
      <c r="M19" s="143"/>
      <c r="P19">
        <v>1.0000000000000009E-3</v>
      </c>
      <c r="Q19">
        <f t="shared" si="2"/>
        <v>16</v>
      </c>
    </row>
    <row r="20" spans="1:19" x14ac:dyDescent="0.35">
      <c r="A20" s="144"/>
      <c r="B20" t="s">
        <v>89</v>
      </c>
      <c r="C20" s="143" t="e">
        <f>'Significance Tests'!V9*'Significance Tests'!S9</f>
        <v>#REF!</v>
      </c>
      <c r="D20" s="143"/>
      <c r="E20" t="s">
        <v>89</v>
      </c>
      <c r="F20" s="143" t="e">
        <f>'Significance Tests'!V16*'Significance Tests'!S16</f>
        <v>#REF!</v>
      </c>
      <c r="G20" s="143"/>
      <c r="H20" t="s">
        <v>89</v>
      </c>
      <c r="I20" s="143" t="e">
        <f>'Significance Tests'!V26*'Significance Tests'!S26</f>
        <v>#REF!</v>
      </c>
      <c r="J20" s="143"/>
      <c r="K20" t="s">
        <v>89</v>
      </c>
      <c r="L20" s="143" t="e">
        <f>'Significance Tests'!V30*'Significance Tests'!S30</f>
        <v>#REF!</v>
      </c>
      <c r="M20" s="143"/>
      <c r="P20">
        <v>0.35800000000000004</v>
      </c>
      <c r="Q20">
        <f t="shared" si="2"/>
        <v>84</v>
      </c>
    </row>
    <row r="21" spans="1:19" s="9" customFormat="1" x14ac:dyDescent="0.35">
      <c r="P21" s="9">
        <v>0.17399999999999999</v>
      </c>
      <c r="Q21" s="9">
        <f t="shared" si="2"/>
        <v>49</v>
      </c>
    </row>
    <row r="22" spans="1:19" x14ac:dyDescent="0.35">
      <c r="A22" s="144" t="s">
        <v>176</v>
      </c>
      <c r="B22" s="143" t="s">
        <v>32</v>
      </c>
      <c r="C22" s="143"/>
      <c r="D22" s="143"/>
      <c r="E22" s="143" t="s">
        <v>90</v>
      </c>
      <c r="F22" s="143"/>
      <c r="G22" s="143"/>
      <c r="H22" s="143" t="s">
        <v>174</v>
      </c>
      <c r="I22" s="143"/>
      <c r="J22" s="143"/>
      <c r="K22" s="143" t="s">
        <v>175</v>
      </c>
      <c r="L22" s="143"/>
      <c r="M22" s="143"/>
      <c r="P22">
        <v>8.9999999999999993E-3</v>
      </c>
      <c r="Q22">
        <f t="shared" si="2"/>
        <v>17</v>
      </c>
    </row>
    <row r="23" spans="1:19" x14ac:dyDescent="0.35">
      <c r="A23" s="144"/>
      <c r="B23" s="143">
        <f>(D10*$N$3+D11*$N$4+D13*$N$6)/0.9</f>
        <v>37.777777777777779</v>
      </c>
      <c r="C23" s="143"/>
      <c r="D23" s="143"/>
      <c r="E23" s="143">
        <f>G10*$N$3+G11*$N$4+G12*$N$5+G13*$N$6</f>
        <v>48.7</v>
      </c>
      <c r="F23" s="143"/>
      <c r="G23" s="143"/>
      <c r="H23" s="143">
        <f>J10*$N$3+J11*$N$4+J12*$N$5+J13*$N$6</f>
        <v>28.5</v>
      </c>
      <c r="I23" s="143"/>
      <c r="J23" s="143"/>
      <c r="K23" s="143">
        <f>(M10*$N$3+M11*$N$4+M13*$N$6)/0.9</f>
        <v>36.111111111111107</v>
      </c>
      <c r="L23" s="143"/>
      <c r="M23" s="143"/>
      <c r="P23">
        <v>0.11299999999999996</v>
      </c>
      <c r="Q23">
        <f t="shared" si="2"/>
        <v>37</v>
      </c>
    </row>
    <row r="24" spans="1:19" x14ac:dyDescent="0.35">
      <c r="A24" s="144"/>
      <c r="B24" t="s">
        <v>394</v>
      </c>
      <c r="C24" s="143" t="e">
        <f>'Significance Tests'!V32*'Significance Tests'!S32+'Significance Tests'!V34*'Significance Tests'!S34</f>
        <v>#REF!</v>
      </c>
      <c r="D24" s="143"/>
      <c r="E24" t="s">
        <v>394</v>
      </c>
      <c r="F24" s="143" t="e">
        <f>'Significance Tests'!M39*'Significance Tests'!S39</f>
        <v>#REF!</v>
      </c>
      <c r="G24" s="143"/>
      <c r="H24" t="s">
        <v>394</v>
      </c>
      <c r="I24" s="143">
        <f>'Significance Tests'!M45*'Significance Tests'!S45+'Significance Tests'!M46*'Significance Tests'!S46</f>
        <v>-5.9999999999999984E-3</v>
      </c>
      <c r="J24" s="143"/>
      <c r="K24" t="s">
        <v>394</v>
      </c>
      <c r="L24" s="143">
        <f>'Significance Tests'!M55*'Significance Tests'!S55</f>
        <v>0.16200000000000001</v>
      </c>
      <c r="M24" s="143"/>
      <c r="P24">
        <v>-5.9999999999999984E-3</v>
      </c>
      <c r="Q24">
        <f t="shared" si="2"/>
        <v>15</v>
      </c>
    </row>
    <row r="25" spans="1:19" x14ac:dyDescent="0.35">
      <c r="A25" s="144"/>
      <c r="B25" t="s">
        <v>95</v>
      </c>
      <c r="C25" s="143" t="e">
        <f>'Significance Tests'!V33*'Significance Tests'!S33+'Significance Tests'!V35*'Significance Tests'!S35</f>
        <v>#REF!</v>
      </c>
      <c r="D25" s="143"/>
      <c r="E25" t="s">
        <v>95</v>
      </c>
      <c r="F25" s="143">
        <f>'Significance Tests'!M40*'Significance Tests'!S40+'Significance Tests'!M41*'Significance Tests'!S41</f>
        <v>0.17399999999999999</v>
      </c>
      <c r="G25" s="143"/>
      <c r="H25" t="s">
        <v>95</v>
      </c>
      <c r="I25" s="143">
        <f>'Significance Tests'!M48*'Significance Tests'!S48+'Significance Tests'!M47*'Significance Tests'!S47</f>
        <v>8.6000000000000007E-2</v>
      </c>
      <c r="J25" s="143"/>
      <c r="K25" t="s">
        <v>95</v>
      </c>
      <c r="L25" s="143">
        <f>'Significance Tests'!M56*'Significance Tests'!S56</f>
        <v>0.17500000000000002</v>
      </c>
      <c r="M25" s="143"/>
      <c r="P25">
        <v>8.6000000000000007E-2</v>
      </c>
      <c r="Q25">
        <f t="shared" si="2"/>
        <v>32</v>
      </c>
    </row>
    <row r="26" spans="1:19" x14ac:dyDescent="0.35">
      <c r="A26" s="144"/>
      <c r="B26" t="s">
        <v>88</v>
      </c>
      <c r="C26" s="143" t="s">
        <v>59</v>
      </c>
      <c r="D26" s="143"/>
      <c r="E26" t="s">
        <v>88</v>
      </c>
      <c r="F26" s="143">
        <f>'Significance Tests'!M42*'Significance Tests'!S42</f>
        <v>8.9999999999999993E-3</v>
      </c>
      <c r="G26" s="143"/>
      <c r="H26" t="s">
        <v>88</v>
      </c>
      <c r="I26" s="143">
        <f>'Significance Tests'!M49*'Significance Tests'!S49+'Significance Tests'!M51*'Significance Tests'!S51+'Significance Tests'!M52*'Significance Tests'!S52+'Significance Tests'!M33*'Significance Tests'!S53</f>
        <v>0.14161009677307063</v>
      </c>
      <c r="J26" s="143"/>
      <c r="K26" t="s">
        <v>88</v>
      </c>
      <c r="L26" s="143" t="s">
        <v>59</v>
      </c>
      <c r="M26" s="143"/>
      <c r="P26">
        <v>0.14161009677307063</v>
      </c>
      <c r="Q26">
        <f t="shared" si="2"/>
        <v>43</v>
      </c>
      <c r="R26">
        <v>0.17500000000000002</v>
      </c>
      <c r="S26">
        <f>ROUND((R26-MIN($P$2:$P$30))/(MAX($P$2:$P$30)-MIN($P$2:$P$30))*100,)</f>
        <v>49</v>
      </c>
    </row>
    <row r="27" spans="1:19" x14ac:dyDescent="0.35">
      <c r="A27" s="144"/>
      <c r="B27" t="s">
        <v>89</v>
      </c>
      <c r="C27" s="143" t="e">
        <f>'Significance Tests'!V38*'Significance Tests'!S38</f>
        <v>#REF!</v>
      </c>
      <c r="D27" s="143"/>
      <c r="E27" t="s">
        <v>89</v>
      </c>
      <c r="F27" s="143">
        <f>'Significance Tests'!M44*'Significance Tests'!S44</f>
        <v>0.11299999999999996</v>
      </c>
      <c r="G27" s="143"/>
      <c r="H27" t="s">
        <v>89</v>
      </c>
      <c r="I27" s="143">
        <f>'Significance Tests'!M54*'Significance Tests'!S54</f>
        <v>-4.0000000000000036E-3</v>
      </c>
      <c r="J27" s="143"/>
      <c r="K27" t="s">
        <v>89</v>
      </c>
      <c r="L27" s="143">
        <f>'Significance Tests'!M58*'Significance Tests'!S58</f>
        <v>0.11400000000000002</v>
      </c>
      <c r="M27" s="143"/>
      <c r="P27">
        <v>-4.0000000000000036E-3</v>
      </c>
      <c r="Q27">
        <f t="shared" si="2"/>
        <v>15</v>
      </c>
      <c r="R27">
        <v>0.11400000000000002</v>
      </c>
      <c r="S27">
        <f>ROUND((R27-MIN($P$2:$P$30))/(MAX($P$2:$P$30)-MIN($P$2:$P$30))*100,)</f>
        <v>37</v>
      </c>
    </row>
    <row r="28" spans="1:19" s="64" customFormat="1" x14ac:dyDescent="0.35">
      <c r="P28" s="64">
        <v>0.16200000000000001</v>
      </c>
      <c r="Q28" s="64">
        <f t="shared" si="2"/>
        <v>47</v>
      </c>
    </row>
    <row r="29" spans="1:19" x14ac:dyDescent="0.35">
      <c r="A29" s="144" t="s">
        <v>249</v>
      </c>
      <c r="B29" s="143" t="s">
        <v>32</v>
      </c>
      <c r="C29" s="143"/>
      <c r="D29" s="143"/>
      <c r="E29" s="143" t="s">
        <v>90</v>
      </c>
      <c r="F29" s="143"/>
      <c r="G29" s="143"/>
      <c r="H29" s="143" t="s">
        <v>174</v>
      </c>
      <c r="I29" s="143"/>
      <c r="J29" s="143"/>
      <c r="K29" s="143" t="s">
        <v>175</v>
      </c>
      <c r="L29" s="143"/>
      <c r="M29" s="143"/>
    </row>
    <row r="30" spans="1:19" x14ac:dyDescent="0.35">
      <c r="A30" s="144"/>
      <c r="B30" s="143" t="e">
        <f>100-ROUND(C31*$N3+C32*$N4+C33*$N5+C34*$N6,1)</f>
        <v>#REF!</v>
      </c>
      <c r="C30" s="143"/>
      <c r="D30" s="143"/>
      <c r="E30" s="143" t="e">
        <f>100-ROUND(F31*$N3+F32*$N4+F33*$N5+F34*$N6,1)</f>
        <v>#REF!</v>
      </c>
      <c r="F30" s="143"/>
      <c r="G30" s="143"/>
      <c r="H30" s="143" t="e">
        <f>100-ROUND(I31*$N3+I32*$N4+I33*$N5+I34*$N6,1)</f>
        <v>#REF!</v>
      </c>
      <c r="I30" s="143"/>
      <c r="J30" s="143"/>
      <c r="K30" s="143" t="e">
        <f>100-ROUND((L31*$N3+L32*$N4+L34*$N6)/0.9,1)</f>
        <v>#REF!</v>
      </c>
      <c r="L30" s="143"/>
      <c r="M30" s="143"/>
    </row>
    <row r="31" spans="1:19" x14ac:dyDescent="0.35">
      <c r="A31" s="144"/>
      <c r="B31" t="s">
        <v>394</v>
      </c>
      <c r="C31" s="143" t="e">
        <f>'Significance Tests'!Y2*'Significance Tests'!S2+'Significance Tests'!Y3*'Significance Tests'!S3</f>
        <v>#REF!</v>
      </c>
      <c r="D31" s="143"/>
      <c r="E31" t="s">
        <v>394</v>
      </c>
      <c r="F31" s="143" t="e">
        <f>'Significance Tests'!Y10*'Significance Tests'!S10</f>
        <v>#REF!</v>
      </c>
      <c r="G31" s="143"/>
      <c r="H31" t="s">
        <v>394</v>
      </c>
      <c r="I31" s="143" t="e">
        <f>'Significance Tests'!Y17*'Significance Tests'!S17+'Significance Tests'!Y18*'Significance Tests'!S18</f>
        <v>#REF!</v>
      </c>
      <c r="J31" s="143"/>
      <c r="K31" t="s">
        <v>394</v>
      </c>
      <c r="L31" s="143" t="e">
        <f>'Significance Tests'!Y27*'Significance Tests'!S27</f>
        <v>#REF!</v>
      </c>
      <c r="M31" s="143"/>
    </row>
    <row r="32" spans="1:19" x14ac:dyDescent="0.35">
      <c r="A32" s="144"/>
      <c r="B32" t="s">
        <v>95</v>
      </c>
      <c r="C32" s="143" t="e">
        <f>'Significance Tests'!Y5*'Significance Tests'!S5+'Significance Tests'!Y4*'Significance Tests'!S4</f>
        <v>#REF!</v>
      </c>
      <c r="D32" s="143"/>
      <c r="E32" t="s">
        <v>95</v>
      </c>
      <c r="F32" s="143" t="e">
        <f>'Significance Tests'!Y11*'Significance Tests'!S11+'Significance Tests'!Y12*'Significance Tests'!S12</f>
        <v>#REF!</v>
      </c>
      <c r="G32" s="143"/>
      <c r="H32" t="s">
        <v>95</v>
      </c>
      <c r="I32" s="143" t="e">
        <f>'Significance Tests'!Y20*'Significance Tests'!S20+'Significance Tests'!Y19*'Significance Tests'!S19</f>
        <v>#REF!</v>
      </c>
      <c r="J32" s="143"/>
      <c r="K32" t="s">
        <v>95</v>
      </c>
      <c r="L32" s="143" t="e">
        <f>'Significance Tests'!Y28*'Significance Tests'!S28</f>
        <v>#REF!</v>
      </c>
      <c r="M32" s="143"/>
    </row>
    <row r="33" spans="1:13" x14ac:dyDescent="0.35">
      <c r="A33" s="144"/>
      <c r="B33" t="s">
        <v>88</v>
      </c>
      <c r="C33" s="143" t="e">
        <f>'Significance Tests'!Y7*'Significance Tests'!S7+'Significance Tests'!Y6*'Significance Tests'!S6</f>
        <v>#REF!</v>
      </c>
      <c r="D33" s="143"/>
      <c r="E33" t="s">
        <v>88</v>
      </c>
      <c r="F33" s="143" t="e">
        <f>'Significance Tests'!Y15*'Significance Tests'!S15+'Significance Tests'!Y14*'Significance Tests'!S14+'Significance Tests'!Y13*'Significance Tests'!S13</f>
        <v>#REF!</v>
      </c>
      <c r="G33" s="143"/>
      <c r="H33" t="s">
        <v>88</v>
      </c>
      <c r="I33" s="143" t="e">
        <f>'Significance Tests'!Y21*'Significance Tests'!S21+'Significance Tests'!Y23*'Significance Tests'!S23+'Significance Tests'!Y24*'Significance Tests'!S24+'Significance Tests'!Y25*'Significance Tests'!S25</f>
        <v>#REF!</v>
      </c>
      <c r="J33" s="143"/>
      <c r="K33" t="s">
        <v>88</v>
      </c>
      <c r="L33" s="143" t="s">
        <v>59</v>
      </c>
      <c r="M33" s="143"/>
    </row>
    <row r="34" spans="1:13" x14ac:dyDescent="0.35">
      <c r="A34" s="144"/>
      <c r="B34" t="s">
        <v>89</v>
      </c>
      <c r="C34" s="143" t="e">
        <f>'Significance Tests'!Y9*'Significance Tests'!S9</f>
        <v>#REF!</v>
      </c>
      <c r="D34" s="143"/>
      <c r="E34" t="s">
        <v>89</v>
      </c>
      <c r="F34" s="143" t="e">
        <f>'Significance Tests'!Y16*'Significance Tests'!S16</f>
        <v>#REF!</v>
      </c>
      <c r="G34" s="143"/>
      <c r="H34" t="s">
        <v>89</v>
      </c>
      <c r="I34" s="143" t="e">
        <f>'Significance Tests'!Y26*'Significance Tests'!S26</f>
        <v>#REF!</v>
      </c>
      <c r="J34" s="143"/>
      <c r="K34" t="s">
        <v>89</v>
      </c>
      <c r="L34" s="143" t="e">
        <f>'Significance Tests'!Y30*'Significance Tests'!S30</f>
        <v>#REF!</v>
      </c>
      <c r="M34" s="143"/>
    </row>
    <row r="35" spans="1:13" s="68" customFormat="1" x14ac:dyDescent="0.35">
      <c r="A35" s="145"/>
      <c r="B35" s="145"/>
      <c r="C35" s="145"/>
      <c r="D35" s="145"/>
      <c r="E35" s="145"/>
      <c r="F35" s="145"/>
      <c r="G35" s="145"/>
      <c r="H35" s="145"/>
      <c r="I35" s="145"/>
      <c r="J35" s="145"/>
      <c r="K35" s="145"/>
      <c r="L35" s="145"/>
      <c r="M35" s="145"/>
    </row>
    <row r="36" spans="1:13" x14ac:dyDescent="0.35">
      <c r="A36" s="144" t="s">
        <v>176</v>
      </c>
      <c r="B36" s="143" t="s">
        <v>32</v>
      </c>
      <c r="C36" s="143"/>
      <c r="D36" s="143"/>
      <c r="E36" s="143" t="s">
        <v>90</v>
      </c>
      <c r="F36" s="143"/>
      <c r="G36" s="143"/>
      <c r="H36" s="143" t="s">
        <v>174</v>
      </c>
      <c r="I36" s="143"/>
      <c r="J36" s="143"/>
      <c r="K36" s="143" t="s">
        <v>175</v>
      </c>
      <c r="L36" s="143"/>
      <c r="M36" s="143"/>
    </row>
    <row r="37" spans="1:13" x14ac:dyDescent="0.35">
      <c r="A37" s="144"/>
      <c r="B37" s="143" t="e">
        <f>100-ROUND((C38*$N3+C39*$N4+C41*$N6)/SUM($N3,$N4,$N6),1)</f>
        <v>#REF!</v>
      </c>
      <c r="C37" s="143"/>
      <c r="D37" s="143"/>
      <c r="E37" s="143" t="e">
        <f>100-ROUND((F38*$N$3+F39*$N$4+F40*$N$5+F41*$N$6)/SUM($N$3,$N$4,$N$6,$N$5),1)</f>
        <v>#REF!</v>
      </c>
      <c r="F37" s="143"/>
      <c r="G37" s="143"/>
      <c r="H37" s="143" t="e">
        <f>100-ROUND((I38*$N$3+I39*$N$4+I40*$N$5+I41*$N$6)/SUM($N$3,$N$4,$N$6,$N$5),1)</f>
        <v>#REF!</v>
      </c>
      <c r="I37" s="143"/>
      <c r="J37" s="143"/>
      <c r="K37" s="143" t="e">
        <f>100-ROUND((L38*$N$3+L39*$N$4+L41*$N$6)/SUM($N$3,$N$4,$N$6),1)</f>
        <v>#REF!</v>
      </c>
      <c r="L37" s="143"/>
      <c r="M37" s="143"/>
    </row>
    <row r="38" spans="1:13" x14ac:dyDescent="0.35">
      <c r="A38" s="144"/>
      <c r="B38" t="s">
        <v>394</v>
      </c>
      <c r="C38" s="143" t="e">
        <f>'Significance Tests'!Y32*'Significance Tests'!S32+'Significance Tests'!Y34*'Significance Tests'!S34</f>
        <v>#REF!</v>
      </c>
      <c r="D38" s="143"/>
      <c r="E38" t="s">
        <v>394</v>
      </c>
      <c r="F38" s="143" t="e">
        <f>'Significance Tests'!Y39*'Significance Tests'!S39</f>
        <v>#REF!</v>
      </c>
      <c r="G38" s="143"/>
      <c r="H38" t="s">
        <v>394</v>
      </c>
      <c r="I38" s="143" t="e">
        <f>'Significance Tests'!Y45*'Significance Tests'!S45+'Significance Tests'!Y46*'Significance Tests'!S46</f>
        <v>#REF!</v>
      </c>
      <c r="J38" s="143"/>
      <c r="K38" t="s">
        <v>394</v>
      </c>
      <c r="L38" s="143" t="e">
        <f>'Significance Tests'!Y55*'Significance Tests'!S55</f>
        <v>#REF!</v>
      </c>
      <c r="M38" s="143"/>
    </row>
    <row r="39" spans="1:13" x14ac:dyDescent="0.35">
      <c r="A39" s="144"/>
      <c r="B39" t="s">
        <v>95</v>
      </c>
      <c r="C39" s="143" t="e">
        <f>'Significance Tests'!Y33*'Significance Tests'!S33+'Significance Tests'!Y35*'Significance Tests'!S35</f>
        <v>#REF!</v>
      </c>
      <c r="D39" s="143"/>
      <c r="E39" t="s">
        <v>95</v>
      </c>
      <c r="F39" s="143" t="e">
        <f>'Significance Tests'!Y40*'Significance Tests'!S40+'Significance Tests'!Y41*'Significance Tests'!S41</f>
        <v>#REF!</v>
      </c>
      <c r="G39" s="143"/>
      <c r="H39" t="s">
        <v>95</v>
      </c>
      <c r="I39" s="143" t="e">
        <f>'Significance Tests'!Y48*'Significance Tests'!S48+'Significance Tests'!Y47*'Significance Tests'!S47</f>
        <v>#REF!</v>
      </c>
      <c r="J39" s="143"/>
      <c r="K39" t="s">
        <v>95</v>
      </c>
      <c r="L39" s="143" t="e">
        <f>'Significance Tests'!Y56*'Significance Tests'!S56</f>
        <v>#REF!</v>
      </c>
      <c r="M39" s="143"/>
    </row>
    <row r="40" spans="1:13" x14ac:dyDescent="0.35">
      <c r="A40" s="144"/>
      <c r="B40" t="s">
        <v>88</v>
      </c>
      <c r="C40" s="143" t="s">
        <v>59</v>
      </c>
      <c r="D40" s="143"/>
      <c r="E40" t="s">
        <v>88</v>
      </c>
      <c r="F40" s="143" t="e">
        <f>'Significance Tests'!Y42*'Significance Tests'!S42</f>
        <v>#REF!</v>
      </c>
      <c r="G40" s="143"/>
      <c r="H40" t="s">
        <v>88</v>
      </c>
      <c r="I40" s="143" t="e">
        <f>'Significance Tests'!Y49*'Significance Tests'!S49+'Significance Tests'!Y51*'Significance Tests'!S51+'Significance Tests'!Y52*'Significance Tests'!S52+'Significance Tests'!Y53*'Significance Tests'!S53</f>
        <v>#REF!</v>
      </c>
      <c r="J40" s="143"/>
      <c r="K40" t="s">
        <v>88</v>
      </c>
      <c r="L40" s="143" t="s">
        <v>59</v>
      </c>
      <c r="M40" s="143"/>
    </row>
    <row r="41" spans="1:13" x14ac:dyDescent="0.35">
      <c r="A41" s="144"/>
      <c r="B41" t="s">
        <v>89</v>
      </c>
      <c r="C41" s="143" t="e">
        <f>'Significance Tests'!Y38*'Significance Tests'!S38</f>
        <v>#REF!</v>
      </c>
      <c r="D41" s="143"/>
      <c r="E41" t="s">
        <v>89</v>
      </c>
      <c r="F41" s="143" t="e">
        <f>'Significance Tests'!Y44*'Significance Tests'!S44</f>
        <v>#REF!</v>
      </c>
      <c r="G41" s="143"/>
      <c r="H41" t="s">
        <v>89</v>
      </c>
      <c r="I41" s="143" t="e">
        <f>'Significance Tests'!Y54*'Significance Tests'!S54</f>
        <v>#REF!</v>
      </c>
      <c r="J41" s="143"/>
      <c r="K41" t="s">
        <v>89</v>
      </c>
      <c r="L41" s="143" t="e">
        <f>'Significance Tests'!Y58*'Significance Tests'!S58</f>
        <v>#REF!</v>
      </c>
      <c r="M41" s="143"/>
    </row>
    <row r="42" spans="1:13" s="64" customFormat="1" x14ac:dyDescent="0.35"/>
    <row r="43" spans="1:13" x14ac:dyDescent="0.35">
      <c r="A43" t="s">
        <v>249</v>
      </c>
      <c r="B43" t="s">
        <v>32</v>
      </c>
      <c r="E43" t="s">
        <v>90</v>
      </c>
      <c r="H43" t="s">
        <v>174</v>
      </c>
      <c r="K43" t="s">
        <v>175</v>
      </c>
    </row>
    <row r="44" spans="1:13" x14ac:dyDescent="0.35">
      <c r="B44" s="143" t="e">
        <f>100-ROUND(C45*$N$3+C46*$N$4+C47*$N$5+C48*$N$6,1)</f>
        <v>#REF!</v>
      </c>
      <c r="C44" s="143"/>
      <c r="D44" s="143"/>
      <c r="E44" s="143" t="e">
        <f>100-ROUND(F45*$N$3+F46*$N$4+F47*$N$5+F48*$N$6,1)</f>
        <v>#REF!</v>
      </c>
      <c r="F44" s="143"/>
      <c r="G44" s="143"/>
      <c r="H44" s="143" t="e">
        <f>100-ROUND(I45*$N$3+I46*$N$4+I47*$N$5+I48*$N$6,1)</f>
        <v>#REF!</v>
      </c>
      <c r="I44" s="143"/>
      <c r="J44" s="143"/>
      <c r="K44" s="143" t="e">
        <f>100-(ROUND(L45*$N$3+L46*$N$5+L48*$N$5,1)/0.9)</f>
        <v>#REF!</v>
      </c>
      <c r="L44" s="143"/>
      <c r="M44" s="143"/>
    </row>
    <row r="45" spans="1:13" x14ac:dyDescent="0.35">
      <c r="B45" t="s">
        <v>394</v>
      </c>
      <c r="C45" t="e">
        <f>'Significance Tests'!Z2*'Significance Tests'!S2+'Significance Tests'!Z3*'Significance Tests'!S3</f>
        <v>#REF!</v>
      </c>
      <c r="E45" t="s">
        <v>394</v>
      </c>
      <c r="F45" t="e">
        <f>'Significance Tests'!Z10*'Significance Tests'!S10</f>
        <v>#REF!</v>
      </c>
      <c r="H45" t="s">
        <v>394</v>
      </c>
      <c r="I45" t="e">
        <f>'Significance Tests'!Z17*'Significance Tests'!S17+'Significance Tests'!Z18*'Significance Tests'!S18</f>
        <v>#REF!</v>
      </c>
      <c r="K45" t="s">
        <v>394</v>
      </c>
      <c r="L45" t="e">
        <f>'Significance Tests'!Z27*'Significance Tests'!S27</f>
        <v>#REF!</v>
      </c>
    </row>
    <row r="46" spans="1:13" x14ac:dyDescent="0.35">
      <c r="B46" t="s">
        <v>95</v>
      </c>
      <c r="C46" t="e">
        <f>'Significance Tests'!Z5*'Significance Tests'!S5+'Significance Tests'!Z4*'Significance Tests'!S4</f>
        <v>#REF!</v>
      </c>
      <c r="E46" t="s">
        <v>95</v>
      </c>
      <c r="F46" t="e">
        <f>'Significance Tests'!Z11*'Significance Tests'!S11+'Significance Tests'!Z12*'Significance Tests'!S12</f>
        <v>#REF!</v>
      </c>
      <c r="H46" t="s">
        <v>95</v>
      </c>
      <c r="I46" t="e">
        <f>'Significance Tests'!Z20*'Significance Tests'!S20+'Significance Tests'!Z19*'Significance Tests'!S19</f>
        <v>#REF!</v>
      </c>
      <c r="K46" t="s">
        <v>95</v>
      </c>
      <c r="L46" t="e">
        <f>'Significance Tests'!Z28*'Significance Tests'!S28</f>
        <v>#REF!</v>
      </c>
    </row>
    <row r="47" spans="1:13" x14ac:dyDescent="0.35">
      <c r="B47" t="s">
        <v>88</v>
      </c>
      <c r="C47" t="e">
        <f>'Significance Tests'!Z7*'Significance Tests'!S7+'Significance Tests'!Z6*'Significance Tests'!S6</f>
        <v>#REF!</v>
      </c>
      <c r="E47" t="s">
        <v>88</v>
      </c>
      <c r="F47" t="e">
        <f>'Significance Tests'!Z15*'Significance Tests'!S15+'Significance Tests'!Z14*'Significance Tests'!S14+'Significance Tests'!Z13*'Significance Tests'!S13</f>
        <v>#REF!</v>
      </c>
      <c r="H47" t="s">
        <v>88</v>
      </c>
      <c r="I47" t="e">
        <f>'Significance Tests'!Z21*'Significance Tests'!S21+'Significance Tests'!Z23*'Significance Tests'!S23+'Significance Tests'!Z24*'Significance Tests'!S24+'Significance Tests'!Z25*'Significance Tests'!S25</f>
        <v>#REF!</v>
      </c>
      <c r="K47" t="s">
        <v>88</v>
      </c>
      <c r="L47" t="s">
        <v>59</v>
      </c>
    </row>
    <row r="48" spans="1:13" x14ac:dyDescent="0.35">
      <c r="B48" t="s">
        <v>89</v>
      </c>
      <c r="C48" t="e">
        <f>'Significance Tests'!Z9*'Significance Tests'!S9</f>
        <v>#REF!</v>
      </c>
      <c r="E48" t="s">
        <v>89</v>
      </c>
      <c r="F48" t="e">
        <f>'Significance Tests'!Z16*'Significance Tests'!S16</f>
        <v>#REF!</v>
      </c>
      <c r="H48" t="s">
        <v>89</v>
      </c>
      <c r="I48" t="e">
        <f>'Significance Tests'!Z26*'Significance Tests'!S26</f>
        <v>#REF!</v>
      </c>
      <c r="K48" t="s">
        <v>89</v>
      </c>
      <c r="L48" t="e">
        <f>'Significance Tests'!Z30*'Significance Tests'!S30</f>
        <v>#REF!</v>
      </c>
    </row>
    <row r="50" spans="1:13" x14ac:dyDescent="0.35">
      <c r="A50" t="s">
        <v>176</v>
      </c>
      <c r="B50" t="s">
        <v>32</v>
      </c>
      <c r="E50" t="s">
        <v>90</v>
      </c>
      <c r="H50" t="s">
        <v>174</v>
      </c>
      <c r="K50" t="s">
        <v>175</v>
      </c>
    </row>
    <row r="51" spans="1:13" x14ac:dyDescent="0.35">
      <c r="B51" s="143" t="e">
        <f>100-((ROUND(C52*$N$3+C53*$N$4+C55*$N$6,1))/0.9)</f>
        <v>#REF!</v>
      </c>
      <c r="C51" s="143"/>
      <c r="D51" s="143"/>
      <c r="E51" s="143" t="e">
        <f>100-ROUND(F52*$N$3+F53*$N$4+F54*$N$5+F55*$N$6,1)</f>
        <v>#REF!</v>
      </c>
      <c r="F51" s="143"/>
      <c r="G51" s="143"/>
      <c r="H51" s="143" t="e">
        <f>100-ROUND(I52*$N$3+I53*$N$4+I54*$N$5+I55*$N$6,1)</f>
        <v>#REF!</v>
      </c>
      <c r="I51" s="143"/>
      <c r="J51" s="143"/>
      <c r="K51" s="143" t="e">
        <f>100-((ROUND(L52*$N$3+L53*$N$4+L55*$N$6,1))/0.9)</f>
        <v>#REF!</v>
      </c>
      <c r="L51" s="143"/>
      <c r="M51" s="143"/>
    </row>
    <row r="52" spans="1:13" x14ac:dyDescent="0.35">
      <c r="B52" t="s">
        <v>394</v>
      </c>
      <c r="C52" t="e">
        <f>'Significance Tests'!Z32*'Significance Tests'!S32+'Significance Tests'!Z34*'Significance Tests'!S34</f>
        <v>#REF!</v>
      </c>
      <c r="E52" t="s">
        <v>394</v>
      </c>
      <c r="F52" t="e">
        <f>'Significance Tests'!Z39*'Significance Tests'!S39</f>
        <v>#REF!</v>
      </c>
      <c r="H52" t="s">
        <v>394</v>
      </c>
      <c r="I52" t="e">
        <f>'Significance Tests'!Z45*'Significance Tests'!S45+'Significance Tests'!Z46*'Significance Tests'!S46</f>
        <v>#REF!</v>
      </c>
      <c r="K52" t="s">
        <v>394</v>
      </c>
      <c r="L52" t="e">
        <f>'Significance Tests'!Z55*'Significance Tests'!S55</f>
        <v>#REF!</v>
      </c>
    </row>
    <row r="53" spans="1:13" x14ac:dyDescent="0.35">
      <c r="B53" t="s">
        <v>95</v>
      </c>
      <c r="C53" t="e">
        <f>'Significance Tests'!Z33*'Significance Tests'!S33+'Significance Tests'!Z35*'Significance Tests'!S35</f>
        <v>#REF!</v>
      </c>
      <c r="E53" t="s">
        <v>95</v>
      </c>
      <c r="F53" t="e">
        <f>'Significance Tests'!Z40*'Significance Tests'!S40+'Significance Tests'!Z41*'Significance Tests'!S41</f>
        <v>#REF!</v>
      </c>
      <c r="H53" t="s">
        <v>95</v>
      </c>
      <c r="I53" t="e">
        <f>'Significance Tests'!Z48*'Significance Tests'!S48+'Significance Tests'!Z47*'Significance Tests'!S47</f>
        <v>#REF!</v>
      </c>
      <c r="K53" t="s">
        <v>95</v>
      </c>
      <c r="L53" t="e">
        <f>'Significance Tests'!Z56*'Significance Tests'!S56</f>
        <v>#REF!</v>
      </c>
    </row>
    <row r="54" spans="1:13" x14ac:dyDescent="0.35">
      <c r="B54" t="s">
        <v>88</v>
      </c>
      <c r="C54" t="s">
        <v>59</v>
      </c>
      <c r="E54" t="s">
        <v>88</v>
      </c>
      <c r="F54" t="e">
        <f>'Significance Tests'!Z42*'Significance Tests'!S42</f>
        <v>#REF!</v>
      </c>
      <c r="H54" t="s">
        <v>88</v>
      </c>
      <c r="I54" t="e">
        <f>'Significance Tests'!Z49*'Significance Tests'!S49+'Significance Tests'!Z51*'Significance Tests'!S51+'Significance Tests'!Z52*'Significance Tests'!S52+'Significance Tests'!Z53*'Significance Tests'!S53</f>
        <v>#REF!</v>
      </c>
      <c r="K54" t="s">
        <v>88</v>
      </c>
      <c r="L54" t="s">
        <v>59</v>
      </c>
    </row>
    <row r="55" spans="1:13" x14ac:dyDescent="0.35">
      <c r="B55" t="s">
        <v>89</v>
      </c>
      <c r="C55" t="e">
        <f>'Significance Tests'!Z38*'Significance Tests'!S38</f>
        <v>#REF!</v>
      </c>
      <c r="E55" t="s">
        <v>89</v>
      </c>
      <c r="F55" t="e">
        <f>'Significance Tests'!Z44*'Significance Tests'!S44</f>
        <v>#REF!</v>
      </c>
      <c r="H55" t="s">
        <v>89</v>
      </c>
      <c r="I55" t="e">
        <f>'Significance Tests'!Z54*'Significance Tests'!S54</f>
        <v>#REF!</v>
      </c>
      <c r="K55" t="s">
        <v>89</v>
      </c>
      <c r="L55" t="e">
        <f>'Significance Tests'!Z58*'Significance Tests'!S58</f>
        <v>#REF!</v>
      </c>
    </row>
    <row r="56" spans="1:13" s="64" customFormat="1" x14ac:dyDescent="0.35"/>
    <row r="57" spans="1:13" x14ac:dyDescent="0.35">
      <c r="A57" t="s">
        <v>249</v>
      </c>
      <c r="B57" t="s">
        <v>32</v>
      </c>
      <c r="E57" t="s">
        <v>90</v>
      </c>
      <c r="H57" t="s">
        <v>174</v>
      </c>
      <c r="K57" t="s">
        <v>175</v>
      </c>
    </row>
    <row r="58" spans="1:13" x14ac:dyDescent="0.35">
      <c r="B58" s="143" t="e">
        <f>100-ROUND(C59*$N$3+C60*$N$4+C61*$N$5+C62*$N$6,1)</f>
        <v>#REF!</v>
      </c>
      <c r="C58" s="143"/>
      <c r="D58" s="143"/>
      <c r="E58" s="143" t="e">
        <f t="shared" ref="E58" si="14">100-ROUND(F59*$N$3+F60*$N$4+F61*$N$5+F62*$N$6,1)</f>
        <v>#REF!</v>
      </c>
      <c r="F58" s="143"/>
      <c r="G58" s="143"/>
      <c r="H58" s="143" t="e">
        <f t="shared" ref="H58" si="15">100-ROUND(I59*$N$3+I60*$N$4+I61*$N$5+I62*$N$6,1)</f>
        <v>#REF!</v>
      </c>
      <c r="I58" s="143"/>
      <c r="J58" s="143"/>
      <c r="K58" s="143" t="e">
        <f>100-(ROUND(L59*$N$3+L60*$N$5+L62*$N$5,1)/0.9)</f>
        <v>#REF!</v>
      </c>
      <c r="L58" s="143"/>
      <c r="M58" s="143"/>
    </row>
    <row r="59" spans="1:13" x14ac:dyDescent="0.35">
      <c r="B59" t="s">
        <v>394</v>
      </c>
      <c r="C59" t="e">
        <f>'Significance Tests'!Z2*'Significance Tests'!S2+'Significance Tests'!Z3*'Significance Tests'!S3</f>
        <v>#REF!</v>
      </c>
      <c r="D59" t="e">
        <f>100-C59</f>
        <v>#REF!</v>
      </c>
      <c r="E59" t="s">
        <v>394</v>
      </c>
      <c r="F59" t="e">
        <f>'Significance Tests'!Q10*'Significance Tests'!S10</f>
        <v>#REF!</v>
      </c>
      <c r="G59" t="e">
        <f>100-F59</f>
        <v>#REF!</v>
      </c>
      <c r="H59" t="s">
        <v>394</v>
      </c>
      <c r="I59" t="e">
        <f>'Significance Tests'!Q17*'Significance Tests'!S17+'Significance Tests'!Q18*'Significance Tests'!S18</f>
        <v>#REF!</v>
      </c>
      <c r="J59" t="e">
        <f>100-I59</f>
        <v>#REF!</v>
      </c>
      <c r="K59" t="s">
        <v>394</v>
      </c>
      <c r="L59" t="e">
        <f>'Significance Tests'!Q27*'Significance Tests'!S27</f>
        <v>#REF!</v>
      </c>
      <c r="M59" t="e">
        <f>100-L59</f>
        <v>#REF!</v>
      </c>
    </row>
    <row r="60" spans="1:13" x14ac:dyDescent="0.35">
      <c r="B60" t="s">
        <v>95</v>
      </c>
      <c r="C60" t="e">
        <f>'Significance Tests'!Q5*'Significance Tests'!S5+'Significance Tests'!Q4*'Significance Tests'!S4</f>
        <v>#REF!</v>
      </c>
      <c r="D60" t="e">
        <f t="shared" ref="D60:D62" si="16">100-C60</f>
        <v>#REF!</v>
      </c>
      <c r="E60" t="s">
        <v>95</v>
      </c>
      <c r="F60" t="e">
        <f>'Significance Tests'!Q11*'Significance Tests'!S11+'Significance Tests'!Q12*'Significance Tests'!S12</f>
        <v>#REF!</v>
      </c>
      <c r="G60" t="e">
        <f t="shared" ref="G60:G62" si="17">100-F60</f>
        <v>#REF!</v>
      </c>
      <c r="H60" t="s">
        <v>95</v>
      </c>
      <c r="I60" t="e">
        <f>'Significance Tests'!Q20*'Significance Tests'!S20+'Significance Tests'!Q19*'Significance Tests'!S19</f>
        <v>#REF!</v>
      </c>
      <c r="J60" t="e">
        <f t="shared" ref="J60:J62" si="18">100-I60</f>
        <v>#REF!</v>
      </c>
      <c r="K60" t="s">
        <v>95</v>
      </c>
      <c r="L60" t="e">
        <f>'Significance Tests'!Q28*'Significance Tests'!S28</f>
        <v>#REF!</v>
      </c>
      <c r="M60" t="e">
        <f t="shared" ref="M60:M62" si="19">100-L60</f>
        <v>#REF!</v>
      </c>
    </row>
    <row r="61" spans="1:13" x14ac:dyDescent="0.35">
      <c r="B61" t="s">
        <v>88</v>
      </c>
      <c r="C61" t="e">
        <f>'Significance Tests'!Q7*'Significance Tests'!S7+'Significance Tests'!Q6*'Significance Tests'!S6</f>
        <v>#REF!</v>
      </c>
      <c r="D61" t="e">
        <f t="shared" si="16"/>
        <v>#REF!</v>
      </c>
      <c r="E61" t="s">
        <v>88</v>
      </c>
      <c r="F61" t="e">
        <f>'Significance Tests'!Q15*'Significance Tests'!S15+'Significance Tests'!Q14*'Significance Tests'!S14+'Significance Tests'!Q13*'Significance Tests'!S13</f>
        <v>#REF!</v>
      </c>
      <c r="G61" t="e">
        <f t="shared" si="17"/>
        <v>#REF!</v>
      </c>
      <c r="H61" t="s">
        <v>88</v>
      </c>
      <c r="I61" t="e">
        <f>'Significance Tests'!Q21*'Significance Tests'!S21+'Significance Tests'!Q23*'Significance Tests'!S23+'Significance Tests'!Q24*'Significance Tests'!S24+'Significance Tests'!Q25*'Significance Tests'!S25</f>
        <v>#REF!</v>
      </c>
      <c r="J61" t="e">
        <f t="shared" si="18"/>
        <v>#REF!</v>
      </c>
      <c r="K61" t="s">
        <v>88</v>
      </c>
      <c r="L61" t="s">
        <v>59</v>
      </c>
      <c r="M61" t="s">
        <v>59</v>
      </c>
    </row>
    <row r="62" spans="1:13" x14ac:dyDescent="0.35">
      <c r="B62" t="s">
        <v>89</v>
      </c>
      <c r="C62" t="e">
        <f>'Significance Tests'!Q9*'Significance Tests'!S9</f>
        <v>#REF!</v>
      </c>
      <c r="D62" t="e">
        <f t="shared" si="16"/>
        <v>#REF!</v>
      </c>
      <c r="E62" t="s">
        <v>89</v>
      </c>
      <c r="F62" t="e">
        <f>'Significance Tests'!Q16*'Significance Tests'!S16</f>
        <v>#REF!</v>
      </c>
      <c r="G62" t="e">
        <f t="shared" si="17"/>
        <v>#REF!</v>
      </c>
      <c r="H62" t="s">
        <v>89</v>
      </c>
      <c r="I62" t="e">
        <f>'Significance Tests'!Q26*'Significance Tests'!S26</f>
        <v>#REF!</v>
      </c>
      <c r="J62" t="e">
        <f t="shared" si="18"/>
        <v>#REF!</v>
      </c>
      <c r="K62" t="s">
        <v>89</v>
      </c>
      <c r="L62" t="e">
        <f>'Significance Tests'!Q30*'Significance Tests'!S30</f>
        <v>#REF!</v>
      </c>
      <c r="M62" t="e">
        <f t="shared" si="19"/>
        <v>#REF!</v>
      </c>
    </row>
    <row r="64" spans="1:13" x14ac:dyDescent="0.35">
      <c r="A64" t="s">
        <v>176</v>
      </c>
      <c r="B64" t="s">
        <v>32</v>
      </c>
      <c r="E64" t="s">
        <v>90</v>
      </c>
      <c r="H64" t="s">
        <v>174</v>
      </c>
      <c r="K64" t="s">
        <v>175</v>
      </c>
    </row>
    <row r="65" spans="2:13" x14ac:dyDescent="0.35">
      <c r="B65" s="143" t="e">
        <f>100-((ROUND(C66*$N$3+C67*$N$4+C69*$N$6,1))/0.9)</f>
        <v>#REF!</v>
      </c>
      <c r="C65" s="143"/>
      <c r="D65" s="143"/>
      <c r="E65" s="143" t="e">
        <f>100-ROUND(F66*$N$3+F67*$N$4+F68*$N$5+F69*$N$6,1)</f>
        <v>#REF!</v>
      </c>
      <c r="F65" s="143"/>
      <c r="G65" s="143"/>
      <c r="H65" s="143" t="e">
        <f>100-ROUND(I66*$N$3+I67*$N$4+I68*$N$5+I69*$N$6,1)</f>
        <v>#REF!</v>
      </c>
      <c r="I65" s="143"/>
      <c r="J65" s="143"/>
      <c r="K65" s="143" t="e">
        <f>100-((ROUND(L66*$N$3+L67*$N$4+L69*$N$6,1))/0.9)</f>
        <v>#REF!</v>
      </c>
      <c r="L65" s="143"/>
      <c r="M65" s="143"/>
    </row>
    <row r="66" spans="2:13" x14ac:dyDescent="0.35">
      <c r="B66" t="s">
        <v>394</v>
      </c>
      <c r="C66" t="e">
        <f>'Significance Tests'!Q32*'Significance Tests'!S32+'Significance Tests'!Q34*'Significance Tests'!S34</f>
        <v>#REF!</v>
      </c>
      <c r="D66" t="e">
        <f>100-C66</f>
        <v>#REF!</v>
      </c>
      <c r="E66" t="s">
        <v>394</v>
      </c>
      <c r="F66" t="e">
        <f>'Significance Tests'!Q39*'Significance Tests'!S39</f>
        <v>#REF!</v>
      </c>
      <c r="G66" t="e">
        <f>100-F66</f>
        <v>#REF!</v>
      </c>
      <c r="H66" t="s">
        <v>394</v>
      </c>
      <c r="I66" t="e">
        <f>'Significance Tests'!Q45*'Significance Tests'!S45+'Significance Tests'!Q46*'Significance Tests'!S46</f>
        <v>#REF!</v>
      </c>
      <c r="J66" t="e">
        <f>100-I66</f>
        <v>#REF!</v>
      </c>
      <c r="K66" t="s">
        <v>394</v>
      </c>
      <c r="L66" t="e">
        <f>'Significance Tests'!Q55*'Significance Tests'!S55</f>
        <v>#REF!</v>
      </c>
      <c r="M66" t="e">
        <f>100-L66</f>
        <v>#REF!</v>
      </c>
    </row>
    <row r="67" spans="2:13" x14ac:dyDescent="0.35">
      <c r="B67" t="s">
        <v>95</v>
      </c>
      <c r="C67" t="e">
        <f>'Significance Tests'!Q33*'Significance Tests'!S33+'Significance Tests'!Q35*'Significance Tests'!S35</f>
        <v>#REF!</v>
      </c>
      <c r="D67" t="e">
        <f t="shared" ref="D67" si="20">100-C67</f>
        <v>#REF!</v>
      </c>
      <c r="E67" t="s">
        <v>95</v>
      </c>
      <c r="F67" t="e">
        <f>'Significance Tests'!Q40*'Significance Tests'!S40+'Significance Tests'!Q41*'Significance Tests'!S41</f>
        <v>#REF!</v>
      </c>
      <c r="G67" t="e">
        <f t="shared" ref="G67:G69" si="21">100-F67</f>
        <v>#REF!</v>
      </c>
      <c r="H67" t="s">
        <v>95</v>
      </c>
      <c r="I67" t="e">
        <f>'Significance Tests'!Q48*'Significance Tests'!S48+'Significance Tests'!Q47*'Significance Tests'!S47</f>
        <v>#REF!</v>
      </c>
      <c r="J67" t="e">
        <f t="shared" ref="J67:J69" si="22">100-I67</f>
        <v>#REF!</v>
      </c>
      <c r="K67" t="s">
        <v>95</v>
      </c>
      <c r="L67" t="e">
        <f>'Significance Tests'!Q56*'Significance Tests'!S56</f>
        <v>#REF!</v>
      </c>
      <c r="M67" t="e">
        <f t="shared" ref="M67:M69" si="23">100-L67</f>
        <v>#REF!</v>
      </c>
    </row>
    <row r="68" spans="2:13" x14ac:dyDescent="0.35">
      <c r="B68" t="s">
        <v>88</v>
      </c>
      <c r="C68" t="s">
        <v>59</v>
      </c>
      <c r="E68" t="s">
        <v>88</v>
      </c>
      <c r="F68" t="e">
        <f>'Significance Tests'!Q42*'Significance Tests'!S42</f>
        <v>#REF!</v>
      </c>
      <c r="G68" t="e">
        <f t="shared" si="21"/>
        <v>#REF!</v>
      </c>
      <c r="H68" t="s">
        <v>88</v>
      </c>
      <c r="I68" t="e">
        <f>'Significance Tests'!Q49*'Significance Tests'!S49+'Significance Tests'!Q51*'Significance Tests'!S51+'Significance Tests'!Q52*'Significance Tests'!S52+'Significance Tests'!Q53*'Significance Tests'!S53</f>
        <v>#REF!</v>
      </c>
      <c r="J68" t="e">
        <f t="shared" si="22"/>
        <v>#REF!</v>
      </c>
      <c r="K68" t="s">
        <v>88</v>
      </c>
      <c r="L68" t="s">
        <v>59</v>
      </c>
    </row>
    <row r="69" spans="2:13" x14ac:dyDescent="0.35">
      <c r="B69" t="s">
        <v>89</v>
      </c>
      <c r="C69" t="e">
        <f>'Significance Tests'!Q38*'Significance Tests'!S38</f>
        <v>#REF!</v>
      </c>
      <c r="D69" t="e">
        <f>100-C69</f>
        <v>#REF!</v>
      </c>
      <c r="E69" t="s">
        <v>89</v>
      </c>
      <c r="F69" t="e">
        <f>'Significance Tests'!Q44*'Significance Tests'!S44</f>
        <v>#REF!</v>
      </c>
      <c r="G69" t="e">
        <f t="shared" si="21"/>
        <v>#REF!</v>
      </c>
      <c r="H69" t="s">
        <v>89</v>
      </c>
      <c r="I69" t="e">
        <f>'Significance Tests'!Q54*'Significance Tests'!S54</f>
        <v>#REF!</v>
      </c>
      <c r="J69" t="e">
        <f t="shared" si="22"/>
        <v>#REF!</v>
      </c>
      <c r="K69" t="s">
        <v>89</v>
      </c>
      <c r="L69" t="e">
        <f>'Significance Tests'!Q58*'Significance Tests'!S58</f>
        <v>#REF!</v>
      </c>
      <c r="M69" t="e">
        <f t="shared" si="23"/>
        <v>#REF!</v>
      </c>
    </row>
  </sheetData>
  <mergeCells count="135">
    <mergeCell ref="B51:D51"/>
    <mergeCell ref="E51:G51"/>
    <mergeCell ref="H51:J51"/>
    <mergeCell ref="K51:M51"/>
    <mergeCell ref="B58:D58"/>
    <mergeCell ref="E58:G58"/>
    <mergeCell ref="H58:J58"/>
    <mergeCell ref="K58:M58"/>
    <mergeCell ref="B65:D65"/>
    <mergeCell ref="E65:G65"/>
    <mergeCell ref="H65:J65"/>
    <mergeCell ref="K65:M65"/>
    <mergeCell ref="C38:D38"/>
    <mergeCell ref="C39:D39"/>
    <mergeCell ref="C40:D40"/>
    <mergeCell ref="C41:D41"/>
    <mergeCell ref="F38:G38"/>
    <mergeCell ref="I38:J38"/>
    <mergeCell ref="A35:M35"/>
    <mergeCell ref="B44:D44"/>
    <mergeCell ref="E44:G44"/>
    <mergeCell ref="H44:J44"/>
    <mergeCell ref="K44:M44"/>
    <mergeCell ref="L38:M38"/>
    <mergeCell ref="F39:G39"/>
    <mergeCell ref="F40:G40"/>
    <mergeCell ref="F41:G41"/>
    <mergeCell ref="I39:J39"/>
    <mergeCell ref="I40:J40"/>
    <mergeCell ref="I41:J41"/>
    <mergeCell ref="L39:M39"/>
    <mergeCell ref="L40:M40"/>
    <mergeCell ref="L41:M41"/>
    <mergeCell ref="L32:M32"/>
    <mergeCell ref="L33:M33"/>
    <mergeCell ref="L34:M34"/>
    <mergeCell ref="B37:D37"/>
    <mergeCell ref="E37:G37"/>
    <mergeCell ref="H37:J37"/>
    <mergeCell ref="K37:M37"/>
    <mergeCell ref="C31:D31"/>
    <mergeCell ref="C32:D32"/>
    <mergeCell ref="C33:D33"/>
    <mergeCell ref="C34:D34"/>
    <mergeCell ref="F31:G31"/>
    <mergeCell ref="F32:G32"/>
    <mergeCell ref="B36:D36"/>
    <mergeCell ref="E36:G36"/>
    <mergeCell ref="H36:J36"/>
    <mergeCell ref="K36:M36"/>
    <mergeCell ref="F33:G33"/>
    <mergeCell ref="F34:G34"/>
    <mergeCell ref="A29:A34"/>
    <mergeCell ref="A36:A41"/>
    <mergeCell ref="E15:G15"/>
    <mergeCell ref="H15:J15"/>
    <mergeCell ref="K15:M15"/>
    <mergeCell ref="B29:D29"/>
    <mergeCell ref="E29:G29"/>
    <mergeCell ref="H29:J29"/>
    <mergeCell ref="K29:M29"/>
    <mergeCell ref="E22:G22"/>
    <mergeCell ref="L24:M24"/>
    <mergeCell ref="L25:M25"/>
    <mergeCell ref="L26:M26"/>
    <mergeCell ref="L27:M27"/>
    <mergeCell ref="A22:A27"/>
    <mergeCell ref="H22:J22"/>
    <mergeCell ref="I24:J24"/>
    <mergeCell ref="I31:J31"/>
    <mergeCell ref="I32:J32"/>
    <mergeCell ref="I33:J33"/>
    <mergeCell ref="I34:J34"/>
    <mergeCell ref="K23:M23"/>
    <mergeCell ref="K22:M22"/>
    <mergeCell ref="L31:M31"/>
    <mergeCell ref="E23:G23"/>
    <mergeCell ref="F24:G24"/>
    <mergeCell ref="F25:G25"/>
    <mergeCell ref="F26:G26"/>
    <mergeCell ref="F27:G27"/>
    <mergeCell ref="H23:J23"/>
    <mergeCell ref="B30:D30"/>
    <mergeCell ref="E30:G30"/>
    <mergeCell ref="H30:J30"/>
    <mergeCell ref="K30:M30"/>
    <mergeCell ref="B23:D23"/>
    <mergeCell ref="B22:D22"/>
    <mergeCell ref="C24:D24"/>
    <mergeCell ref="C25:D25"/>
    <mergeCell ref="C26:D26"/>
    <mergeCell ref="C27:D27"/>
    <mergeCell ref="I17:J17"/>
    <mergeCell ref="I18:J18"/>
    <mergeCell ref="I19:J19"/>
    <mergeCell ref="I20:J20"/>
    <mergeCell ref="I25:J25"/>
    <mergeCell ref="I26:J26"/>
    <mergeCell ref="I27:J27"/>
    <mergeCell ref="L17:M17"/>
    <mergeCell ref="L18:M18"/>
    <mergeCell ref="L19:M19"/>
    <mergeCell ref="L20:M20"/>
    <mergeCell ref="C17:D17"/>
    <mergeCell ref="C18:D18"/>
    <mergeCell ref="C19:D19"/>
    <mergeCell ref="C20:D20"/>
    <mergeCell ref="F17:G17"/>
    <mergeCell ref="F19:G19"/>
    <mergeCell ref="F18:G18"/>
    <mergeCell ref="F20:G20"/>
    <mergeCell ref="B16:D16"/>
    <mergeCell ref="E16:G16"/>
    <mergeCell ref="H16:J16"/>
    <mergeCell ref="K16:M16"/>
    <mergeCell ref="B15:D15"/>
    <mergeCell ref="A8:A13"/>
    <mergeCell ref="B8:D8"/>
    <mergeCell ref="E8:G8"/>
    <mergeCell ref="H8:J8"/>
    <mergeCell ref="K8:M8"/>
    <mergeCell ref="B9:D9"/>
    <mergeCell ref="E9:G9"/>
    <mergeCell ref="H9:J9"/>
    <mergeCell ref="K9:M9"/>
    <mergeCell ref="A15:A20"/>
    <mergeCell ref="B1:D1"/>
    <mergeCell ref="E1:G1"/>
    <mergeCell ref="H1:J1"/>
    <mergeCell ref="K1:M1"/>
    <mergeCell ref="A1:A6"/>
    <mergeCell ref="B2:D2"/>
    <mergeCell ref="E2:G2"/>
    <mergeCell ref="H2:J2"/>
    <mergeCell ref="K2:M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325D4-7445-4CAF-8F39-A7DEC9579B72}">
  <dimension ref="A1:P14"/>
  <sheetViews>
    <sheetView workbookViewId="0">
      <selection activeCell="C10" sqref="C10:D10"/>
    </sheetView>
  </sheetViews>
  <sheetFormatPr defaultRowHeight="14.5" x14ac:dyDescent="0.35"/>
  <cols>
    <col min="2" max="2" width="11.81640625" customWidth="1"/>
    <col min="5" max="5" width="10.453125" customWidth="1"/>
    <col min="8" max="8" width="11.08984375" customWidth="1"/>
    <col min="11" max="11" width="9.81640625" customWidth="1"/>
  </cols>
  <sheetData>
    <row r="1" spans="1:16" ht="14.5" customHeight="1" x14ac:dyDescent="0.35">
      <c r="A1" s="144" t="s">
        <v>249</v>
      </c>
      <c r="B1" s="143" t="s">
        <v>32</v>
      </c>
      <c r="C1" s="143"/>
      <c r="D1" s="143"/>
      <c r="E1" s="143" t="s">
        <v>90</v>
      </c>
      <c r="F1" s="143"/>
      <c r="G1" s="143"/>
      <c r="H1" s="143" t="s">
        <v>174</v>
      </c>
      <c r="I1" s="143"/>
      <c r="J1" s="143"/>
      <c r="K1" s="143" t="s">
        <v>175</v>
      </c>
      <c r="L1" s="143"/>
      <c r="M1" s="143"/>
      <c r="P1" s="46" t="s">
        <v>346</v>
      </c>
    </row>
    <row r="2" spans="1:16" x14ac:dyDescent="0.35">
      <c r="A2" s="144"/>
      <c r="B2" s="143">
        <f>ROUND(C3*P2+C4*P3+C5*P4+C6*P5,1)</f>
        <v>70</v>
      </c>
      <c r="C2" s="143"/>
      <c r="D2" s="143"/>
      <c r="E2" s="143">
        <f>ROUND(F3*P2+F4*P3+F5*P4+F6*P5,1)</f>
        <v>74.099999999999994</v>
      </c>
      <c r="F2" s="143"/>
      <c r="G2" s="143"/>
      <c r="H2" s="143">
        <f>ROUND(I3*P2+I4*P3+I5*P4+I6*P5,1)</f>
        <v>25.9</v>
      </c>
      <c r="I2" s="143"/>
      <c r="J2" s="143"/>
      <c r="K2" s="143">
        <f>ROUND((L3*P2+L4*P3+L6*P5)/0.9,1)</f>
        <v>81.400000000000006</v>
      </c>
      <c r="L2" s="143"/>
      <c r="M2" s="143"/>
      <c r="P2">
        <v>0.35</v>
      </c>
    </row>
    <row r="3" spans="1:16" x14ac:dyDescent="0.35">
      <c r="A3" s="144"/>
      <c r="B3" t="s">
        <v>394</v>
      </c>
      <c r="C3" s="143">
        <f>'Significance Tests'!R2*'Significance Tests'!S2+'Significance Tests'!R3*'Significance Tests'!S3</f>
        <v>100</v>
      </c>
      <c r="D3" s="143"/>
      <c r="E3" t="s">
        <v>394</v>
      </c>
      <c r="F3" s="143">
        <f>'Significance Tests'!R10*'Significance Tests'!S10</f>
        <v>100</v>
      </c>
      <c r="G3" s="143"/>
      <c r="H3" t="s">
        <v>394</v>
      </c>
      <c r="I3" s="143">
        <f>ROUND('Significance Tests'!R17*'Significance Tests'!S17+'Significance Tests'!R18*'Significance Tests'!S18,)</f>
        <v>32</v>
      </c>
      <c r="J3" s="143"/>
      <c r="K3" t="s">
        <v>394</v>
      </c>
      <c r="L3" s="143">
        <f>'Significance Tests'!R27*'Significance Tests'!S27</f>
        <v>100</v>
      </c>
      <c r="M3" s="143"/>
      <c r="P3">
        <v>0.35</v>
      </c>
    </row>
    <row r="4" spans="1:16" x14ac:dyDescent="0.35">
      <c r="A4" s="144"/>
      <c r="B4" t="s">
        <v>95</v>
      </c>
      <c r="C4" s="143">
        <f>'Significance Tests'!R5*'Significance Tests'!S5+'Significance Tests'!R4*'Significance Tests'!S4</f>
        <v>100</v>
      </c>
      <c r="D4" s="143"/>
      <c r="E4" t="s">
        <v>95</v>
      </c>
      <c r="F4" s="143">
        <f>ROUND('Significance Tests'!R11*'Significance Tests'!S11+'Significance Tests'!R12*'Significance Tests'!S12,)</f>
        <v>73</v>
      </c>
      <c r="G4" s="143"/>
      <c r="H4" t="s">
        <v>95</v>
      </c>
      <c r="I4" s="143">
        <f>'Significance Tests'!R19*'Significance Tests'!S19+'Significance Tests'!R20*'Significance Tests'!S20 - 1</f>
        <v>0</v>
      </c>
      <c r="J4" s="143"/>
      <c r="K4" t="s">
        <v>95</v>
      </c>
      <c r="L4" s="143">
        <f>'Significance Tests'!R28*'Significance Tests'!S28</f>
        <v>100</v>
      </c>
      <c r="M4" s="143"/>
      <c r="P4">
        <v>0.2</v>
      </c>
    </row>
    <row r="5" spans="1:16" x14ac:dyDescent="0.35">
      <c r="A5" s="144"/>
      <c r="B5" t="s">
        <v>88</v>
      </c>
      <c r="C5" s="143">
        <f>'Significance Tests'!R6*'Significance Tests'!S6+'Significance Tests'!R7*'Significance Tests'!S7 - 1</f>
        <v>0</v>
      </c>
      <c r="D5" s="143"/>
      <c r="E5" t="s">
        <v>88</v>
      </c>
      <c r="F5" s="143">
        <f>ROUND('Significance Tests'!R13*'Significance Tests'!S13+'Significance Tests'!R14*'Significance Tests'!S14+'Significance Tests'!R15*'Significance Tests'!S15,)</f>
        <v>34</v>
      </c>
      <c r="G5" s="143"/>
      <c r="H5" t="s">
        <v>88</v>
      </c>
      <c r="I5" s="143">
        <f>'Significance Tests'!R21*'Significance Tests'!S21+'Significance Tests'!R23*'Significance Tests'!S23+'Significance Tests'!R24*'Significance Tests'!S24+'Significance Tests'!R25*'Significance Tests'!S25</f>
        <v>73.25</v>
      </c>
      <c r="J5" s="143"/>
      <c r="K5" t="s">
        <v>88</v>
      </c>
      <c r="L5" s="143" t="s">
        <v>59</v>
      </c>
      <c r="M5" s="143"/>
      <c r="P5">
        <v>0.1</v>
      </c>
    </row>
    <row r="6" spans="1:16" x14ac:dyDescent="0.35">
      <c r="A6" s="144"/>
      <c r="B6" t="s">
        <v>89</v>
      </c>
      <c r="C6" s="143">
        <f>'Significance Tests'!R9*'Significance Tests'!S9 - 1</f>
        <v>0</v>
      </c>
      <c r="D6" s="143"/>
      <c r="E6" t="s">
        <v>89</v>
      </c>
      <c r="F6" s="143">
        <f>'Significance Tests'!R16*'Significance Tests'!S16</f>
        <v>67</v>
      </c>
      <c r="G6" s="143"/>
      <c r="H6" t="s">
        <v>89</v>
      </c>
      <c r="I6" s="143">
        <f>'Significance Tests'!R26*'Significance Tests'!S26 - 1</f>
        <v>0</v>
      </c>
      <c r="J6" s="143"/>
      <c r="K6" t="s">
        <v>89</v>
      </c>
      <c r="L6" s="143">
        <f>'Significance Tests'!R30*'Significance Tests'!S30</f>
        <v>33</v>
      </c>
      <c r="M6" s="143"/>
    </row>
    <row r="8" spans="1:16" x14ac:dyDescent="0.35">
      <c r="A8" s="144" t="s">
        <v>176</v>
      </c>
      <c r="B8" s="143" t="s">
        <v>32</v>
      </c>
      <c r="C8" s="143"/>
      <c r="D8" s="143"/>
      <c r="E8" s="143" t="s">
        <v>90</v>
      </c>
      <c r="F8" s="143"/>
      <c r="G8" s="143"/>
      <c r="H8" s="143" t="s">
        <v>174</v>
      </c>
      <c r="I8" s="143"/>
      <c r="J8" s="143"/>
      <c r="K8" s="143" t="s">
        <v>175</v>
      </c>
      <c r="L8" s="143"/>
      <c r="M8" s="143"/>
    </row>
    <row r="9" spans="1:16" x14ac:dyDescent="0.35">
      <c r="A9" s="144"/>
      <c r="B9" s="143">
        <f>ROUND((C10*P2+C11*P3+C13*P5)/0.9,1)</f>
        <v>77.8</v>
      </c>
      <c r="C9" s="143"/>
      <c r="D9" s="143"/>
      <c r="E9" s="143">
        <f>ROUND(F10*P2+F11*P3+F12*P4+F13*P5,1)</f>
        <v>91.1</v>
      </c>
      <c r="F9" s="143"/>
      <c r="G9" s="143"/>
      <c r="H9" s="143">
        <f>ROUND(I10*P2+I11*P3+I12*P4+I13*P5,1)</f>
        <v>30.5</v>
      </c>
      <c r="I9" s="143"/>
      <c r="J9" s="143"/>
      <c r="K9" s="143">
        <f>ROUND((L10*P2+L11*P3+L13*P4)/0.9,1)</f>
        <v>89.6</v>
      </c>
      <c r="L9" s="143"/>
      <c r="M9" s="143"/>
    </row>
    <row r="10" spans="1:16" x14ac:dyDescent="0.35">
      <c r="A10" s="144"/>
      <c r="B10" t="s">
        <v>394</v>
      </c>
      <c r="C10" s="143">
        <f>'Significance Tests'!R95*'Significance Tests'!S95+'Significance Tests'!R96*'Significance Tests'!S96</f>
        <v>100</v>
      </c>
      <c r="D10" s="143"/>
      <c r="E10" t="s">
        <v>394</v>
      </c>
      <c r="F10" s="143">
        <f>'Significance Tests'!R100*'Significance Tests'!S100</f>
        <v>100</v>
      </c>
      <c r="G10" s="143"/>
      <c r="H10" t="s">
        <v>394</v>
      </c>
      <c r="I10" s="143">
        <f>'Significance Tests'!R105*'Significance Tests'!S105+'Significance Tests'!R106*'Significance Tests'!S106</f>
        <v>10</v>
      </c>
      <c r="J10" s="143"/>
      <c r="K10" t="s">
        <v>394</v>
      </c>
      <c r="L10" s="143">
        <f>'Significance Tests'!R115*'Significance Tests'!S115</f>
        <v>100</v>
      </c>
      <c r="M10" s="143"/>
    </row>
    <row r="11" spans="1:16" x14ac:dyDescent="0.35">
      <c r="A11" s="144"/>
      <c r="B11" t="s">
        <v>95</v>
      </c>
      <c r="C11" s="143">
        <f>'Significance Tests'!R98*'Significance Tests'!S98+'Significance Tests'!R97*'Significance Tests'!S97</f>
        <v>100</v>
      </c>
      <c r="D11" s="143"/>
      <c r="E11" t="s">
        <v>95</v>
      </c>
      <c r="F11" s="143">
        <f>'Significance Tests'!R101*'Significance Tests'!S101+'Significance Tests'!R102*'Significance Tests'!S102</f>
        <v>76.5</v>
      </c>
      <c r="G11" s="143"/>
      <c r="H11" t="s">
        <v>95</v>
      </c>
      <c r="I11" s="143">
        <f>'Significance Tests'!R108*'Significance Tests'!S108+'Significance Tests'!R107*'Significance Tests'!S107</f>
        <v>20</v>
      </c>
      <c r="J11" s="143"/>
      <c r="K11" t="s">
        <v>95</v>
      </c>
      <c r="L11" s="143">
        <f>'Significance Tests'!R116*'Significance Tests'!S116</f>
        <v>100</v>
      </c>
      <c r="M11" s="143"/>
    </row>
    <row r="12" spans="1:16" x14ac:dyDescent="0.35">
      <c r="A12" s="144"/>
      <c r="B12" t="s">
        <v>88</v>
      </c>
      <c r="C12" s="143" t="s">
        <v>59</v>
      </c>
      <c r="D12" s="143"/>
      <c r="E12" t="s">
        <v>88</v>
      </c>
      <c r="F12" s="143">
        <f>'Significance Tests'!R103*'Significance Tests'!S103</f>
        <v>100</v>
      </c>
      <c r="G12" s="143"/>
      <c r="H12" t="s">
        <v>88</v>
      </c>
      <c r="I12" s="143">
        <f>'Significance Tests'!R111*'Significance Tests'!S111+'Significance Tests'!R112*'Significance Tests'!S112+'Significance Tests'!R113*'Significance Tests'!S113+'Significance Tests'!R109*'Significance Tests'!S109</f>
        <v>100</v>
      </c>
      <c r="J12" s="143"/>
      <c r="K12" t="s">
        <v>88</v>
      </c>
      <c r="L12" s="143" t="s">
        <v>59</v>
      </c>
      <c r="M12" s="143"/>
    </row>
    <row r="13" spans="1:16" x14ac:dyDescent="0.35">
      <c r="A13" s="144"/>
      <c r="B13" t="s">
        <v>89</v>
      </c>
      <c r="C13" s="143">
        <f>'Significance Tests'!R99*'Significance Tests'!S99</f>
        <v>0</v>
      </c>
      <c r="D13" s="143"/>
      <c r="E13" t="s">
        <v>89</v>
      </c>
      <c r="F13" s="143">
        <f>'Significance Tests'!R104*'Significance Tests'!S104</f>
        <v>93</v>
      </c>
      <c r="G13" s="143"/>
      <c r="H13" t="s">
        <v>89</v>
      </c>
      <c r="I13" s="143">
        <f>'Significance Tests'!R114*'Significance Tests'!S114</f>
        <v>0</v>
      </c>
      <c r="J13" s="143"/>
      <c r="K13" t="s">
        <v>89</v>
      </c>
      <c r="L13" s="143">
        <f>'Significance Tests'!R118*'Significance Tests'!S118</f>
        <v>53</v>
      </c>
      <c r="M13" s="143"/>
    </row>
    <row r="14" spans="1:16" x14ac:dyDescent="0.35">
      <c r="A14" s="45"/>
    </row>
  </sheetData>
  <mergeCells count="50">
    <mergeCell ref="L11:M11"/>
    <mergeCell ref="L12:M12"/>
    <mergeCell ref="L13:M13"/>
    <mergeCell ref="K9:M9"/>
    <mergeCell ref="H9:J9"/>
    <mergeCell ref="L10:M10"/>
    <mergeCell ref="B9:D9"/>
    <mergeCell ref="E9:G9"/>
    <mergeCell ref="F13:G13"/>
    <mergeCell ref="I11:J11"/>
    <mergeCell ref="I12:J12"/>
    <mergeCell ref="I13:J13"/>
    <mergeCell ref="I10:J10"/>
    <mergeCell ref="C11:D11"/>
    <mergeCell ref="C12:D12"/>
    <mergeCell ref="F10:G10"/>
    <mergeCell ref="F11:G11"/>
    <mergeCell ref="F12:G12"/>
    <mergeCell ref="H8:J8"/>
    <mergeCell ref="K8:M8"/>
    <mergeCell ref="L3:M3"/>
    <mergeCell ref="L4:M4"/>
    <mergeCell ref="L5:M5"/>
    <mergeCell ref="L6:M6"/>
    <mergeCell ref="I3:J3"/>
    <mergeCell ref="I4:J4"/>
    <mergeCell ref="I5:J5"/>
    <mergeCell ref="I6:J6"/>
    <mergeCell ref="A1:A6"/>
    <mergeCell ref="A8:A13"/>
    <mergeCell ref="B8:D8"/>
    <mergeCell ref="E8:G8"/>
    <mergeCell ref="F3:G3"/>
    <mergeCell ref="F4:G4"/>
    <mergeCell ref="F5:G5"/>
    <mergeCell ref="F6:G6"/>
    <mergeCell ref="B1:D1"/>
    <mergeCell ref="E1:G1"/>
    <mergeCell ref="C3:D3"/>
    <mergeCell ref="C4:D4"/>
    <mergeCell ref="C5:D5"/>
    <mergeCell ref="C6:D6"/>
    <mergeCell ref="C10:D10"/>
    <mergeCell ref="C13:D13"/>
    <mergeCell ref="H1:J1"/>
    <mergeCell ref="K1:M1"/>
    <mergeCell ref="B2:D2"/>
    <mergeCell ref="E2:G2"/>
    <mergeCell ref="H2:J2"/>
    <mergeCell ref="K2:M2"/>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04F4C-9C6D-432A-B231-20EF7EC11EC8}">
  <dimension ref="A1:Z55"/>
  <sheetViews>
    <sheetView topLeftCell="A44" workbookViewId="0">
      <selection activeCell="K38" sqref="K38"/>
    </sheetView>
  </sheetViews>
  <sheetFormatPr defaultRowHeight="14.5" x14ac:dyDescent="0.35"/>
  <cols>
    <col min="1" max="1" width="13.54296875" bestFit="1" customWidth="1"/>
    <col min="2" max="2" width="8.453125" bestFit="1" customWidth="1"/>
    <col min="3" max="3" width="21.81640625" bestFit="1" customWidth="1"/>
    <col min="4" max="4" width="10.26953125" bestFit="1" customWidth="1"/>
    <col min="5" max="5" width="125.54296875" bestFit="1" customWidth="1"/>
    <col min="6" max="6" width="6.81640625" bestFit="1" customWidth="1"/>
    <col min="7" max="7" width="7.81640625" bestFit="1" customWidth="1"/>
    <col min="8" max="11" width="5.81640625" bestFit="1" customWidth="1"/>
    <col min="12" max="12" width="21.1796875" bestFit="1" customWidth="1"/>
    <col min="13" max="13" width="9.81640625" bestFit="1" customWidth="1"/>
    <col min="14" max="14" width="18.26953125" bestFit="1" customWidth="1"/>
    <col min="15" max="15" width="11.08984375" bestFit="1" customWidth="1"/>
  </cols>
  <sheetData>
    <row r="1" spans="1:26" x14ac:dyDescent="0.35">
      <c r="A1" s="14" t="s">
        <v>170</v>
      </c>
      <c r="B1" s="14" t="s">
        <v>159</v>
      </c>
      <c r="C1" s="14" t="s">
        <v>160</v>
      </c>
      <c r="D1" s="14" t="s">
        <v>85</v>
      </c>
      <c r="E1" s="14" t="s">
        <v>6</v>
      </c>
      <c r="F1" s="14" t="s">
        <v>154</v>
      </c>
      <c r="G1" s="14" t="s">
        <v>155</v>
      </c>
      <c r="H1" s="14" t="s">
        <v>156</v>
      </c>
      <c r="I1" s="14" t="s">
        <v>157</v>
      </c>
      <c r="J1" s="14" t="s">
        <v>158</v>
      </c>
      <c r="K1" s="14" t="s">
        <v>28</v>
      </c>
      <c r="L1" s="14" t="s">
        <v>62</v>
      </c>
      <c r="M1" s="14" t="s">
        <v>58</v>
      </c>
      <c r="N1" s="14" t="s">
        <v>65</v>
      </c>
      <c r="O1" s="14" t="s">
        <v>93</v>
      </c>
      <c r="P1" s="62" t="s">
        <v>346</v>
      </c>
    </row>
    <row r="2" spans="1:26" x14ac:dyDescent="0.35">
      <c r="A2" s="14" t="s">
        <v>171</v>
      </c>
      <c r="B2" s="31" t="s">
        <v>32</v>
      </c>
      <c r="C2" s="14" t="s">
        <v>161</v>
      </c>
      <c r="D2" s="14" t="s">
        <v>94</v>
      </c>
      <c r="E2" s="26" t="s">
        <v>114</v>
      </c>
      <c r="F2" s="14">
        <f>SUM('Demographics Data'!C2:D2)</f>
        <v>18667</v>
      </c>
      <c r="G2" s="14">
        <f>SUM('Demographics Data'!E2:F2)</f>
        <v>3585</v>
      </c>
      <c r="H2" s="14">
        <f>ROUND(('Demographics Data'!C2*('Raw Data'!C2+'Raw Data'!C3) +'Demographics Data'!D2*(SUM('Raw Data'!D2:D3)))/'Significance Tests'!F2,3)</f>
        <v>0.24099999999999999</v>
      </c>
      <c r="I2" s="14">
        <f>ROUND(('Demographics Data'!F2*('Raw Data'!F2+'Raw Data'!F3) +'Demographics Data'!E2*(SUM('Raw Data'!E2:E3)))/'Significance Tests'!G2,3)</f>
        <v>0.67100000000000004</v>
      </c>
      <c r="J2" s="14">
        <f>SUM('Raw Data'!B2:B3)</f>
        <v>0.3</v>
      </c>
      <c r="K2" s="14">
        <f>ROUND((I2-H2)/(SQRT(J2*(1-J2)*((1/F2)+(1/G2)))),1)</f>
        <v>51.5</v>
      </c>
      <c r="L2" s="14">
        <f>$Y$2*(SQRT(J2*(1-J2)*((1/F2)+(1/G2))))</f>
        <v>1.6378284116685644E-2</v>
      </c>
      <c r="M2" s="42">
        <f>I2-H2</f>
        <v>0.43000000000000005</v>
      </c>
      <c r="N2" s="42">
        <f t="shared" ref="N2" si="0">IF(K2&lt;1.96,0,ROUND((M2)/L2,0))</f>
        <v>26</v>
      </c>
      <c r="O2" s="42" cm="1">
        <f t="array" ref="O2">_xlfn.IFS(N2&gt;$Z$2,100,N2&lt;=$Z$2,ROUND((N2/$Z$2)*100,))</f>
        <v>87</v>
      </c>
      <c r="P2" s="42">
        <v>0.5</v>
      </c>
      <c r="Y2">
        <v>1.96</v>
      </c>
      <c r="Z2">
        <v>30</v>
      </c>
    </row>
    <row r="3" spans="1:26" x14ac:dyDescent="0.35">
      <c r="A3" s="14" t="s">
        <v>171</v>
      </c>
      <c r="B3" s="31" t="s">
        <v>32</v>
      </c>
      <c r="C3" s="14" t="s">
        <v>161</v>
      </c>
      <c r="D3" s="14" t="s">
        <v>94</v>
      </c>
      <c r="E3" s="26" t="s">
        <v>115</v>
      </c>
      <c r="F3" s="14">
        <f>SUM('Demographics Data'!C3:D3)</f>
        <v>21876</v>
      </c>
      <c r="G3" s="14">
        <f>SUM('Demographics Data'!E3:F3)</f>
        <v>3589</v>
      </c>
      <c r="H3" s="14">
        <f>ROUND(('Demographics Data'!C3*('Raw Data'!C4+'Raw Data'!C5) +'Demographics Data'!D3*('Raw Data'!D4+'Raw Data'!D5))/'Significance Tests'!F3,3)</f>
        <v>0.219</v>
      </c>
      <c r="I3" s="14">
        <f>ROUND(('Demographics Data'!F3*('Raw Data'!F4+'Raw Data'!F5) +'Demographics Data'!E3*('Raw Data'!E4+'Raw Data'!E5))/'Significance Tests'!G3,3)</f>
        <v>0.60299999999999998</v>
      </c>
      <c r="J3" s="14">
        <f>'Raw Data'!B4+'Raw Data'!B5</f>
        <v>0.27</v>
      </c>
      <c r="K3" s="14">
        <f t="shared" ref="K3" si="1">ROUND((I3-H3)/(SQRT(J3*(1-J3)*((1/F3)+(1/G3)))),1)</f>
        <v>48</v>
      </c>
      <c r="L3" s="14">
        <f>$Y$2*(SQRT(J3*(1-J3)*((1/F3)+(1/G3))))</f>
        <v>1.5671138079732052E-2</v>
      </c>
      <c r="M3" s="42">
        <f>I3-H3</f>
        <v>0.38400000000000001</v>
      </c>
      <c r="N3" s="42">
        <f>IF(K3&lt;1.96,0,ROUND((M3)/L3,0))</f>
        <v>25</v>
      </c>
      <c r="O3" s="42" cm="1">
        <f t="array" ref="O3">_xlfn.IFS(N3&gt;$Z$2,100,N3&lt;=$Z$2,ROUND((N3/$Z$2)*100,))</f>
        <v>83</v>
      </c>
      <c r="P3" s="42">
        <v>0.5</v>
      </c>
    </row>
    <row r="4" spans="1:26" x14ac:dyDescent="0.35">
      <c r="A4" s="14" t="s">
        <v>171</v>
      </c>
      <c r="B4" s="31" t="s">
        <v>32</v>
      </c>
      <c r="C4" s="14" t="s">
        <v>161</v>
      </c>
      <c r="D4" s="14" t="s">
        <v>95</v>
      </c>
      <c r="E4" s="26" t="s">
        <v>116</v>
      </c>
      <c r="F4" s="14">
        <f>F2</f>
        <v>18667</v>
      </c>
      <c r="G4" s="14">
        <f>G2</f>
        <v>3585</v>
      </c>
      <c r="H4" s="14">
        <f>ROUND(('Demographics Data'!C3*('Raw Data'!C3) +'Demographics Data'!D3*('Raw Data'!D3))/'Significance Tests'!F4,3)</f>
        <v>3.6999999999999998E-2</v>
      </c>
      <c r="I4" s="14">
        <f>ROUND(('Demographics Data'!F3*('Raw Data'!F3) +'Demographics Data'!E3*('Raw Data'!E3))/'Significance Tests'!G4,3)</f>
        <v>0.23400000000000001</v>
      </c>
      <c r="J4" s="14">
        <f>SUM('Raw Data'!B3)</f>
        <v>0.05</v>
      </c>
      <c r="K4" s="14">
        <f>ROUND((I4-H4)/(SQRT(J4*(1-J4)*((1/F4)+(1/G4)))),1)</f>
        <v>49.6</v>
      </c>
      <c r="L4" s="14">
        <f>$Y$2*(SQRT(J4*(1-J4)*((1/F4)+(1/G4))))</f>
        <v>7.7894278333266037E-3</v>
      </c>
      <c r="M4" s="42">
        <f>I4-H4</f>
        <v>0.19700000000000001</v>
      </c>
      <c r="N4" s="42">
        <f>IF(K4&lt;1.96,0,ROUND((M4)/L4,0))</f>
        <v>25</v>
      </c>
      <c r="O4" s="42" cm="1">
        <f t="array" ref="O4">_xlfn.IFS(N4&gt;$Z$2,100,N4&lt;=$Z$2,ROUND((N4/$Z$2)*100,))</f>
        <v>83</v>
      </c>
      <c r="P4" s="42">
        <v>0.5</v>
      </c>
    </row>
    <row r="5" spans="1:26" x14ac:dyDescent="0.35">
      <c r="A5" s="14" t="s">
        <v>171</v>
      </c>
      <c r="B5" s="31" t="s">
        <v>32</v>
      </c>
      <c r="C5" s="14" t="s">
        <v>161</v>
      </c>
      <c r="D5" s="14" t="s">
        <v>95</v>
      </c>
      <c r="E5" s="26" t="s">
        <v>117</v>
      </c>
      <c r="F5" s="14">
        <f>F3</f>
        <v>21876</v>
      </c>
      <c r="G5" s="14">
        <f>G3</f>
        <v>3589</v>
      </c>
      <c r="H5" s="14">
        <f>ROUND(('Demographics Data'!C3*('Raw Data'!C5) +'Demographics Data'!D3*('Raw Data'!D5))/'Significance Tests'!F5,3)</f>
        <v>4.2999999999999997E-2</v>
      </c>
      <c r="I5" s="14">
        <f>ROUND(('Demographics Data'!F3*('Raw Data'!F5) +'Demographics Data'!E3*('Raw Data'!E5))/'Significance Tests'!G5,3)</f>
        <v>0.26300000000000001</v>
      </c>
      <c r="J5" s="14">
        <f>'Raw Data'!B5</f>
        <v>7.0000000000000007E-2</v>
      </c>
      <c r="K5" s="14">
        <f t="shared" ref="K5" si="2">ROUND((I5-H5)/(SQRT(J5*(1-J5)*((1/F5)+(1/G5)))),1)</f>
        <v>47.9</v>
      </c>
      <c r="L5" s="14">
        <f t="shared" ref="L5" si="3">$Y$2*(SQRT(J5*(1-J5)*((1/F5)+(1/G5))))</f>
        <v>9.0063271697287863E-3</v>
      </c>
      <c r="M5" s="42">
        <f t="shared" ref="M5" si="4">I5-H5</f>
        <v>0.22000000000000003</v>
      </c>
      <c r="N5" s="42">
        <f t="shared" ref="N5:N7" si="5">IF(K5&lt;1.96,0,ROUND((M5)/L5,0))</f>
        <v>24</v>
      </c>
      <c r="O5" s="42" cm="1">
        <f t="array" ref="O5">_xlfn.IFS(N5&gt;$Z$2,100,N5&lt;=$Z$2,ROUND((N5/$Z$2)*100,))</f>
        <v>80</v>
      </c>
      <c r="P5" s="42">
        <v>0.5</v>
      </c>
    </row>
    <row r="6" spans="1:26" x14ac:dyDescent="0.35">
      <c r="A6" s="14" t="s">
        <v>171</v>
      </c>
      <c r="B6" s="31" t="s">
        <v>32</v>
      </c>
      <c r="C6" s="14" t="s">
        <v>161</v>
      </c>
      <c r="D6" s="14" t="s">
        <v>88</v>
      </c>
      <c r="E6" s="27" t="s">
        <v>164</v>
      </c>
      <c r="F6" s="14">
        <f>'Raw Data'!B6</f>
        <v>20717</v>
      </c>
      <c r="G6" s="14">
        <f>'Demographics Data'!B4-'Significance Tests'!F6</f>
        <v>184937</v>
      </c>
      <c r="H6" s="14">
        <f>ROUND(('Raw Data'!C6+'Raw Data'!D6)/'Significance Tests'!F6,3)</f>
        <v>0.85299999999999998</v>
      </c>
      <c r="I6" s="14">
        <f>ROUND((SUM('Demographics Data'!C4:D4)-SUM('Raw Data'!C6:D6))/'Significance Tests'!G6,3)</f>
        <v>0.83599999999999997</v>
      </c>
      <c r="J6" s="14">
        <f>ROUND((F6*H6+G6*I6)/SUM(F6:G6),3)</f>
        <v>0.83799999999999997</v>
      </c>
      <c r="K6" s="14">
        <f>ROUND((I6-H6)/(SQRT(J6*(1-J6)*((1/F6)+(1/G6)))),1)</f>
        <v>-6.3</v>
      </c>
      <c r="L6" s="14">
        <f>$Y$2*(SQRT(J6*(1-J6)*((1/F6)+(1/G6))))</f>
        <v>5.2908912038166873E-3</v>
      </c>
      <c r="M6" s="42">
        <f>I6-H6</f>
        <v>-1.7000000000000015E-2</v>
      </c>
      <c r="N6" s="42">
        <f t="shared" si="5"/>
        <v>0</v>
      </c>
      <c r="O6" s="42" cm="1">
        <f t="array" ref="O6">_xlfn.IFS(N6&gt;$Z$2,100,N6&lt;=$Z$2,ROUND((N6/$Z$2)*100,))</f>
        <v>0</v>
      </c>
      <c r="P6" s="42">
        <v>0.5</v>
      </c>
    </row>
    <row r="7" spans="1:26" x14ac:dyDescent="0.35">
      <c r="A7" s="14" t="s">
        <v>171</v>
      </c>
      <c r="B7" s="31" t="s">
        <v>32</v>
      </c>
      <c r="C7" s="14" t="s">
        <v>161</v>
      </c>
      <c r="D7" s="14" t="s">
        <v>88</v>
      </c>
      <c r="E7" s="27" t="s">
        <v>251</v>
      </c>
      <c r="F7" s="14">
        <f>SUM('Demographics Data'!C4:D4)</f>
        <v>172287</v>
      </c>
      <c r="G7" s="14">
        <f>SUM('Demographics Data'!E4:F4)</f>
        <v>33367</v>
      </c>
      <c r="H7" s="14">
        <f>ROUND(SUM('Raw Data'!C6:D6)/'Significance Tests'!F7,3)</f>
        <v>0.10299999999999999</v>
      </c>
      <c r="I7" s="14">
        <f>ROUND(SUM('Raw Data'!E6:F6)/'Significance Tests'!G7,3)</f>
        <v>0.08</v>
      </c>
      <c r="J7" s="14">
        <f>ROUND((F7*H7+G7*I7)/SUM(F7:G7),3)</f>
        <v>9.9000000000000005E-2</v>
      </c>
      <c r="K7" s="14">
        <f>ROUND((I7-H7)/(SQRT(J7*(1-J7)*((1/F7)+(1/G7)))),1)</f>
        <v>-12.9</v>
      </c>
      <c r="L7" s="14">
        <f>$Y$2*(SQRT(J7*(1-J7)*((1/F7)+(1/G7))))</f>
        <v>3.5012232970617198E-3</v>
      </c>
      <c r="M7" s="42">
        <f>I7-H7</f>
        <v>-2.2999999999999993E-2</v>
      </c>
      <c r="N7" s="42">
        <f t="shared" si="5"/>
        <v>0</v>
      </c>
      <c r="O7" s="42" cm="1">
        <f t="array" ref="O7">_xlfn.IFS(N7&gt;$Z$2,100,N7&lt;=$Z$2,ROUND((N7/$Z$2)*100,))</f>
        <v>0</v>
      </c>
      <c r="P7" s="42">
        <v>0.5</v>
      </c>
    </row>
    <row r="8" spans="1:26" x14ac:dyDescent="0.35">
      <c r="A8" s="14" t="s">
        <v>171</v>
      </c>
      <c r="B8" s="31" t="s">
        <v>32</v>
      </c>
      <c r="C8" s="14" t="s">
        <v>161</v>
      </c>
      <c r="D8" s="14" t="s">
        <v>88</v>
      </c>
      <c r="E8" s="30" t="s">
        <v>96</v>
      </c>
      <c r="F8" s="14" t="s">
        <v>59</v>
      </c>
      <c r="G8" s="14" t="s">
        <v>59</v>
      </c>
      <c r="H8" s="14" t="s">
        <v>59</v>
      </c>
      <c r="I8" s="14" t="s">
        <v>59</v>
      </c>
      <c r="J8" s="14" t="s">
        <v>59</v>
      </c>
      <c r="K8" s="14" t="s">
        <v>59</v>
      </c>
      <c r="L8" s="63" t="s">
        <v>59</v>
      </c>
      <c r="M8" s="42" t="s">
        <v>59</v>
      </c>
      <c r="N8" s="42" t="s">
        <v>59</v>
      </c>
      <c r="O8" s="42"/>
      <c r="P8" s="42">
        <v>0.5</v>
      </c>
    </row>
    <row r="9" spans="1:26" x14ac:dyDescent="0.35">
      <c r="A9" s="14" t="s">
        <v>171</v>
      </c>
      <c r="B9" s="31" t="s">
        <v>32</v>
      </c>
      <c r="C9" s="14" t="s">
        <v>161</v>
      </c>
      <c r="D9" s="14" t="s">
        <v>89</v>
      </c>
      <c r="E9" s="26" t="s">
        <v>119</v>
      </c>
      <c r="F9" s="14">
        <f>F3</f>
        <v>21876</v>
      </c>
      <c r="G9" s="14">
        <f>F4</f>
        <v>18667</v>
      </c>
      <c r="H9" s="14">
        <f>H5</f>
        <v>4.2999999999999997E-2</v>
      </c>
      <c r="I9" s="14">
        <f>H4</f>
        <v>3.6999999999999998E-2</v>
      </c>
      <c r="J9" s="14">
        <f>ROUND((I9*G9 +H9*F9)/SUM(F9:G9),3)</f>
        <v>0.04</v>
      </c>
      <c r="K9" s="14">
        <f>ROUND((I9-H9)/(SQRT(J9*(1-J9)*((1/G9)+(1/F9)))),1)</f>
        <v>-3.1</v>
      </c>
      <c r="L9" s="14">
        <f t="shared" ref="L9" si="6">$Y$2*(SQRT(J9*(1-J9)*((1/F9)+(1/G9))))</f>
        <v>3.8269994793921997E-3</v>
      </c>
      <c r="M9" s="42">
        <f t="shared" ref="M9:M13" si="7">I9-H9</f>
        <v>-5.9999999999999984E-3</v>
      </c>
      <c r="N9" s="42">
        <f t="shared" ref="N9:N13" si="8">IF(K9&lt;1.96,0,ROUND((M9)/L9,0))</f>
        <v>0</v>
      </c>
      <c r="O9" s="42" cm="1">
        <f t="array" ref="O9">_xlfn.IFS(N9&gt;$Z$2,100,N9&lt;=$Z$2,ROUND((N9/$Z$2)*100,))</f>
        <v>0</v>
      </c>
      <c r="P9" s="42">
        <v>1</v>
      </c>
    </row>
    <row r="10" spans="1:26" x14ac:dyDescent="0.35">
      <c r="A10" s="14" t="s">
        <v>171</v>
      </c>
      <c r="B10" s="14" t="s">
        <v>90</v>
      </c>
      <c r="C10" s="14" t="s">
        <v>161</v>
      </c>
      <c r="D10" s="14" t="s">
        <v>94</v>
      </c>
      <c r="E10" s="27" t="s">
        <v>131</v>
      </c>
      <c r="F10" s="14">
        <f>SUM('Demographics Data'!C21:D21)</f>
        <v>19268</v>
      </c>
      <c r="G10" s="14">
        <f>SUM('Demographics Data'!E21:F21)</f>
        <v>3368</v>
      </c>
      <c r="H10" s="14">
        <f>ROUND(('Raw Data'!C9*'Demographics Data'!C21+'Raw Data'!D9*'Demographics Data'!D21)/F10,3)</f>
        <v>0.159</v>
      </c>
      <c r="I10" s="14">
        <f>ROUND(('Raw Data'!E9*'Demographics Data'!E21+'Raw Data'!F9*'Demographics Data'!F21)/'Significance Tests'!G10,3)</f>
        <v>0.60099999999999998</v>
      </c>
      <c r="J10" s="14">
        <f>'Raw Data'!B9</f>
        <v>0.23100000000000001</v>
      </c>
      <c r="K10" s="14">
        <f t="shared" ref="K10:K18" si="9">ROUND((I10-H10)/(SQRT(J10*(1-J10)*((1/F10)+(1/G10)))),1)</f>
        <v>56.2</v>
      </c>
      <c r="L10" s="14">
        <f t="shared" ref="L10:L13" si="10">$Y$2*(SQRT(J10*(1-J10)*((1/G10)+(1/F10))))</f>
        <v>1.5428393735069896E-2</v>
      </c>
      <c r="M10" s="42">
        <f t="shared" si="7"/>
        <v>0.44199999999999995</v>
      </c>
      <c r="N10" s="42">
        <f t="shared" si="8"/>
        <v>29</v>
      </c>
      <c r="O10" s="42" cm="1">
        <f t="array" ref="O10">_xlfn.IFS(N10&gt;$Z$2,100,N10&lt;=$Z$2,ROUND((N10/$Z$2)*100,))</f>
        <v>97</v>
      </c>
      <c r="P10" s="42">
        <v>1</v>
      </c>
    </row>
    <row r="11" spans="1:26" x14ac:dyDescent="0.35">
      <c r="A11" s="14" t="s">
        <v>171</v>
      </c>
      <c r="B11" s="14" t="s">
        <v>90</v>
      </c>
      <c r="C11" s="14" t="s">
        <v>161</v>
      </c>
      <c r="D11" s="14" t="s">
        <v>95</v>
      </c>
      <c r="E11" s="27" t="s">
        <v>136</v>
      </c>
      <c r="F11" s="14">
        <f>F10</f>
        <v>19268</v>
      </c>
      <c r="G11" s="14">
        <f>G10</f>
        <v>3368</v>
      </c>
      <c r="H11" s="14">
        <f>ROUND(('Raw Data'!C10*'Demographics Data'!C21+'Raw Data'!D10*'Demographics Data'!D21)/F11,3)</f>
        <v>1.4E-2</v>
      </c>
      <c r="I11" s="14">
        <f>ROUND(('Raw Data'!F10*'Demographics Data'!F21+'Raw Data'!E10*'Demographics Data'!E21)/G11,3)</f>
        <v>0.22700000000000001</v>
      </c>
      <c r="J11" s="14">
        <f>'Raw Data'!B10</f>
        <v>4.8000000000000001E-2</v>
      </c>
      <c r="K11" s="14">
        <f t="shared" si="9"/>
        <v>53.4</v>
      </c>
      <c r="L11" s="14">
        <f t="shared" si="10"/>
        <v>7.8251135199833149E-3</v>
      </c>
      <c r="M11" s="42">
        <f t="shared" si="7"/>
        <v>0.21299999999999999</v>
      </c>
      <c r="N11" s="42">
        <f t="shared" si="8"/>
        <v>27</v>
      </c>
      <c r="O11" s="42" cm="1">
        <f t="array" ref="O11">_xlfn.IFS(N11&gt;$Z$2,100,N11&lt;=$Z$2,ROUND((N11/$Z$2)*100,))</f>
        <v>90</v>
      </c>
      <c r="P11" s="42">
        <v>0.33333333333333331</v>
      </c>
    </row>
    <row r="12" spans="1:26" x14ac:dyDescent="0.35">
      <c r="A12" s="14" t="s">
        <v>171</v>
      </c>
      <c r="B12" s="14" t="s">
        <v>90</v>
      </c>
      <c r="C12" s="14" t="s">
        <v>161</v>
      </c>
      <c r="D12" s="14" t="s">
        <v>95</v>
      </c>
      <c r="E12" s="27" t="s">
        <v>135</v>
      </c>
      <c r="F12" s="14">
        <f>'Raw Data'!C7+'Raw Data'!D7</f>
        <v>1832</v>
      </c>
      <c r="G12" s="14">
        <f>'Raw Data'!F7+'Raw Data'!E7</f>
        <v>5835</v>
      </c>
      <c r="H12" s="14">
        <f>ROUND(SUM('Raw Data'!C8:D8)/F12,3)</f>
        <v>0.59299999999999997</v>
      </c>
      <c r="I12" s="14">
        <f>ROUND(SUM('Raw Data'!E8:F8)/G12,3)</f>
        <v>0.79400000000000004</v>
      </c>
      <c r="J12" s="14">
        <f t="shared" ref="J12:J13" si="11">ROUND((H12*F12 +I12*G12)/SUM(F12:G12),3)</f>
        <v>0.746</v>
      </c>
      <c r="K12" s="14">
        <f t="shared" si="9"/>
        <v>17.2</v>
      </c>
      <c r="L12" s="14">
        <f t="shared" si="10"/>
        <v>2.2849247934684541E-2</v>
      </c>
      <c r="M12" s="42">
        <f t="shared" si="7"/>
        <v>0.20100000000000007</v>
      </c>
      <c r="N12" s="42">
        <f t="shared" si="8"/>
        <v>9</v>
      </c>
      <c r="O12" s="42" cm="1">
        <f t="array" ref="O12">_xlfn.IFS(N12&gt;$Z$2,100,N12&lt;=$Z$2,ROUND((N12/$Z$2)*100,))</f>
        <v>30</v>
      </c>
      <c r="P12" s="42">
        <v>0.66666666666666663</v>
      </c>
    </row>
    <row r="13" spans="1:26" x14ac:dyDescent="0.35">
      <c r="A13" s="14" t="s">
        <v>171</v>
      </c>
      <c r="B13" s="14" t="s">
        <v>90</v>
      </c>
      <c r="C13" s="14" t="s">
        <v>161</v>
      </c>
      <c r="D13" s="14" t="s">
        <v>88</v>
      </c>
      <c r="E13" s="27" t="s">
        <v>134</v>
      </c>
      <c r="F13" s="14">
        <f>'Demographics Data'!C12+'Demographics Data'!D12</f>
        <v>262555</v>
      </c>
      <c r="G13" s="14">
        <f>'Demographics Data'!F12+'Demographics Data'!E12</f>
        <v>309874</v>
      </c>
      <c r="H13" s="14">
        <f>ROUND(('Raw Data'!C7+'Raw Data'!D7)/'Significance Tests'!F13,3)</f>
        <v>7.0000000000000001E-3</v>
      </c>
      <c r="I13" s="14">
        <f>ROUND(('Raw Data'!F7+'Raw Data'!E7)/'Significance Tests'!G13,3)</f>
        <v>1.9E-2</v>
      </c>
      <c r="J13" s="14">
        <f t="shared" si="11"/>
        <v>1.2999999999999999E-2</v>
      </c>
      <c r="K13" s="14">
        <f t="shared" si="9"/>
        <v>39.9</v>
      </c>
      <c r="L13" s="14">
        <f t="shared" si="10"/>
        <v>5.8890388840019759E-4</v>
      </c>
      <c r="M13" s="42">
        <f t="shared" si="7"/>
        <v>1.2E-2</v>
      </c>
      <c r="N13" s="42">
        <f t="shared" si="8"/>
        <v>20</v>
      </c>
      <c r="O13" s="42" cm="1">
        <f t="array" ref="O13">_xlfn.IFS(N13&gt;$Z$2,100,N13&lt;=$Z$2,ROUND((N13/$Z$2)*100,))</f>
        <v>67</v>
      </c>
      <c r="P13" s="42">
        <v>0.33</v>
      </c>
    </row>
    <row r="14" spans="1:26" x14ac:dyDescent="0.35">
      <c r="A14" s="14" t="s">
        <v>171</v>
      </c>
      <c r="B14" s="14" t="s">
        <v>90</v>
      </c>
      <c r="C14" s="14" t="s">
        <v>161</v>
      </c>
      <c r="D14" s="14" t="s">
        <v>88</v>
      </c>
      <c r="E14" s="27" t="s">
        <v>165</v>
      </c>
      <c r="F14" s="14">
        <f>'Raw Data'!B11</f>
        <v>15513</v>
      </c>
      <c r="G14" s="14">
        <f>'Demographics Data'!B9-F14</f>
        <v>86904</v>
      </c>
      <c r="H14" s="14">
        <f>ROUND(('Raw Data'!C11+'Raw Data'!D11)/'Significance Tests'!F14,3)</f>
        <v>0.86099999999999999</v>
      </c>
      <c r="I14" s="14">
        <f>ROUND((('Demographics Data'!C9+'Demographics Data'!D9)-(SUM('Raw Data'!C11:D11)))/'Significance Tests'!G14,3)</f>
        <v>0.86399999999999999</v>
      </c>
      <c r="J14" s="14">
        <f>ROUND((H14*F14 +I14*G14)/SUM(F14:G14),3)</f>
        <v>0.86399999999999999</v>
      </c>
      <c r="K14" s="14">
        <f t="shared" si="9"/>
        <v>1</v>
      </c>
      <c r="L14" s="14">
        <f>$Y$2*(SQRT(J14*(1-J14)*((1/G14)+(1/G13))))</f>
        <v>2.5789548346209666E-3</v>
      </c>
      <c r="M14" s="42">
        <f>I14-H14</f>
        <v>3.0000000000000027E-3</v>
      </c>
      <c r="N14" s="42">
        <f>IF(K14&lt;1.96,0,ROUND((M14)/L14,0))</f>
        <v>0</v>
      </c>
      <c r="O14" s="42" cm="1">
        <f t="array" ref="O14">_xlfn.IFS(N14&gt;$Z$2,100,N14&lt;=$Z$2,ROUND((N14/$Z$2)*100,))</f>
        <v>0</v>
      </c>
      <c r="P14" s="42">
        <v>0.33333333333333331</v>
      </c>
    </row>
    <row r="15" spans="1:26" x14ac:dyDescent="0.35">
      <c r="A15" s="14" t="s">
        <v>171</v>
      </c>
      <c r="B15" s="14" t="s">
        <v>90</v>
      </c>
      <c r="C15" s="14" t="s">
        <v>161</v>
      </c>
      <c r="D15" s="14" t="s">
        <v>88</v>
      </c>
      <c r="E15" s="27" t="s">
        <v>250</v>
      </c>
      <c r="F15" s="14">
        <f>SUM('Demographics Data'!C9:D9)</f>
        <v>88431</v>
      </c>
      <c r="G15" s="14">
        <f>SUM('Demographics Data'!E9:F9)</f>
        <v>13986</v>
      </c>
      <c r="H15" s="14">
        <f>ROUND(SUM('Raw Data'!C11:D11)/'Significance Tests'!F15,3)</f>
        <v>0.151</v>
      </c>
      <c r="I15" s="14">
        <f>ROUND(SUM('Raw Data'!E11:F11)/'Significance Tests'!G15,3)</f>
        <v>0.155</v>
      </c>
      <c r="J15" s="14">
        <f>ROUND((H15*F15 +I15*G15)/SUM(F15:G15),3)</f>
        <v>0.152</v>
      </c>
      <c r="K15" s="14">
        <f t="shared" si="9"/>
        <v>1.2</v>
      </c>
      <c r="L15" s="14">
        <f>$Y$2*(SQRT(J15*(1-J15)*((1/G15)+(1/G14))))</f>
        <v>6.4111096871790913E-3</v>
      </c>
      <c r="M15" s="42">
        <f>I15-H15</f>
        <v>4.0000000000000036E-3</v>
      </c>
      <c r="N15" s="42">
        <f>IF(K15&lt;1.96,0,ROUND((M15)/L15,0))</f>
        <v>0</v>
      </c>
      <c r="O15" s="42" cm="1">
        <f t="array" ref="O15">_xlfn.IFS(N15&gt;$Z$2,100,N15&lt;=$Z$2,ROUND((N15/$Z$2)*100,))</f>
        <v>0</v>
      </c>
      <c r="P15" s="42">
        <v>0.33333333333333331</v>
      </c>
    </row>
    <row r="16" spans="1:26" x14ac:dyDescent="0.35">
      <c r="A16" s="14" t="s">
        <v>171</v>
      </c>
      <c r="B16" s="14" t="s">
        <v>90</v>
      </c>
      <c r="C16" s="14" t="s">
        <v>161</v>
      </c>
      <c r="D16" s="14" t="s">
        <v>89</v>
      </c>
      <c r="E16" s="26" t="s">
        <v>166</v>
      </c>
      <c r="F16" s="14">
        <f>F10</f>
        <v>19268</v>
      </c>
      <c r="G16" s="14">
        <f>F9</f>
        <v>21876</v>
      </c>
      <c r="H16" s="14">
        <f>H10</f>
        <v>0.159</v>
      </c>
      <c r="I16" s="14">
        <f>H3</f>
        <v>0.219</v>
      </c>
      <c r="J16" s="14">
        <f t="shared" ref="J16" si="12">ROUND((H16*F16 +I16*G16)/SUM(F16:G16),3)</f>
        <v>0.191</v>
      </c>
      <c r="K16" s="14">
        <f t="shared" si="9"/>
        <v>15.4</v>
      </c>
      <c r="L16" s="14">
        <f>$Y$2*(SQRT(J16*(1-J16)*((1/G16)+(1/G14))))</f>
        <v>5.8279752990090337E-3</v>
      </c>
      <c r="M16" s="42">
        <f t="shared" ref="M16:M21" si="13">I16-H16</f>
        <v>0.06</v>
      </c>
      <c r="N16" s="42">
        <f t="shared" ref="N16:N18" si="14">IF(K16&lt;1.96,0,ROUND((M16)/L16,0))</f>
        <v>10</v>
      </c>
      <c r="O16" s="42" cm="1">
        <f t="array" ref="O16">_xlfn.IFS(N16&gt;$Z$2,100,N16&lt;=$Z$2,ROUND((N16/$Z$2)*100,))</f>
        <v>33</v>
      </c>
      <c r="P16" s="42">
        <v>1</v>
      </c>
    </row>
    <row r="17" spans="1:16" x14ac:dyDescent="0.35">
      <c r="A17" s="14" t="s">
        <v>171</v>
      </c>
      <c r="B17" s="14" t="s">
        <v>91</v>
      </c>
      <c r="C17" s="14" t="s">
        <v>161</v>
      </c>
      <c r="D17" s="32" t="s">
        <v>94</v>
      </c>
      <c r="E17" s="26" t="s">
        <v>101</v>
      </c>
      <c r="F17" s="14">
        <f>'Raw Data'!C13+'Raw Data'!D13</f>
        <v>3200</v>
      </c>
      <c r="G17" s="14">
        <f>'Raw Data'!F13+'Raw Data'!E13</f>
        <v>8559</v>
      </c>
      <c r="H17" s="14">
        <f>ROUND(('Raw Data'!C14+'Raw Data'!D14)/'Significance Tests'!F17,3)</f>
        <v>0.20100000000000001</v>
      </c>
      <c r="I17" s="14">
        <f>ROUND(('Raw Data'!F14+'Raw Data'!E14)/'Significance Tests'!G17,3)</f>
        <v>0.27</v>
      </c>
      <c r="J17" s="14">
        <f t="shared" ref="J17:J21" si="15">ROUND((H17*F17 +I17*G17)/SUM(F17:G17),3)</f>
        <v>0.251</v>
      </c>
      <c r="K17" s="14">
        <f t="shared" si="9"/>
        <v>7.7</v>
      </c>
      <c r="L17" s="14">
        <f t="shared" ref="L17:L21" si="16">$Y$2*(SQRT(J17*(1-J17)*((1/G17)+(1/F17))))</f>
        <v>1.7608912433571152E-2</v>
      </c>
      <c r="M17" s="42">
        <f t="shared" si="13"/>
        <v>6.9000000000000006E-2</v>
      </c>
      <c r="N17" s="42">
        <f t="shared" si="14"/>
        <v>4</v>
      </c>
      <c r="O17" s="42" cm="1">
        <f t="array" ref="O17">_xlfn.IFS(N17&gt;$Z$2,100,N17&lt;=$Z$2,ROUND((N17/$Z$2)*100,))</f>
        <v>13</v>
      </c>
      <c r="P17" s="42">
        <v>0.2</v>
      </c>
    </row>
    <row r="18" spans="1:16" x14ac:dyDescent="0.35">
      <c r="A18" s="14" t="s">
        <v>171</v>
      </c>
      <c r="B18" s="14" t="s">
        <v>91</v>
      </c>
      <c r="C18" s="14" t="s">
        <v>161</v>
      </c>
      <c r="D18" s="32" t="s">
        <v>94</v>
      </c>
      <c r="E18" s="26" t="s">
        <v>102</v>
      </c>
      <c r="F18" s="14">
        <f>'Demographics Data'!C16+'Demographics Data'!D16</f>
        <v>17696</v>
      </c>
      <c r="G18" s="14">
        <f>'Demographics Data'!F16+'Demographics Data'!E16</f>
        <v>43937</v>
      </c>
      <c r="H18" s="14">
        <f>ROUND(('Raw Data'!C14+'Raw Data'!D14)/'Significance Tests'!F18,3)</f>
        <v>3.5999999999999997E-2</v>
      </c>
      <c r="I18" s="14">
        <f>ROUND(('Raw Data'!F14+'Raw Data'!E14)/'Significance Tests'!G18,3)</f>
        <v>5.2999999999999999E-2</v>
      </c>
      <c r="J18" s="14">
        <f t="shared" si="15"/>
        <v>4.8000000000000001E-2</v>
      </c>
      <c r="K18" s="14">
        <f t="shared" si="9"/>
        <v>8.9</v>
      </c>
      <c r="L18" s="14">
        <f t="shared" si="16"/>
        <v>3.7303455487079475E-3</v>
      </c>
      <c r="M18" s="42">
        <f t="shared" si="13"/>
        <v>1.7000000000000001E-2</v>
      </c>
      <c r="N18" s="42">
        <f t="shared" si="14"/>
        <v>5</v>
      </c>
      <c r="O18" s="42" cm="1">
        <f t="array" ref="O18">_xlfn.IFS(N18&gt;$Z$2,100,N18&lt;=$Z$2,ROUND((N18/$Z$2)*100,))</f>
        <v>17</v>
      </c>
      <c r="P18" s="42">
        <v>0.8</v>
      </c>
    </row>
    <row r="19" spans="1:16" x14ac:dyDescent="0.35">
      <c r="A19" s="14" t="s">
        <v>171</v>
      </c>
      <c r="B19" s="14" t="s">
        <v>91</v>
      </c>
      <c r="C19" s="14" t="s">
        <v>161</v>
      </c>
      <c r="D19" s="32" t="s">
        <v>95</v>
      </c>
      <c r="E19" s="26" t="s">
        <v>104</v>
      </c>
      <c r="F19" s="14">
        <f>'Raw Data'!C32+'Raw Data'!D32</f>
        <v>2121</v>
      </c>
      <c r="G19" s="14">
        <f>'Raw Data'!E32+'Raw Data'!F32</f>
        <v>7642</v>
      </c>
      <c r="H19" s="14">
        <f>ROUND(SUM('Raw Data'!C30:D30)/'Significance Tests'!F19,3)</f>
        <v>0.04</v>
      </c>
      <c r="I19" s="14">
        <f>ROUND(SUM('Raw Data'!C29:D29)/'Significance Tests'!G19,3)</f>
        <v>0.05</v>
      </c>
      <c r="J19" s="14">
        <f t="shared" si="15"/>
        <v>4.8000000000000001E-2</v>
      </c>
      <c r="K19" s="14">
        <f>ROUND((I19-H19)/(SQRT(J19*(1-J19)*((1/F19)+(1/G19)))),1)</f>
        <v>1.9</v>
      </c>
      <c r="L19" s="14">
        <f t="shared" si="16"/>
        <v>1.0282837151187926E-2</v>
      </c>
      <c r="M19" s="42">
        <f t="shared" si="13"/>
        <v>1.0000000000000002E-2</v>
      </c>
      <c r="N19" s="42">
        <f>IF(K19&lt;1.96,0,ROUND((M19)/L19,0))</f>
        <v>0</v>
      </c>
      <c r="O19" s="42" cm="1">
        <f t="array" ref="O19">_xlfn.IFS(N19&gt;$Z$2,100,N19&lt;=$Z$2,ROUND((N19/$Z$2)*100,))</f>
        <v>0</v>
      </c>
      <c r="P19" s="42">
        <v>0.8</v>
      </c>
    </row>
    <row r="20" spans="1:16" x14ac:dyDescent="0.35">
      <c r="A20" s="14" t="s">
        <v>171</v>
      </c>
      <c r="B20" s="14" t="s">
        <v>91</v>
      </c>
      <c r="C20" s="14" t="s">
        <v>161</v>
      </c>
      <c r="D20" s="32" t="s">
        <v>95</v>
      </c>
      <c r="E20" s="26" t="s">
        <v>169</v>
      </c>
      <c r="F20" s="14">
        <f>'Raw Data'!C29+'Raw Data'!D29</f>
        <v>380</v>
      </c>
      <c r="G20" s="14">
        <f>'Raw Data'!F29+'Raw Data'!E29</f>
        <v>2824</v>
      </c>
      <c r="H20" s="14">
        <f>ROUND(('Raw Data'!C30+'Raw Data'!D30)/F20,3)</f>
        <v>0.221</v>
      </c>
      <c r="I20" s="14">
        <f>ROUND(('Raw Data'!F30+'Raw Data'!E30)/G20,3)</f>
        <v>0.22600000000000001</v>
      </c>
      <c r="J20" s="14">
        <f t="shared" si="15"/>
        <v>0.22500000000000001</v>
      </c>
      <c r="K20" s="14">
        <f t="shared" ref="K20:K21" si="17">ROUND((I20-H20)/(SQRT(J20*(1-J20)*((1/F20)+(1/G20)))),1)</f>
        <v>0.2</v>
      </c>
      <c r="L20" s="14">
        <f t="shared" si="16"/>
        <v>4.4721904602829772E-2</v>
      </c>
      <c r="M20" s="42">
        <f t="shared" si="13"/>
        <v>5.0000000000000044E-3</v>
      </c>
      <c r="N20" s="42">
        <f t="shared" ref="N20:N21" si="18">IF(K20&lt;1.96,0,ROUND((M20)/L20,0))</f>
        <v>0</v>
      </c>
      <c r="O20" s="42" cm="1">
        <f t="array" ref="O20">_xlfn.IFS(N20&gt;$Z$2,100,N20&lt;=$Z$2,ROUND((N20/$Z$2)*100,))</f>
        <v>0</v>
      </c>
      <c r="P20" s="42">
        <v>0.2</v>
      </c>
    </row>
    <row r="21" spans="1:16" x14ac:dyDescent="0.35">
      <c r="A21" s="14" t="s">
        <v>171</v>
      </c>
      <c r="B21" s="14" t="s">
        <v>91</v>
      </c>
      <c r="C21" s="14" t="s">
        <v>161</v>
      </c>
      <c r="D21" s="32" t="s">
        <v>88</v>
      </c>
      <c r="E21" s="26" t="s">
        <v>108</v>
      </c>
      <c r="F21" s="14">
        <f>'Demographics Data'!C15+'Demographics Data'!D15</f>
        <v>78595</v>
      </c>
      <c r="G21" s="14">
        <f>'Demographics Data'!F15+'Demographics Data'!E15</f>
        <v>151503</v>
      </c>
      <c r="H21" s="14">
        <f>ROUND(('Raw Data'!C13+'Raw Data'!D13)/'Significance Tests'!F21,3)</f>
        <v>4.1000000000000002E-2</v>
      </c>
      <c r="I21" s="14">
        <f>ROUND(('Raw Data'!F13+'Raw Data'!E13)/'Significance Tests'!G21,3)</f>
        <v>5.6000000000000001E-2</v>
      </c>
      <c r="J21" s="14">
        <f t="shared" si="15"/>
        <v>5.0999999999999997E-2</v>
      </c>
      <c r="K21" s="14">
        <f t="shared" si="17"/>
        <v>15.5</v>
      </c>
      <c r="L21" s="14">
        <f t="shared" si="16"/>
        <v>1.8954948642493576E-3</v>
      </c>
      <c r="M21" s="42">
        <f t="shared" si="13"/>
        <v>1.4999999999999999E-2</v>
      </c>
      <c r="N21" s="42">
        <f t="shared" si="18"/>
        <v>8</v>
      </c>
      <c r="O21" s="42" cm="1">
        <f t="array" ref="O21">_xlfn.IFS(N21&gt;$Z$2,100,N21&lt;=$Z$2,ROUND((N21/$Z$2)*100,))</f>
        <v>27</v>
      </c>
      <c r="P21" s="42">
        <v>0.25</v>
      </c>
    </row>
    <row r="22" spans="1:16" x14ac:dyDescent="0.35">
      <c r="A22" s="14" t="s">
        <v>171</v>
      </c>
      <c r="B22" s="14" t="s">
        <v>91</v>
      </c>
      <c r="C22" s="14" t="s">
        <v>161</v>
      </c>
      <c r="D22" s="32" t="s">
        <v>88</v>
      </c>
      <c r="E22" s="26" t="s">
        <v>347</v>
      </c>
      <c r="F22" s="14" t="s">
        <v>59</v>
      </c>
      <c r="G22" s="14" t="s">
        <v>59</v>
      </c>
      <c r="H22" s="14" t="s">
        <v>59</v>
      </c>
      <c r="I22" s="14" t="s">
        <v>59</v>
      </c>
      <c r="J22" s="14" t="s">
        <v>59</v>
      </c>
      <c r="K22" s="14" t="s">
        <v>59</v>
      </c>
      <c r="L22" s="14" t="s">
        <v>59</v>
      </c>
      <c r="M22" s="14" t="s">
        <v>59</v>
      </c>
      <c r="N22" s="42"/>
      <c r="O22" s="42" cm="1">
        <f t="array" ref="O22">_xlfn.IFS(N22&gt;$Z$2,100,N22&lt;=$Z$2,ROUND((N22/$Z$2)*100,))</f>
        <v>0</v>
      </c>
      <c r="P22" s="42"/>
    </row>
    <row r="23" spans="1:16" x14ac:dyDescent="0.35">
      <c r="A23" s="14" t="s">
        <v>171</v>
      </c>
      <c r="B23" s="14" t="s">
        <v>91</v>
      </c>
      <c r="C23" s="14" t="s">
        <v>161</v>
      </c>
      <c r="D23" s="32" t="s">
        <v>88</v>
      </c>
      <c r="E23" s="26" t="s">
        <v>106</v>
      </c>
      <c r="F23" s="14">
        <f>'Raw Data'!B13</f>
        <v>11759</v>
      </c>
      <c r="G23" s="14">
        <f>'Demographics Data'!B18</f>
        <v>1151971</v>
      </c>
      <c r="H23" s="14">
        <f>ROUND(('Raw Data'!C13+'Raw Data'!D13)/F23,3)</f>
        <v>0.27200000000000002</v>
      </c>
      <c r="I23" s="14">
        <f>ROUND(('Demographics Data'!C18+'Demographics Data'!D18)/'Demographics Data'!B18,3)</f>
        <v>0.38900000000000001</v>
      </c>
      <c r="J23" s="14">
        <f t="shared" ref="J23:J28" si="19">ROUND((H23*F23 +I23*G23)/SUM(F23:G23),3)</f>
        <v>0.38800000000000001</v>
      </c>
      <c r="K23" s="14">
        <f t="shared" ref="K23:K28" si="20">ROUND((I23-H23)/(SQRT(J23*(1-J23)*((1/F23)+(1/G23)))),1)</f>
        <v>25.9</v>
      </c>
      <c r="L23" s="14">
        <f t="shared" ref="L23:L28" si="21">$Y$2*(SQRT(J23*(1-J23)*((1/G23)+(1/F23))))</f>
        <v>8.8525378448867861E-3</v>
      </c>
      <c r="M23" s="42">
        <f t="shared" ref="M23:M28" si="22">I23-H23</f>
        <v>0.11699999999999999</v>
      </c>
      <c r="N23" s="42">
        <f t="shared" ref="N23:N28" si="23">IF(K23&lt;1.96,0,ROUND((M23)/L23,0))</f>
        <v>13</v>
      </c>
      <c r="O23" s="42" cm="1">
        <f t="array" ref="O23">_xlfn.IFS(N23&gt;$Z$2,100,N23&lt;=$Z$2,ROUND((N23/$Z$2)*100,))</f>
        <v>43</v>
      </c>
      <c r="P23" s="42">
        <v>0.25</v>
      </c>
    </row>
    <row r="24" spans="1:16" x14ac:dyDescent="0.35">
      <c r="A24" s="14" t="s">
        <v>171</v>
      </c>
      <c r="B24" s="14" t="s">
        <v>91</v>
      </c>
      <c r="C24" s="14" t="s">
        <v>161</v>
      </c>
      <c r="D24" s="32" t="s">
        <v>88</v>
      </c>
      <c r="E24" s="26" t="s">
        <v>107</v>
      </c>
      <c r="F24" s="14">
        <f>F23</f>
        <v>11759</v>
      </c>
      <c r="G24" s="14">
        <f>'Demographics Data'!B11</f>
        <v>133178</v>
      </c>
      <c r="H24" s="14">
        <f>H23</f>
        <v>0.27200000000000002</v>
      </c>
      <c r="I24" s="14">
        <f>ROUND(('Demographics Data'!C11+'Demographics Data'!D11)/'Demographics Data'!B11,3)</f>
        <v>0.41899999999999998</v>
      </c>
      <c r="J24" s="14">
        <f t="shared" si="19"/>
        <v>0.40699999999999997</v>
      </c>
      <c r="K24" s="14">
        <f t="shared" si="20"/>
        <v>31.1</v>
      </c>
      <c r="L24" s="14">
        <f t="shared" si="21"/>
        <v>9.2633658610123508E-3</v>
      </c>
      <c r="M24" s="42">
        <f t="shared" si="22"/>
        <v>0.14699999999999996</v>
      </c>
      <c r="N24" s="42">
        <f t="shared" si="23"/>
        <v>16</v>
      </c>
      <c r="O24" s="42" cm="1">
        <f t="array" ref="O24">_xlfn.IFS(N24&gt;$Z$2,100,N24&lt;=$Z$2,ROUND((N24/$Z$2)*100,))</f>
        <v>53</v>
      </c>
      <c r="P24" s="42">
        <v>0.25</v>
      </c>
    </row>
    <row r="25" spans="1:16" x14ac:dyDescent="0.35">
      <c r="A25" s="14" t="s">
        <v>171</v>
      </c>
      <c r="B25" s="14" t="s">
        <v>91</v>
      </c>
      <c r="C25" s="14" t="s">
        <v>161</v>
      </c>
      <c r="D25" s="32" t="s">
        <v>88</v>
      </c>
      <c r="E25" s="26" t="s">
        <v>105</v>
      </c>
      <c r="F25" s="14">
        <f>F23</f>
        <v>11759</v>
      </c>
      <c r="G25" s="14">
        <f>'Demographics Data'!B15</f>
        <v>230098</v>
      </c>
      <c r="H25" s="14">
        <f>H24</f>
        <v>0.27200000000000002</v>
      </c>
      <c r="I25" s="14">
        <f>ROUND(('Demographics Data'!C15+'Demographics Data'!D15)/'Demographics Data'!B15,3)</f>
        <v>0.34200000000000003</v>
      </c>
      <c r="J25" s="14">
        <f t="shared" si="19"/>
        <v>0.33900000000000002</v>
      </c>
      <c r="K25" s="14">
        <f t="shared" si="20"/>
        <v>15.6</v>
      </c>
      <c r="L25" s="14">
        <f t="shared" si="21"/>
        <v>8.7719139736899161E-3</v>
      </c>
      <c r="M25" s="42">
        <f t="shared" si="22"/>
        <v>7.0000000000000007E-2</v>
      </c>
      <c r="N25" s="42">
        <f t="shared" si="23"/>
        <v>8</v>
      </c>
      <c r="O25" s="42" cm="1">
        <f t="array" ref="O25">_xlfn.IFS(N25&gt;$Z$2,100,N25&lt;=$Z$2,ROUND((N25/$Z$2)*100,))</f>
        <v>27</v>
      </c>
      <c r="P25" s="42">
        <v>0.25</v>
      </c>
    </row>
    <row r="26" spans="1:16" x14ac:dyDescent="0.35">
      <c r="A26" s="14" t="s">
        <v>171</v>
      </c>
      <c r="B26" s="14" t="s">
        <v>91</v>
      </c>
      <c r="C26" s="14" t="s">
        <v>161</v>
      </c>
      <c r="D26" s="32" t="s">
        <v>89</v>
      </c>
      <c r="E26" s="26" t="s">
        <v>149</v>
      </c>
      <c r="F26" s="14">
        <f>F25</f>
        <v>11759</v>
      </c>
      <c r="G26" s="14">
        <f>'Raw Data'!B8</f>
        <v>5720</v>
      </c>
      <c r="H26" s="14">
        <f>ROUND(('Raw Data'!C13+'Raw Data'!D13)/'Raw Data'!B13,3)</f>
        <v>0.27200000000000002</v>
      </c>
      <c r="I26" s="14">
        <f>ROUND(('Raw Data'!C8+'Raw Data'!D8)/'Raw Data'!B8,3)</f>
        <v>0.19</v>
      </c>
      <c r="J26" s="14">
        <f t="shared" si="19"/>
        <v>0.245</v>
      </c>
      <c r="K26" s="14">
        <f t="shared" si="20"/>
        <v>-11.8</v>
      </c>
      <c r="L26" s="14">
        <f t="shared" si="21"/>
        <v>1.3589005391706627E-2</v>
      </c>
      <c r="M26" s="42">
        <f t="shared" si="22"/>
        <v>-8.2000000000000017E-2</v>
      </c>
      <c r="N26" s="42">
        <f t="shared" si="23"/>
        <v>0</v>
      </c>
      <c r="O26" s="42" cm="1">
        <f t="array" ref="O26">_xlfn.IFS(N26&gt;$Z$2,100,N26&lt;=$Z$2,ROUND((N26/$Z$2)*100,))</f>
        <v>0</v>
      </c>
      <c r="P26" s="42">
        <v>1</v>
      </c>
    </row>
    <row r="27" spans="1:16" x14ac:dyDescent="0.35">
      <c r="A27" s="14" t="s">
        <v>171</v>
      </c>
      <c r="B27" s="33" t="s">
        <v>92</v>
      </c>
      <c r="C27" s="33" t="s">
        <v>161</v>
      </c>
      <c r="D27" s="32" t="s">
        <v>94</v>
      </c>
      <c r="E27" s="26" t="s">
        <v>246</v>
      </c>
      <c r="F27" s="41">
        <f>'Raw Data'!B16</f>
        <v>123681</v>
      </c>
      <c r="G27" s="14">
        <f>'Demographics Data'!B19</f>
        <v>5438637</v>
      </c>
      <c r="H27" s="14">
        <f>ROUND(('Raw Data'!C16+'Raw Data'!D16)/'Raw Data'!B16,3)</f>
        <v>0.14399999999999999</v>
      </c>
      <c r="I27" s="14">
        <f>ROUND(('Demographics Data'!C19+'Demographics Data'!D19)/'Demographics Data'!B19,3)</f>
        <v>0.39</v>
      </c>
      <c r="J27" s="14">
        <f t="shared" si="19"/>
        <v>0.38500000000000001</v>
      </c>
      <c r="K27" s="14">
        <f t="shared" si="20"/>
        <v>175.8</v>
      </c>
      <c r="L27" s="14">
        <f t="shared" si="21"/>
        <v>2.7425551562424866E-3</v>
      </c>
      <c r="M27" s="42">
        <f t="shared" si="22"/>
        <v>0.24600000000000002</v>
      </c>
      <c r="N27" s="42">
        <f t="shared" si="23"/>
        <v>90</v>
      </c>
      <c r="O27" s="42" cm="1">
        <f t="array" ref="O27">_xlfn.IFS(N27&gt;$Z$2,100,N27&lt;=$Z$2,ROUND((N27/$Z$2)*100,))</f>
        <v>100</v>
      </c>
      <c r="P27" s="42">
        <v>1</v>
      </c>
    </row>
    <row r="28" spans="1:16" x14ac:dyDescent="0.35">
      <c r="A28" s="14" t="s">
        <v>171</v>
      </c>
      <c r="B28" s="33" t="s">
        <v>92</v>
      </c>
      <c r="C28" s="33" t="s">
        <v>161</v>
      </c>
      <c r="D28" s="32" t="s">
        <v>95</v>
      </c>
      <c r="E28" s="26" t="s">
        <v>141</v>
      </c>
      <c r="F28" s="41">
        <f>'Raw Data'!B33</f>
        <v>21858</v>
      </c>
      <c r="G28" s="41">
        <f>G27</f>
        <v>5438637</v>
      </c>
      <c r="H28" s="41">
        <f>ROUND(SUM('Raw Data'!C33:D33)/'Raw Data'!B33,3)</f>
        <v>0.14299999999999999</v>
      </c>
      <c r="I28" s="41">
        <f>I27</f>
        <v>0.39</v>
      </c>
      <c r="J28" s="14">
        <f t="shared" si="19"/>
        <v>0.38900000000000001</v>
      </c>
      <c r="K28" s="14">
        <f t="shared" si="20"/>
        <v>74.8</v>
      </c>
      <c r="L28" s="14">
        <f t="shared" si="21"/>
        <v>6.4761550320878618E-3</v>
      </c>
      <c r="M28" s="42">
        <f t="shared" si="22"/>
        <v>0.24700000000000003</v>
      </c>
      <c r="N28" s="42">
        <f t="shared" si="23"/>
        <v>38</v>
      </c>
      <c r="O28" s="42" cm="1">
        <f t="array" ref="O28">_xlfn.IFS(N28&gt;$Z$2,100,N28&lt;=$Z$2,ROUND((N28/$Z$2)*100,))</f>
        <v>100</v>
      </c>
      <c r="P28" s="42">
        <v>1</v>
      </c>
    </row>
    <row r="29" spans="1:16" x14ac:dyDescent="0.35">
      <c r="A29" s="14" t="s">
        <v>171</v>
      </c>
      <c r="B29" s="33" t="s">
        <v>92</v>
      </c>
      <c r="C29" s="33" t="s">
        <v>161</v>
      </c>
      <c r="D29" s="32" t="s">
        <v>88</v>
      </c>
      <c r="E29" s="34" t="s">
        <v>142</v>
      </c>
      <c r="F29" s="41" t="s">
        <v>59</v>
      </c>
      <c r="G29" s="41" t="s">
        <v>59</v>
      </c>
      <c r="H29" s="41" t="s">
        <v>59</v>
      </c>
      <c r="I29" s="41" t="s">
        <v>59</v>
      </c>
      <c r="J29" s="14" t="s">
        <v>59</v>
      </c>
      <c r="K29" s="14" t="s">
        <v>59</v>
      </c>
      <c r="L29" s="14" t="s">
        <v>59</v>
      </c>
      <c r="M29" s="42" t="s">
        <v>59</v>
      </c>
      <c r="N29" s="42" t="s">
        <v>59</v>
      </c>
      <c r="O29" s="42" cm="1">
        <f t="array" ref="O29">_xlfn.IFS(N29&gt;$Z$2,100,N29&lt;=$Z$2,ROUND((N29/$Z$2)*100,))</f>
        <v>100</v>
      </c>
      <c r="P29" s="42">
        <v>1</v>
      </c>
    </row>
    <row r="30" spans="1:16" x14ac:dyDescent="0.35">
      <c r="A30" s="14" t="s">
        <v>171</v>
      </c>
      <c r="B30" s="33" t="s">
        <v>92</v>
      </c>
      <c r="C30" s="33" t="s">
        <v>161</v>
      </c>
      <c r="D30" s="32" t="s">
        <v>89</v>
      </c>
      <c r="E30" s="26" t="s">
        <v>143</v>
      </c>
      <c r="F30" s="41">
        <f>'Raw Data'!B17</f>
        <v>5518</v>
      </c>
      <c r="G30" s="41">
        <f>'Raw Data'!B15</f>
        <v>8490</v>
      </c>
      <c r="H30" s="14">
        <f>ROUND(SUM('Raw Data'!C17:D17)/'Raw Data'!B17,3)</f>
        <v>0.14399999999999999</v>
      </c>
      <c r="I30" s="14">
        <f>ROUND(SUM('Raw Data'!C15:D15)/'Raw Data'!B15,3)</f>
        <v>0.20799999999999999</v>
      </c>
      <c r="J30" s="14">
        <f t="shared" ref="J30" si="24">ROUND((H30*F30 +I30*G30)/SUM(F30:G30),3)</f>
        <v>0.183</v>
      </c>
      <c r="K30" s="14">
        <f t="shared" ref="K30" si="25">ROUND((I30-H30)/(SQRT(J30*(1-J30)*((1/F30)+(1/G30)))),1)</f>
        <v>9.6</v>
      </c>
      <c r="L30" s="14">
        <f t="shared" ref="L30" si="26">$Y$2*(SQRT(J30*(1-J30)*((1/G30)+(1/F30))))</f>
        <v>1.3104969599833384E-2</v>
      </c>
      <c r="M30" s="42">
        <f t="shared" ref="M30" si="27">I30-H30</f>
        <v>6.4000000000000001E-2</v>
      </c>
      <c r="N30" s="42">
        <f t="shared" ref="N30" si="28">IF(K30&lt;1.96,0,ROUND((M30)/L30,0))</f>
        <v>5</v>
      </c>
      <c r="O30" s="42" cm="1">
        <f t="array" ref="O30">_xlfn.IFS(N30&gt;$Z$2,100,N30&lt;=$Z$2,ROUND((N30/$Z$2)*100,))</f>
        <v>17</v>
      </c>
      <c r="P30" s="42">
        <v>1</v>
      </c>
    </row>
    <row r="31" spans="1:16" s="64" customFormat="1" x14ac:dyDescent="0.35">
      <c r="O31" s="65"/>
    </row>
    <row r="32" spans="1:16" x14ac:dyDescent="0.35">
      <c r="A32" s="14" t="s">
        <v>176</v>
      </c>
      <c r="B32" s="31" t="s">
        <v>32</v>
      </c>
      <c r="C32" s="14" t="s">
        <v>161</v>
      </c>
      <c r="D32" s="14" t="s">
        <v>94</v>
      </c>
      <c r="E32" s="26" t="s">
        <v>177</v>
      </c>
      <c r="F32" s="14">
        <v>18667</v>
      </c>
      <c r="G32" s="14">
        <v>3585</v>
      </c>
      <c r="H32" s="14">
        <v>0.252</v>
      </c>
      <c r="I32" s="14">
        <v>0.53900000000000003</v>
      </c>
      <c r="J32" s="14">
        <f>ROUND((H32*F32 +I32*G32)/SUM(F32:G32),3)</f>
        <v>0.29799999999999999</v>
      </c>
      <c r="K32" s="14">
        <f>ROUND((I32-H32)/(SQRT(J32*(1-J32)*((1/F32)+(1/G32)))),1)</f>
        <v>34.4</v>
      </c>
      <c r="L32" s="14">
        <f t="shared" ref="L32:L46" si="29">$Y$2*(SQRT(J32*(1-J32)*((1/G32)+(1/F32))))</f>
        <v>1.6346901334765369E-2</v>
      </c>
      <c r="M32" s="42">
        <f>I32-H32</f>
        <v>0.28700000000000003</v>
      </c>
      <c r="N32" s="42">
        <f>IF(K32&lt;1.96,0,ROUND((M32)/L32,0))</f>
        <v>18</v>
      </c>
      <c r="O32" s="42" cm="1">
        <f t="array" ref="O32">_xlfn.IFS(N32&gt;$Z$2,100,N32&lt;=$Z$2,ROUND((N32/$Z$2)*100,))</f>
        <v>60</v>
      </c>
      <c r="P32" s="42">
        <v>0.5</v>
      </c>
    </row>
    <row r="33" spans="1:16" x14ac:dyDescent="0.35">
      <c r="A33" s="14" t="s">
        <v>176</v>
      </c>
      <c r="B33" s="31" t="s">
        <v>32</v>
      </c>
      <c r="C33" s="14" t="s">
        <v>161</v>
      </c>
      <c r="D33" s="14" t="s">
        <v>95</v>
      </c>
      <c r="E33" s="26" t="s">
        <v>178</v>
      </c>
      <c r="F33" s="14">
        <v>18667</v>
      </c>
      <c r="G33" s="14">
        <v>3585</v>
      </c>
      <c r="H33" s="14">
        <v>2.7E-2</v>
      </c>
      <c r="I33" s="14">
        <v>0.13800000000000001</v>
      </c>
      <c r="J33" s="14">
        <f t="shared" ref="J33:J55" si="30">ROUND((H33*F33 +I33*G33)/SUM(F33:G33),3)</f>
        <v>4.4999999999999998E-2</v>
      </c>
      <c r="K33" s="14">
        <f t="shared" ref="K33:K55" si="31">ROUND((I33-H33)/(SQRT(J33*(1-J33)*((1/F33)+(1/G33)))),1)</f>
        <v>29.4</v>
      </c>
      <c r="L33" s="14">
        <f t="shared" si="29"/>
        <v>7.4091211455335967E-3</v>
      </c>
      <c r="M33" s="42">
        <f t="shared" ref="M33:M55" si="32">I33-H33</f>
        <v>0.11100000000000002</v>
      </c>
      <c r="N33" s="42">
        <f t="shared" ref="N33:N55" si="33">IF(K33&lt;1.96,0,ROUND((M33)/L33,0))</f>
        <v>15</v>
      </c>
      <c r="O33" s="42" cm="1">
        <f t="array" ref="O33">_xlfn.IFS(N33&gt;$Z$2,100,N33&lt;=$Z$2,ROUND((N33/$Z$2)*100,))</f>
        <v>50</v>
      </c>
      <c r="P33" s="42">
        <v>0.5</v>
      </c>
    </row>
    <row r="34" spans="1:16" x14ac:dyDescent="0.35">
      <c r="A34" s="14" t="s">
        <v>176</v>
      </c>
      <c r="B34" s="31" t="s">
        <v>32</v>
      </c>
      <c r="C34" s="14" t="s">
        <v>161</v>
      </c>
      <c r="D34" s="14" t="s">
        <v>94</v>
      </c>
      <c r="E34" s="26" t="s">
        <v>179</v>
      </c>
      <c r="F34" s="14">
        <v>21876</v>
      </c>
      <c r="G34" s="14">
        <v>3589</v>
      </c>
      <c r="H34" s="14">
        <v>0.16900000000000001</v>
      </c>
      <c r="I34" s="14">
        <v>0.45100000000000001</v>
      </c>
      <c r="J34" s="14">
        <f t="shared" si="30"/>
        <v>0.20899999999999999</v>
      </c>
      <c r="K34" s="14">
        <f t="shared" si="31"/>
        <v>38.5</v>
      </c>
      <c r="L34" s="14">
        <f t="shared" si="29"/>
        <v>1.4352204368832E-2</v>
      </c>
      <c r="M34" s="42">
        <f t="shared" si="32"/>
        <v>0.28200000000000003</v>
      </c>
      <c r="N34" s="42">
        <f t="shared" si="33"/>
        <v>20</v>
      </c>
      <c r="O34" s="42" cm="1">
        <f t="array" ref="O34">_xlfn.IFS(N34&gt;$Z$2,100,N34&lt;=$Z$2,ROUND((N34/$Z$2)*100,))</f>
        <v>67</v>
      </c>
      <c r="P34" s="42">
        <v>0.5</v>
      </c>
    </row>
    <row r="35" spans="1:16" x14ac:dyDescent="0.35">
      <c r="A35" s="14" t="s">
        <v>176</v>
      </c>
      <c r="B35" s="31" t="s">
        <v>32</v>
      </c>
      <c r="C35" s="14" t="s">
        <v>161</v>
      </c>
      <c r="D35" s="14" t="s">
        <v>95</v>
      </c>
      <c r="E35" s="26" t="s">
        <v>180</v>
      </c>
      <c r="F35" s="14">
        <v>21876</v>
      </c>
      <c r="G35" s="14">
        <v>3589</v>
      </c>
      <c r="H35" s="14">
        <v>2.5999999999999999E-2</v>
      </c>
      <c r="I35" s="14">
        <v>0.15</v>
      </c>
      <c r="J35" s="14">
        <f t="shared" si="30"/>
        <v>4.2999999999999997E-2</v>
      </c>
      <c r="K35" s="14">
        <f t="shared" si="31"/>
        <v>33.9</v>
      </c>
      <c r="L35" s="14">
        <f t="shared" si="29"/>
        <v>7.1605671495596932E-3</v>
      </c>
      <c r="M35" s="42">
        <f t="shared" si="32"/>
        <v>0.124</v>
      </c>
      <c r="N35" s="42">
        <f t="shared" si="33"/>
        <v>17</v>
      </c>
      <c r="O35" s="42" cm="1">
        <f t="array" ref="O35">_xlfn.IFS(N35&gt;$Z$2,100,N35&lt;=$Z$2,ROUND((N35/$Z$2)*100,))</f>
        <v>57</v>
      </c>
      <c r="P35" s="42">
        <v>0.5</v>
      </c>
    </row>
    <row r="36" spans="1:16" x14ac:dyDescent="0.35">
      <c r="A36" s="14" t="s">
        <v>176</v>
      </c>
      <c r="B36" s="31" t="s">
        <v>32</v>
      </c>
      <c r="C36" s="14" t="s">
        <v>161</v>
      </c>
      <c r="D36" s="14" t="s">
        <v>89</v>
      </c>
      <c r="E36" s="26" t="s">
        <v>182</v>
      </c>
      <c r="F36" s="14">
        <v>21876</v>
      </c>
      <c r="G36" s="14">
        <v>18667</v>
      </c>
      <c r="H36" s="14">
        <v>2.5999999999999999E-2</v>
      </c>
      <c r="I36" s="14">
        <v>2.7E-2</v>
      </c>
      <c r="J36" s="14">
        <f t="shared" si="30"/>
        <v>2.5999999999999999E-2</v>
      </c>
      <c r="K36" s="14">
        <f t="shared" si="31"/>
        <v>0.6</v>
      </c>
      <c r="L36" s="14">
        <f t="shared" si="29"/>
        <v>3.1078420848124734E-3</v>
      </c>
      <c r="M36" s="42">
        <f t="shared" si="32"/>
        <v>1.0000000000000009E-3</v>
      </c>
      <c r="N36" s="42">
        <f t="shared" si="33"/>
        <v>0</v>
      </c>
      <c r="O36" s="42" cm="1">
        <f t="array" ref="O36">_xlfn.IFS(N36&gt;$Z$2,100,N36&lt;=$Z$2,ROUND((N36/$Z$2)*100,))</f>
        <v>0</v>
      </c>
      <c r="P36" s="42">
        <v>1</v>
      </c>
    </row>
    <row r="37" spans="1:16" x14ac:dyDescent="0.35">
      <c r="A37" s="14" t="s">
        <v>176</v>
      </c>
      <c r="B37" s="14" t="s">
        <v>90</v>
      </c>
      <c r="C37" s="14" t="s">
        <v>161</v>
      </c>
      <c r="D37" s="14" t="s">
        <v>94</v>
      </c>
      <c r="E37" s="27" t="s">
        <v>183</v>
      </c>
      <c r="F37" s="14">
        <v>19268</v>
      </c>
      <c r="G37" s="14">
        <v>3368</v>
      </c>
      <c r="H37" s="33">
        <v>0.28199999999999997</v>
      </c>
      <c r="I37" s="33">
        <v>0.64</v>
      </c>
      <c r="J37" s="14">
        <f t="shared" si="30"/>
        <v>0.33500000000000002</v>
      </c>
      <c r="K37" s="14">
        <f t="shared" si="31"/>
        <v>40.6</v>
      </c>
      <c r="L37" s="14">
        <f t="shared" si="29"/>
        <v>1.7277654290051372E-2</v>
      </c>
      <c r="M37" s="42">
        <f t="shared" si="32"/>
        <v>0.35800000000000004</v>
      </c>
      <c r="N37" s="42">
        <f t="shared" si="33"/>
        <v>21</v>
      </c>
      <c r="O37" s="42" cm="1">
        <f t="array" ref="O37">_xlfn.IFS(N37&gt;$Z$2,100,N37&lt;=$Z$2,ROUND((N37/$Z$2)*100,))</f>
        <v>70</v>
      </c>
      <c r="P37" s="42">
        <v>1</v>
      </c>
    </row>
    <row r="38" spans="1:16" x14ac:dyDescent="0.35">
      <c r="A38" s="14" t="s">
        <v>176</v>
      </c>
      <c r="B38" s="14" t="s">
        <v>90</v>
      </c>
      <c r="C38" s="14" t="s">
        <v>161</v>
      </c>
      <c r="D38" s="14" t="s">
        <v>95</v>
      </c>
      <c r="E38" s="27" t="s">
        <v>184</v>
      </c>
      <c r="F38" s="14">
        <v>19268</v>
      </c>
      <c r="G38" s="14">
        <v>3368</v>
      </c>
      <c r="H38" s="14">
        <v>6.6000000000000003E-2</v>
      </c>
      <c r="I38" s="14">
        <v>0.22500000000000001</v>
      </c>
      <c r="J38" s="14">
        <f t="shared" si="30"/>
        <v>0.09</v>
      </c>
      <c r="K38" s="14">
        <f t="shared" si="31"/>
        <v>29.7</v>
      </c>
      <c r="L38" s="14">
        <f t="shared" si="29"/>
        <v>1.0475952115283344E-2</v>
      </c>
      <c r="M38" s="42">
        <f t="shared" si="32"/>
        <v>0.159</v>
      </c>
      <c r="N38" s="42">
        <f t="shared" si="33"/>
        <v>15</v>
      </c>
      <c r="O38" s="42" cm="1">
        <f t="array" ref="O38">_xlfn.IFS(N38&gt;$Z$2,100,N38&lt;=$Z$2,ROUND((N38/$Z$2)*100,))</f>
        <v>50</v>
      </c>
      <c r="P38" s="42">
        <v>0.5</v>
      </c>
    </row>
    <row r="39" spans="1:16" x14ac:dyDescent="0.35">
      <c r="A39" s="14" t="s">
        <v>176</v>
      </c>
      <c r="B39" s="14" t="s">
        <v>90</v>
      </c>
      <c r="C39" s="14" t="s">
        <v>161</v>
      </c>
      <c r="D39" s="14" t="s">
        <v>95</v>
      </c>
      <c r="E39" s="27" t="s">
        <v>185</v>
      </c>
      <c r="F39" s="14">
        <v>1832</v>
      </c>
      <c r="G39" s="14">
        <v>5835</v>
      </c>
      <c r="H39" s="14">
        <v>0.56200000000000006</v>
      </c>
      <c r="I39" s="14">
        <v>0.751</v>
      </c>
      <c r="J39" s="14">
        <f t="shared" si="30"/>
        <v>0.70599999999999996</v>
      </c>
      <c r="K39" s="14">
        <f t="shared" si="31"/>
        <v>15.5</v>
      </c>
      <c r="L39" s="14">
        <f t="shared" si="29"/>
        <v>2.3914519201607275E-2</v>
      </c>
      <c r="M39" s="42">
        <f t="shared" si="32"/>
        <v>0.18899999999999995</v>
      </c>
      <c r="N39" s="42">
        <f t="shared" si="33"/>
        <v>8</v>
      </c>
      <c r="O39" s="42" cm="1">
        <f t="array" ref="O39">_xlfn.IFS(N39&gt;$Z$2,100,N39&lt;=$Z$2,ROUND((N39/$Z$2)*100,))</f>
        <v>27</v>
      </c>
      <c r="P39" s="42">
        <v>0.5</v>
      </c>
    </row>
    <row r="40" spans="1:16" x14ac:dyDescent="0.35">
      <c r="A40" s="14" t="s">
        <v>176</v>
      </c>
      <c r="B40" s="14" t="s">
        <v>90</v>
      </c>
      <c r="C40" s="14" t="s">
        <v>161</v>
      </c>
      <c r="D40" s="14" t="s">
        <v>88</v>
      </c>
      <c r="E40" s="27" t="s">
        <v>186</v>
      </c>
      <c r="F40" s="14">
        <v>262555</v>
      </c>
      <c r="G40" s="14">
        <v>309874</v>
      </c>
      <c r="H40" s="14">
        <v>6.0000000000000001E-3</v>
      </c>
      <c r="I40" s="14">
        <v>1.4999999999999999E-2</v>
      </c>
      <c r="J40" s="14">
        <f t="shared" si="30"/>
        <v>1.0999999999999999E-2</v>
      </c>
      <c r="K40" s="14">
        <f t="shared" si="31"/>
        <v>32.5</v>
      </c>
      <c r="L40" s="14">
        <f t="shared" si="29"/>
        <v>5.4226135852339038E-4</v>
      </c>
      <c r="M40" s="42">
        <f t="shared" si="32"/>
        <v>8.9999999999999993E-3</v>
      </c>
      <c r="N40" s="42">
        <f t="shared" si="33"/>
        <v>17</v>
      </c>
      <c r="O40" s="42" cm="1">
        <f t="array" ref="O40">_xlfn.IFS(N40&gt;$Z$2,100,N40&lt;=$Z$2,ROUND((N40/$Z$2)*100,))</f>
        <v>57</v>
      </c>
      <c r="P40" s="42">
        <v>1</v>
      </c>
    </row>
    <row r="41" spans="1:16" x14ac:dyDescent="0.35">
      <c r="A41" s="14" t="s">
        <v>176</v>
      </c>
      <c r="B41" s="14" t="s">
        <v>90</v>
      </c>
      <c r="C41" s="14" t="s">
        <v>161</v>
      </c>
      <c r="D41" s="14" t="s">
        <v>89</v>
      </c>
      <c r="E41" s="26" t="s">
        <v>167</v>
      </c>
      <c r="F41">
        <v>19268</v>
      </c>
      <c r="G41">
        <v>21876</v>
      </c>
      <c r="H41" s="14">
        <v>0.16900000000000001</v>
      </c>
      <c r="I41" s="14">
        <v>0.28199999999999997</v>
      </c>
      <c r="J41" s="14">
        <f t="shared" si="30"/>
        <v>0.22900000000000001</v>
      </c>
      <c r="K41" s="14">
        <f t="shared" si="31"/>
        <v>27.2</v>
      </c>
      <c r="L41" s="14">
        <f t="shared" si="29"/>
        <v>8.1367688938130973E-3</v>
      </c>
      <c r="M41" s="42">
        <f t="shared" si="32"/>
        <v>0.11299999999999996</v>
      </c>
      <c r="N41" s="42">
        <f t="shared" si="33"/>
        <v>14</v>
      </c>
      <c r="O41" s="42" cm="1">
        <f t="array" ref="O41">_xlfn.IFS(N41&gt;$Z$2,100,N41&lt;=$Z$2,ROUND((N41/$Z$2)*100,))</f>
        <v>47</v>
      </c>
      <c r="P41" s="42">
        <v>1</v>
      </c>
    </row>
    <row r="42" spans="1:16" x14ac:dyDescent="0.35">
      <c r="A42" s="14" t="s">
        <v>176</v>
      </c>
      <c r="B42" s="14" t="s">
        <v>91</v>
      </c>
      <c r="C42" s="14" t="s">
        <v>161</v>
      </c>
      <c r="D42" s="32" t="s">
        <v>94</v>
      </c>
      <c r="E42" s="26" t="s">
        <v>188</v>
      </c>
      <c r="F42" s="14">
        <v>3200</v>
      </c>
      <c r="G42" s="14">
        <v>8559</v>
      </c>
      <c r="H42" s="14">
        <v>0.155</v>
      </c>
      <c r="I42" s="14">
        <v>0.13</v>
      </c>
      <c r="J42" s="14">
        <f t="shared" si="30"/>
        <v>0.13700000000000001</v>
      </c>
      <c r="K42" s="14">
        <f t="shared" si="31"/>
        <v>-3.5</v>
      </c>
      <c r="L42" s="14">
        <f t="shared" si="29"/>
        <v>1.3964341005496194E-2</v>
      </c>
      <c r="M42" s="42">
        <f t="shared" si="32"/>
        <v>-2.4999999999999994E-2</v>
      </c>
      <c r="N42" s="42">
        <f t="shared" si="33"/>
        <v>0</v>
      </c>
      <c r="O42" s="42" cm="1">
        <f t="array" ref="O42">_xlfn.IFS(N42&gt;$Z$2,100,N42&lt;=$Z$2,ROUND((N42/$Z$2)*100,))</f>
        <v>0</v>
      </c>
      <c r="P42" s="42">
        <v>0.5</v>
      </c>
    </row>
    <row r="43" spans="1:16" x14ac:dyDescent="0.35">
      <c r="A43" s="14" t="s">
        <v>176</v>
      </c>
      <c r="B43" s="14" t="s">
        <v>91</v>
      </c>
      <c r="C43" s="14" t="s">
        <v>161</v>
      </c>
      <c r="D43" s="32" t="s">
        <v>94</v>
      </c>
      <c r="E43" s="26" t="s">
        <v>189</v>
      </c>
      <c r="F43" s="14">
        <v>17696</v>
      </c>
      <c r="G43" s="14">
        <v>43937</v>
      </c>
      <c r="H43" s="14">
        <v>4.2000000000000003E-2</v>
      </c>
      <c r="I43" s="14">
        <v>5.5E-2</v>
      </c>
      <c r="J43" s="14">
        <f t="shared" si="30"/>
        <v>5.0999999999999997E-2</v>
      </c>
      <c r="K43" s="14">
        <f t="shared" si="31"/>
        <v>6.6</v>
      </c>
      <c r="L43" s="14">
        <f t="shared" si="29"/>
        <v>3.8390888607028831E-3</v>
      </c>
      <c r="M43" s="42">
        <f t="shared" si="32"/>
        <v>1.2999999999999998E-2</v>
      </c>
      <c r="N43" s="42">
        <f t="shared" si="33"/>
        <v>3</v>
      </c>
      <c r="O43" s="42" cm="1">
        <f t="array" ref="O43">_xlfn.IFS(N43&gt;$Z$2,100,N43&lt;=$Z$2,ROUND((N43/$Z$2)*100,))</f>
        <v>10</v>
      </c>
      <c r="P43" s="42">
        <v>0.5</v>
      </c>
    </row>
    <row r="44" spans="1:16" x14ac:dyDescent="0.35">
      <c r="A44" s="14" t="s">
        <v>176</v>
      </c>
      <c r="B44" s="14" t="s">
        <v>91</v>
      </c>
      <c r="C44" s="14" t="s">
        <v>161</v>
      </c>
      <c r="D44" s="32" t="s">
        <v>95</v>
      </c>
      <c r="E44" s="26" t="s">
        <v>190</v>
      </c>
      <c r="F44" s="14">
        <v>2121</v>
      </c>
      <c r="G44" s="14">
        <v>7642</v>
      </c>
      <c r="H44" s="14">
        <v>0.21299999999999999</v>
      </c>
      <c r="I44" s="14">
        <v>0.32</v>
      </c>
      <c r="J44" s="14">
        <f t="shared" si="30"/>
        <v>0.29699999999999999</v>
      </c>
      <c r="K44" s="14">
        <f t="shared" si="31"/>
        <v>9.5</v>
      </c>
      <c r="L44" s="14">
        <f t="shared" si="29"/>
        <v>2.1980104469005755E-2</v>
      </c>
      <c r="M44" s="42">
        <f t="shared" si="32"/>
        <v>0.10700000000000001</v>
      </c>
      <c r="N44" s="42">
        <f t="shared" si="33"/>
        <v>5</v>
      </c>
      <c r="O44" s="42" cm="1">
        <f t="array" ref="O44">_xlfn.IFS(N44&gt;$Z$2,100,N44&lt;=$Z$2,ROUND((N44/$Z$2)*100,))</f>
        <v>17</v>
      </c>
      <c r="P44" s="42">
        <v>0.5</v>
      </c>
    </row>
    <row r="45" spans="1:16" x14ac:dyDescent="0.35">
      <c r="A45" s="14" t="s">
        <v>176</v>
      </c>
      <c r="B45" s="14" t="s">
        <v>91</v>
      </c>
      <c r="C45" s="14" t="s">
        <v>161</v>
      </c>
      <c r="D45" s="32" t="s">
        <v>95</v>
      </c>
      <c r="E45" s="26" t="s">
        <v>191</v>
      </c>
      <c r="F45" s="14">
        <v>380</v>
      </c>
      <c r="G45" s="14">
        <v>2824</v>
      </c>
      <c r="H45" s="14">
        <v>0.35099999999999998</v>
      </c>
      <c r="I45" s="14">
        <v>0.41599999999999998</v>
      </c>
      <c r="J45" s="14">
        <f t="shared" si="30"/>
        <v>0.40799999999999997</v>
      </c>
      <c r="K45" s="14">
        <f t="shared" si="31"/>
        <v>2.4</v>
      </c>
      <c r="L45" s="14">
        <f t="shared" si="29"/>
        <v>5.2634331992956029E-2</v>
      </c>
      <c r="M45" s="42">
        <f t="shared" si="32"/>
        <v>6.5000000000000002E-2</v>
      </c>
      <c r="N45" s="42">
        <f t="shared" si="33"/>
        <v>1</v>
      </c>
      <c r="O45" s="42" cm="1">
        <f t="array" ref="O45">_xlfn.IFS(N45&gt;$Z$2,100,N45&lt;=$Z$2,ROUND((N45/$Z$2)*100,))</f>
        <v>3</v>
      </c>
      <c r="P45" s="42">
        <v>0.5</v>
      </c>
    </row>
    <row r="46" spans="1:16" x14ac:dyDescent="0.35">
      <c r="A46" s="14" t="s">
        <v>176</v>
      </c>
      <c r="B46" s="14" t="s">
        <v>91</v>
      </c>
      <c r="C46" s="14" t="s">
        <v>161</v>
      </c>
      <c r="D46" s="32" t="s">
        <v>88</v>
      </c>
      <c r="E46" s="26" t="s">
        <v>192</v>
      </c>
      <c r="F46" s="14">
        <v>78595</v>
      </c>
      <c r="G46" s="14">
        <v>151503</v>
      </c>
      <c r="H46" s="14">
        <v>2.5999999999999999E-2</v>
      </c>
      <c r="I46" s="14">
        <v>6.4000000000000001E-2</v>
      </c>
      <c r="J46" s="14">
        <f t="shared" si="30"/>
        <v>5.0999999999999997E-2</v>
      </c>
      <c r="K46" s="14">
        <f t="shared" si="31"/>
        <v>39.299999999999997</v>
      </c>
      <c r="L46" s="14">
        <f t="shared" si="29"/>
        <v>1.8954948642493576E-3</v>
      </c>
      <c r="M46" s="42">
        <f t="shared" si="32"/>
        <v>3.8000000000000006E-2</v>
      </c>
      <c r="N46" s="42">
        <f t="shared" si="33"/>
        <v>20</v>
      </c>
      <c r="O46" s="42" cm="1">
        <f t="array" ref="O46">_xlfn.IFS(N46&gt;$Z$2,100,N46&lt;=$Z$2,ROUND((N46/$Z$2)*100,))</f>
        <v>67</v>
      </c>
      <c r="P46" s="42">
        <v>0.25</v>
      </c>
    </row>
    <row r="47" spans="1:16" x14ac:dyDescent="0.35">
      <c r="A47" s="14" t="s">
        <v>176</v>
      </c>
      <c r="B47" s="14" t="s">
        <v>91</v>
      </c>
      <c r="C47" s="14" t="s">
        <v>161</v>
      </c>
      <c r="D47" s="32" t="s">
        <v>88</v>
      </c>
      <c r="E47" s="26" t="s">
        <v>389</v>
      </c>
      <c r="F47" s="14" t="s">
        <v>59</v>
      </c>
      <c r="G47" s="14" t="s">
        <v>59</v>
      </c>
      <c r="H47" s="14" t="s">
        <v>59</v>
      </c>
      <c r="I47" s="14" t="s">
        <v>59</v>
      </c>
      <c r="J47" s="14" t="s">
        <v>59</v>
      </c>
      <c r="K47" s="14" t="s">
        <v>59</v>
      </c>
      <c r="L47" s="14" t="s">
        <v>59</v>
      </c>
      <c r="M47" s="42"/>
      <c r="N47" s="42"/>
      <c r="O47" s="42" cm="1">
        <f t="array" ref="O47">_xlfn.IFS(N47&gt;$Z$2,100,N47&lt;=$Z$2,ROUND((N47/$Z$2)*100,))</f>
        <v>0</v>
      </c>
      <c r="P47" s="42"/>
    </row>
    <row r="48" spans="1:16" x14ac:dyDescent="0.35">
      <c r="A48" s="14" t="s">
        <v>176</v>
      </c>
      <c r="B48" s="14" t="s">
        <v>91</v>
      </c>
      <c r="C48" s="14" t="s">
        <v>161</v>
      </c>
      <c r="D48" s="32" t="s">
        <v>88</v>
      </c>
      <c r="E48" s="26" t="s">
        <v>193</v>
      </c>
      <c r="F48" s="14">
        <v>11759</v>
      </c>
      <c r="G48" s="14">
        <v>1151971</v>
      </c>
      <c r="H48" s="14">
        <v>0.193</v>
      </c>
      <c r="I48" s="14">
        <v>0.38744038709228251</v>
      </c>
      <c r="J48" s="14">
        <f t="shared" si="30"/>
        <v>0.38500000000000001</v>
      </c>
      <c r="K48" s="14">
        <f t="shared" si="31"/>
        <v>43.1</v>
      </c>
      <c r="L48" s="14">
        <f t="shared" ref="L48:L53" si="34">$Y$2*(SQRT(J48*(1-J48)*((1/G48)+(1/F48))))</f>
        <v>8.8398346349846807E-3</v>
      </c>
      <c r="M48" s="42">
        <f t="shared" si="32"/>
        <v>0.19444038709228251</v>
      </c>
      <c r="N48" s="42">
        <f t="shared" si="33"/>
        <v>22</v>
      </c>
      <c r="O48" s="42" cm="1">
        <f t="array" ref="O48">_xlfn.IFS(N48&gt;$Z$2,100,N48&lt;=$Z$2,ROUND((N48/$Z$2)*100,))</f>
        <v>73</v>
      </c>
      <c r="P48" s="42">
        <v>0.25</v>
      </c>
    </row>
    <row r="49" spans="1:16" x14ac:dyDescent="0.35">
      <c r="A49" s="14" t="s">
        <v>176</v>
      </c>
      <c r="B49" s="14" t="s">
        <v>91</v>
      </c>
      <c r="C49" s="14" t="s">
        <v>161</v>
      </c>
      <c r="D49" s="32" t="s">
        <v>88</v>
      </c>
      <c r="E49" s="26" t="s">
        <v>194</v>
      </c>
      <c r="F49" s="14">
        <v>11759</v>
      </c>
      <c r="G49" s="14">
        <v>133178</v>
      </c>
      <c r="H49" s="14">
        <v>0.193</v>
      </c>
      <c r="I49" s="14">
        <v>0.41599999999999998</v>
      </c>
      <c r="J49" s="14">
        <f t="shared" si="30"/>
        <v>0.39800000000000002</v>
      </c>
      <c r="K49" s="14">
        <f t="shared" si="31"/>
        <v>47.4</v>
      </c>
      <c r="L49" s="14">
        <f t="shared" si="34"/>
        <v>9.2296248181505305E-3</v>
      </c>
      <c r="M49" s="42">
        <f t="shared" si="32"/>
        <v>0.22299999999999998</v>
      </c>
      <c r="N49" s="42">
        <f t="shared" si="33"/>
        <v>24</v>
      </c>
      <c r="O49" s="42" cm="1">
        <f t="array" ref="O49">_xlfn.IFS(N49&gt;$Z$2,100,N49&lt;=$Z$2,ROUND((N49/$Z$2)*100,))</f>
        <v>80</v>
      </c>
      <c r="P49" s="42">
        <v>0.25</v>
      </c>
    </row>
    <row r="50" spans="1:16" x14ac:dyDescent="0.35">
      <c r="A50" s="14" t="s">
        <v>176</v>
      </c>
      <c r="B50" s="14" t="s">
        <v>91</v>
      </c>
      <c r="C50" s="14" t="s">
        <v>161</v>
      </c>
      <c r="D50" s="32" t="s">
        <v>88</v>
      </c>
      <c r="E50" s="26" t="s">
        <v>195</v>
      </c>
      <c r="F50" s="14">
        <v>11759</v>
      </c>
      <c r="G50" s="14">
        <v>230098</v>
      </c>
      <c r="H50" s="14">
        <v>0.193</v>
      </c>
      <c r="I50" s="14">
        <v>0.36799999999999999</v>
      </c>
      <c r="J50" s="14">
        <f t="shared" si="30"/>
        <v>0.35899999999999999</v>
      </c>
      <c r="K50" s="14">
        <f t="shared" si="31"/>
        <v>38.6</v>
      </c>
      <c r="L50" s="14">
        <f t="shared" si="34"/>
        <v>8.8893503705335802E-3</v>
      </c>
      <c r="M50" s="42">
        <f t="shared" si="32"/>
        <v>0.17499999999999999</v>
      </c>
      <c r="N50" s="42">
        <f t="shared" si="33"/>
        <v>20</v>
      </c>
      <c r="O50" s="42" cm="1">
        <f t="array" ref="O50">_xlfn.IFS(N50&gt;$Z$2,100,N50&lt;=$Z$2,ROUND((N50/$Z$2)*100,))</f>
        <v>67</v>
      </c>
      <c r="P50" s="42">
        <v>0.25</v>
      </c>
    </row>
    <row r="51" spans="1:16" x14ac:dyDescent="0.35">
      <c r="A51" s="14" t="s">
        <v>176</v>
      </c>
      <c r="B51" s="14" t="s">
        <v>91</v>
      </c>
      <c r="C51" s="14" t="s">
        <v>161</v>
      </c>
      <c r="D51" s="32" t="s">
        <v>89</v>
      </c>
      <c r="E51" s="26" t="s">
        <v>196</v>
      </c>
      <c r="F51" s="14">
        <v>11759</v>
      </c>
      <c r="G51" s="14">
        <v>5720</v>
      </c>
      <c r="H51" s="14">
        <v>0.193</v>
      </c>
      <c r="I51" s="14">
        <v>0.189</v>
      </c>
      <c r="J51" s="14">
        <f t="shared" si="30"/>
        <v>0.192</v>
      </c>
      <c r="K51" s="14">
        <f t="shared" si="31"/>
        <v>-0.6</v>
      </c>
      <c r="L51" s="14">
        <f t="shared" si="34"/>
        <v>1.2444786424055812E-2</v>
      </c>
      <c r="M51" s="42">
        <f t="shared" si="32"/>
        <v>-4.0000000000000036E-3</v>
      </c>
      <c r="N51" s="42">
        <f t="shared" si="33"/>
        <v>0</v>
      </c>
      <c r="O51" s="42" cm="1">
        <f t="array" ref="O51">_xlfn.IFS(N51&gt;$Z$2,100,N51&lt;=$Z$2,ROUND((N51/$Z$2)*100,))</f>
        <v>0</v>
      </c>
      <c r="P51" s="42">
        <v>1</v>
      </c>
    </row>
    <row r="52" spans="1:16" x14ac:dyDescent="0.35">
      <c r="A52" s="14" t="s">
        <v>176</v>
      </c>
      <c r="B52" s="33" t="s">
        <v>92</v>
      </c>
      <c r="C52" s="33" t="s">
        <v>161</v>
      </c>
      <c r="D52" s="32" t="s">
        <v>94</v>
      </c>
      <c r="E52" s="26" t="s">
        <v>247</v>
      </c>
      <c r="F52" s="14">
        <v>123681</v>
      </c>
      <c r="G52" s="14">
        <v>5438637</v>
      </c>
      <c r="H52" s="14">
        <v>0.159</v>
      </c>
      <c r="I52" s="14">
        <v>0.32100000000000001</v>
      </c>
      <c r="J52" s="14">
        <f t="shared" si="30"/>
        <v>0.317</v>
      </c>
      <c r="K52" s="14">
        <f t="shared" si="31"/>
        <v>121.1</v>
      </c>
      <c r="L52" s="14">
        <f t="shared" si="34"/>
        <v>2.622572064717527E-3</v>
      </c>
      <c r="M52" s="42">
        <f t="shared" si="32"/>
        <v>0.16200000000000001</v>
      </c>
      <c r="N52" s="42">
        <f t="shared" si="33"/>
        <v>62</v>
      </c>
      <c r="O52" s="42" cm="1">
        <f t="array" ref="O52">_xlfn.IFS(N52&gt;$Z$2,100,N52&lt;=$Z$2,ROUND((N52/$Z$2)*100,))</f>
        <v>100</v>
      </c>
      <c r="P52" s="42">
        <v>1</v>
      </c>
    </row>
    <row r="53" spans="1:16" x14ac:dyDescent="0.35">
      <c r="A53" s="14" t="s">
        <v>176</v>
      </c>
      <c r="B53" s="33" t="s">
        <v>92</v>
      </c>
      <c r="C53" s="33" t="s">
        <v>161</v>
      </c>
      <c r="D53" s="32" t="s">
        <v>95</v>
      </c>
      <c r="E53" s="26" t="s">
        <v>248</v>
      </c>
      <c r="F53" s="14">
        <v>21858</v>
      </c>
      <c r="G53" s="14">
        <v>5438637</v>
      </c>
      <c r="H53" s="14">
        <v>0.14599999999999999</v>
      </c>
      <c r="I53" s="14">
        <v>0.32100000000000001</v>
      </c>
      <c r="J53" s="14">
        <f t="shared" si="30"/>
        <v>0.32</v>
      </c>
      <c r="K53" s="14">
        <f t="shared" si="31"/>
        <v>55.4</v>
      </c>
      <c r="L53" s="14">
        <f t="shared" si="34"/>
        <v>6.1965688067850393E-3</v>
      </c>
      <c r="M53" s="42">
        <f t="shared" si="32"/>
        <v>0.17500000000000002</v>
      </c>
      <c r="N53" s="42">
        <f t="shared" si="33"/>
        <v>28</v>
      </c>
      <c r="O53" s="42" cm="1">
        <f t="array" ref="O53">_xlfn.IFS(N53&gt;$Z$2,100,N53&lt;=$Z$2,ROUND((N53/$Z$2)*100,))</f>
        <v>93</v>
      </c>
      <c r="P53" s="42">
        <v>1</v>
      </c>
    </row>
    <row r="54" spans="1:16" x14ac:dyDescent="0.35">
      <c r="A54" s="14" t="s">
        <v>176</v>
      </c>
      <c r="B54" s="33" t="s">
        <v>92</v>
      </c>
      <c r="C54" s="33" t="s">
        <v>161</v>
      </c>
      <c r="D54" s="32" t="s">
        <v>88</v>
      </c>
      <c r="E54" s="34" t="s">
        <v>197</v>
      </c>
      <c r="F54" s="14" t="s">
        <v>59</v>
      </c>
      <c r="G54" s="14" t="s">
        <v>59</v>
      </c>
      <c r="H54" s="14" t="s">
        <v>59</v>
      </c>
      <c r="I54" s="14" t="s">
        <v>59</v>
      </c>
      <c r="J54" s="14"/>
      <c r="K54" s="14"/>
      <c r="L54" s="14"/>
      <c r="M54" s="42"/>
      <c r="N54" s="42">
        <f t="shared" si="33"/>
        <v>0</v>
      </c>
      <c r="O54" s="42" cm="1">
        <f t="array" ref="O54">_xlfn.IFS(N54&gt;$Z$2,100,N54&lt;=$Z$2,ROUND((N54/$Z$2)*100,))</f>
        <v>0</v>
      </c>
      <c r="P54" s="14"/>
    </row>
    <row r="55" spans="1:16" x14ac:dyDescent="0.35">
      <c r="A55" s="14" t="s">
        <v>176</v>
      </c>
      <c r="B55" s="33" t="s">
        <v>92</v>
      </c>
      <c r="C55" s="33" t="s">
        <v>161</v>
      </c>
      <c r="D55" s="32" t="s">
        <v>89</v>
      </c>
      <c r="E55" s="26" t="s">
        <v>198</v>
      </c>
      <c r="F55" s="14">
        <v>5518</v>
      </c>
      <c r="G55" s="14">
        <v>8490</v>
      </c>
      <c r="H55" s="14">
        <v>0.14499999999999999</v>
      </c>
      <c r="I55" s="14">
        <v>0.25900000000000001</v>
      </c>
      <c r="J55" s="14">
        <f t="shared" si="30"/>
        <v>0.214</v>
      </c>
      <c r="K55" s="14">
        <f t="shared" si="31"/>
        <v>16.100000000000001</v>
      </c>
      <c r="L55" s="14">
        <f>$Y$2*(SQRT(J55*(1-J55)*((1/G55)+(1/F55))))</f>
        <v>1.3900089749432229E-2</v>
      </c>
      <c r="M55" s="42">
        <f t="shared" si="32"/>
        <v>0.11400000000000002</v>
      </c>
      <c r="N55" s="42">
        <f t="shared" si="33"/>
        <v>8</v>
      </c>
      <c r="O55" s="42" cm="1">
        <f t="array" ref="O55">_xlfn.IFS(N55&gt;$Z$2,100,N55&lt;=$Z$2,ROUND((N55/$Z$2)*100,))</f>
        <v>27</v>
      </c>
      <c r="P55" s="42">
        <v>1</v>
      </c>
    </row>
  </sheetData>
  <conditionalFormatting sqref="D3">
    <cfRule type="containsText" dxfId="34" priority="9" operator="containsText" text="Proficient">
      <formula>NOT(ISERROR(SEARCH("Proficient",D3)))</formula>
    </cfRule>
  </conditionalFormatting>
  <conditionalFormatting sqref="D1:D30">
    <cfRule type="containsText" dxfId="33" priority="5" operator="containsText" text="progress">
      <formula>NOT(ISERROR(SEARCH("progress",D1)))</formula>
    </cfRule>
    <cfRule type="containsText" dxfId="32" priority="6" operator="containsText" text="Access">
      <formula>NOT(ISERROR(SEARCH("Access",D1)))</formula>
    </cfRule>
    <cfRule type="containsText" dxfId="31" priority="7" operator="containsText" text="Excellence">
      <formula>NOT(ISERROR(SEARCH("Excellence",D1)))</formula>
    </cfRule>
    <cfRule type="containsText" dxfId="30" priority="8" operator="containsText" text="Proficient">
      <formula>NOT(ISERROR(SEARCH("Proficient",D1)))</formula>
    </cfRule>
  </conditionalFormatting>
  <conditionalFormatting sqref="D32:D55">
    <cfRule type="containsText" dxfId="29" priority="1" operator="containsText" text="progress">
      <formula>NOT(ISERROR(SEARCH("progress",D32)))</formula>
    </cfRule>
    <cfRule type="containsText" dxfId="28" priority="2" operator="containsText" text="Access">
      <formula>NOT(ISERROR(SEARCH("Access",D32)))</formula>
    </cfRule>
    <cfRule type="containsText" dxfId="27" priority="3" operator="containsText" text="Excellence">
      <formula>NOT(ISERROR(SEARCH("Excellence",D32)))</formula>
    </cfRule>
    <cfRule type="containsText" dxfId="26" priority="4" operator="containsText" text="Proficient">
      <formula>NOT(ISERROR(SEARCH("Proficient",D32)))</formula>
    </cfRule>
  </conditionalFormatting>
  <pageMargins left="0.7" right="0.7" top="0.75" bottom="0.75" header="0.3" footer="0.3"/>
  <ignoredErrors>
    <ignoredError sqref="N2" evalError="1"/>
    <ignoredError sqref="F2:I15 F17:I17 F16:H16" formulaRange="1"/>
    <ignoredError sqref="G24:H27 F25 G29:H29 G28" formula="1"/>
    <ignoredError sqref="H28" formula="1" formulaRange="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1D3DD-3CD4-4B41-8194-5805B2635E9E}">
  <dimension ref="A1:R69"/>
  <sheetViews>
    <sheetView topLeftCell="A4" zoomScale="85" zoomScaleNormal="85" workbookViewId="0">
      <selection activeCell="C7" sqref="C7"/>
    </sheetView>
  </sheetViews>
  <sheetFormatPr defaultRowHeight="14.5" x14ac:dyDescent="0.35"/>
  <cols>
    <col min="1" max="1" width="22.90625" style="46" customWidth="1"/>
    <col min="2" max="2" width="14.6328125" style="46" customWidth="1"/>
    <col min="3" max="3" width="15.26953125" style="46" customWidth="1"/>
    <col min="4" max="4" width="8.7265625" style="46"/>
    <col min="5" max="5" width="11.81640625" style="46" customWidth="1"/>
    <col min="6" max="6" width="15.08984375" style="46" customWidth="1"/>
    <col min="7" max="7" width="15.36328125" style="46" customWidth="1"/>
    <col min="8" max="8" width="8.7265625" style="46"/>
    <col min="9" max="9" width="14.1796875" style="46" customWidth="1"/>
    <col min="10" max="10" width="15" style="46" customWidth="1"/>
    <col min="11" max="11" width="14.54296875" style="46" customWidth="1"/>
    <col min="12" max="12" width="8.7265625" style="46"/>
    <col min="13" max="13" width="13.54296875" style="46" customWidth="1"/>
    <col min="14" max="14" width="14.1796875" style="46" customWidth="1"/>
    <col min="15" max="15" width="15.81640625" style="46" customWidth="1"/>
    <col min="16" max="16384" width="8.7265625" style="46"/>
  </cols>
  <sheetData>
    <row r="1" spans="1:18" x14ac:dyDescent="0.35">
      <c r="A1" s="146" t="s">
        <v>258</v>
      </c>
      <c r="B1" s="143" t="s">
        <v>32</v>
      </c>
      <c r="C1" s="143"/>
      <c r="D1" s="143"/>
      <c r="F1" s="143" t="s">
        <v>90</v>
      </c>
      <c r="G1" s="143"/>
      <c r="H1" s="143"/>
      <c r="J1" s="143" t="s">
        <v>174</v>
      </c>
      <c r="K1" s="143"/>
      <c r="L1" s="143"/>
      <c r="N1" s="146" t="s">
        <v>175</v>
      </c>
      <c r="O1" s="146"/>
      <c r="P1" s="146"/>
      <c r="R1" s="46" t="s">
        <v>346</v>
      </c>
    </row>
    <row r="2" spans="1:18" x14ac:dyDescent="0.35">
      <c r="A2" s="146"/>
      <c r="B2" s="143">
        <f>C4*D4+C5*D5+C6*D6</f>
        <v>60.15</v>
      </c>
      <c r="C2" s="143"/>
      <c r="D2" s="143"/>
      <c r="F2" s="143">
        <f>G4*H4+G5*H5+G6*H6</f>
        <v>62</v>
      </c>
      <c r="G2" s="143"/>
      <c r="H2" s="143"/>
      <c r="J2" s="143">
        <f>K4*L4+K5*L5+K6*L6</f>
        <v>31.814999999999998</v>
      </c>
      <c r="K2" s="143"/>
      <c r="L2" s="143"/>
      <c r="N2" s="146">
        <f>O4*P4+O5*P5+O6*P6+O7*P7</f>
        <v>93.3</v>
      </c>
      <c r="O2" s="146"/>
      <c r="P2" s="146"/>
      <c r="R2" s="46">
        <v>0.3</v>
      </c>
    </row>
    <row r="3" spans="1:18" x14ac:dyDescent="0.35">
      <c r="A3" s="146"/>
      <c r="B3" s="46" t="s">
        <v>85</v>
      </c>
      <c r="C3" s="46" t="s">
        <v>173</v>
      </c>
      <c r="D3" s="46" t="s">
        <v>57</v>
      </c>
      <c r="F3" s="46" t="s">
        <v>85</v>
      </c>
      <c r="G3" s="46" t="s">
        <v>173</v>
      </c>
      <c r="H3" s="46" t="s">
        <v>57</v>
      </c>
      <c r="J3" s="46" t="s">
        <v>85</v>
      </c>
      <c r="K3" s="46" t="s">
        <v>173</v>
      </c>
      <c r="L3" s="46" t="s">
        <v>57</v>
      </c>
      <c r="N3" s="46" t="s">
        <v>85</v>
      </c>
      <c r="O3" s="46" t="s">
        <v>173</v>
      </c>
      <c r="P3" s="46" t="s">
        <v>57</v>
      </c>
      <c r="R3" s="46">
        <v>0.3</v>
      </c>
    </row>
    <row r="4" spans="1:18" x14ac:dyDescent="0.35">
      <c r="A4" s="146"/>
      <c r="B4" s="46" t="s">
        <v>94</v>
      </c>
      <c r="C4" s="46">
        <f>'Significance Tests'!R2*'Significance Tests'!S2+'Significance Tests'!R4*'Significance Tests'!S4</f>
        <v>100</v>
      </c>
      <c r="D4" s="46">
        <f>$R$2</f>
        <v>0.3</v>
      </c>
      <c r="F4" s="46" t="s">
        <v>94</v>
      </c>
      <c r="G4" s="46">
        <f>'Significance Tests'!R10*'Significance Tests'!S10</f>
        <v>100</v>
      </c>
      <c r="H4" s="46">
        <f>$R$2</f>
        <v>0.3</v>
      </c>
      <c r="J4" s="46" t="s">
        <v>94</v>
      </c>
      <c r="K4" s="46">
        <f>'Significance Tests'!R17*'Significance Tests'!S17+'Significance Tests'!R18*'Significance Tests'!S18</f>
        <v>31.800000000000004</v>
      </c>
      <c r="L4" s="46">
        <f>$R$2</f>
        <v>0.3</v>
      </c>
      <c r="N4" s="46" t="s">
        <v>94</v>
      </c>
      <c r="O4" s="47">
        <f>'Significance Tests'!R27</f>
        <v>100</v>
      </c>
      <c r="P4" s="46">
        <f>$R$2</f>
        <v>0.3</v>
      </c>
      <c r="R4" s="46">
        <v>0.3</v>
      </c>
    </row>
    <row r="5" spans="1:18" x14ac:dyDescent="0.35">
      <c r="A5" s="146"/>
      <c r="B5" s="46" t="s">
        <v>95</v>
      </c>
      <c r="C5" s="46">
        <f>'Significance Tests'!R3*'Significance Tests'!S3+'Significance Tests'!R5*'Significance Tests'!S5</f>
        <v>100</v>
      </c>
      <c r="D5" s="46">
        <f>$R$3</f>
        <v>0.3</v>
      </c>
      <c r="F5" s="46" t="s">
        <v>95</v>
      </c>
      <c r="G5" s="46">
        <f>'Significance Tests'!R11*'Significance Tests'!S11+'Significance Tests'!R12*'Significance Tests'!S12</f>
        <v>73.333333333333329</v>
      </c>
      <c r="H5" s="46">
        <f>$R$3</f>
        <v>0.3</v>
      </c>
      <c r="J5" s="46" t="s">
        <v>95</v>
      </c>
      <c r="K5" s="46">
        <f>'Significance Tests'!R19*'Significance Tests'!S19+'Significance Tests'!R20*'Significance Tests'!S20</f>
        <v>1</v>
      </c>
      <c r="L5" s="46">
        <f>$R$3</f>
        <v>0.3</v>
      </c>
      <c r="N5" s="46" t="s">
        <v>95</v>
      </c>
      <c r="O5" s="47">
        <f>'Significance Tests'!R28</f>
        <v>100</v>
      </c>
      <c r="P5" s="46">
        <f>$R$3</f>
        <v>0.3</v>
      </c>
      <c r="R5" s="46">
        <v>0.1</v>
      </c>
    </row>
    <row r="6" spans="1:18" x14ac:dyDescent="0.35">
      <c r="A6" s="146"/>
      <c r="B6" s="46" t="s">
        <v>88</v>
      </c>
      <c r="C6" s="46">
        <f>'Significance Tests'!R6*'Significance Tests'!S6</f>
        <v>0.5</v>
      </c>
      <c r="D6" s="46">
        <f>$R$4</f>
        <v>0.3</v>
      </c>
      <c r="F6" s="46" t="s">
        <v>88</v>
      </c>
      <c r="G6" s="46">
        <f>'Significance Tests'!R13*'Significance Tests'!S13+'Significance Tests'!R14*'Significance Tests'!S14</f>
        <v>33.333333333333336</v>
      </c>
      <c r="H6" s="46">
        <f>$R$4</f>
        <v>0.3</v>
      </c>
      <c r="J6" s="46" t="s">
        <v>88</v>
      </c>
      <c r="K6" s="46">
        <f>'Significance Tests'!R21*'Significance Tests'!S21+'Significance Tests'!R23*'Significance Tests'!S23+'Significance Tests'!R24*'Significance Tests'!S24+'Significance Tests'!R25*'Significance Tests'!S25</f>
        <v>73.25</v>
      </c>
      <c r="L6" s="46">
        <f>$R$4</f>
        <v>0.3</v>
      </c>
      <c r="N6" s="46" t="s">
        <v>88</v>
      </c>
      <c r="O6" s="46">
        <f>'Significance Tests'!R29*'Significance Tests'!S29</f>
        <v>100</v>
      </c>
      <c r="P6" s="46">
        <f>$R$4</f>
        <v>0.3</v>
      </c>
    </row>
    <row r="7" spans="1:18" x14ac:dyDescent="0.35">
      <c r="A7" s="146"/>
      <c r="B7" s="46" t="s">
        <v>89</v>
      </c>
      <c r="C7" s="46">
        <f>'Significance Tests'!R9*'Significance Tests'!S9</f>
        <v>1</v>
      </c>
      <c r="D7" s="46">
        <f>$R$5</f>
        <v>0.1</v>
      </c>
      <c r="F7" s="46" t="s">
        <v>89</v>
      </c>
      <c r="G7" s="47">
        <f>'Significance Tests'!R14</f>
        <v>1</v>
      </c>
      <c r="H7" s="46">
        <f>$R$5</f>
        <v>0.1</v>
      </c>
      <c r="J7" s="46" t="s">
        <v>89</v>
      </c>
      <c r="K7" s="46">
        <f>'Significance Tests'!R26*'Significance Tests'!S26</f>
        <v>1</v>
      </c>
      <c r="L7" s="46">
        <f>$R$5</f>
        <v>0.1</v>
      </c>
      <c r="N7" s="46" t="s">
        <v>89</v>
      </c>
      <c r="O7" s="47">
        <f>'Significance Tests'!R30</f>
        <v>33</v>
      </c>
      <c r="P7" s="46">
        <f>$R$5</f>
        <v>0.1</v>
      </c>
    </row>
    <row r="9" spans="1:18" x14ac:dyDescent="0.35">
      <c r="A9" s="146" t="s">
        <v>259</v>
      </c>
      <c r="B9" s="143" t="s">
        <v>32</v>
      </c>
      <c r="C9" s="143"/>
      <c r="D9" s="143"/>
      <c r="F9" s="143" t="s">
        <v>90</v>
      </c>
      <c r="G9" s="143"/>
      <c r="H9" s="143"/>
      <c r="J9" s="143" t="s">
        <v>174</v>
      </c>
      <c r="K9" s="143"/>
      <c r="L9" s="143"/>
      <c r="N9" s="143" t="s">
        <v>175</v>
      </c>
      <c r="O9" s="143"/>
      <c r="P9" s="143"/>
    </row>
    <row r="10" spans="1:18" x14ac:dyDescent="0.35">
      <c r="A10" s="146"/>
      <c r="B10" s="143">
        <f>C12*D12+C13*D13+C14*D14</f>
        <v>32.85</v>
      </c>
      <c r="C10" s="143"/>
      <c r="D10" s="143"/>
      <c r="F10" s="143" t="e">
        <f>G12*H12+G13*H13+G14*H14+G15*H15</f>
        <v>#REF!</v>
      </c>
      <c r="G10" s="143"/>
      <c r="H10" s="143"/>
      <c r="J10" s="143">
        <f>K12*L12+K13*L13+K14*L14+K15*L15</f>
        <v>32.5</v>
      </c>
      <c r="K10" s="143"/>
      <c r="L10" s="143"/>
      <c r="N10" s="143">
        <f>O12*P12+O13*P13</f>
        <v>60</v>
      </c>
      <c r="O10" s="143"/>
      <c r="P10" s="143"/>
    </row>
    <row r="11" spans="1:18" x14ac:dyDescent="0.35">
      <c r="A11" s="146"/>
      <c r="B11" s="46" t="s">
        <v>85</v>
      </c>
      <c r="C11" s="46" t="s">
        <v>173</v>
      </c>
      <c r="D11" s="46" t="s">
        <v>57</v>
      </c>
      <c r="F11" s="46" t="s">
        <v>85</v>
      </c>
      <c r="G11" s="46" t="s">
        <v>173</v>
      </c>
      <c r="H11" s="46" t="s">
        <v>57</v>
      </c>
      <c r="J11" s="46" t="s">
        <v>85</v>
      </c>
      <c r="K11" s="46" t="s">
        <v>173</v>
      </c>
      <c r="L11" s="46" t="s">
        <v>57</v>
      </c>
      <c r="N11" s="46" t="s">
        <v>85</v>
      </c>
      <c r="O11" s="46" t="s">
        <v>173</v>
      </c>
      <c r="P11" s="46" t="s">
        <v>57</v>
      </c>
    </row>
    <row r="12" spans="1:18" x14ac:dyDescent="0.35">
      <c r="A12" s="146"/>
      <c r="B12" s="46" t="s">
        <v>94</v>
      </c>
      <c r="C12" s="46">
        <f>'Significance Tests'!R32*'Significance Tests'!S32+'Significance Tests'!R33*'Significance Tests'!S33</f>
        <v>9.5</v>
      </c>
      <c r="D12" s="46">
        <f>$R$2</f>
        <v>0.3</v>
      </c>
      <c r="F12" s="46" t="s">
        <v>94</v>
      </c>
      <c r="G12" s="46" t="e">
        <f>'Significance Tests'!R39*'Significance Tests'!S39</f>
        <v>#REF!</v>
      </c>
      <c r="H12" s="46">
        <f>$R$2</f>
        <v>0.3</v>
      </c>
      <c r="J12" s="46" t="s">
        <v>94</v>
      </c>
      <c r="K12" s="46">
        <f>'Significance Tests'!R46*'Significance Tests'!S46+'Significance Tests'!R45*'Significance Tests'!S45</f>
        <v>6.5</v>
      </c>
      <c r="L12" s="46">
        <f>$R$2</f>
        <v>0.3</v>
      </c>
      <c r="N12" s="46" t="s">
        <v>94</v>
      </c>
      <c r="O12" s="46">
        <f>'Significance Tests'!R55*'Significance Tests'!S55</f>
        <v>100</v>
      </c>
      <c r="P12" s="46">
        <f>$R$2</f>
        <v>0.3</v>
      </c>
    </row>
    <row r="13" spans="1:18" x14ac:dyDescent="0.35">
      <c r="A13" s="146"/>
      <c r="B13" s="46" t="s">
        <v>95</v>
      </c>
      <c r="C13" s="46">
        <f>'Significance Tests'!R34*'Significance Tests'!S34+'Significance Tests'!R35*'Significance Tests'!S35</f>
        <v>100</v>
      </c>
      <c r="D13" s="46">
        <f>$R$3</f>
        <v>0.3</v>
      </c>
      <c r="F13" s="46" t="s">
        <v>95</v>
      </c>
      <c r="G13" s="46">
        <f>'Significance Tests'!R40*'Significance Tests'!S40+'Significance Tests'!R41*'Significance Tests'!S41</f>
        <v>52.5</v>
      </c>
      <c r="H13" s="46">
        <f>$R$3</f>
        <v>0.3</v>
      </c>
      <c r="J13" s="46" t="s">
        <v>95</v>
      </c>
      <c r="K13" s="46">
        <f>'Significance Tests'!R47*'Significance Tests'!S47+'Significance Tests'!R48*'Significance Tests'!S48</f>
        <v>1.5</v>
      </c>
      <c r="L13" s="46">
        <f>$R$3</f>
        <v>0.3</v>
      </c>
      <c r="N13" s="46" t="s">
        <v>95</v>
      </c>
      <c r="O13" s="46">
        <f>'Significance Tests'!R56*'Significance Tests'!S56</f>
        <v>100</v>
      </c>
      <c r="P13" s="46">
        <f>$R$3</f>
        <v>0.3</v>
      </c>
    </row>
    <row r="14" spans="1:18" x14ac:dyDescent="0.35">
      <c r="A14" s="146"/>
      <c r="B14" s="46" t="s">
        <v>88</v>
      </c>
      <c r="C14" s="46">
        <f>0</f>
        <v>0</v>
      </c>
      <c r="D14" s="46">
        <f>$R$4</f>
        <v>0.3</v>
      </c>
      <c r="F14" s="46" t="s">
        <v>88</v>
      </c>
      <c r="G14" s="46">
        <f>'Significance Tests'!R42*'Significance Tests'!S42</f>
        <v>55</v>
      </c>
      <c r="H14" s="46">
        <f>$R$4</f>
        <v>0.3</v>
      </c>
      <c r="J14" s="46" t="s">
        <v>88</v>
      </c>
      <c r="K14" s="46">
        <f>'Significance Tests'!R49*'Significance Tests'!S49+'Significance Tests'!R51*'Significance Tests'!S51+'Significance Tests'!R52*'Significance Tests'!S52+'Significance Tests'!R53*'Significance Tests'!S53</f>
        <v>100</v>
      </c>
      <c r="L14" s="46">
        <f>$R$4</f>
        <v>0.3</v>
      </c>
      <c r="N14" s="46" t="s">
        <v>88</v>
      </c>
      <c r="O14" s="46">
        <f>'Significance Tests'!R57*'Significance Tests'!S57</f>
        <v>0</v>
      </c>
      <c r="P14" s="46">
        <f>$R$4</f>
        <v>0.3</v>
      </c>
    </row>
    <row r="15" spans="1:18" x14ac:dyDescent="0.35">
      <c r="A15" s="146"/>
      <c r="B15" s="46" t="s">
        <v>89</v>
      </c>
      <c r="C15" s="46">
        <f>'Significance Tests'!R38*'Significance Tests'!S38</f>
        <v>1</v>
      </c>
      <c r="D15" s="46">
        <f>$R$5</f>
        <v>0.1</v>
      </c>
      <c r="F15" s="46" t="s">
        <v>89</v>
      </c>
      <c r="G15" s="46">
        <f>'Significance Tests'!R44*'Significance Tests'!S44</f>
        <v>60</v>
      </c>
      <c r="H15" s="46">
        <f>$R$5</f>
        <v>0.1</v>
      </c>
      <c r="J15" s="46" t="s">
        <v>89</v>
      </c>
      <c r="K15" s="46">
        <f>'Significance Tests'!R54*'Significance Tests'!S54</f>
        <v>1</v>
      </c>
      <c r="L15" s="46">
        <f>$R$5</f>
        <v>0.1</v>
      </c>
      <c r="N15" s="46" t="s">
        <v>89</v>
      </c>
      <c r="O15" s="46">
        <f>'Significance Tests'!R58*'Significance Tests'!S58</f>
        <v>31</v>
      </c>
      <c r="P15" s="46">
        <f>$R$5</f>
        <v>0.1</v>
      </c>
    </row>
    <row r="16" spans="1:18" s="149" customFormat="1" x14ac:dyDescent="0.35">
      <c r="A16" s="148" t="s">
        <v>284</v>
      </c>
    </row>
    <row r="17" spans="1:16" s="149" customFormat="1" x14ac:dyDescent="0.35"/>
    <row r="18" spans="1:16" s="149" customFormat="1" x14ac:dyDescent="0.35"/>
    <row r="19" spans="1:16" x14ac:dyDescent="0.35">
      <c r="A19" s="146" t="s">
        <v>260</v>
      </c>
      <c r="B19" s="143" t="s">
        <v>32</v>
      </c>
      <c r="C19" s="143"/>
      <c r="D19" s="143"/>
      <c r="F19" s="143" t="s">
        <v>90</v>
      </c>
      <c r="G19" s="143"/>
      <c r="H19" s="143"/>
      <c r="J19" s="143" t="s">
        <v>174</v>
      </c>
      <c r="K19" s="143"/>
      <c r="L19" s="143"/>
      <c r="N19" s="143" t="s">
        <v>175</v>
      </c>
      <c r="O19" s="143"/>
      <c r="P19" s="143"/>
    </row>
    <row r="20" spans="1:16" x14ac:dyDescent="0.35">
      <c r="A20" s="146"/>
      <c r="B20" s="46">
        <v>25.25</v>
      </c>
      <c r="F20" s="143">
        <v>24.366666666666667</v>
      </c>
      <c r="G20" s="143"/>
      <c r="H20" s="143"/>
      <c r="J20" s="143">
        <v>3.125</v>
      </c>
      <c r="K20" s="143"/>
      <c r="L20" s="143"/>
      <c r="N20" s="143">
        <v>72.099999999999994</v>
      </c>
      <c r="O20" s="143"/>
      <c r="P20" s="143"/>
    </row>
    <row r="21" spans="1:16" x14ac:dyDescent="0.35">
      <c r="A21" s="146"/>
      <c r="B21" s="46" t="s">
        <v>85</v>
      </c>
      <c r="C21" s="46" t="s">
        <v>173</v>
      </c>
      <c r="D21" s="46" t="s">
        <v>57</v>
      </c>
      <c r="F21" s="46" t="s">
        <v>85</v>
      </c>
      <c r="G21" s="46" t="s">
        <v>173</v>
      </c>
      <c r="H21" s="46" t="s">
        <v>57</v>
      </c>
      <c r="J21" s="46" t="s">
        <v>85</v>
      </c>
      <c r="K21" s="46" t="s">
        <v>173</v>
      </c>
      <c r="L21" s="46" t="s">
        <v>57</v>
      </c>
      <c r="N21" s="46" t="s">
        <v>85</v>
      </c>
      <c r="O21" s="46" t="s">
        <v>173</v>
      </c>
      <c r="P21" s="46" t="s">
        <v>57</v>
      </c>
    </row>
    <row r="22" spans="1:16" x14ac:dyDescent="0.35">
      <c r="A22" s="146"/>
      <c r="B22" s="46" t="s">
        <v>94</v>
      </c>
      <c r="C22" s="46">
        <v>28.5</v>
      </c>
      <c r="D22" s="46">
        <v>0.5</v>
      </c>
      <c r="F22" s="46" t="s">
        <v>94</v>
      </c>
      <c r="G22" s="46">
        <v>32</v>
      </c>
      <c r="H22" s="46">
        <v>0.5</v>
      </c>
      <c r="J22" s="46" t="s">
        <v>94</v>
      </c>
      <c r="K22" s="46">
        <v>5</v>
      </c>
      <c r="L22" s="46">
        <v>0.5</v>
      </c>
      <c r="N22" s="46" t="s">
        <v>94</v>
      </c>
      <c r="O22" s="46">
        <v>100</v>
      </c>
      <c r="P22" s="46">
        <v>0.5</v>
      </c>
    </row>
    <row r="23" spans="1:16" x14ac:dyDescent="0.35">
      <c r="A23" s="146"/>
      <c r="B23" s="46" t="s">
        <v>95</v>
      </c>
      <c r="C23" s="46">
        <v>27.5</v>
      </c>
      <c r="D23" s="46">
        <v>0.4</v>
      </c>
      <c r="F23" s="46" t="s">
        <v>95</v>
      </c>
      <c r="G23" s="46">
        <v>20</v>
      </c>
      <c r="H23" s="46">
        <v>0.4</v>
      </c>
      <c r="J23" s="46" t="s">
        <v>95</v>
      </c>
      <c r="K23" s="46">
        <v>0</v>
      </c>
      <c r="L23" s="46">
        <v>0.4</v>
      </c>
      <c r="N23" s="46" t="s">
        <v>95</v>
      </c>
      <c r="O23" s="46">
        <v>42</v>
      </c>
      <c r="P23" s="46">
        <v>0.4</v>
      </c>
    </row>
    <row r="24" spans="1:16" x14ac:dyDescent="0.35">
      <c r="A24" s="146"/>
      <c r="B24" s="46" t="s">
        <v>88</v>
      </c>
      <c r="C24" s="46">
        <v>0</v>
      </c>
      <c r="D24" s="46">
        <v>0.05</v>
      </c>
      <c r="F24" s="46" t="s">
        <v>88</v>
      </c>
      <c r="G24" s="46">
        <v>7.333333333333333</v>
      </c>
      <c r="H24" s="46">
        <v>0.05</v>
      </c>
      <c r="J24" s="46" t="s">
        <v>88</v>
      </c>
      <c r="K24" s="46">
        <v>12.5</v>
      </c>
      <c r="L24" s="46">
        <v>0.05</v>
      </c>
      <c r="N24" s="46" t="s">
        <v>88</v>
      </c>
      <c r="O24" s="46">
        <v>100</v>
      </c>
      <c r="P24" s="46">
        <v>0.05</v>
      </c>
    </row>
    <row r="25" spans="1:16" x14ac:dyDescent="0.35">
      <c r="A25" s="146"/>
      <c r="B25" s="46" t="s">
        <v>89</v>
      </c>
      <c r="C25" s="46">
        <v>0</v>
      </c>
      <c r="D25" s="46">
        <v>0.05</v>
      </c>
      <c r="F25" s="46" t="s">
        <v>89</v>
      </c>
      <c r="G25" s="46">
        <v>0</v>
      </c>
      <c r="H25" s="46">
        <v>0.05</v>
      </c>
      <c r="J25" s="46" t="s">
        <v>89</v>
      </c>
      <c r="K25" s="46">
        <v>0</v>
      </c>
      <c r="L25" s="46">
        <v>0.05</v>
      </c>
      <c r="N25" s="46" t="s">
        <v>89</v>
      </c>
      <c r="O25" s="46">
        <v>6</v>
      </c>
      <c r="P25" s="46">
        <v>0.05</v>
      </c>
    </row>
    <row r="27" spans="1:16" x14ac:dyDescent="0.35">
      <c r="A27" s="146" t="s">
        <v>261</v>
      </c>
      <c r="B27" s="143" t="s">
        <v>32</v>
      </c>
      <c r="C27" s="143"/>
      <c r="D27" s="143"/>
      <c r="F27" s="143" t="s">
        <v>90</v>
      </c>
      <c r="G27" s="143"/>
      <c r="H27" s="143"/>
      <c r="J27" s="143" t="s">
        <v>174</v>
      </c>
      <c r="K27" s="143"/>
      <c r="L27" s="143"/>
      <c r="N27" s="143" t="s">
        <v>175</v>
      </c>
      <c r="O27" s="143"/>
      <c r="P27" s="143"/>
    </row>
    <row r="28" spans="1:16" x14ac:dyDescent="0.35">
      <c r="A28" s="146"/>
      <c r="B28" s="143">
        <v>77.95</v>
      </c>
      <c r="C28" s="143"/>
      <c r="D28" s="143"/>
      <c r="F28" s="143">
        <v>52.3</v>
      </c>
      <c r="G28" s="143"/>
      <c r="H28" s="143"/>
      <c r="J28" s="143">
        <v>4.9375</v>
      </c>
      <c r="K28" s="143"/>
      <c r="L28" s="143"/>
      <c r="N28" s="143">
        <v>73.2</v>
      </c>
      <c r="O28" s="143"/>
      <c r="P28" s="143"/>
    </row>
    <row r="29" spans="1:16" x14ac:dyDescent="0.35">
      <c r="A29" s="146"/>
      <c r="B29" s="46" t="s">
        <v>85</v>
      </c>
      <c r="C29" s="46" t="s">
        <v>173</v>
      </c>
      <c r="D29" s="46" t="s">
        <v>57</v>
      </c>
      <c r="F29" s="46" t="s">
        <v>85</v>
      </c>
      <c r="G29" s="46" t="s">
        <v>173</v>
      </c>
      <c r="H29" s="46" t="s">
        <v>57</v>
      </c>
      <c r="J29" s="46" t="s">
        <v>85</v>
      </c>
      <c r="K29" s="46" t="s">
        <v>173</v>
      </c>
      <c r="L29" s="46" t="s">
        <v>57</v>
      </c>
      <c r="N29" s="46" t="s">
        <v>85</v>
      </c>
      <c r="O29" s="46" t="s">
        <v>173</v>
      </c>
      <c r="P29" s="46" t="s">
        <v>57</v>
      </c>
    </row>
    <row r="30" spans="1:16" x14ac:dyDescent="0.35">
      <c r="A30" s="146"/>
      <c r="B30" s="46" t="s">
        <v>94</v>
      </c>
      <c r="C30" s="46">
        <v>85.5</v>
      </c>
      <c r="D30" s="46">
        <v>0.5</v>
      </c>
      <c r="F30" s="46" t="s">
        <v>94</v>
      </c>
      <c r="G30" s="46">
        <v>75</v>
      </c>
      <c r="H30" s="46">
        <v>0.5</v>
      </c>
      <c r="J30" s="46" t="s">
        <v>94</v>
      </c>
      <c r="K30" s="46">
        <v>3.5</v>
      </c>
      <c r="L30" s="46">
        <v>0.5</v>
      </c>
      <c r="N30" s="46" t="s">
        <v>94</v>
      </c>
      <c r="O30" s="46">
        <v>100</v>
      </c>
      <c r="P30" s="46">
        <v>0.5</v>
      </c>
    </row>
    <row r="31" spans="1:16" x14ac:dyDescent="0.35">
      <c r="A31" s="146"/>
      <c r="B31" s="46" t="s">
        <v>95</v>
      </c>
      <c r="C31" s="46">
        <v>88</v>
      </c>
      <c r="D31" s="46">
        <v>0.4</v>
      </c>
      <c r="F31" s="46" t="s">
        <v>95</v>
      </c>
      <c r="G31" s="46">
        <v>29</v>
      </c>
      <c r="H31" s="46">
        <v>0.4</v>
      </c>
      <c r="J31" s="46" t="s">
        <v>95</v>
      </c>
      <c r="K31" s="46">
        <v>0.5</v>
      </c>
      <c r="L31" s="46">
        <v>0.4</v>
      </c>
      <c r="N31" s="46" t="s">
        <v>95</v>
      </c>
      <c r="O31" s="46">
        <v>58</v>
      </c>
      <c r="P31" s="46">
        <v>0.4</v>
      </c>
    </row>
    <row r="32" spans="1:16" x14ac:dyDescent="0.35">
      <c r="A32" s="146"/>
      <c r="B32" s="46" t="s">
        <v>88</v>
      </c>
      <c r="C32" s="46">
        <v>0</v>
      </c>
      <c r="D32" s="46">
        <v>0.05</v>
      </c>
      <c r="F32" s="46" t="s">
        <v>88</v>
      </c>
      <c r="G32" s="46">
        <v>31</v>
      </c>
      <c r="H32" s="46">
        <v>0.05</v>
      </c>
      <c r="J32" s="46" t="s">
        <v>88</v>
      </c>
      <c r="K32" s="46">
        <v>59.75</v>
      </c>
      <c r="L32" s="46">
        <v>0.05</v>
      </c>
      <c r="N32" s="46" t="s">
        <v>88</v>
      </c>
      <c r="O32" s="46">
        <v>0</v>
      </c>
      <c r="P32" s="46">
        <v>0.05</v>
      </c>
    </row>
    <row r="33" spans="1:16" x14ac:dyDescent="0.35">
      <c r="A33" s="146"/>
      <c r="B33" s="46" t="s">
        <v>89</v>
      </c>
      <c r="C33" s="46">
        <v>1</v>
      </c>
      <c r="D33" s="46">
        <v>0.05</v>
      </c>
      <c r="F33" s="46" t="s">
        <v>89</v>
      </c>
      <c r="G33" s="46">
        <v>33</v>
      </c>
      <c r="H33" s="46">
        <v>0.05</v>
      </c>
      <c r="J33" s="46" t="s">
        <v>89</v>
      </c>
      <c r="K33" s="46">
        <v>0</v>
      </c>
      <c r="L33" s="46">
        <v>0.05</v>
      </c>
      <c r="N33" s="46" t="s">
        <v>89</v>
      </c>
      <c r="O33" s="46">
        <v>0</v>
      </c>
      <c r="P33" s="46">
        <v>0.05</v>
      </c>
    </row>
    <row r="34" spans="1:16" s="147" customFormat="1" x14ac:dyDescent="0.35"/>
    <row r="35" spans="1:16" s="147" customFormat="1" x14ac:dyDescent="0.35"/>
    <row r="36" spans="1:16" s="147" customFormat="1" x14ac:dyDescent="0.35"/>
    <row r="37" spans="1:16" x14ac:dyDescent="0.35">
      <c r="A37" s="146" t="s">
        <v>262</v>
      </c>
      <c r="B37" s="143" t="s">
        <v>32</v>
      </c>
      <c r="C37" s="143"/>
      <c r="D37" s="143"/>
      <c r="F37" s="143" t="s">
        <v>90</v>
      </c>
      <c r="G37" s="143"/>
      <c r="H37" s="143"/>
      <c r="J37" s="143" t="s">
        <v>174</v>
      </c>
      <c r="K37" s="143"/>
      <c r="L37" s="143"/>
      <c r="N37" s="143" t="s">
        <v>175</v>
      </c>
      <c r="O37" s="143"/>
      <c r="P37" s="143"/>
    </row>
    <row r="38" spans="1:16" x14ac:dyDescent="0.35">
      <c r="A38" s="146"/>
      <c r="B38" s="143">
        <v>22.55</v>
      </c>
      <c r="C38" s="143"/>
      <c r="D38" s="143"/>
      <c r="F38" s="143">
        <v>22.033333333333331</v>
      </c>
      <c r="G38" s="143"/>
      <c r="H38" s="143"/>
      <c r="J38" s="143">
        <v>2.8125</v>
      </c>
      <c r="K38" s="143"/>
      <c r="L38" s="143"/>
      <c r="N38" s="143">
        <v>65.45</v>
      </c>
      <c r="O38" s="143"/>
      <c r="P38" s="143"/>
    </row>
    <row r="39" spans="1:16" x14ac:dyDescent="0.35">
      <c r="A39" s="146"/>
      <c r="B39" s="46" t="s">
        <v>85</v>
      </c>
      <c r="C39" s="46" t="s">
        <v>173</v>
      </c>
      <c r="D39" s="46" t="s">
        <v>57</v>
      </c>
      <c r="F39" s="46" t="s">
        <v>85</v>
      </c>
      <c r="G39" s="46" t="s">
        <v>173</v>
      </c>
      <c r="H39" s="46" t="s">
        <v>57</v>
      </c>
      <c r="J39" s="46" t="s">
        <v>85</v>
      </c>
      <c r="K39" s="46" t="s">
        <v>173</v>
      </c>
      <c r="L39" s="46" t="s">
        <v>57</v>
      </c>
      <c r="N39" s="46" t="s">
        <v>85</v>
      </c>
      <c r="O39" s="46" t="s">
        <v>173</v>
      </c>
      <c r="P39" s="46" t="s">
        <v>57</v>
      </c>
    </row>
    <row r="40" spans="1:16" x14ac:dyDescent="0.35">
      <c r="A40" s="146"/>
      <c r="B40" s="46" t="s">
        <v>94</v>
      </c>
      <c r="C40" s="46">
        <v>25.5</v>
      </c>
      <c r="D40" s="46">
        <v>0.5</v>
      </c>
      <c r="F40" s="46" t="s">
        <v>94</v>
      </c>
      <c r="G40" s="46">
        <v>29</v>
      </c>
      <c r="H40" s="46">
        <v>0.5</v>
      </c>
      <c r="J40" s="46" t="s">
        <v>94</v>
      </c>
      <c r="K40" s="46">
        <v>4.5</v>
      </c>
      <c r="L40" s="46">
        <v>0.5</v>
      </c>
      <c r="N40" s="46" t="s">
        <v>94</v>
      </c>
      <c r="O40" s="46">
        <v>90</v>
      </c>
      <c r="P40" s="46">
        <v>0.5</v>
      </c>
    </row>
    <row r="41" spans="1:16" x14ac:dyDescent="0.35">
      <c r="A41" s="146"/>
      <c r="B41" s="46" t="s">
        <v>95</v>
      </c>
      <c r="C41" s="46">
        <v>24.5</v>
      </c>
      <c r="D41" s="46">
        <v>0.4</v>
      </c>
      <c r="F41" s="46" t="s">
        <v>95</v>
      </c>
      <c r="G41" s="46">
        <v>18</v>
      </c>
      <c r="H41" s="46">
        <v>0.4</v>
      </c>
      <c r="J41" s="46" t="s">
        <v>95</v>
      </c>
      <c r="K41" s="46">
        <v>0</v>
      </c>
      <c r="L41" s="46">
        <v>0.4</v>
      </c>
      <c r="N41" s="46" t="s">
        <v>95</v>
      </c>
      <c r="O41" s="46">
        <v>38</v>
      </c>
      <c r="P41" s="46">
        <v>0.4</v>
      </c>
    </row>
    <row r="42" spans="1:16" x14ac:dyDescent="0.35">
      <c r="A42" s="146"/>
      <c r="B42" s="46" t="s">
        <v>88</v>
      </c>
      <c r="C42" s="46">
        <v>0</v>
      </c>
      <c r="D42" s="46">
        <v>0.05</v>
      </c>
      <c r="F42" s="46" t="s">
        <v>88</v>
      </c>
      <c r="G42" s="46">
        <v>6.6666666666666661</v>
      </c>
      <c r="H42" s="46">
        <v>0.05</v>
      </c>
      <c r="J42" s="46" t="s">
        <v>88</v>
      </c>
      <c r="K42" s="46">
        <v>11.25</v>
      </c>
      <c r="L42" s="46">
        <v>0.05</v>
      </c>
      <c r="N42" s="46" t="s">
        <v>88</v>
      </c>
      <c r="O42" s="46">
        <v>100</v>
      </c>
      <c r="P42" s="46">
        <v>0.05</v>
      </c>
    </row>
    <row r="43" spans="1:16" x14ac:dyDescent="0.35">
      <c r="A43" s="146"/>
      <c r="B43" s="46" t="s">
        <v>89</v>
      </c>
      <c r="C43" s="46">
        <v>0</v>
      </c>
      <c r="D43" s="46">
        <v>0.05</v>
      </c>
      <c r="F43" s="46" t="s">
        <v>89</v>
      </c>
      <c r="G43" s="46">
        <v>0</v>
      </c>
      <c r="H43" s="46">
        <v>0.05</v>
      </c>
      <c r="J43" s="46" t="s">
        <v>89</v>
      </c>
      <c r="K43" s="46">
        <v>0</v>
      </c>
      <c r="L43" s="46">
        <v>0.05</v>
      </c>
      <c r="N43" s="46" t="s">
        <v>89</v>
      </c>
      <c r="O43" s="46">
        <v>5</v>
      </c>
      <c r="P43" s="46">
        <v>0.05</v>
      </c>
    </row>
    <row r="45" spans="1:16" x14ac:dyDescent="0.35">
      <c r="A45" s="146" t="s">
        <v>263</v>
      </c>
      <c r="B45" s="143" t="s">
        <v>32</v>
      </c>
      <c r="C45" s="143"/>
      <c r="D45" s="143"/>
      <c r="F45" s="143" t="s">
        <v>90</v>
      </c>
      <c r="G45" s="143"/>
      <c r="H45" s="143"/>
      <c r="J45" s="143" t="s">
        <v>174</v>
      </c>
      <c r="K45" s="143"/>
      <c r="L45" s="143"/>
      <c r="N45" s="143" t="s">
        <v>175</v>
      </c>
      <c r="O45" s="143"/>
      <c r="P45" s="143"/>
    </row>
    <row r="46" spans="1:16" x14ac:dyDescent="0.35">
      <c r="A46" s="146"/>
      <c r="B46" s="143">
        <v>219.05</v>
      </c>
      <c r="C46" s="143"/>
      <c r="D46" s="143"/>
      <c r="F46" s="143">
        <v>141.79999999999998</v>
      </c>
      <c r="G46" s="143"/>
      <c r="H46" s="143"/>
      <c r="J46" s="143">
        <v>13.375</v>
      </c>
      <c r="K46" s="143"/>
      <c r="L46" s="143"/>
      <c r="N46" s="143">
        <v>259.8</v>
      </c>
      <c r="O46" s="143"/>
      <c r="P46" s="143"/>
    </row>
    <row r="47" spans="1:16" x14ac:dyDescent="0.35">
      <c r="A47" s="146"/>
      <c r="B47" s="46" t="s">
        <v>85</v>
      </c>
      <c r="C47" s="46" t="s">
        <v>173</v>
      </c>
      <c r="D47" s="46" t="s">
        <v>57</v>
      </c>
      <c r="F47" s="46" t="s">
        <v>85</v>
      </c>
      <c r="G47" s="46" t="s">
        <v>173</v>
      </c>
      <c r="H47" s="46" t="s">
        <v>57</v>
      </c>
      <c r="J47" s="46" t="s">
        <v>85</v>
      </c>
      <c r="K47" s="46" t="s">
        <v>173</v>
      </c>
      <c r="L47" s="46" t="s">
        <v>57</v>
      </c>
      <c r="N47" s="46" t="s">
        <v>85</v>
      </c>
      <c r="O47" s="46" t="s">
        <v>173</v>
      </c>
      <c r="P47" s="46" t="s">
        <v>57</v>
      </c>
    </row>
    <row r="48" spans="1:16" x14ac:dyDescent="0.35">
      <c r="A48" s="146"/>
      <c r="B48" s="46" t="s">
        <v>94</v>
      </c>
      <c r="C48" s="46">
        <v>238.5</v>
      </c>
      <c r="D48" s="46">
        <v>0.5</v>
      </c>
      <c r="F48" s="46" t="s">
        <v>94</v>
      </c>
      <c r="G48" s="46">
        <v>203</v>
      </c>
      <c r="H48" s="46">
        <v>0.5</v>
      </c>
      <c r="J48" s="46" t="s">
        <v>94</v>
      </c>
      <c r="K48" s="46">
        <v>9</v>
      </c>
      <c r="L48" s="46">
        <v>0.5</v>
      </c>
      <c r="N48" s="46" t="s">
        <v>94</v>
      </c>
      <c r="O48" s="46">
        <v>394</v>
      </c>
      <c r="P48" s="46">
        <v>0.5</v>
      </c>
    </row>
    <row r="49" spans="1:16" x14ac:dyDescent="0.35">
      <c r="A49" s="146"/>
      <c r="B49" s="46" t="s">
        <v>95</v>
      </c>
      <c r="C49" s="46">
        <v>249.5</v>
      </c>
      <c r="D49" s="46">
        <v>0.4</v>
      </c>
      <c r="F49" s="46" t="s">
        <v>95</v>
      </c>
      <c r="G49" s="46">
        <v>79</v>
      </c>
      <c r="H49" s="46">
        <v>0.4</v>
      </c>
      <c r="J49" s="46" t="s">
        <v>95</v>
      </c>
      <c r="K49" s="46">
        <v>2</v>
      </c>
      <c r="L49" s="46">
        <v>0.4</v>
      </c>
      <c r="N49" s="46" t="s">
        <v>95</v>
      </c>
      <c r="O49" s="46">
        <v>157</v>
      </c>
      <c r="P49" s="46">
        <v>0.4</v>
      </c>
    </row>
    <row r="50" spans="1:16" x14ac:dyDescent="0.35">
      <c r="A50" s="146"/>
      <c r="B50" s="46" t="s">
        <v>88</v>
      </c>
      <c r="C50" s="46">
        <v>0</v>
      </c>
      <c r="D50" s="46">
        <v>0.05</v>
      </c>
      <c r="F50" s="46" t="s">
        <v>88</v>
      </c>
      <c r="G50" s="46">
        <v>84</v>
      </c>
      <c r="H50" s="46">
        <v>0.05</v>
      </c>
      <c r="J50" s="46" t="s">
        <v>88</v>
      </c>
      <c r="K50" s="46">
        <v>161.5</v>
      </c>
      <c r="L50" s="46">
        <v>0.05</v>
      </c>
      <c r="N50" s="46" t="s">
        <v>88</v>
      </c>
      <c r="O50" s="46">
        <v>0</v>
      </c>
      <c r="P50" s="46">
        <v>0.05</v>
      </c>
    </row>
    <row r="51" spans="1:16" x14ac:dyDescent="0.35">
      <c r="A51" s="146"/>
      <c r="B51" s="46" t="s">
        <v>89</v>
      </c>
      <c r="C51" s="46">
        <v>3</v>
      </c>
      <c r="D51" s="46">
        <v>0.05</v>
      </c>
      <c r="F51" s="46" t="s">
        <v>89</v>
      </c>
      <c r="G51" s="46">
        <v>90</v>
      </c>
      <c r="H51" s="46">
        <v>0.05</v>
      </c>
      <c r="J51" s="46" t="s">
        <v>89</v>
      </c>
      <c r="K51" s="46">
        <v>0</v>
      </c>
      <c r="L51" s="46">
        <v>0.05</v>
      </c>
      <c r="N51" s="46" t="s">
        <v>89</v>
      </c>
      <c r="O51" s="46">
        <v>0</v>
      </c>
      <c r="P51" s="46">
        <v>0.05</v>
      </c>
    </row>
    <row r="52" spans="1:16" s="59" customFormat="1" x14ac:dyDescent="0.35"/>
    <row r="53" spans="1:16" s="59" customFormat="1" x14ac:dyDescent="0.35"/>
    <row r="54" spans="1:16" s="59" customFormat="1" x14ac:dyDescent="0.35"/>
    <row r="55" spans="1:16" x14ac:dyDescent="0.35">
      <c r="A55" s="146" t="s">
        <v>262</v>
      </c>
      <c r="B55" s="143" t="s">
        <v>32</v>
      </c>
      <c r="C55" s="143"/>
      <c r="D55" s="143"/>
      <c r="F55" s="143" t="s">
        <v>90</v>
      </c>
      <c r="G55" s="143"/>
      <c r="H55" s="143"/>
      <c r="J55" s="143" t="s">
        <v>174</v>
      </c>
      <c r="K55" s="143"/>
      <c r="L55" s="143"/>
      <c r="N55" s="143" t="s">
        <v>175</v>
      </c>
      <c r="O55" s="143"/>
      <c r="P55" s="143"/>
    </row>
    <row r="56" spans="1:16" x14ac:dyDescent="0.35">
      <c r="A56" s="146"/>
      <c r="B56" s="143">
        <v>22.55</v>
      </c>
      <c r="C56" s="143"/>
      <c r="D56" s="143"/>
      <c r="F56" s="143">
        <v>22.033333333333331</v>
      </c>
      <c r="G56" s="143"/>
      <c r="H56" s="143"/>
      <c r="J56" s="143">
        <v>2.8125</v>
      </c>
      <c r="K56" s="143"/>
      <c r="L56" s="143"/>
      <c r="N56" s="143">
        <v>65.45</v>
      </c>
      <c r="O56" s="143"/>
      <c r="P56" s="143"/>
    </row>
    <row r="57" spans="1:16" x14ac:dyDescent="0.35">
      <c r="A57" s="146"/>
      <c r="B57" s="46" t="s">
        <v>85</v>
      </c>
      <c r="C57" s="46" t="s">
        <v>173</v>
      </c>
      <c r="D57" s="46" t="s">
        <v>57</v>
      </c>
      <c r="F57" s="46" t="s">
        <v>85</v>
      </c>
      <c r="G57" s="46" t="s">
        <v>173</v>
      </c>
      <c r="H57" s="46" t="s">
        <v>57</v>
      </c>
      <c r="J57" s="46" t="s">
        <v>85</v>
      </c>
      <c r="K57" s="46" t="s">
        <v>173</v>
      </c>
      <c r="L57" s="46" t="s">
        <v>57</v>
      </c>
      <c r="N57" s="46" t="s">
        <v>85</v>
      </c>
      <c r="O57" s="46" t="s">
        <v>173</v>
      </c>
      <c r="P57" s="46" t="s">
        <v>57</v>
      </c>
    </row>
    <row r="58" spans="1:16" x14ac:dyDescent="0.35">
      <c r="A58" s="146"/>
      <c r="B58" s="46" t="s">
        <v>94</v>
      </c>
      <c r="C58" s="46">
        <f>'Significance Tests'!R95*'Significance Tests'!S95+'Significance Tests'!R97*'Significance Tests'!S97</f>
        <v>100</v>
      </c>
      <c r="D58" s="46">
        <v>0.5</v>
      </c>
      <c r="F58" s="46" t="s">
        <v>94</v>
      </c>
      <c r="G58" s="46">
        <v>29</v>
      </c>
      <c r="H58" s="46">
        <v>0.5</v>
      </c>
      <c r="J58" s="46" t="s">
        <v>94</v>
      </c>
      <c r="K58" s="46">
        <v>4.5</v>
      </c>
      <c r="L58" s="46">
        <v>0.5</v>
      </c>
      <c r="N58" s="46" t="s">
        <v>94</v>
      </c>
      <c r="O58" s="46">
        <v>90</v>
      </c>
      <c r="P58" s="46">
        <v>0.5</v>
      </c>
    </row>
    <row r="59" spans="1:16" x14ac:dyDescent="0.35">
      <c r="A59" s="146"/>
      <c r="B59" s="46" t="s">
        <v>95</v>
      </c>
      <c r="C59" s="46">
        <f>'Significance Tests'!R96*'Significance Tests'!S96+'Significance Tests'!R98*'Significance Tests'!S98</f>
        <v>100</v>
      </c>
      <c r="D59" s="46">
        <v>0.4</v>
      </c>
      <c r="F59" s="46" t="s">
        <v>95</v>
      </c>
      <c r="G59" s="46">
        <v>18</v>
      </c>
      <c r="H59" s="46">
        <v>0.4</v>
      </c>
      <c r="J59" s="46" t="s">
        <v>95</v>
      </c>
      <c r="K59" s="46">
        <v>0</v>
      </c>
      <c r="L59" s="46">
        <v>0.4</v>
      </c>
      <c r="N59" s="46" t="s">
        <v>95</v>
      </c>
      <c r="O59" s="46">
        <v>38</v>
      </c>
      <c r="P59" s="46">
        <v>0.4</v>
      </c>
    </row>
    <row r="60" spans="1:16" x14ac:dyDescent="0.35">
      <c r="A60" s="146"/>
      <c r="B60" s="46" t="s">
        <v>88</v>
      </c>
      <c r="D60" s="46">
        <v>0.05</v>
      </c>
      <c r="F60" s="46" t="s">
        <v>88</v>
      </c>
      <c r="G60" s="46">
        <v>6.6666666666666661</v>
      </c>
      <c r="H60" s="46">
        <v>0.05</v>
      </c>
      <c r="J60" s="46" t="s">
        <v>88</v>
      </c>
      <c r="K60" s="46">
        <v>11.25</v>
      </c>
      <c r="L60" s="46">
        <v>0.05</v>
      </c>
      <c r="N60" s="46" t="s">
        <v>88</v>
      </c>
      <c r="O60" s="46">
        <v>100</v>
      </c>
      <c r="P60" s="46">
        <v>0.05</v>
      </c>
    </row>
    <row r="61" spans="1:16" x14ac:dyDescent="0.35">
      <c r="A61" s="146"/>
      <c r="B61" s="46" t="s">
        <v>89</v>
      </c>
      <c r="C61" s="46">
        <v>0</v>
      </c>
      <c r="D61" s="46">
        <v>0.05</v>
      </c>
      <c r="F61" s="46" t="s">
        <v>89</v>
      </c>
      <c r="G61" s="46">
        <v>0</v>
      </c>
      <c r="H61" s="46">
        <v>0.05</v>
      </c>
      <c r="J61" s="46" t="s">
        <v>89</v>
      </c>
      <c r="K61" s="46">
        <v>0</v>
      </c>
      <c r="L61" s="46">
        <v>0.05</v>
      </c>
      <c r="N61" s="46" t="s">
        <v>89</v>
      </c>
      <c r="O61" s="46">
        <v>5</v>
      </c>
      <c r="P61" s="46">
        <v>0.05</v>
      </c>
    </row>
    <row r="63" spans="1:16" x14ac:dyDescent="0.35">
      <c r="A63" s="146" t="s">
        <v>263</v>
      </c>
      <c r="B63" s="143" t="s">
        <v>32</v>
      </c>
      <c r="C63" s="143"/>
      <c r="D63" s="143"/>
      <c r="F63" s="143" t="s">
        <v>90</v>
      </c>
      <c r="G63" s="143"/>
      <c r="H63" s="143"/>
      <c r="J63" s="143" t="s">
        <v>174</v>
      </c>
      <c r="K63" s="143"/>
      <c r="L63" s="143"/>
      <c r="N63" s="143" t="s">
        <v>175</v>
      </c>
      <c r="O63" s="143"/>
      <c r="P63" s="143"/>
    </row>
    <row r="64" spans="1:16" x14ac:dyDescent="0.35">
      <c r="A64" s="146"/>
      <c r="B64" s="143">
        <v>219.05</v>
      </c>
      <c r="C64" s="143"/>
      <c r="D64" s="143"/>
      <c r="F64" s="143">
        <v>141.79999999999998</v>
      </c>
      <c r="G64" s="143"/>
      <c r="H64" s="143"/>
      <c r="J64" s="143">
        <v>13.375</v>
      </c>
      <c r="K64" s="143"/>
      <c r="L64" s="143"/>
      <c r="N64" s="143">
        <v>259.8</v>
      </c>
      <c r="O64" s="143"/>
      <c r="P64" s="143"/>
    </row>
    <row r="65" spans="1:16" x14ac:dyDescent="0.35">
      <c r="A65" s="146"/>
      <c r="B65" s="46" t="s">
        <v>85</v>
      </c>
      <c r="C65" s="46" t="s">
        <v>173</v>
      </c>
      <c r="D65" s="46" t="s">
        <v>57</v>
      </c>
      <c r="F65" s="46" t="s">
        <v>85</v>
      </c>
      <c r="G65" s="46" t="s">
        <v>173</v>
      </c>
      <c r="H65" s="46" t="s">
        <v>57</v>
      </c>
      <c r="J65" s="46" t="s">
        <v>85</v>
      </c>
      <c r="K65" s="46" t="s">
        <v>173</v>
      </c>
      <c r="L65" s="46" t="s">
        <v>57</v>
      </c>
      <c r="N65" s="46" t="s">
        <v>85</v>
      </c>
      <c r="O65" s="46" t="s">
        <v>173</v>
      </c>
      <c r="P65" s="46" t="s">
        <v>57</v>
      </c>
    </row>
    <row r="66" spans="1:16" x14ac:dyDescent="0.35">
      <c r="A66" s="146"/>
      <c r="B66" s="46" t="s">
        <v>94</v>
      </c>
      <c r="C66" s="46">
        <v>238.5</v>
      </c>
      <c r="D66" s="46">
        <v>0.5</v>
      </c>
      <c r="F66" s="46" t="s">
        <v>94</v>
      </c>
      <c r="G66" s="46">
        <v>203</v>
      </c>
      <c r="H66" s="46">
        <v>0.5</v>
      </c>
      <c r="J66" s="46" t="s">
        <v>94</v>
      </c>
      <c r="K66" s="46">
        <v>9</v>
      </c>
      <c r="L66" s="46">
        <v>0.5</v>
      </c>
      <c r="N66" s="46" t="s">
        <v>94</v>
      </c>
      <c r="O66" s="46">
        <v>394</v>
      </c>
      <c r="P66" s="46">
        <v>0.5</v>
      </c>
    </row>
    <row r="67" spans="1:16" x14ac:dyDescent="0.35">
      <c r="A67" s="146"/>
      <c r="B67" s="46" t="s">
        <v>95</v>
      </c>
      <c r="C67" s="46">
        <v>249.5</v>
      </c>
      <c r="D67" s="46">
        <v>0.4</v>
      </c>
      <c r="F67" s="46" t="s">
        <v>95</v>
      </c>
      <c r="G67" s="46">
        <v>79</v>
      </c>
      <c r="H67" s="46">
        <v>0.4</v>
      </c>
      <c r="J67" s="46" t="s">
        <v>95</v>
      </c>
      <c r="K67" s="46">
        <v>2</v>
      </c>
      <c r="L67" s="46">
        <v>0.4</v>
      </c>
      <c r="N67" s="46" t="s">
        <v>95</v>
      </c>
      <c r="O67" s="46">
        <v>157</v>
      </c>
      <c r="P67" s="46">
        <v>0.4</v>
      </c>
    </row>
    <row r="68" spans="1:16" x14ac:dyDescent="0.35">
      <c r="A68" s="146"/>
      <c r="B68" s="46" t="s">
        <v>88</v>
      </c>
      <c r="C68" s="46">
        <v>0</v>
      </c>
      <c r="D68" s="46">
        <v>0.05</v>
      </c>
      <c r="F68" s="46" t="s">
        <v>88</v>
      </c>
      <c r="G68" s="46">
        <v>84</v>
      </c>
      <c r="H68" s="46">
        <v>0.05</v>
      </c>
      <c r="J68" s="46" t="s">
        <v>88</v>
      </c>
      <c r="K68" s="46">
        <v>161.5</v>
      </c>
      <c r="L68" s="46">
        <v>0.05</v>
      </c>
      <c r="N68" s="46" t="s">
        <v>88</v>
      </c>
      <c r="O68" s="46">
        <v>0</v>
      </c>
      <c r="P68" s="46">
        <v>0.05</v>
      </c>
    </row>
    <row r="69" spans="1:16" x14ac:dyDescent="0.35">
      <c r="A69" s="146"/>
      <c r="B69" s="46" t="s">
        <v>89</v>
      </c>
      <c r="C69" s="46">
        <v>3</v>
      </c>
      <c r="D69" s="46">
        <v>0.05</v>
      </c>
      <c r="F69" s="46" t="s">
        <v>89</v>
      </c>
      <c r="G69" s="46">
        <v>90</v>
      </c>
      <c r="H69" s="46">
        <v>0.05</v>
      </c>
      <c r="J69" s="46" t="s">
        <v>89</v>
      </c>
      <c r="K69" s="46">
        <v>0</v>
      </c>
      <c r="L69" s="46">
        <v>0.05</v>
      </c>
      <c r="N69" s="46" t="s">
        <v>89</v>
      </c>
      <c r="O69" s="46">
        <v>0</v>
      </c>
      <c r="P69" s="46">
        <v>0.05</v>
      </c>
    </row>
  </sheetData>
  <mergeCells count="73">
    <mergeCell ref="J64:L64"/>
    <mergeCell ref="N64:P64"/>
    <mergeCell ref="J55:L55"/>
    <mergeCell ref="B63:D63"/>
    <mergeCell ref="F63:H63"/>
    <mergeCell ref="J63:L63"/>
    <mergeCell ref="N55:P55"/>
    <mergeCell ref="B56:D56"/>
    <mergeCell ref="F56:H56"/>
    <mergeCell ref="J56:L56"/>
    <mergeCell ref="N56:P56"/>
    <mergeCell ref="N63:P63"/>
    <mergeCell ref="A9:A15"/>
    <mergeCell ref="A19:A25"/>
    <mergeCell ref="A16:XFD18"/>
    <mergeCell ref="A37:A43"/>
    <mergeCell ref="B37:D37"/>
    <mergeCell ref="J37:L37"/>
    <mergeCell ref="N37:P37"/>
    <mergeCell ref="J38:L38"/>
    <mergeCell ref="N38:P38"/>
    <mergeCell ref="F27:H27"/>
    <mergeCell ref="F28:H28"/>
    <mergeCell ref="J27:L27"/>
    <mergeCell ref="J28:L28"/>
    <mergeCell ref="N27:P27"/>
    <mergeCell ref="N28:P28"/>
    <mergeCell ref="B19:D19"/>
    <mergeCell ref="A1:A7"/>
    <mergeCell ref="A55:A61"/>
    <mergeCell ref="A63:A69"/>
    <mergeCell ref="B55:D55"/>
    <mergeCell ref="F55:H55"/>
    <mergeCell ref="B64:D64"/>
    <mergeCell ref="F64:H64"/>
    <mergeCell ref="F37:H37"/>
    <mergeCell ref="B38:D38"/>
    <mergeCell ref="F38:H38"/>
    <mergeCell ref="A27:A33"/>
    <mergeCell ref="B28:D28"/>
    <mergeCell ref="B27:D27"/>
    <mergeCell ref="A34:XFD36"/>
    <mergeCell ref="A45:A51"/>
    <mergeCell ref="B45:D45"/>
    <mergeCell ref="N2:P2"/>
    <mergeCell ref="N1:P1"/>
    <mergeCell ref="B10:D10"/>
    <mergeCell ref="B9:D9"/>
    <mergeCell ref="F10:H10"/>
    <mergeCell ref="F9:H9"/>
    <mergeCell ref="N9:P9"/>
    <mergeCell ref="N10:P10"/>
    <mergeCell ref="J9:L9"/>
    <mergeCell ref="J10:L10"/>
    <mergeCell ref="B1:D1"/>
    <mergeCell ref="B2:D2"/>
    <mergeCell ref="F1:H1"/>
    <mergeCell ref="F2:H2"/>
    <mergeCell ref="J2:L2"/>
    <mergeCell ref="J1:L1"/>
    <mergeCell ref="F45:H45"/>
    <mergeCell ref="J45:L45"/>
    <mergeCell ref="N45:P45"/>
    <mergeCell ref="B46:D46"/>
    <mergeCell ref="F46:H46"/>
    <mergeCell ref="J46:L46"/>
    <mergeCell ref="N46:P46"/>
    <mergeCell ref="F19:H19"/>
    <mergeCell ref="J19:L19"/>
    <mergeCell ref="N19:P19"/>
    <mergeCell ref="F20:H20"/>
    <mergeCell ref="J20:L20"/>
    <mergeCell ref="N20:P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1B9D5-581B-4FE5-9047-5FFC4F39D83D}">
  <dimension ref="A1:AJ118"/>
  <sheetViews>
    <sheetView topLeftCell="L1" zoomScale="60" zoomScaleNormal="60" workbookViewId="0">
      <selection activeCell="S2" sqref="S2:S20"/>
    </sheetView>
  </sheetViews>
  <sheetFormatPr defaultRowHeight="14.5" x14ac:dyDescent="0.35"/>
  <cols>
    <col min="1" max="1" width="13.81640625" customWidth="1"/>
    <col min="3" max="3" width="23" customWidth="1"/>
    <col min="4" max="4" width="12.90625" customWidth="1"/>
    <col min="5" max="5" width="163.26953125" bestFit="1" customWidth="1"/>
    <col min="7" max="7" width="9.81640625" bestFit="1" customWidth="1"/>
    <col min="12" max="12" width="25.36328125" bestFit="1" customWidth="1"/>
    <col min="13" max="13" width="21.26953125" customWidth="1"/>
    <col min="14" max="14" width="21.36328125" bestFit="1" customWidth="1"/>
    <col min="15" max="15" width="22.81640625" bestFit="1" customWidth="1"/>
    <col min="16" max="17" width="21.36328125" customWidth="1"/>
    <col min="18" max="19" width="14.6328125" customWidth="1"/>
    <col min="20" max="20" width="17.36328125" bestFit="1" customWidth="1"/>
    <col min="21" max="21" width="21.1796875" bestFit="1" customWidth="1"/>
    <col min="22" max="26" width="18.453125" customWidth="1"/>
    <col min="27" max="27" width="125.90625" customWidth="1"/>
    <col min="28" max="28" width="217.08984375" customWidth="1"/>
    <col min="31" max="31" width="15.90625" customWidth="1"/>
    <col min="32" max="32" width="18.6328125" customWidth="1"/>
    <col min="33" max="34" width="25.26953125" customWidth="1"/>
    <col min="35" max="35" width="20" customWidth="1"/>
    <col min="36" max="36" width="19.1796875" customWidth="1"/>
  </cols>
  <sheetData>
    <row r="1" spans="1:36" x14ac:dyDescent="0.35">
      <c r="A1" s="14" t="s">
        <v>170</v>
      </c>
      <c r="B1" s="14" t="s">
        <v>159</v>
      </c>
      <c r="C1" s="14" t="s">
        <v>160</v>
      </c>
      <c r="D1" s="14" t="s">
        <v>85</v>
      </c>
      <c r="E1" s="14" t="s">
        <v>6</v>
      </c>
      <c r="F1" s="14" t="s">
        <v>154</v>
      </c>
      <c r="G1" s="14" t="s">
        <v>155</v>
      </c>
      <c r="H1" s="14" t="s">
        <v>156</v>
      </c>
      <c r="I1" s="14" t="s">
        <v>157</v>
      </c>
      <c r="J1" s="14" t="s">
        <v>158</v>
      </c>
      <c r="K1" s="14" t="s">
        <v>28</v>
      </c>
      <c r="L1" s="14" t="s">
        <v>62</v>
      </c>
      <c r="M1" s="14" t="s">
        <v>58</v>
      </c>
      <c r="N1" s="14" t="s">
        <v>65</v>
      </c>
      <c r="O1" s="14" t="s">
        <v>402</v>
      </c>
      <c r="P1" s="14" t="s">
        <v>397</v>
      </c>
      <c r="Q1" s="14" t="s">
        <v>396</v>
      </c>
      <c r="R1" s="14" t="s">
        <v>93</v>
      </c>
      <c r="S1" s="14" t="s">
        <v>57</v>
      </c>
      <c r="T1" s="14" t="s">
        <v>392</v>
      </c>
      <c r="U1" s="14" t="s">
        <v>390</v>
      </c>
      <c r="V1" s="14" t="s">
        <v>393</v>
      </c>
      <c r="W1" s="14" t="s">
        <v>398</v>
      </c>
      <c r="X1" s="14" t="s">
        <v>399</v>
      </c>
      <c r="Y1" s="14" t="s">
        <v>400</v>
      </c>
      <c r="Z1" s="14" t="s">
        <v>401</v>
      </c>
      <c r="AA1" s="14" t="s">
        <v>10</v>
      </c>
      <c r="AB1" s="14" t="s">
        <v>168</v>
      </c>
      <c r="AE1" t="s">
        <v>60</v>
      </c>
      <c r="AF1" t="s">
        <v>61</v>
      </c>
      <c r="AG1" t="s">
        <v>256</v>
      </c>
      <c r="AH1" t="s">
        <v>257</v>
      </c>
    </row>
    <row r="2" spans="1:36" x14ac:dyDescent="0.35">
      <c r="A2" s="14" t="s">
        <v>171</v>
      </c>
      <c r="B2" s="31" t="s">
        <v>32</v>
      </c>
      <c r="C2" s="14" t="s">
        <v>161</v>
      </c>
      <c r="D2" s="14" t="s">
        <v>94</v>
      </c>
      <c r="E2" s="26" t="s">
        <v>114</v>
      </c>
      <c r="F2" s="14">
        <f>SUM('Demographics Data'!C2:D2)</f>
        <v>18667</v>
      </c>
      <c r="G2" s="14">
        <f>SUM('Demographics Data'!E2:F2)</f>
        <v>3585</v>
      </c>
      <c r="H2" s="14">
        <f>ROUND(('Demographics Data'!C2*('Raw Data'!C2+'Raw Data'!C3) +'Demographics Data'!D2*(SUM('Raw Data'!D2:D3)))/'Significance Tests'!F2,3)</f>
        <v>0.24099999999999999</v>
      </c>
      <c r="I2" s="14">
        <f>ROUND(('Demographics Data'!F2*('Raw Data'!F2+'Raw Data'!F3) +'Demographics Data'!E2*(SUM('Raw Data'!E2:E3)))/'Significance Tests'!G2,3)</f>
        <v>0.67100000000000004</v>
      </c>
      <c r="J2" s="14">
        <f>SUM('Raw Data'!B2:B3)</f>
        <v>0.3</v>
      </c>
      <c r="K2" s="14">
        <f>ROUND((I2-H2)/(SQRT(J2*(1-J2)*((1/F2)+(1/G2)))),1)</f>
        <v>51.5</v>
      </c>
      <c r="L2" s="14">
        <f t="shared" ref="L2:L7" si="0">$AF$2*(SQRT(J2*(1-J2)*((1/F2)+(1/G2))))</f>
        <v>1.6378284116685644E-2</v>
      </c>
      <c r="M2" s="42">
        <f>I2-H2</f>
        <v>0.43000000000000005</v>
      </c>
      <c r="N2" s="42">
        <f t="shared" ref="N2:N18" si="1">IF(K2&lt;1.96,0,ROUND((M2)/L2,0))</f>
        <v>26</v>
      </c>
      <c r="O2" s="42"/>
      <c r="P2" s="42">
        <f t="shared" ref="P2:P7" si="2">SQRT(N2)</f>
        <v>5.0990195135927845</v>
      </c>
      <c r="Q2" s="42" t="e">
        <f t="shared" ref="Q2:Q7" si="3">(P2-MIN($P$2:$P$58))/(MAX($P$2:$P$58)-MIN($P$2:$P$58))*100</f>
        <v>#REF!</v>
      </c>
      <c r="R2" s="42" cm="1">
        <f t="array" ref="R2">_xlfn.IFS(N2&gt;$AG$2,100,N2&lt;1,1,N2&lt;=$AG$2,ROUND((N2/$AG$2)*100,))</f>
        <v>100</v>
      </c>
      <c r="S2" s="42">
        <v>0.5</v>
      </c>
      <c r="T2" s="42">
        <f>((((ABS(I2-AVERAGE(H2,J2)))/2)+(ABS((H2-AVERAGE(H2,J2))/2)))*100/(AVERAGE(H2,J2)))</f>
        <v>79.482439926062867</v>
      </c>
      <c r="U2" s="42">
        <f>(((ABS(H2-I2))/2)*100/SQRT(J2))</f>
        <v>39.253449954536912</v>
      </c>
      <c r="V2" s="42" t="e">
        <f t="shared" ref="V2:V7" si="4">(U2-MIN($U$2:$U$58))/(MAX($U$2:$U$58)-MIN($U$2:$U$58))*100</f>
        <v>#REF!</v>
      </c>
      <c r="W2" s="42">
        <f>IF(M2 &gt;0,SQRT((M2/2)/AVERAGE(H2:I2)),0)</f>
        <v>0.68665218857160537</v>
      </c>
      <c r="X2" s="42">
        <f t="shared" ref="X2:X7" si="5">IF($M2 &gt;0,(M2)/AVERAGE(H2:I2),0)</f>
        <v>0.94298245614035092</v>
      </c>
      <c r="Y2" s="42" t="e">
        <f>ROUND(((W2-MIN(W$2:W$49))/(MAX(W$2:W$49)-MIN(W$2:W$49)))*100,1)</f>
        <v>#REF!</v>
      </c>
      <c r="Z2" s="42" t="e">
        <f>ROUND(((X2-MIN(X$2:X$49))/(MAX(X$2:X$49)-MIN(X$2:X$49)))*100,1)</f>
        <v>#REF!</v>
      </c>
      <c r="AA2" s="42" t="s">
        <v>297</v>
      </c>
      <c r="AB2" s="14" t="s">
        <v>172</v>
      </c>
      <c r="AE2" s="35">
        <v>0.05</v>
      </c>
      <c r="AF2" s="1">
        <f>ROUND(_xlfn.NORM.INV(1-(AE2/2),0,1),2)</f>
        <v>1.96</v>
      </c>
      <c r="AG2">
        <v>15</v>
      </c>
      <c r="AH2">
        <f>10*AG2</f>
        <v>150</v>
      </c>
    </row>
    <row r="3" spans="1:36" x14ac:dyDescent="0.35">
      <c r="A3" s="14" t="s">
        <v>171</v>
      </c>
      <c r="B3" s="31" t="s">
        <v>32</v>
      </c>
      <c r="C3" s="14" t="s">
        <v>161</v>
      </c>
      <c r="D3" s="14" t="s">
        <v>94</v>
      </c>
      <c r="E3" s="26" t="s">
        <v>115</v>
      </c>
      <c r="F3" s="14">
        <f>SUM('Demographics Data'!C3:D3)</f>
        <v>21876</v>
      </c>
      <c r="G3" s="14">
        <f>SUM('Demographics Data'!E3:F3)</f>
        <v>3589</v>
      </c>
      <c r="H3" s="14">
        <f>ROUND(('Demographics Data'!C3*('Raw Data'!C4+'Raw Data'!C5) +'Demographics Data'!D3*('Raw Data'!D4+'Raw Data'!D5))/'Significance Tests'!F3,3)</f>
        <v>0.219</v>
      </c>
      <c r="I3" s="14">
        <f>ROUND(('Demographics Data'!F3*('Raw Data'!F4+'Raw Data'!F5) +'Demographics Data'!E3*('Raw Data'!E4+'Raw Data'!E5))/'Significance Tests'!G3,3)</f>
        <v>0.60299999999999998</v>
      </c>
      <c r="J3" s="14">
        <f>'Raw Data'!B4+'Raw Data'!B5</f>
        <v>0.27</v>
      </c>
      <c r="K3" s="14">
        <f t="shared" ref="K3" si="6">ROUND((I3-H3)/(SQRT(J3*(1-J3)*((1/F3)+(1/G3)))),1)</f>
        <v>48</v>
      </c>
      <c r="L3" s="14">
        <f t="shared" si="0"/>
        <v>1.5671138079732052E-2</v>
      </c>
      <c r="M3" s="42">
        <f>I3-H3</f>
        <v>0.38400000000000001</v>
      </c>
      <c r="N3" s="42">
        <f>IF(K3&lt;1.96,0,ROUND((M3)/L3,0))</f>
        <v>25</v>
      </c>
      <c r="O3" s="42"/>
      <c r="P3" s="42">
        <f t="shared" si="2"/>
        <v>5</v>
      </c>
      <c r="Q3" s="42" t="e">
        <f t="shared" si="3"/>
        <v>#REF!</v>
      </c>
      <c r="R3" s="42" cm="1">
        <f t="array" ref="R3">_xlfn.IFS(N3&gt;$AG$2,100,N3&lt;1,1,N3&lt;=$AG$2,ROUND((N3/$AG$2)*100,))</f>
        <v>100</v>
      </c>
      <c r="S3" s="42">
        <v>0.5</v>
      </c>
      <c r="T3" s="42">
        <f>((((ABS(I3-AVERAGE(H3,J3)))/2)+(ABS((H3-AVERAGE(H3,J3))/2)))*100/(AVERAGE(H3,J3)))</f>
        <v>78.527607361963192</v>
      </c>
      <c r="U3" s="42">
        <f>(((ABS(H3-J3)/2)+(ABS(I3-J3)/2)))*100/SQRT(J3)</f>
        <v>36.950417228136047</v>
      </c>
      <c r="V3" s="42" t="e">
        <f t="shared" si="4"/>
        <v>#REF!</v>
      </c>
      <c r="W3" s="42">
        <f t="shared" ref="W3:W58" si="7">IF(M3 &gt;0,SQRT((M3/2)/AVERAGE(H3:I3)),0)</f>
        <v>0.68348612617340876</v>
      </c>
      <c r="X3" s="42">
        <f t="shared" si="5"/>
        <v>0.93430656934306577</v>
      </c>
      <c r="Y3" s="42" t="e">
        <f>ROUND(((W3-MIN(W$2:W$49))/(MAX(W$2:W$49)-MIN(W$2:W$49)))*100,1)</f>
        <v>#REF!</v>
      </c>
      <c r="Z3" s="42" t="e">
        <f t="shared" ref="Z3:Z58" si="8">ROUND(((X3-MIN(X$2:X$49))/(MAX(X$2:X$49)-MIN(X$2:X$49)))*100,1)</f>
        <v>#REF!</v>
      </c>
      <c r="AA3" s="42" t="s">
        <v>298</v>
      </c>
      <c r="AB3" s="14" t="s">
        <v>172</v>
      </c>
    </row>
    <row r="4" spans="1:36" x14ac:dyDescent="0.35">
      <c r="A4" s="14" t="s">
        <v>171</v>
      </c>
      <c r="B4" s="31" t="s">
        <v>32</v>
      </c>
      <c r="C4" s="14" t="s">
        <v>161</v>
      </c>
      <c r="D4" s="14" t="s">
        <v>95</v>
      </c>
      <c r="E4" s="26" t="s">
        <v>116</v>
      </c>
      <c r="F4" s="14">
        <f>F2</f>
        <v>18667</v>
      </c>
      <c r="G4" s="14">
        <f>G2</f>
        <v>3585</v>
      </c>
      <c r="H4" s="14">
        <f>ROUND(('Demographics Data'!C3*('Raw Data'!C3) +'Demographics Data'!D3*('Raw Data'!D3))/'Significance Tests'!F4,3)</f>
        <v>3.6999999999999998E-2</v>
      </c>
      <c r="I4" s="14">
        <f>ROUND(('Demographics Data'!F3*('Raw Data'!F3) +'Demographics Data'!E3*('Raw Data'!E3))/'Significance Tests'!G4,3)</f>
        <v>0.23400000000000001</v>
      </c>
      <c r="J4" s="14">
        <f>SUM('Raw Data'!B3)</f>
        <v>0.05</v>
      </c>
      <c r="K4" s="14">
        <f>ROUND((I4-H4)/(SQRT(J4*(1-J4)*((1/F4)+(1/G4)))),1)</f>
        <v>49.6</v>
      </c>
      <c r="L4" s="14">
        <f t="shared" si="0"/>
        <v>7.7894278333266037E-3</v>
      </c>
      <c r="M4" s="42">
        <f>I4-H4</f>
        <v>0.19700000000000001</v>
      </c>
      <c r="N4" s="42">
        <f>IF(K4&lt;1.96,0,ROUND((M4)/L4,0))</f>
        <v>25</v>
      </c>
      <c r="O4" s="42"/>
      <c r="P4" s="42">
        <f t="shared" si="2"/>
        <v>5</v>
      </c>
      <c r="Q4" s="42" t="e">
        <f t="shared" si="3"/>
        <v>#REF!</v>
      </c>
      <c r="R4" s="42" cm="1">
        <f t="array" ref="R4">_xlfn.IFS(N4&gt;$AG$2,100,N4&lt;1,1,N4&lt;=$AG$2,ROUND((N4/$AG$2)*100,))</f>
        <v>100</v>
      </c>
      <c r="S4" s="42">
        <v>0.5</v>
      </c>
      <c r="T4" s="42">
        <f>((((ABS(I4-AVERAGE(H4,J4)))/2)+(ABS((H4-AVERAGE(H4,J4))/2)))*100/(AVERAGE(H4,J4)))</f>
        <v>226.43678160919541</v>
      </c>
      <c r="U4" s="42">
        <f>(((ABS(H4-J4)/2)+(ABS(I4-J4)/2)))*100/SQRT(J4)</f>
        <v>44.050539156745856</v>
      </c>
      <c r="V4" s="42" t="e">
        <f t="shared" si="4"/>
        <v>#REF!</v>
      </c>
      <c r="W4" s="42">
        <f t="shared" si="7"/>
        <v>0.85260616310972892</v>
      </c>
      <c r="X4" s="42">
        <f t="shared" si="5"/>
        <v>1.4538745387453875</v>
      </c>
      <c r="Y4" s="42" t="e">
        <f>ROUND(((W4-MIN(W$2:W$49))/(MAX(W$2:W$49)-MIN(W$2:W$49)))*100,1)</f>
        <v>#REF!</v>
      </c>
      <c r="Z4" s="42" t="e">
        <f t="shared" si="8"/>
        <v>#REF!</v>
      </c>
      <c r="AA4" s="42" t="s">
        <v>299</v>
      </c>
      <c r="AB4" s="14" t="s">
        <v>172</v>
      </c>
    </row>
    <row r="5" spans="1:36" x14ac:dyDescent="0.35">
      <c r="A5" s="14" t="s">
        <v>171</v>
      </c>
      <c r="B5" s="31" t="s">
        <v>32</v>
      </c>
      <c r="C5" s="14" t="s">
        <v>161</v>
      </c>
      <c r="D5" s="14" t="s">
        <v>95</v>
      </c>
      <c r="E5" s="26" t="s">
        <v>117</v>
      </c>
      <c r="F5" s="14">
        <f>F3</f>
        <v>21876</v>
      </c>
      <c r="G5" s="14">
        <f>G3</f>
        <v>3589</v>
      </c>
      <c r="H5" s="14">
        <f>ROUND(('Demographics Data'!C3*('Raw Data'!C5) +'Demographics Data'!D3*('Raw Data'!D5))/'Significance Tests'!F5,3)</f>
        <v>4.2999999999999997E-2</v>
      </c>
      <c r="I5" s="14">
        <f>ROUND(('Demographics Data'!F3*('Raw Data'!F5) +'Demographics Data'!E3*('Raw Data'!E5))/'Significance Tests'!G5,3)</f>
        <v>0.26300000000000001</v>
      </c>
      <c r="J5" s="14">
        <f>'Raw Data'!B5</f>
        <v>7.0000000000000007E-2</v>
      </c>
      <c r="K5" s="14">
        <f t="shared" ref="K5" si="9">ROUND((I5-H5)/(SQRT(J5*(1-J5)*((1/F5)+(1/G5)))),1)</f>
        <v>47.9</v>
      </c>
      <c r="L5" s="14">
        <f t="shared" si="0"/>
        <v>9.0063271697287863E-3</v>
      </c>
      <c r="M5" s="42">
        <f t="shared" ref="M5" si="10">I5-H5</f>
        <v>0.22000000000000003</v>
      </c>
      <c r="N5" s="42">
        <f t="shared" si="1"/>
        <v>24</v>
      </c>
      <c r="O5" s="42"/>
      <c r="P5" s="42">
        <f t="shared" si="2"/>
        <v>4.8989794855663558</v>
      </c>
      <c r="Q5" s="42" t="e">
        <f t="shared" si="3"/>
        <v>#REF!</v>
      </c>
      <c r="R5" s="42" cm="1">
        <f t="array" ref="R5">_xlfn.IFS(N5&gt;$AG$2,100,N5&lt;1,1,N5&lt;=$AG$2,ROUND((N5/$AG$2)*100,))</f>
        <v>100</v>
      </c>
      <c r="S5" s="42">
        <v>0.5</v>
      </c>
      <c r="T5" s="42">
        <f>((((ABS(I5-AVERAGE(H5,J5)))/2)+(ABS((H5-AVERAGE(H5,J5))/2)))*100/I5)</f>
        <v>41.825095057034225</v>
      </c>
      <c r="U5" s="42">
        <f>(((ABS(H5-J5)/2)+(ABS(I5-J5)/2)))*100/SQRT(J5)</f>
        <v>41.576092031015001</v>
      </c>
      <c r="V5" s="42" t="e">
        <f t="shared" si="4"/>
        <v>#REF!</v>
      </c>
      <c r="W5" s="42">
        <f t="shared" si="7"/>
        <v>0.84791169844861392</v>
      </c>
      <c r="X5" s="42">
        <f t="shared" si="5"/>
        <v>1.4379084967320264</v>
      </c>
      <c r="Y5" s="42" t="e">
        <f>ROUND(((W5-MIN(W$2:W$49))/(MAX(W$2:W$49)-MIN(W$2:W$49)))*100,1)</f>
        <v>#REF!</v>
      </c>
      <c r="Z5" s="42" t="e">
        <f t="shared" si="8"/>
        <v>#REF!</v>
      </c>
      <c r="AA5" s="42" t="s">
        <v>300</v>
      </c>
      <c r="AB5" s="14" t="s">
        <v>172</v>
      </c>
    </row>
    <row r="6" spans="1:36" x14ac:dyDescent="0.35">
      <c r="A6" s="14" t="s">
        <v>171</v>
      </c>
      <c r="B6" s="31" t="s">
        <v>32</v>
      </c>
      <c r="C6" s="14" t="s">
        <v>161</v>
      </c>
      <c r="D6" s="14" t="s">
        <v>88</v>
      </c>
      <c r="E6" s="27" t="s">
        <v>164</v>
      </c>
      <c r="F6" s="14">
        <f>'Raw Data'!B6</f>
        <v>20717</v>
      </c>
      <c r="G6" s="14">
        <f>'Demographics Data'!B4-'Significance Tests'!F6</f>
        <v>184937</v>
      </c>
      <c r="H6" s="14">
        <f>ROUND(('Raw Data'!C6+'Raw Data'!D6)/'Significance Tests'!F6,3)</f>
        <v>0.85299999999999998</v>
      </c>
      <c r="I6" s="14">
        <f>ROUND((SUM('Demographics Data'!C4:D4)-SUM('Raw Data'!C6:D6))/'Significance Tests'!G6,3)</f>
        <v>0.83599999999999997</v>
      </c>
      <c r="J6" s="14">
        <f>(F6*H6+G6*I6)/SUM(F6:G6)</f>
        <v>0.83771253172804805</v>
      </c>
      <c r="K6" s="14">
        <f>ROUND((I6-H6)/(SQRT(J6*(1-J6)*((1/F6)+(1/G6)))),1)</f>
        <v>-6.3</v>
      </c>
      <c r="L6" s="14">
        <f t="shared" si="0"/>
        <v>5.2946750757170433E-3</v>
      </c>
      <c r="M6" s="42">
        <f>I6-H6</f>
        <v>-1.7000000000000015E-2</v>
      </c>
      <c r="N6" s="42">
        <f t="shared" si="1"/>
        <v>0</v>
      </c>
      <c r="O6" s="42"/>
      <c r="P6" s="42">
        <f t="shared" si="2"/>
        <v>0</v>
      </c>
      <c r="Q6" s="42" t="e">
        <f t="shared" si="3"/>
        <v>#REF!</v>
      </c>
      <c r="R6" s="42" cm="1">
        <f t="array" ref="R6">_xlfn.IFS(N6&gt;$AG$2,100,N6&lt;1,1,N6&lt;=$AG$2,ROUND((N6/$AG$2)*100,))</f>
        <v>1</v>
      </c>
      <c r="S6" s="42">
        <v>0.5</v>
      </c>
      <c r="T6" s="42">
        <f>((((ABS(I6-AVERAGE(H6,J6)))/2)+(ABS((H6-AVERAGE(H6,J6))/2)))*100/I6)</f>
        <v>1.0167464114832545</v>
      </c>
      <c r="U6" s="42">
        <f>(((ABS(H6-J6)/2)+(ABS(I6-J6)/2)))*100/SQRT(J6)</f>
        <v>0.9286913908303136</v>
      </c>
      <c r="V6" s="42" t="e">
        <f t="shared" si="4"/>
        <v>#REF!</v>
      </c>
      <c r="W6" s="42">
        <f t="shared" si="7"/>
        <v>0</v>
      </c>
      <c r="X6" s="42">
        <f t="shared" si="5"/>
        <v>0</v>
      </c>
      <c r="Y6" s="42" t="e">
        <f>ROUND(((W6-MIN(W$2:W$49))/(MAX(W$2:W$49)-MIN(W$2:W$49)))*100,1)</f>
        <v>#REF!</v>
      </c>
      <c r="Z6" s="42" t="e">
        <f t="shared" si="8"/>
        <v>#REF!</v>
      </c>
      <c r="AA6" s="42" t="s">
        <v>301</v>
      </c>
      <c r="AB6" s="14" t="s">
        <v>264</v>
      </c>
    </row>
    <row r="7" spans="1:36" x14ac:dyDescent="0.35">
      <c r="A7" s="14" t="s">
        <v>171</v>
      </c>
      <c r="B7" s="31" t="s">
        <v>32</v>
      </c>
      <c r="C7" s="14" t="s">
        <v>161</v>
      </c>
      <c r="D7" s="14" t="s">
        <v>88</v>
      </c>
      <c r="E7" s="27" t="s">
        <v>251</v>
      </c>
      <c r="F7" s="14">
        <f>SUM('Demographics Data'!C4:D4)</f>
        <v>172287</v>
      </c>
      <c r="G7" s="14">
        <f>SUM('Demographics Data'!E4:F4)</f>
        <v>33367</v>
      </c>
      <c r="H7" s="14">
        <f>ROUND(SUM('Raw Data'!C6:D6)/'Significance Tests'!F7,3)</f>
        <v>0.10299999999999999</v>
      </c>
      <c r="I7" s="14">
        <f>ROUND(SUM('Raw Data'!E6:F6)/'Significance Tests'!G7,3)</f>
        <v>0.08</v>
      </c>
      <c r="J7" s="14">
        <f>(F7*H7+G7*I7)/SUM(F7:G7)</f>
        <v>9.9268290429556427E-2</v>
      </c>
      <c r="K7" s="14">
        <f>ROUND((I7-H7)/(SQRT(J7*(1-J7)*((1/F7)+(1/G7)))),1)</f>
        <v>-12.9</v>
      </c>
      <c r="L7" s="14">
        <f t="shared" si="0"/>
        <v>3.5054422287069268E-3</v>
      </c>
      <c r="M7" s="42">
        <f>I7-H7</f>
        <v>-2.2999999999999993E-2</v>
      </c>
      <c r="N7" s="42">
        <f t="shared" ref="N7" si="11">IF(K7&lt;1.96,0,ROUND((M7)/L7,0))</f>
        <v>0</v>
      </c>
      <c r="O7" s="42"/>
      <c r="P7" s="42">
        <f t="shared" si="2"/>
        <v>0</v>
      </c>
      <c r="Q7" s="42" t="e">
        <f t="shared" si="3"/>
        <v>#REF!</v>
      </c>
      <c r="R7" s="42" cm="1">
        <f t="array" ref="R7">_xlfn.IFS(N7&gt;$AG$2,100,N7&lt;1,1,N7&lt;=$AG$2,ROUND((N7/$AG$2)*100,))</f>
        <v>1</v>
      </c>
      <c r="S7" s="42">
        <v>0.5</v>
      </c>
      <c r="T7" s="42">
        <f>((((ABS(I7-AVERAGE(H7,J7)))/2)+(ABS((H7-AVERAGE(H7,J7))/2)))*100/I7)</f>
        <v>14.374999999999996</v>
      </c>
      <c r="U7" s="42">
        <f>(((ABS(H7-J7)/2)+(ABS(I7-J7)/2)))*100/SQRT(J7)</f>
        <v>3.6499975171086407</v>
      </c>
      <c r="V7" s="42" t="e">
        <f t="shared" si="4"/>
        <v>#REF!</v>
      </c>
      <c r="W7" s="42">
        <f t="shared" si="7"/>
        <v>0</v>
      </c>
      <c r="X7" s="42">
        <f t="shared" si="5"/>
        <v>0</v>
      </c>
      <c r="Y7" s="42" t="e">
        <f>ROUND(((W7-MIN(W$2:W$49))/(MAX(W$2:W$49)-MIN(W$2:W$49)))*100,1)</f>
        <v>#REF!</v>
      </c>
      <c r="Z7" s="42" t="e">
        <f t="shared" si="8"/>
        <v>#REF!</v>
      </c>
      <c r="AA7" s="42" t="s">
        <v>302</v>
      </c>
      <c r="AB7" s="14" t="s">
        <v>265</v>
      </c>
      <c r="AG7" t="s">
        <v>303</v>
      </c>
      <c r="AH7" t="s">
        <v>304</v>
      </c>
      <c r="AI7" t="s">
        <v>305</v>
      </c>
      <c r="AJ7" t="s">
        <v>306</v>
      </c>
    </row>
    <row r="8" spans="1:36" x14ac:dyDescent="0.35">
      <c r="A8" s="14" t="s">
        <v>171</v>
      </c>
      <c r="B8" s="31" t="s">
        <v>32</v>
      </c>
      <c r="C8" s="14" t="s">
        <v>161</v>
      </c>
      <c r="D8" s="14" t="s">
        <v>88</v>
      </c>
      <c r="E8" s="30" t="s">
        <v>96</v>
      </c>
      <c r="F8" s="14" t="s">
        <v>59</v>
      </c>
      <c r="G8" s="14" t="s">
        <v>59</v>
      </c>
      <c r="H8" s="14" t="s">
        <v>59</v>
      </c>
      <c r="I8" s="14" t="s">
        <v>59</v>
      </c>
      <c r="J8" s="14" t="s">
        <v>59</v>
      </c>
      <c r="K8" s="14" t="s">
        <v>59</v>
      </c>
      <c r="L8" s="14" t="s">
        <v>59</v>
      </c>
      <c r="M8" s="42" t="s">
        <v>59</v>
      </c>
      <c r="N8" s="42" t="s">
        <v>59</v>
      </c>
      <c r="O8" s="42"/>
      <c r="P8" s="42"/>
      <c r="Q8" s="42"/>
      <c r="R8" s="42" cm="1">
        <f t="array" ref="R8">_xlfn.IFS(N8&gt;$AG$2,100,N8&lt;1,1,N8&lt;=$AG$2,ROUND((N8/$AG$2)*100,))</f>
        <v>100</v>
      </c>
      <c r="S8" s="42">
        <v>0.5</v>
      </c>
      <c r="T8" s="42"/>
      <c r="U8" s="42"/>
      <c r="V8" s="42"/>
      <c r="W8" s="42"/>
      <c r="X8" s="42"/>
      <c r="Y8" s="42"/>
      <c r="Z8" s="42"/>
      <c r="AA8" s="42"/>
      <c r="AB8" s="14" t="s">
        <v>266</v>
      </c>
      <c r="AG8" t="e">
        <f>_xlfn.QUARTILE.INC(N32:N58,1)</f>
        <v>#REF!</v>
      </c>
      <c r="AH8" t="e">
        <f>_xlfn.QUARTILE.INC(N32:N58,3)</f>
        <v>#REF!</v>
      </c>
      <c r="AI8" t="e">
        <f>AH8-AG8</f>
        <v>#REF!</v>
      </c>
      <c r="AJ8" t="e">
        <f>AH8+1.5*AI8</f>
        <v>#REF!</v>
      </c>
    </row>
    <row r="9" spans="1:36" x14ac:dyDescent="0.35">
      <c r="A9" s="14" t="s">
        <v>171</v>
      </c>
      <c r="B9" s="31" t="s">
        <v>32</v>
      </c>
      <c r="C9" s="14" t="s">
        <v>161</v>
      </c>
      <c r="D9" s="14" t="s">
        <v>89</v>
      </c>
      <c r="E9" s="26" t="s">
        <v>119</v>
      </c>
      <c r="F9" s="14">
        <f>F3</f>
        <v>21876</v>
      </c>
      <c r="G9" s="14">
        <f>F4</f>
        <v>18667</v>
      </c>
      <c r="H9" s="14">
        <f>H5</f>
        <v>4.2999999999999997E-2</v>
      </c>
      <c r="I9" s="14">
        <f>H4</f>
        <v>3.6999999999999998E-2</v>
      </c>
      <c r="J9" s="14">
        <f>ROUND((I9*G9 +H9*F9)/SUM(F9:G9),3)</f>
        <v>0.04</v>
      </c>
      <c r="K9" s="14">
        <f>ROUND((I9-H9)/(SQRT(J9*(1-J9)*((1/G9)+(1/F9)))),1)</f>
        <v>-3.1</v>
      </c>
      <c r="L9" s="14">
        <f>$AF$2*(SQRT(J9*(1-J9)*((1/F9)+(1/G9))))</f>
        <v>3.8269994793921997E-3</v>
      </c>
      <c r="M9" s="42">
        <f t="shared" ref="M9" si="12">I9-H9</f>
        <v>-5.9999999999999984E-3</v>
      </c>
      <c r="N9" s="42">
        <f t="shared" si="1"/>
        <v>0</v>
      </c>
      <c r="O9" s="42"/>
      <c r="P9" s="42">
        <f t="shared" ref="P9:P21" si="13">SQRT(N9)</f>
        <v>0</v>
      </c>
      <c r="Q9" s="42" t="e">
        <f t="shared" ref="Q9:Q21" si="14">(P9-MIN($P$2:$P$58))/(MAX($P$2:$P$58)-MIN($P$2:$P$58))*100</f>
        <v>#REF!</v>
      </c>
      <c r="R9" s="42" cm="1">
        <f t="array" ref="R9">_xlfn.IFS(N9&gt;$AG$2,100,N9&lt;1,1,N9&lt;=$AG$2,ROUND((N9/$AG$2)*100,))</f>
        <v>1</v>
      </c>
      <c r="S9" s="42">
        <v>1</v>
      </c>
      <c r="T9" s="42">
        <f t="shared" ref="T9:T21" si="15">((((ABS(I9-AVERAGE(H9,J9)))/2)+(ABS((H9-AVERAGE(H9,J9))/2)))*100/I9)</f>
        <v>8.108108108108107</v>
      </c>
      <c r="U9" s="42">
        <f t="shared" ref="U9:U21" si="16">(((ABS(H9-J9)/2)+(ABS(I9-J9)/2)))*100/SQRT(J9)</f>
        <v>1.4999999999999996</v>
      </c>
      <c r="V9" s="42" t="e">
        <f t="shared" ref="V9:V21" si="17">(U9-MIN($U$2:$U$58))/(MAX($U$2:$U$58)-MIN($U$2:$U$58))*100</f>
        <v>#REF!</v>
      </c>
      <c r="W9" s="42">
        <f t="shared" si="7"/>
        <v>0</v>
      </c>
      <c r="X9" s="42">
        <f t="shared" ref="X9:X28" si="18">IF($M9 &gt;0,(M9)/AVERAGE(H9:I9),0)</f>
        <v>0</v>
      </c>
      <c r="Y9" s="42" t="e">
        <f t="shared" ref="Y9:Y28" si="19">ROUND(((W9-MIN(W$2:W$49))/(MAX(W$2:W$49)-MIN(W$2:W$49)))*100,1)</f>
        <v>#REF!</v>
      </c>
      <c r="Z9" s="42" t="e">
        <f t="shared" si="8"/>
        <v>#REF!</v>
      </c>
      <c r="AA9" s="42"/>
      <c r="AB9" s="14" t="s">
        <v>172</v>
      </c>
    </row>
    <row r="10" spans="1:36" x14ac:dyDescent="0.35">
      <c r="A10" s="14" t="s">
        <v>171</v>
      </c>
      <c r="B10" s="14" t="s">
        <v>90</v>
      </c>
      <c r="C10" s="14" t="s">
        <v>161</v>
      </c>
      <c r="D10" s="14" t="s">
        <v>94</v>
      </c>
      <c r="E10" s="27" t="s">
        <v>131</v>
      </c>
      <c r="F10" s="14">
        <f>SUM('Demographics Data'!C21:D21)</f>
        <v>19268</v>
      </c>
      <c r="G10" s="14">
        <f>SUM('Demographics Data'!E21:F21)</f>
        <v>3368</v>
      </c>
      <c r="H10" s="14">
        <f>ROUND(('Raw Data'!C9*'Demographics Data'!C21+'Raw Data'!D9*'Demographics Data'!D21)/F10,3)</f>
        <v>0.159</v>
      </c>
      <c r="I10" s="14">
        <f>ROUND(('Raw Data'!E9*'Demographics Data'!E21+'Raw Data'!F9*'Demographics Data'!F21)/'Significance Tests'!G10,3)</f>
        <v>0.60099999999999998</v>
      </c>
      <c r="J10" s="14">
        <f>'Raw Data'!B9</f>
        <v>0.23100000000000001</v>
      </c>
      <c r="K10" s="14">
        <f t="shared" ref="K10:K11" si="20">ROUND((I10-H10)/(SQRT(J10*(1-J10)*((1/F10)+(1/G10)))),1)</f>
        <v>56.2</v>
      </c>
      <c r="L10" s="14">
        <f>$AF$2*(SQRT(J10*(1-J10)*((1/G10)+(1/F10))))</f>
        <v>1.5428393735069896E-2</v>
      </c>
      <c r="M10" s="42">
        <f t="shared" ref="M10" si="21">I10-H10</f>
        <v>0.44199999999999995</v>
      </c>
      <c r="N10" s="42">
        <f t="shared" si="1"/>
        <v>29</v>
      </c>
      <c r="O10" s="42"/>
      <c r="P10" s="42">
        <f t="shared" si="13"/>
        <v>5.3851648071345037</v>
      </c>
      <c r="Q10" s="42" t="e">
        <f t="shared" si="14"/>
        <v>#REF!</v>
      </c>
      <c r="R10" s="42" cm="1">
        <f t="array" ref="R10">_xlfn.IFS(N10&gt;$AG$2,100,N10&lt;1,1,N10&lt;=$AG$2,ROUND((N10/$AG$2)*100,))</f>
        <v>100</v>
      </c>
      <c r="S10" s="42">
        <v>1</v>
      </c>
      <c r="T10" s="42">
        <f t="shared" si="15"/>
        <v>36.772046589018302</v>
      </c>
      <c r="U10" s="42">
        <f t="shared" si="16"/>
        <v>45.981833416350469</v>
      </c>
      <c r="V10" s="42" t="e">
        <f t="shared" si="17"/>
        <v>#REF!</v>
      </c>
      <c r="W10" s="42">
        <f t="shared" si="7"/>
        <v>0.7626132357679225</v>
      </c>
      <c r="X10" s="42">
        <f t="shared" si="18"/>
        <v>1.1631578947368419</v>
      </c>
      <c r="Y10" s="42" t="e">
        <f t="shared" si="19"/>
        <v>#REF!</v>
      </c>
      <c r="Z10" s="42" t="e">
        <f t="shared" si="8"/>
        <v>#REF!</v>
      </c>
      <c r="AA10" s="42"/>
      <c r="AB10" s="14" t="s">
        <v>268</v>
      </c>
      <c r="AG10" t="s">
        <v>307</v>
      </c>
      <c r="AH10" t="s">
        <v>308</v>
      </c>
      <c r="AI10" t="s">
        <v>305</v>
      </c>
      <c r="AJ10" t="s">
        <v>309</v>
      </c>
    </row>
    <row r="11" spans="1:36" x14ac:dyDescent="0.35">
      <c r="A11" s="14" t="s">
        <v>171</v>
      </c>
      <c r="B11" s="14" t="s">
        <v>90</v>
      </c>
      <c r="C11" s="14" t="s">
        <v>161</v>
      </c>
      <c r="D11" s="14" t="s">
        <v>95</v>
      </c>
      <c r="E11" s="27" t="s">
        <v>136</v>
      </c>
      <c r="F11" s="14">
        <f>F10</f>
        <v>19268</v>
      </c>
      <c r="G11" s="14">
        <f>G10</f>
        <v>3368</v>
      </c>
      <c r="H11" s="14">
        <f>ROUND(('Raw Data'!C10*'Demographics Data'!C21+'Raw Data'!D10*'Demographics Data'!D21)/F11,3)</f>
        <v>1.4E-2</v>
      </c>
      <c r="I11" s="14">
        <f>ROUND(('Raw Data'!F10*'Demographics Data'!F21+'Raw Data'!E10*'Demographics Data'!E21)/G11,3)</f>
        <v>0.22700000000000001</v>
      </c>
      <c r="J11" s="14">
        <f>'Raw Data'!B10</f>
        <v>4.8000000000000001E-2</v>
      </c>
      <c r="K11" s="14">
        <f t="shared" si="20"/>
        <v>53.4</v>
      </c>
      <c r="L11" s="14">
        <f>$AF$2*(SQRT(J11*(1-J11)*((1/G11)+(1/F11))))</f>
        <v>7.8251135199833149E-3</v>
      </c>
      <c r="M11" s="42">
        <f t="shared" ref="M11" si="22">I11-H11</f>
        <v>0.21299999999999999</v>
      </c>
      <c r="N11" s="42">
        <f t="shared" si="1"/>
        <v>27</v>
      </c>
      <c r="O11" s="42"/>
      <c r="P11" s="42">
        <f t="shared" si="13"/>
        <v>5.196152422706632</v>
      </c>
      <c r="Q11" s="42" t="e">
        <f t="shared" si="14"/>
        <v>#REF!</v>
      </c>
      <c r="R11" s="42" cm="1">
        <f t="array" ref="R11">_xlfn.IFS(N11&gt;$AG$2,100,N11&lt;1,1,N11&lt;=$AG$2,ROUND((N11/$AG$2)*100,))</f>
        <v>100</v>
      </c>
      <c r="S11" s="42">
        <v>0.33333333333333331</v>
      </c>
      <c r="T11" s="42">
        <f t="shared" si="15"/>
        <v>46.916299559471369</v>
      </c>
      <c r="U11" s="42">
        <f t="shared" si="16"/>
        <v>48.610376978583496</v>
      </c>
      <c r="V11" s="42" t="e">
        <f t="shared" si="17"/>
        <v>#REF!</v>
      </c>
      <c r="W11" s="42">
        <f t="shared" si="7"/>
        <v>0.94011564575103845</v>
      </c>
      <c r="X11" s="42">
        <f t="shared" si="18"/>
        <v>1.7676348547717839</v>
      </c>
      <c r="Y11" s="42" t="e">
        <f t="shared" si="19"/>
        <v>#REF!</v>
      </c>
      <c r="Z11" s="42" t="e">
        <f t="shared" si="8"/>
        <v>#REF!</v>
      </c>
      <c r="AA11" s="42"/>
      <c r="AB11" s="14" t="s">
        <v>268</v>
      </c>
      <c r="AG11">
        <f>_xlfn.QUARTILE.INC(N2:N28,1)</f>
        <v>0</v>
      </c>
      <c r="AH11">
        <f>_xlfn.QUARTILE.INC(N2:N28,3)</f>
        <v>25</v>
      </c>
      <c r="AI11">
        <f>AH11-AG11</f>
        <v>25</v>
      </c>
      <c r="AJ11">
        <f>AH11+1.5*AI11</f>
        <v>62.5</v>
      </c>
    </row>
    <row r="12" spans="1:36" x14ac:dyDescent="0.35">
      <c r="A12" s="14" t="s">
        <v>171</v>
      </c>
      <c r="B12" s="14" t="s">
        <v>90</v>
      </c>
      <c r="C12" s="14" t="s">
        <v>161</v>
      </c>
      <c r="D12" s="14" t="s">
        <v>95</v>
      </c>
      <c r="E12" s="27" t="s">
        <v>135</v>
      </c>
      <c r="F12" s="14">
        <f>'Raw Data'!C7+'Raw Data'!D7</f>
        <v>1832</v>
      </c>
      <c r="G12" s="14">
        <f>'Raw Data'!F7+'Raw Data'!E7</f>
        <v>5835</v>
      </c>
      <c r="H12" s="14">
        <f>ROUND(SUM('Raw Data'!C8:D8)/F12,3)</f>
        <v>0.59299999999999997</v>
      </c>
      <c r="I12" s="14">
        <f>ROUND(SUM('Raw Data'!E8:F8)/G12,3)</f>
        <v>0.79400000000000004</v>
      </c>
      <c r="J12" s="14">
        <f t="shared" ref="J12:J16" si="23">ROUND((H12*F12 +I12*G12)/SUM(F12:G12),3)</f>
        <v>0.746</v>
      </c>
      <c r="K12" s="14">
        <f t="shared" ref="K12" si="24">ROUND((I12-H12)/(SQRT(J12*(1-J12)*((1/F12)+(1/G12)))),1)</f>
        <v>17.2</v>
      </c>
      <c r="L12" s="14">
        <f>$AF$2*(SQRT(J12*(1-J12)*((1/G12)+(1/F12))))</f>
        <v>2.2849247934684541E-2</v>
      </c>
      <c r="M12" s="42">
        <f t="shared" ref="M12:M30" si="25">I12-H12</f>
        <v>0.20100000000000007</v>
      </c>
      <c r="N12" s="42">
        <f t="shared" si="1"/>
        <v>9</v>
      </c>
      <c r="O12" s="42"/>
      <c r="P12" s="42">
        <f t="shared" si="13"/>
        <v>3</v>
      </c>
      <c r="Q12" s="42" t="e">
        <f t="shared" si="14"/>
        <v>#REF!</v>
      </c>
      <c r="R12" s="42" cm="1">
        <f t="array" ref="R12">_xlfn.IFS(N12&gt;$AG$2,100,N12&lt;1,1,N12&lt;=$AG$2,ROUND((N12/$AG$2)*100,))</f>
        <v>60</v>
      </c>
      <c r="S12" s="42">
        <v>0.66666666666666663</v>
      </c>
      <c r="T12" s="42">
        <f t="shared" si="15"/>
        <v>12.657430730478595</v>
      </c>
      <c r="U12" s="42">
        <f t="shared" si="16"/>
        <v>11.635810721768172</v>
      </c>
      <c r="V12" s="42" t="e">
        <f t="shared" si="17"/>
        <v>#REF!</v>
      </c>
      <c r="W12" s="42">
        <f t="shared" si="7"/>
        <v>0.38067976993615593</v>
      </c>
      <c r="X12" s="42">
        <f t="shared" si="18"/>
        <v>0.28983417447728921</v>
      </c>
      <c r="Y12" s="42" t="e">
        <f t="shared" si="19"/>
        <v>#REF!</v>
      </c>
      <c r="Z12" s="42" t="e">
        <f t="shared" si="8"/>
        <v>#REF!</v>
      </c>
      <c r="AA12" s="42"/>
      <c r="AB12" s="14" t="s">
        <v>269</v>
      </c>
    </row>
    <row r="13" spans="1:36" x14ac:dyDescent="0.35">
      <c r="A13" s="14" t="s">
        <v>171</v>
      </c>
      <c r="B13" s="14" t="s">
        <v>90</v>
      </c>
      <c r="C13" s="14" t="s">
        <v>161</v>
      </c>
      <c r="D13" s="14" t="s">
        <v>88</v>
      </c>
      <c r="E13" s="27" t="s">
        <v>134</v>
      </c>
      <c r="F13" s="14">
        <f>'Demographics Data'!C12+'Demographics Data'!D12</f>
        <v>262555</v>
      </c>
      <c r="G13" s="14">
        <f>'Demographics Data'!F12+'Demographics Data'!E12</f>
        <v>309874</v>
      </c>
      <c r="H13" s="14">
        <f>ROUND(('Raw Data'!C7+'Raw Data'!D7)/'Significance Tests'!F13,3)</f>
        <v>7.0000000000000001E-3</v>
      </c>
      <c r="I13" s="14">
        <f>ROUND(('Raw Data'!F7+'Raw Data'!E7)/'Significance Tests'!G13,3)</f>
        <v>1.9E-2</v>
      </c>
      <c r="J13" s="14">
        <f t="shared" si="23"/>
        <v>1.2999999999999999E-2</v>
      </c>
      <c r="K13" s="14">
        <f t="shared" ref="K13" si="26">ROUND((I13-H13)/(SQRT(J13*(1-J13)*((1/F13)+(1/G13)))),1)</f>
        <v>39.9</v>
      </c>
      <c r="L13" s="14">
        <f>$AF$2*(SQRT(J13*(1-J13)*((1/G13)+(1/F13))))</f>
        <v>5.8890388840019759E-4</v>
      </c>
      <c r="M13" s="42">
        <f t="shared" ref="M13" si="27">I13-H13</f>
        <v>1.2E-2</v>
      </c>
      <c r="N13" s="42">
        <f t="shared" si="1"/>
        <v>20</v>
      </c>
      <c r="O13" s="42"/>
      <c r="P13" s="42">
        <f t="shared" si="13"/>
        <v>4.4721359549995796</v>
      </c>
      <c r="Q13" s="42" t="e">
        <f t="shared" si="14"/>
        <v>#REF!</v>
      </c>
      <c r="R13" s="42" cm="1">
        <f t="array" ref="R13">_xlfn.IFS(N13&gt;$AG$2,100,N13&lt;1,1,N13&lt;=$AG$2,ROUND((N13/$AG$2)*100,))</f>
        <v>100</v>
      </c>
      <c r="S13" s="42">
        <v>0.33</v>
      </c>
      <c r="T13" s="42">
        <f t="shared" si="15"/>
        <v>31.578947368421051</v>
      </c>
      <c r="U13" s="42">
        <f t="shared" si="16"/>
        <v>5.2623481158421752</v>
      </c>
      <c r="V13" s="42" t="e">
        <f t="shared" si="17"/>
        <v>#REF!</v>
      </c>
      <c r="W13" s="42">
        <f t="shared" si="7"/>
        <v>0.67936622048675743</v>
      </c>
      <c r="X13" s="42">
        <f t="shared" si="18"/>
        <v>0.92307692307692313</v>
      </c>
      <c r="Y13" s="42" t="e">
        <f t="shared" si="19"/>
        <v>#REF!</v>
      </c>
      <c r="Z13" s="42" t="e">
        <f t="shared" si="8"/>
        <v>#REF!</v>
      </c>
      <c r="AA13" s="42"/>
      <c r="AB13" s="14" t="s">
        <v>269</v>
      </c>
    </row>
    <row r="14" spans="1:36" x14ac:dyDescent="0.35">
      <c r="A14" s="14" t="s">
        <v>171</v>
      </c>
      <c r="B14" s="14" t="s">
        <v>90</v>
      </c>
      <c r="C14" s="14" t="s">
        <v>161</v>
      </c>
      <c r="D14" s="14" t="s">
        <v>88</v>
      </c>
      <c r="E14" s="27" t="s">
        <v>165</v>
      </c>
      <c r="F14" s="14">
        <f>'Raw Data'!B11</f>
        <v>15513</v>
      </c>
      <c r="G14" s="14">
        <f>'Demographics Data'!B9-F14</f>
        <v>86904</v>
      </c>
      <c r="H14" s="14">
        <f>ROUND(('Raw Data'!C11+'Raw Data'!D11)/'Significance Tests'!F14,3)</f>
        <v>0.86099999999999999</v>
      </c>
      <c r="I14" s="14">
        <f>ROUND((('Demographics Data'!C9+'Demographics Data'!D9)-(SUM('Raw Data'!C11:D11)))/'Significance Tests'!G14,3)</f>
        <v>0.86399999999999999</v>
      </c>
      <c r="J14" s="14">
        <f>ROUND((H14*F14 +I14*G14)/SUM(F14:G14),3)</f>
        <v>0.86399999999999999</v>
      </c>
      <c r="K14" s="14">
        <f t="shared" ref="K14:K16" si="28">ROUND((I14-H14)/(SQRT(J14*(1-J14)*((1/F14)+(1/G14)))),1)</f>
        <v>1</v>
      </c>
      <c r="L14" s="14">
        <f>$AF$2*(SQRT(J14*(1-J14)*((1/G14)+(1/G13))))</f>
        <v>2.5789548346209666E-3</v>
      </c>
      <c r="M14" s="42">
        <f>I14-H14</f>
        <v>3.0000000000000027E-3</v>
      </c>
      <c r="N14" s="42">
        <f>IF(K14&lt;1.96,0,ROUND((M14)/L14,0))</f>
        <v>0</v>
      </c>
      <c r="O14" s="42"/>
      <c r="P14" s="42">
        <f t="shared" si="13"/>
        <v>0</v>
      </c>
      <c r="Q14" s="42" t="e">
        <f t="shared" si="14"/>
        <v>#REF!</v>
      </c>
      <c r="R14" s="42" cm="1">
        <f t="array" ref="R14">_xlfn.IFS(N14&gt;$AG$2,100,N14&lt;1,1,N14&lt;=$AG$2,ROUND((N14/$AG$2)*100,))</f>
        <v>1</v>
      </c>
      <c r="S14" s="42">
        <v>0.33333333333333331</v>
      </c>
      <c r="T14" s="42">
        <f t="shared" si="15"/>
        <v>0.17361111111111127</v>
      </c>
      <c r="U14" s="42">
        <f t="shared" si="16"/>
        <v>0.16137430609197587</v>
      </c>
      <c r="V14" s="42" t="e">
        <f t="shared" si="17"/>
        <v>#REF!</v>
      </c>
      <c r="W14" s="42">
        <f t="shared" si="7"/>
        <v>4.1702882811414967E-2</v>
      </c>
      <c r="X14" s="42">
        <f t="shared" si="18"/>
        <v>3.4782608695652201E-3</v>
      </c>
      <c r="Y14" s="42" t="e">
        <f t="shared" si="19"/>
        <v>#REF!</v>
      </c>
      <c r="Z14" s="42" t="e">
        <f t="shared" si="8"/>
        <v>#REF!</v>
      </c>
      <c r="AA14" s="42"/>
      <c r="AB14" s="14" t="s">
        <v>264</v>
      </c>
    </row>
    <row r="15" spans="1:36" x14ac:dyDescent="0.35">
      <c r="A15" s="14" t="s">
        <v>171</v>
      </c>
      <c r="B15" s="14" t="s">
        <v>90</v>
      </c>
      <c r="C15" s="14" t="s">
        <v>161</v>
      </c>
      <c r="D15" s="14" t="s">
        <v>88</v>
      </c>
      <c r="E15" s="27" t="s">
        <v>250</v>
      </c>
      <c r="F15" s="14">
        <f>SUM('Demographics Data'!C9:D9)</f>
        <v>88431</v>
      </c>
      <c r="G15" s="14">
        <f>SUM('Demographics Data'!E9:F9)</f>
        <v>13986</v>
      </c>
      <c r="H15" s="14">
        <f>ROUND(SUM('Raw Data'!C11:D11)/'Significance Tests'!F15,3)</f>
        <v>0.151</v>
      </c>
      <c r="I15" s="14">
        <f>ROUND(SUM('Raw Data'!E11:F11)/'Significance Tests'!G15,3)</f>
        <v>0.155</v>
      </c>
      <c r="J15" s="14">
        <f>ROUND((H15*F15 +I15*G15)/SUM(F15:G15),3)</f>
        <v>0.152</v>
      </c>
      <c r="K15" s="14">
        <f t="shared" si="28"/>
        <v>1.2</v>
      </c>
      <c r="L15" s="14">
        <f>$AF$2*(SQRT(J15*(1-J15)*((1/G15)+(1/G14))))</f>
        <v>6.4111096871790913E-3</v>
      </c>
      <c r="M15" s="42">
        <f>I15-H15</f>
        <v>4.0000000000000036E-3</v>
      </c>
      <c r="N15" s="42">
        <f>IF(K15&lt;1.96,0,ROUND((M15)/L15,0))</f>
        <v>0</v>
      </c>
      <c r="O15" s="42"/>
      <c r="P15" s="42">
        <f t="shared" si="13"/>
        <v>0</v>
      </c>
      <c r="Q15" s="42" t="e">
        <f t="shared" si="14"/>
        <v>#REF!</v>
      </c>
      <c r="R15" s="42" cm="1">
        <f t="array" ref="R15">_xlfn.IFS(N15&gt;$AG$2,100,N15&lt;1,1,N15&lt;=$AG$2,ROUND((N15/$AG$2)*100,))</f>
        <v>1</v>
      </c>
      <c r="S15" s="42">
        <v>0.33333333333333331</v>
      </c>
      <c r="T15" s="42">
        <f t="shared" si="15"/>
        <v>1.2903225806451624</v>
      </c>
      <c r="U15" s="42">
        <f t="shared" si="16"/>
        <v>0.51298917604257754</v>
      </c>
      <c r="V15" s="42" t="e">
        <f t="shared" si="17"/>
        <v>#REF!</v>
      </c>
      <c r="W15" s="42">
        <f t="shared" si="7"/>
        <v>0.11433239009500594</v>
      </c>
      <c r="X15" s="42">
        <f t="shared" si="18"/>
        <v>2.6143790849673228E-2</v>
      </c>
      <c r="Y15" s="42" t="e">
        <f t="shared" si="19"/>
        <v>#REF!</v>
      </c>
      <c r="Z15" s="42" t="e">
        <f t="shared" si="8"/>
        <v>#REF!</v>
      </c>
      <c r="AA15" s="42"/>
      <c r="AB15" s="14" t="s">
        <v>265</v>
      </c>
    </row>
    <row r="16" spans="1:36" x14ac:dyDescent="0.35">
      <c r="A16" s="14" t="s">
        <v>171</v>
      </c>
      <c r="B16" s="14" t="s">
        <v>90</v>
      </c>
      <c r="C16" s="14" t="s">
        <v>161</v>
      </c>
      <c r="D16" s="14" t="s">
        <v>89</v>
      </c>
      <c r="E16" s="26" t="s">
        <v>166</v>
      </c>
      <c r="F16" s="14">
        <f>F10</f>
        <v>19268</v>
      </c>
      <c r="G16" s="14">
        <f>F9</f>
        <v>21876</v>
      </c>
      <c r="H16" s="14">
        <f>H10</f>
        <v>0.159</v>
      </c>
      <c r="I16" s="14">
        <f>H71</f>
        <v>0.219</v>
      </c>
      <c r="J16" s="14">
        <f t="shared" si="23"/>
        <v>0.191</v>
      </c>
      <c r="K16" s="14">
        <f t="shared" si="28"/>
        <v>15.4</v>
      </c>
      <c r="L16" s="14">
        <f>$AF$2*(SQRT(J16*(1-J16)*((1/G16)+(1/G14))))</f>
        <v>5.8279752990090337E-3</v>
      </c>
      <c r="M16" s="42">
        <f t="shared" si="25"/>
        <v>0.06</v>
      </c>
      <c r="N16" s="42">
        <f t="shared" si="1"/>
        <v>10</v>
      </c>
      <c r="O16" s="42"/>
      <c r="P16" s="42">
        <f t="shared" si="13"/>
        <v>3.1622776601683795</v>
      </c>
      <c r="Q16" s="42" t="e">
        <f t="shared" si="14"/>
        <v>#REF!</v>
      </c>
      <c r="R16" s="42" cm="1">
        <f t="array" ref="R16">_xlfn.IFS(N16&gt;$AG$2,100,N16&lt;1,1,N16&lt;=$AG$2,ROUND((N16/$AG$2)*100,))</f>
        <v>67</v>
      </c>
      <c r="S16" s="42">
        <v>1</v>
      </c>
      <c r="T16" s="42">
        <f t="shared" si="15"/>
        <v>13.698630136986301</v>
      </c>
      <c r="U16" s="42">
        <f t="shared" si="16"/>
        <v>6.8644314293441333</v>
      </c>
      <c r="V16" s="42" t="e">
        <f t="shared" si="17"/>
        <v>#REF!</v>
      </c>
      <c r="W16" s="42">
        <f t="shared" si="7"/>
        <v>0.39840953644479787</v>
      </c>
      <c r="X16" s="42">
        <f t="shared" si="18"/>
        <v>0.31746031746031744</v>
      </c>
      <c r="Y16" s="42" t="e">
        <f t="shared" si="19"/>
        <v>#REF!</v>
      </c>
      <c r="Z16" s="42" t="e">
        <f t="shared" si="8"/>
        <v>#REF!</v>
      </c>
      <c r="AA16" s="42"/>
      <c r="AB16" s="14" t="s">
        <v>270</v>
      </c>
    </row>
    <row r="17" spans="1:28" x14ac:dyDescent="0.35">
      <c r="A17" s="14" t="s">
        <v>171</v>
      </c>
      <c r="B17" s="14" t="s">
        <v>91</v>
      </c>
      <c r="C17" s="14" t="s">
        <v>161</v>
      </c>
      <c r="D17" s="32" t="s">
        <v>94</v>
      </c>
      <c r="E17" s="26" t="s">
        <v>101</v>
      </c>
      <c r="F17" s="14">
        <f>'Raw Data'!C13+'Raw Data'!D13</f>
        <v>3200</v>
      </c>
      <c r="G17" s="14">
        <f>'Raw Data'!F13+'Raw Data'!E13</f>
        <v>8559</v>
      </c>
      <c r="H17" s="14">
        <f>ROUND(('Raw Data'!C14+'Raw Data'!D14)/'Significance Tests'!F17,3)</f>
        <v>0.20100000000000001</v>
      </c>
      <c r="I17" s="14">
        <f>ROUND(('Raw Data'!F14+'Raw Data'!E14)/'Significance Tests'!G17,3)</f>
        <v>0.27</v>
      </c>
      <c r="J17" s="14">
        <f t="shared" ref="J17:J30" si="29">ROUND((H17*F17 +I17*G17)/SUM(F17:G17),3)</f>
        <v>0.251</v>
      </c>
      <c r="K17" s="14">
        <f t="shared" ref="K17:K30" si="30">ROUND((I17-H17)/(SQRT(J17*(1-J17)*((1/F17)+(1/G17)))),1)</f>
        <v>7.7</v>
      </c>
      <c r="L17" s="14">
        <f>$AF$2*(SQRT(J17*(1-J17)*((1/G17)+(1/F17))))</f>
        <v>1.7608912433571152E-2</v>
      </c>
      <c r="M17" s="42">
        <f t="shared" si="25"/>
        <v>6.9000000000000006E-2</v>
      </c>
      <c r="N17" s="42">
        <f t="shared" si="1"/>
        <v>4</v>
      </c>
      <c r="O17" s="42"/>
      <c r="P17" s="42">
        <f t="shared" si="13"/>
        <v>2</v>
      </c>
      <c r="Q17" s="42" t="e">
        <f t="shared" si="14"/>
        <v>#REF!</v>
      </c>
      <c r="R17" s="42" cm="1">
        <f t="array" ref="R17">_xlfn.IFS(N17&gt;$AG$2,100,N17&lt;1,1,N17&lt;=$AG$2,ROUND((N17/$AG$2)*100,))</f>
        <v>27</v>
      </c>
      <c r="S17" s="42">
        <v>0.2</v>
      </c>
      <c r="T17" s="42">
        <f t="shared" si="15"/>
        <v>12.777777777777777</v>
      </c>
      <c r="U17" s="42">
        <f t="shared" si="16"/>
        <v>6.8862412624812688</v>
      </c>
      <c r="V17" s="42" t="e">
        <f t="shared" si="17"/>
        <v>#REF!</v>
      </c>
      <c r="W17" s="42">
        <f t="shared" si="7"/>
        <v>0.38274902388722587</v>
      </c>
      <c r="X17" s="42">
        <f t="shared" si="18"/>
        <v>0.2929936305732484</v>
      </c>
      <c r="Y17" s="42" t="e">
        <f t="shared" si="19"/>
        <v>#REF!</v>
      </c>
      <c r="Z17" s="42" t="e">
        <f t="shared" si="8"/>
        <v>#REF!</v>
      </c>
      <c r="AA17" s="42"/>
      <c r="AB17" s="14" t="s">
        <v>271</v>
      </c>
    </row>
    <row r="18" spans="1:28" x14ac:dyDescent="0.35">
      <c r="A18" s="14" t="s">
        <v>171</v>
      </c>
      <c r="B18" s="14" t="s">
        <v>91</v>
      </c>
      <c r="C18" s="14" t="s">
        <v>161</v>
      </c>
      <c r="D18" s="32" t="s">
        <v>94</v>
      </c>
      <c r="E18" s="26" t="s">
        <v>102</v>
      </c>
      <c r="F18" s="14">
        <f>'Demographics Data'!C16+'Demographics Data'!D16</f>
        <v>17696</v>
      </c>
      <c r="G18" s="14">
        <f>'Demographics Data'!F16+'Demographics Data'!E16</f>
        <v>43937</v>
      </c>
      <c r="H18" s="14">
        <f>ROUND(('Raw Data'!C14+'Raw Data'!D14)/'Significance Tests'!F18,3)</f>
        <v>3.5999999999999997E-2</v>
      </c>
      <c r="I18" s="14">
        <f>ROUND(('Raw Data'!F14+'Raw Data'!E14)/'Significance Tests'!G18,3)</f>
        <v>5.2999999999999999E-2</v>
      </c>
      <c r="J18" s="14">
        <f t="shared" si="29"/>
        <v>4.8000000000000001E-2</v>
      </c>
      <c r="K18" s="14">
        <f t="shared" si="30"/>
        <v>8.9</v>
      </c>
      <c r="L18" s="14">
        <f>$AF$2*(SQRT(J18*(1-J18)*((1/G18)+(1/F18))))</f>
        <v>3.7303455487079475E-3</v>
      </c>
      <c r="M18" s="42">
        <f t="shared" si="25"/>
        <v>1.7000000000000001E-2</v>
      </c>
      <c r="N18" s="42">
        <f t="shared" si="1"/>
        <v>5</v>
      </c>
      <c r="O18" s="42"/>
      <c r="P18" s="42">
        <f t="shared" si="13"/>
        <v>2.2360679774997898</v>
      </c>
      <c r="Q18" s="42" t="e">
        <f t="shared" si="14"/>
        <v>#REF!</v>
      </c>
      <c r="R18" s="42" cm="1">
        <f t="array" ref="R18">_xlfn.IFS(N18&gt;$AG$2,100,N18&lt;1,1,N18&lt;=$AG$2,ROUND((N18/$AG$2)*100,))</f>
        <v>33</v>
      </c>
      <c r="S18" s="42">
        <v>0.8</v>
      </c>
      <c r="T18" s="42">
        <f t="shared" si="15"/>
        <v>16.037735849056606</v>
      </c>
      <c r="U18" s="42">
        <f t="shared" si="16"/>
        <v>3.8797014489949269</v>
      </c>
      <c r="V18" s="42" t="e">
        <f t="shared" si="17"/>
        <v>#REF!</v>
      </c>
      <c r="W18" s="42">
        <f t="shared" si="7"/>
        <v>0.43704832221970169</v>
      </c>
      <c r="X18" s="42">
        <f t="shared" si="18"/>
        <v>0.3820224719101124</v>
      </c>
      <c r="Y18" s="42" t="e">
        <f t="shared" si="19"/>
        <v>#REF!</v>
      </c>
      <c r="Z18" s="42" t="e">
        <f t="shared" si="8"/>
        <v>#REF!</v>
      </c>
      <c r="AA18" s="42"/>
      <c r="AB18" s="14" t="s">
        <v>272</v>
      </c>
    </row>
    <row r="19" spans="1:28" x14ac:dyDescent="0.35">
      <c r="A19" s="14" t="s">
        <v>171</v>
      </c>
      <c r="B19" s="14" t="s">
        <v>91</v>
      </c>
      <c r="C19" s="14" t="s">
        <v>161</v>
      </c>
      <c r="D19" s="32" t="s">
        <v>95</v>
      </c>
      <c r="E19" s="26" t="s">
        <v>104</v>
      </c>
      <c r="F19" s="14">
        <f>'Raw Data'!C32+'Raw Data'!D32</f>
        <v>2121</v>
      </c>
      <c r="G19" s="14">
        <f>'Raw Data'!E32+'Raw Data'!F32</f>
        <v>7642</v>
      </c>
      <c r="H19" s="14">
        <f>ROUND(SUM('Raw Data'!C30:D30)/'Significance Tests'!F19,3)</f>
        <v>0.04</v>
      </c>
      <c r="I19" s="14">
        <f>ROUND(SUM('Raw Data'!C29:D29)/'Significance Tests'!G19,3)</f>
        <v>0.05</v>
      </c>
      <c r="J19" s="14">
        <f t="shared" si="29"/>
        <v>4.8000000000000001E-2</v>
      </c>
      <c r="K19" s="14">
        <f>ROUND((I19-H19)/(SQRT(J19*(1-J19)*((1/F19)+(1/G19)))),1)</f>
        <v>1.9</v>
      </c>
      <c r="L19" s="14">
        <f>$AF$2*(SQRT(J19*(1-J19)*((1/G19)+(1/F19))))</f>
        <v>1.0282837151187926E-2</v>
      </c>
      <c r="M19" s="42">
        <f t="shared" si="25"/>
        <v>1.0000000000000002E-2</v>
      </c>
      <c r="N19" s="42">
        <f>IF(K19&lt;1.96,0,ROUND((M19)/L19,0))</f>
        <v>0</v>
      </c>
      <c r="O19" s="42"/>
      <c r="P19" s="42">
        <f t="shared" si="13"/>
        <v>0</v>
      </c>
      <c r="Q19" s="42" t="e">
        <f t="shared" si="14"/>
        <v>#REF!</v>
      </c>
      <c r="R19" s="42" cm="1">
        <f t="array" ref="R19">_xlfn.IFS(N19&gt;$AG$2,100,N19&lt;1,1,N19&lt;=$AG$2,ROUND((N19/$AG$2)*100,))</f>
        <v>1</v>
      </c>
      <c r="S19" s="42">
        <v>0.8</v>
      </c>
      <c r="T19" s="42">
        <f t="shared" si="15"/>
        <v>10.000000000000002</v>
      </c>
      <c r="U19" s="42">
        <f t="shared" si="16"/>
        <v>2.2821773229381925</v>
      </c>
      <c r="V19" s="42" t="e">
        <f t="shared" si="17"/>
        <v>#REF!</v>
      </c>
      <c r="W19" s="42">
        <f t="shared" si="7"/>
        <v>0.33333333333333337</v>
      </c>
      <c r="X19" s="42">
        <f t="shared" si="18"/>
        <v>0.22222222222222227</v>
      </c>
      <c r="Y19" s="42" t="e">
        <f t="shared" si="19"/>
        <v>#REF!</v>
      </c>
      <c r="Z19" s="42" t="e">
        <f t="shared" si="8"/>
        <v>#REF!</v>
      </c>
      <c r="AA19" s="42"/>
      <c r="AB19" s="14" t="s">
        <v>272</v>
      </c>
    </row>
    <row r="20" spans="1:28" x14ac:dyDescent="0.35">
      <c r="A20" s="14" t="s">
        <v>171</v>
      </c>
      <c r="B20" s="14" t="s">
        <v>91</v>
      </c>
      <c r="C20" s="14" t="s">
        <v>161</v>
      </c>
      <c r="D20" s="32" t="s">
        <v>95</v>
      </c>
      <c r="E20" s="26" t="s">
        <v>169</v>
      </c>
      <c r="F20" s="14">
        <f>'Raw Data'!C29+'Raw Data'!D29</f>
        <v>380</v>
      </c>
      <c r="G20" s="14">
        <f>'Raw Data'!F29+'Raw Data'!E29</f>
        <v>2824</v>
      </c>
      <c r="H20" s="14">
        <f>ROUND(('Raw Data'!C30+'Raw Data'!D30)/F20,3)</f>
        <v>0.221</v>
      </c>
      <c r="I20" s="14">
        <f>ROUND(('Raw Data'!F30+'Raw Data'!E30)/G20,3)</f>
        <v>0.22600000000000001</v>
      </c>
      <c r="J20" s="14">
        <f t="shared" si="29"/>
        <v>0.22500000000000001</v>
      </c>
      <c r="K20" s="14">
        <f t="shared" si="30"/>
        <v>0.2</v>
      </c>
      <c r="L20" s="14">
        <f>$AF$2*(SQRT(J20*(1-J20)*((1/G20)+(1/F20))))</f>
        <v>4.4721904602829772E-2</v>
      </c>
      <c r="M20" s="42">
        <f t="shared" si="25"/>
        <v>5.0000000000000044E-3</v>
      </c>
      <c r="N20" s="42">
        <f t="shared" ref="N20:N30" si="31">IF(K20&lt;1.96,0,ROUND((M20)/L20,0))</f>
        <v>0</v>
      </c>
      <c r="O20" s="42"/>
      <c r="P20" s="42">
        <f t="shared" si="13"/>
        <v>0</v>
      </c>
      <c r="Q20" s="42" t="e">
        <f t="shared" si="14"/>
        <v>#REF!</v>
      </c>
      <c r="R20" s="42" cm="1">
        <f t="array" ref="R20">_xlfn.IFS(N20&gt;$AG$2,100,N20&lt;1,1,N20&lt;=$AG$2,ROUND((N20/$AG$2)*100,))</f>
        <v>1</v>
      </c>
      <c r="S20" s="42">
        <v>0.2</v>
      </c>
      <c r="T20" s="42">
        <f t="shared" si="15"/>
        <v>1.1061946902654878</v>
      </c>
      <c r="U20" s="42">
        <f t="shared" si="16"/>
        <v>0.52704627669473036</v>
      </c>
      <c r="V20" s="42" t="e">
        <f t="shared" si="17"/>
        <v>#REF!</v>
      </c>
      <c r="W20" s="42">
        <f t="shared" si="7"/>
        <v>0.10576238616172544</v>
      </c>
      <c r="X20" s="42">
        <f t="shared" si="18"/>
        <v>2.2371364653243866E-2</v>
      </c>
      <c r="Y20" s="42" t="e">
        <f t="shared" si="19"/>
        <v>#REF!</v>
      </c>
      <c r="Z20" s="42" t="e">
        <f t="shared" si="8"/>
        <v>#REF!</v>
      </c>
      <c r="AA20" s="42"/>
      <c r="AB20" s="14" t="s">
        <v>271</v>
      </c>
    </row>
    <row r="21" spans="1:28" x14ac:dyDescent="0.35">
      <c r="A21" s="14" t="s">
        <v>171</v>
      </c>
      <c r="B21" s="14" t="s">
        <v>91</v>
      </c>
      <c r="C21" s="14" t="s">
        <v>161</v>
      </c>
      <c r="D21" s="32" t="s">
        <v>88</v>
      </c>
      <c r="E21" s="26" t="s">
        <v>108</v>
      </c>
      <c r="F21" s="14">
        <f>'Demographics Data'!C15+'Demographics Data'!D15</f>
        <v>78595</v>
      </c>
      <c r="G21" s="14">
        <f>'Demographics Data'!F15+'Demographics Data'!E15</f>
        <v>151503</v>
      </c>
      <c r="H21" s="14">
        <f>ROUND(('Raw Data'!C13+'Raw Data'!D13)/'Significance Tests'!F21,3)</f>
        <v>4.1000000000000002E-2</v>
      </c>
      <c r="I21" s="14">
        <f>ROUND(('Raw Data'!F13+'Raw Data'!E13)/'Significance Tests'!G21,3)</f>
        <v>5.6000000000000001E-2</v>
      </c>
      <c r="J21" s="14">
        <f t="shared" si="29"/>
        <v>5.0999999999999997E-2</v>
      </c>
      <c r="K21" s="14">
        <f t="shared" si="30"/>
        <v>15.5</v>
      </c>
      <c r="L21" s="14">
        <f>$AF$2*(SQRT(J21*(1-J21)*((1/G21)+(1/F21))))</f>
        <v>1.8954948642493576E-3</v>
      </c>
      <c r="M21" s="42">
        <f t="shared" si="25"/>
        <v>1.4999999999999999E-2</v>
      </c>
      <c r="N21" s="42">
        <f t="shared" si="31"/>
        <v>8</v>
      </c>
      <c r="O21" s="42"/>
      <c r="P21" s="42">
        <f t="shared" si="13"/>
        <v>2.8284271247461903</v>
      </c>
      <c r="Q21" s="42" t="e">
        <f t="shared" si="14"/>
        <v>#REF!</v>
      </c>
      <c r="R21" s="42" cm="1">
        <f t="array" ref="R21">_xlfn.IFS(N21&gt;$AG$2,100,N21&lt;1,1,N21&lt;=$AG$2,ROUND((N21/$AG$2)*100,))</f>
        <v>53</v>
      </c>
      <c r="S21" s="42">
        <v>0.25</v>
      </c>
      <c r="T21" s="42">
        <f t="shared" si="15"/>
        <v>13.392857142857142</v>
      </c>
      <c r="U21" s="42">
        <f t="shared" si="16"/>
        <v>3.3210558207753578</v>
      </c>
      <c r="V21" s="42" t="e">
        <f t="shared" si="17"/>
        <v>#REF!</v>
      </c>
      <c r="W21" s="42">
        <f t="shared" si="7"/>
        <v>0.39324187881980721</v>
      </c>
      <c r="X21" s="42">
        <f t="shared" si="18"/>
        <v>0.30927835051546387</v>
      </c>
      <c r="Y21" s="42" t="e">
        <f t="shared" si="19"/>
        <v>#REF!</v>
      </c>
      <c r="Z21" s="42" t="e">
        <f t="shared" si="8"/>
        <v>#REF!</v>
      </c>
      <c r="AA21" s="42"/>
      <c r="AB21" s="14" t="s">
        <v>273</v>
      </c>
    </row>
    <row r="22" spans="1:28" x14ac:dyDescent="0.35">
      <c r="A22" s="14" t="s">
        <v>171</v>
      </c>
      <c r="B22" s="14" t="s">
        <v>91</v>
      </c>
      <c r="C22" s="14" t="s">
        <v>161</v>
      </c>
      <c r="D22" s="32" t="s">
        <v>88</v>
      </c>
      <c r="E22" s="26" t="s">
        <v>347</v>
      </c>
      <c r="F22" s="14"/>
      <c r="G22" s="14"/>
      <c r="H22" s="14"/>
      <c r="I22" s="14"/>
      <c r="J22" s="14"/>
      <c r="K22" s="14" t="s">
        <v>59</v>
      </c>
      <c r="L22" s="14"/>
      <c r="M22" s="42"/>
      <c r="N22" s="42"/>
      <c r="O22" s="42"/>
      <c r="P22" s="42"/>
      <c r="Q22" s="42"/>
      <c r="R22" s="42" cm="1">
        <f t="array" ref="R22">_xlfn.IFS(N22&gt;$AG$2,100,N22&lt;1,1,N22&lt;=$AG$2,ROUND((N22/$AG$2)*100,))</f>
        <v>1</v>
      </c>
      <c r="S22" s="42"/>
      <c r="T22" s="42"/>
      <c r="U22" s="42"/>
      <c r="V22" s="42"/>
      <c r="W22" s="42"/>
      <c r="X22" s="42">
        <f t="shared" si="18"/>
        <v>0</v>
      </c>
      <c r="Y22" s="42" t="e">
        <f t="shared" si="19"/>
        <v>#REF!</v>
      </c>
      <c r="Z22" s="42"/>
      <c r="AA22" s="42"/>
      <c r="AB22" s="14"/>
    </row>
    <row r="23" spans="1:28" x14ac:dyDescent="0.35">
      <c r="A23" s="14" t="s">
        <v>171</v>
      </c>
      <c r="B23" s="14" t="s">
        <v>91</v>
      </c>
      <c r="C23" s="14" t="s">
        <v>161</v>
      </c>
      <c r="D23" s="32" t="s">
        <v>88</v>
      </c>
      <c r="E23" s="26" t="s">
        <v>106</v>
      </c>
      <c r="F23" s="14">
        <f>'Raw Data'!B13</f>
        <v>11759</v>
      </c>
      <c r="G23" s="14">
        <f>'Demographics Data'!B18</f>
        <v>1151971</v>
      </c>
      <c r="H23" s="14">
        <f>ROUND(('Raw Data'!C13+'Raw Data'!D13)/F23,3)</f>
        <v>0.27200000000000002</v>
      </c>
      <c r="I23" s="14">
        <f>ROUND(('Demographics Data'!C18+'Demographics Data'!D18)/'Demographics Data'!B18,3)</f>
        <v>0.38900000000000001</v>
      </c>
      <c r="J23" s="14">
        <f>ROUND((H23*F23 +I23*G23)/SUM(F23:G23),3)</f>
        <v>0.38800000000000001</v>
      </c>
      <c r="K23" s="14">
        <f>ROUND((I23-H23)/(SQRT(J23*(1-J23)*((1/F23)+(1/G23)))),1)</f>
        <v>25.9</v>
      </c>
      <c r="L23" s="14">
        <f t="shared" ref="L23:L28" si="32">$AF$2*(SQRT(J23*(1-J23)*((1/G23)+(1/F23))))</f>
        <v>8.8525378448867861E-3</v>
      </c>
      <c r="M23" s="42">
        <f t="shared" si="25"/>
        <v>0.11699999999999999</v>
      </c>
      <c r="N23" s="42">
        <f t="shared" si="31"/>
        <v>13</v>
      </c>
      <c r="O23" s="42"/>
      <c r="P23" s="42">
        <f t="shared" ref="P23:P28" si="33">SQRT(N23)</f>
        <v>3.6055512754639891</v>
      </c>
      <c r="Q23" s="42" t="e">
        <f t="shared" ref="Q23:Q28" si="34">(P23-MIN($P$2:$P$58))/(MAX($P$2:$P$58)-MIN($P$2:$P$58))*100</f>
        <v>#REF!</v>
      </c>
      <c r="R23" s="42" cm="1">
        <f t="array" ref="R23">_xlfn.IFS(N23&gt;$AG$2,100,N23&lt;1,1,N23&lt;=$AG$2,ROUND((N23/$AG$2)*100,))</f>
        <v>87</v>
      </c>
      <c r="S23" s="42">
        <v>0.25</v>
      </c>
      <c r="T23" s="42">
        <f t="shared" ref="T23:T28" si="35">((((ABS(I23-AVERAGE(H23,J23)))/2)+(ABS((H23-AVERAGE(H23,J23))/2)))*100/I23)</f>
        <v>15.038560411311053</v>
      </c>
      <c r="U23" s="42">
        <f t="shared" ref="U23:U28" si="36">(((ABS(H23-J23)/2)+(ABS(I23-J23)/2)))*100/SQRT(J23)</f>
        <v>9.3916089988685574</v>
      </c>
      <c r="V23" s="42" t="e">
        <f t="shared" ref="V23:V28" si="37">(U23-MIN($U$2:$U$58))/(MAX($U$2:$U$58)-MIN($U$2:$U$58))*100</f>
        <v>#REF!</v>
      </c>
      <c r="W23" s="42">
        <f t="shared" si="7"/>
        <v>0.42071907322810104</v>
      </c>
      <c r="X23" s="42">
        <f t="shared" si="18"/>
        <v>0.35400907715582447</v>
      </c>
      <c r="Y23" s="42" t="e">
        <f t="shared" si="19"/>
        <v>#REF!</v>
      </c>
      <c r="Z23" s="42" t="e">
        <f t="shared" si="8"/>
        <v>#REF!</v>
      </c>
      <c r="AA23" s="42"/>
      <c r="AB23" s="14" t="s">
        <v>274</v>
      </c>
    </row>
    <row r="24" spans="1:28" x14ac:dyDescent="0.35">
      <c r="A24" s="14" t="s">
        <v>171</v>
      </c>
      <c r="B24" s="14" t="s">
        <v>91</v>
      </c>
      <c r="C24" s="14" t="s">
        <v>161</v>
      </c>
      <c r="D24" s="32" t="s">
        <v>88</v>
      </c>
      <c r="E24" s="26" t="s">
        <v>107</v>
      </c>
      <c r="F24" s="14">
        <f>F23</f>
        <v>11759</v>
      </c>
      <c r="G24" s="14">
        <f>'Demographics Data'!B11</f>
        <v>133178</v>
      </c>
      <c r="H24" s="14">
        <f>H23</f>
        <v>0.27200000000000002</v>
      </c>
      <c r="I24" s="14">
        <f>ROUND(('Demographics Data'!C11+'Demographics Data'!D11)/'Demographics Data'!B11,3)</f>
        <v>0.41899999999999998</v>
      </c>
      <c r="J24" s="14">
        <f t="shared" si="29"/>
        <v>0.40699999999999997</v>
      </c>
      <c r="K24" s="14">
        <f t="shared" si="30"/>
        <v>31.1</v>
      </c>
      <c r="L24" s="14">
        <f t="shared" si="32"/>
        <v>9.2633658610123508E-3</v>
      </c>
      <c r="M24" s="42">
        <f t="shared" si="25"/>
        <v>0.14699999999999996</v>
      </c>
      <c r="N24" s="42">
        <f t="shared" si="31"/>
        <v>16</v>
      </c>
      <c r="O24" s="42"/>
      <c r="P24" s="42">
        <f t="shared" si="33"/>
        <v>4</v>
      </c>
      <c r="Q24" s="42" t="e">
        <f t="shared" si="34"/>
        <v>#REF!</v>
      </c>
      <c r="R24" s="42" cm="1">
        <f t="array" ref="R24">_xlfn.IFS(N24&gt;$AG$2,100,N24&lt;1,1,N24&lt;=$AG$2,ROUND((N24/$AG$2)*100,))</f>
        <v>100</v>
      </c>
      <c r="S24" s="42">
        <v>0.25</v>
      </c>
      <c r="T24" s="42">
        <f t="shared" si="35"/>
        <v>17.541766109785197</v>
      </c>
      <c r="U24" s="42">
        <f t="shared" si="36"/>
        <v>11.520998881755661</v>
      </c>
      <c r="V24" s="42" t="e">
        <f t="shared" si="37"/>
        <v>#REF!</v>
      </c>
      <c r="W24" s="42">
        <f t="shared" si="7"/>
        <v>0.4612322261350244</v>
      </c>
      <c r="X24" s="42">
        <f t="shared" si="18"/>
        <v>0.42547033285094055</v>
      </c>
      <c r="Y24" s="42" t="e">
        <f t="shared" si="19"/>
        <v>#REF!</v>
      </c>
      <c r="Z24" s="42" t="e">
        <f t="shared" si="8"/>
        <v>#REF!</v>
      </c>
      <c r="AA24" s="42"/>
      <c r="AB24" s="14" t="s">
        <v>274</v>
      </c>
    </row>
    <row r="25" spans="1:28" x14ac:dyDescent="0.35">
      <c r="A25" s="14" t="s">
        <v>171</v>
      </c>
      <c r="B25" s="14" t="s">
        <v>91</v>
      </c>
      <c r="C25" s="14" t="s">
        <v>161</v>
      </c>
      <c r="D25" s="32" t="s">
        <v>88</v>
      </c>
      <c r="E25" s="26" t="s">
        <v>105</v>
      </c>
      <c r="F25" s="14">
        <f>F23</f>
        <v>11759</v>
      </c>
      <c r="G25" s="14">
        <f>'Demographics Data'!B15</f>
        <v>230098</v>
      </c>
      <c r="H25" s="14">
        <f>H24</f>
        <v>0.27200000000000002</v>
      </c>
      <c r="I25" s="14">
        <f>ROUND(('Demographics Data'!C15+'Demographics Data'!D15)/'Demographics Data'!B15,3)</f>
        <v>0.34200000000000003</v>
      </c>
      <c r="J25" s="14">
        <f t="shared" si="29"/>
        <v>0.33900000000000002</v>
      </c>
      <c r="K25" s="14">
        <f t="shared" si="30"/>
        <v>15.6</v>
      </c>
      <c r="L25" s="14">
        <f t="shared" si="32"/>
        <v>8.7719139736899161E-3</v>
      </c>
      <c r="M25" s="42">
        <f t="shared" si="25"/>
        <v>7.0000000000000007E-2</v>
      </c>
      <c r="N25" s="42">
        <f t="shared" si="31"/>
        <v>8</v>
      </c>
      <c r="O25" s="42"/>
      <c r="P25" s="42">
        <f t="shared" si="33"/>
        <v>2.8284271247461903</v>
      </c>
      <c r="Q25" s="42" t="e">
        <f t="shared" si="34"/>
        <v>#REF!</v>
      </c>
      <c r="R25" s="42" cm="1">
        <f t="array" ref="R25">_xlfn.IFS(N25&gt;$AG$2,100,N25&lt;1,1,N25&lt;=$AG$2,ROUND((N25/$AG$2)*100,))</f>
        <v>53</v>
      </c>
      <c r="S25" s="42">
        <v>0.25</v>
      </c>
      <c r="T25" s="42">
        <f t="shared" si="35"/>
        <v>10.233918128654972</v>
      </c>
      <c r="U25" s="42">
        <f t="shared" si="36"/>
        <v>6.0112971325113547</v>
      </c>
      <c r="V25" s="42" t="e">
        <f t="shared" si="37"/>
        <v>#REF!</v>
      </c>
      <c r="W25" s="42">
        <f t="shared" si="7"/>
        <v>0.33764850756071829</v>
      </c>
      <c r="X25" s="42">
        <f t="shared" si="18"/>
        <v>0.2280130293159609</v>
      </c>
      <c r="Y25" s="42" t="e">
        <f t="shared" si="19"/>
        <v>#REF!</v>
      </c>
      <c r="Z25" s="42" t="e">
        <f t="shared" si="8"/>
        <v>#REF!</v>
      </c>
      <c r="AA25" s="42"/>
      <c r="AB25" s="14" t="s">
        <v>274</v>
      </c>
    </row>
    <row r="26" spans="1:28" x14ac:dyDescent="0.35">
      <c r="A26" s="14" t="s">
        <v>171</v>
      </c>
      <c r="B26" s="14" t="s">
        <v>91</v>
      </c>
      <c r="C26" s="14" t="s">
        <v>161</v>
      </c>
      <c r="D26" s="32" t="s">
        <v>89</v>
      </c>
      <c r="E26" s="26" t="s">
        <v>149</v>
      </c>
      <c r="F26" s="14">
        <f>F25</f>
        <v>11759</v>
      </c>
      <c r="G26" s="14">
        <f>'Raw Data'!B8</f>
        <v>5720</v>
      </c>
      <c r="H26" s="14">
        <f>ROUND(('Raw Data'!C13+'Raw Data'!D13)/'Raw Data'!B13,3)</f>
        <v>0.27200000000000002</v>
      </c>
      <c r="I26" s="14">
        <f>ROUND(('Raw Data'!C8+'Raw Data'!D8)/'Raw Data'!B8,3)</f>
        <v>0.19</v>
      </c>
      <c r="J26" s="14">
        <f t="shared" si="29"/>
        <v>0.245</v>
      </c>
      <c r="K26" s="14">
        <f t="shared" ref="K26" si="38">ROUND((I26-H26)/(SQRT(J26*(1-J26)*((1/F26)+(1/G26)))),1)</f>
        <v>-11.8</v>
      </c>
      <c r="L26" s="14">
        <f t="shared" si="32"/>
        <v>1.3589005391706627E-2</v>
      </c>
      <c r="M26" s="42">
        <f t="shared" ref="M26" si="39">I26-H26</f>
        <v>-8.2000000000000017E-2</v>
      </c>
      <c r="N26" s="42">
        <f t="shared" si="31"/>
        <v>0</v>
      </c>
      <c r="O26" s="42"/>
      <c r="P26" s="42">
        <f t="shared" si="33"/>
        <v>0</v>
      </c>
      <c r="Q26" s="42" t="e">
        <f t="shared" si="34"/>
        <v>#REF!</v>
      </c>
      <c r="R26" s="42" cm="1">
        <f t="array" ref="R26">_xlfn.IFS(N26&gt;$AG$2,100,N26&lt;1,1,N26&lt;=$AG$2,ROUND((N26/$AG$2)*100,))</f>
        <v>1</v>
      </c>
      <c r="S26" s="42">
        <v>1</v>
      </c>
      <c r="T26" s="42">
        <f t="shared" si="35"/>
        <v>21.578947368421055</v>
      </c>
      <c r="U26" s="42">
        <f t="shared" si="36"/>
        <v>8.283250865328128</v>
      </c>
      <c r="V26" s="42" t="e">
        <f t="shared" si="37"/>
        <v>#REF!</v>
      </c>
      <c r="W26" s="42">
        <f t="shared" si="7"/>
        <v>0</v>
      </c>
      <c r="X26" s="42">
        <f t="shared" si="18"/>
        <v>0</v>
      </c>
      <c r="Y26" s="42" t="e">
        <f t="shared" si="19"/>
        <v>#REF!</v>
      </c>
      <c r="Z26" s="42" t="e">
        <f t="shared" si="8"/>
        <v>#REF!</v>
      </c>
      <c r="AA26" s="42"/>
      <c r="AB26" s="14" t="s">
        <v>275</v>
      </c>
    </row>
    <row r="27" spans="1:28" x14ac:dyDescent="0.35">
      <c r="A27" s="14" t="s">
        <v>171</v>
      </c>
      <c r="B27" s="33" t="s">
        <v>92</v>
      </c>
      <c r="C27" s="33" t="s">
        <v>161</v>
      </c>
      <c r="D27" s="32" t="s">
        <v>94</v>
      </c>
      <c r="E27" s="26" t="s">
        <v>246</v>
      </c>
      <c r="F27" s="41">
        <f>'Raw Data'!B16</f>
        <v>123681</v>
      </c>
      <c r="G27" s="14">
        <f>'Demographics Data'!B19</f>
        <v>5438637</v>
      </c>
      <c r="H27" s="14">
        <f>ROUND(('Raw Data'!C16+'Raw Data'!D16)/'Raw Data'!B16,3)</f>
        <v>0.14399999999999999</v>
      </c>
      <c r="I27" s="14">
        <f>ROUND(('Demographics Data'!C19+'Demographics Data'!D19)/'Demographics Data'!B19,3)</f>
        <v>0.39</v>
      </c>
      <c r="J27" s="14">
        <f t="shared" si="29"/>
        <v>0.38500000000000001</v>
      </c>
      <c r="K27" s="14">
        <f t="shared" si="30"/>
        <v>175.8</v>
      </c>
      <c r="L27" s="14">
        <f t="shared" si="32"/>
        <v>2.7425551562424866E-3</v>
      </c>
      <c r="M27" s="42">
        <f t="shared" si="25"/>
        <v>0.24600000000000002</v>
      </c>
      <c r="N27" s="42">
        <f t="shared" si="31"/>
        <v>90</v>
      </c>
      <c r="O27" s="42"/>
      <c r="P27" s="42">
        <f t="shared" si="33"/>
        <v>9.4868329805051381</v>
      </c>
      <c r="Q27" s="42" t="e">
        <f t="shared" si="34"/>
        <v>#REF!</v>
      </c>
      <c r="R27" s="42" cm="1">
        <f t="array" ref="R27">_xlfn.IFS(N27&gt;$AG$2,100,N27&lt;1,1,N27&lt;=$AG$2,ROUND((N27/$AG$2)*100,))</f>
        <v>100</v>
      </c>
      <c r="S27" s="42">
        <v>1</v>
      </c>
      <c r="T27" s="42">
        <f t="shared" si="35"/>
        <v>31.53846153846154</v>
      </c>
      <c r="U27" s="42">
        <f t="shared" si="36"/>
        <v>19.823244915024354</v>
      </c>
      <c r="V27" s="42" t="e">
        <f t="shared" si="37"/>
        <v>#REF!</v>
      </c>
      <c r="W27" s="42">
        <f t="shared" si="7"/>
        <v>0.67872981170961599</v>
      </c>
      <c r="X27" s="42">
        <f t="shared" si="18"/>
        <v>0.9213483146067416</v>
      </c>
      <c r="Y27" s="42" t="e">
        <f t="shared" si="19"/>
        <v>#REF!</v>
      </c>
      <c r="Z27" s="42" t="e">
        <f t="shared" si="8"/>
        <v>#REF!</v>
      </c>
      <c r="AA27" s="42"/>
      <c r="AB27" s="14" t="s">
        <v>276</v>
      </c>
    </row>
    <row r="28" spans="1:28" x14ac:dyDescent="0.35">
      <c r="A28" s="14" t="s">
        <v>171</v>
      </c>
      <c r="B28" s="33" t="s">
        <v>92</v>
      </c>
      <c r="C28" s="33" t="s">
        <v>161</v>
      </c>
      <c r="D28" s="32" t="s">
        <v>95</v>
      </c>
      <c r="E28" s="26" t="s">
        <v>141</v>
      </c>
      <c r="F28" s="41">
        <f>'Raw Data'!B33</f>
        <v>21858</v>
      </c>
      <c r="G28" s="41">
        <f>G27</f>
        <v>5438637</v>
      </c>
      <c r="H28" s="41">
        <f>ROUND(SUM('Raw Data'!C33:D33)/'Raw Data'!B33,3)</f>
        <v>0.14299999999999999</v>
      </c>
      <c r="I28" s="41">
        <f>I27</f>
        <v>0.39</v>
      </c>
      <c r="J28" s="14">
        <f t="shared" si="29"/>
        <v>0.38900000000000001</v>
      </c>
      <c r="K28" s="14">
        <f t="shared" si="30"/>
        <v>74.8</v>
      </c>
      <c r="L28" s="14">
        <f t="shared" si="32"/>
        <v>6.4761550320878618E-3</v>
      </c>
      <c r="M28" s="42">
        <f t="shared" si="25"/>
        <v>0.24700000000000003</v>
      </c>
      <c r="N28" s="42">
        <f t="shared" si="31"/>
        <v>38</v>
      </c>
      <c r="O28" s="42"/>
      <c r="P28" s="42">
        <f t="shared" si="33"/>
        <v>6.164414002968976</v>
      </c>
      <c r="Q28" s="42" t="e">
        <f t="shared" si="34"/>
        <v>#REF!</v>
      </c>
      <c r="R28" s="42" cm="1">
        <f t="array" ref="R28">_xlfn.IFS(N28&gt;$AG$2,100,N28&lt;1,1,N28&lt;=$AG$2,ROUND((N28/$AG$2)*100,))</f>
        <v>100</v>
      </c>
      <c r="S28" s="42">
        <v>1</v>
      </c>
      <c r="T28" s="42">
        <f t="shared" si="35"/>
        <v>31.666666666666668</v>
      </c>
      <c r="U28" s="42">
        <f t="shared" si="36"/>
        <v>19.801229480666485</v>
      </c>
      <c r="V28" s="42" t="e">
        <f t="shared" si="37"/>
        <v>#REF!</v>
      </c>
      <c r="W28" s="42">
        <f t="shared" si="7"/>
        <v>0.68074564570501772</v>
      </c>
      <c r="X28" s="42">
        <f t="shared" si="18"/>
        <v>0.92682926829268297</v>
      </c>
      <c r="Y28" s="42" t="e">
        <f t="shared" si="19"/>
        <v>#REF!</v>
      </c>
      <c r="Z28" s="42" t="e">
        <f t="shared" si="8"/>
        <v>#REF!</v>
      </c>
      <c r="AA28" s="42"/>
      <c r="AB28" s="14" t="s">
        <v>276</v>
      </c>
    </row>
    <row r="29" spans="1:28" x14ac:dyDescent="0.35">
      <c r="A29" s="14" t="s">
        <v>171</v>
      </c>
      <c r="B29" s="33" t="s">
        <v>92</v>
      </c>
      <c r="C29" s="33" t="s">
        <v>161</v>
      </c>
      <c r="D29" s="32" t="s">
        <v>88</v>
      </c>
      <c r="E29" s="34" t="s">
        <v>142</v>
      </c>
      <c r="F29" s="41" t="s">
        <v>59</v>
      </c>
      <c r="G29" s="41" t="s">
        <v>59</v>
      </c>
      <c r="H29" s="41" t="s">
        <v>59</v>
      </c>
      <c r="I29" s="41" t="s">
        <v>59</v>
      </c>
      <c r="J29" s="14" t="s">
        <v>59</v>
      </c>
      <c r="K29" s="14" t="s">
        <v>59</v>
      </c>
      <c r="L29" s="14" t="s">
        <v>59</v>
      </c>
      <c r="M29" s="42" t="s">
        <v>59</v>
      </c>
      <c r="N29" s="42" t="s">
        <v>59</v>
      </c>
      <c r="O29" s="42"/>
      <c r="P29" s="42"/>
      <c r="Q29" s="42"/>
      <c r="R29" s="42" cm="1">
        <f t="array" ref="R29">_xlfn.IFS(N29&gt;$AG$2,100,N29&lt;1,1,N29&lt;=$AG$2,ROUND((N29/$AG$2)*100,))</f>
        <v>100</v>
      </c>
      <c r="S29" s="42">
        <v>1</v>
      </c>
      <c r="T29" s="42"/>
      <c r="U29" s="42"/>
      <c r="V29" s="42"/>
      <c r="W29" s="42"/>
      <c r="X29" s="42"/>
      <c r="Y29" s="42"/>
      <c r="Z29" s="42" t="e">
        <f t="shared" si="8"/>
        <v>#REF!</v>
      </c>
      <c r="AA29" s="42"/>
      <c r="AB29" s="14" t="s">
        <v>281</v>
      </c>
    </row>
    <row r="30" spans="1:28" x14ac:dyDescent="0.35">
      <c r="A30" s="14" t="s">
        <v>171</v>
      </c>
      <c r="B30" s="33" t="s">
        <v>92</v>
      </c>
      <c r="C30" s="33" t="s">
        <v>161</v>
      </c>
      <c r="D30" s="32" t="s">
        <v>89</v>
      </c>
      <c r="E30" s="26" t="s">
        <v>143</v>
      </c>
      <c r="F30" s="41">
        <f>'Raw Data'!B17</f>
        <v>5518</v>
      </c>
      <c r="G30" s="41">
        <f>'Raw Data'!B15</f>
        <v>8490</v>
      </c>
      <c r="H30" s="14">
        <f>ROUND(SUM('Raw Data'!C17:D17)/'Raw Data'!B17,3)</f>
        <v>0.14399999999999999</v>
      </c>
      <c r="I30" s="14">
        <f>ROUND(SUM('Raw Data'!C15:D15)/'Raw Data'!B15,3)</f>
        <v>0.20799999999999999</v>
      </c>
      <c r="J30" s="14">
        <f t="shared" si="29"/>
        <v>0.183</v>
      </c>
      <c r="K30" s="14">
        <f t="shared" si="30"/>
        <v>9.6</v>
      </c>
      <c r="L30" s="14">
        <f>$AF$2*(SQRT(J30*(1-J30)*((1/G30)+(1/F30))))</f>
        <v>1.3104969599833384E-2</v>
      </c>
      <c r="M30" s="42">
        <f t="shared" si="25"/>
        <v>6.4000000000000001E-2</v>
      </c>
      <c r="N30" s="42">
        <f t="shared" si="31"/>
        <v>5</v>
      </c>
      <c r="O30" s="42"/>
      <c r="P30" s="42">
        <f>SQRT(N30)</f>
        <v>2.2360679774997898</v>
      </c>
      <c r="Q30" s="42" t="e">
        <f>(P30-MIN($P$2:$P$58))/(MAX($P$2:$P$58)-MIN($P$2:$P$58))*100</f>
        <v>#REF!</v>
      </c>
      <c r="R30" s="42" cm="1">
        <f t="array" ref="R30">_xlfn.IFS(N30&gt;$AG$2,100,N30&lt;1,1,N30&lt;=$AG$2,ROUND((N30/$AG$2)*100,))</f>
        <v>33</v>
      </c>
      <c r="S30" s="42">
        <v>1</v>
      </c>
      <c r="T30" s="42"/>
      <c r="U30" s="42">
        <f>(((ABS(H30-J30)/2)+(ABS(I30-J30)/2)))*100/SQRT(J30)</f>
        <v>7.4803933153949513</v>
      </c>
      <c r="V30" s="42" t="e">
        <f>(U30-MIN($U$2:$U$58))/(MAX($U$2:$U$58)-MIN($U$2:$U$58))*100</f>
        <v>#REF!</v>
      </c>
      <c r="W30" s="42">
        <f t="shared" si="7"/>
        <v>0.42640143271122088</v>
      </c>
      <c r="X30" s="42">
        <f>IF($M30 &gt;0,(M30)/AVERAGE(H30:I30),0)</f>
        <v>0.36363636363636365</v>
      </c>
      <c r="Y30" s="42" t="e">
        <f>ROUND(((W30-MIN(W$2:W$49))/(MAX(W$2:W$49)-MIN(W$2:W$49)))*100,1)</f>
        <v>#REF!</v>
      </c>
      <c r="Z30" s="42" t="e">
        <f t="shared" si="8"/>
        <v>#REF!</v>
      </c>
      <c r="AA30" s="42"/>
      <c r="AB30" s="14" t="s">
        <v>282</v>
      </c>
    </row>
    <row r="31" spans="1:28" s="61" customFormat="1" x14ac:dyDescent="0.35">
      <c r="P31" s="69"/>
      <c r="Q31" s="69"/>
      <c r="W31" s="42"/>
      <c r="X31" s="66"/>
      <c r="Y31" s="66"/>
      <c r="Z31" s="66"/>
    </row>
    <row r="32" spans="1:28" x14ac:dyDescent="0.35">
      <c r="A32" s="14" t="s">
        <v>176</v>
      </c>
      <c r="B32" s="31" t="s">
        <v>32</v>
      </c>
      <c r="C32" s="14" t="s">
        <v>161</v>
      </c>
      <c r="D32" s="14" t="s">
        <v>94</v>
      </c>
      <c r="E32" s="26" t="s">
        <v>177</v>
      </c>
      <c r="F32" s="14">
        <f>G70</f>
        <v>3585</v>
      </c>
      <c r="G32" s="14">
        <f>'Demographics Data'!E26+'Demographics Data'!F26</f>
        <v>1815000</v>
      </c>
      <c r="H32" s="14">
        <f>I70</f>
        <v>0.252</v>
      </c>
      <c r="I32" s="14">
        <f>ROUND(('Raw Data'!E18*'Demographics Data'!E26 +'Raw Data'!F18*'Demographics Data'!F26)/'Significance Tests'!G32,3)</f>
        <v>0.53900000000000003</v>
      </c>
      <c r="J32" s="14">
        <f t="shared" ref="J32" si="40">ROUND((H32*F32 +I32*G32)/SUM(F32:G32),3)</f>
        <v>0.53800000000000003</v>
      </c>
      <c r="K32" s="14">
        <f t="shared" ref="K32" si="41">ROUND((I32-H32)/(SQRT(J32*(1-J32)*((1/F32)+(1/G32)))),1)</f>
        <v>34.4</v>
      </c>
      <c r="L32" s="14">
        <f>$AF$2*(SQRT(J32*(1-J32)*((1/G32)+(1/F32))))</f>
        <v>1.6336239980101617E-2</v>
      </c>
      <c r="M32" s="42">
        <f t="shared" ref="M32" si="42">I32-H32</f>
        <v>0.28700000000000003</v>
      </c>
      <c r="N32" s="42">
        <f t="shared" ref="N32" si="43">IF(K32&lt;1.96,0,ROUND((M32)/L32,0))</f>
        <v>18</v>
      </c>
      <c r="O32" s="42"/>
      <c r="P32" s="42">
        <f>SQRT(N32)</f>
        <v>4.2426406871192848</v>
      </c>
      <c r="Q32" s="42" t="e">
        <f>(P32-MIN($P$2:$P$58))/(MAX($P$2:$P$58)-MIN($P$2:$P$58))*100</f>
        <v>#REF!</v>
      </c>
      <c r="R32" s="42" cm="1">
        <f t="array" ref="R32">_xlfn.IFS(N32&gt;$AH$2,100,N32&lt;1,1,N32&lt;$AH$2,ROUND((N32/$AH$2)*100,))</f>
        <v>12</v>
      </c>
      <c r="S32" s="42">
        <v>0.5</v>
      </c>
      <c r="T32" s="42"/>
      <c r="U32" s="42">
        <f>(((ABS(H32-J32)/2)+(ABS(I32-J32)/2)))*100/SQRT(J32)</f>
        <v>19.564140057977976</v>
      </c>
      <c r="V32" s="42" t="e">
        <f>(U32-MIN($U$2:$U$58))/(MAX($U$2:$U$58)-MIN($U$2:$U$58))*100</f>
        <v>#REF!</v>
      </c>
      <c r="W32" s="42">
        <f t="shared" si="7"/>
        <v>0.60235525930058886</v>
      </c>
      <c r="X32" s="42">
        <f>IF($M32 &gt;0,(M32)/AVERAGE(H32:I32),0)</f>
        <v>0.72566371681415931</v>
      </c>
      <c r="Y32" s="42" t="e">
        <f t="shared" ref="Y32:Y56" si="44">ROUND(((W32-MIN(W$2:W$49))/(MAX(W$2:W$49)-MIN(W$2:W$49)))*100,1)</f>
        <v>#REF!</v>
      </c>
      <c r="Z32" s="42" t="e">
        <f t="shared" si="8"/>
        <v>#REF!</v>
      </c>
      <c r="AA32" s="42"/>
      <c r="AB32" s="14" t="s">
        <v>244</v>
      </c>
    </row>
    <row r="33" spans="1:28" x14ac:dyDescent="0.35">
      <c r="A33" s="14" t="s">
        <v>176</v>
      </c>
      <c r="B33" s="31" t="s">
        <v>32</v>
      </c>
      <c r="C33" s="14" t="s">
        <v>161</v>
      </c>
      <c r="D33" s="14" t="s">
        <v>95</v>
      </c>
      <c r="E33" s="26" t="s">
        <v>178</v>
      </c>
      <c r="F33" s="14">
        <f>F32</f>
        <v>3585</v>
      </c>
      <c r="G33" s="14">
        <f>G32</f>
        <v>1815000</v>
      </c>
      <c r="H33" s="14">
        <f>I72</f>
        <v>2.7E-2</v>
      </c>
      <c r="I33" s="14">
        <f>ROUND(('Raw Data'!E19*'Demographics Data'!E26+'Demographics Data'!F26*'Raw Data'!F19)/'Significance Tests'!G33,3)</f>
        <v>0.13800000000000001</v>
      </c>
      <c r="J33" s="14">
        <f t="shared" ref="J33" si="45">ROUND((H33*F33 +I33*G33)/SUM(F33:G33),3)</f>
        <v>0.13800000000000001</v>
      </c>
      <c r="K33" s="14">
        <f t="shared" ref="K33" si="46">ROUND((I33-H33)/(SQRT(J33*(1-J33)*((1/F33)+(1/G33)))),1)</f>
        <v>19.3</v>
      </c>
      <c r="L33" s="14">
        <f>$AF$2*(SQRT(J33*(1-J33)*((1/G33)+(1/F33))))</f>
        <v>1.130142364271817E-2</v>
      </c>
      <c r="M33" s="42">
        <f t="shared" ref="M33" si="47">I33-H33</f>
        <v>0.11100000000000002</v>
      </c>
      <c r="N33" s="42">
        <f t="shared" ref="N33" si="48">IF(K33&lt;1.96,0,ROUND((M33)/L33,0))</f>
        <v>10</v>
      </c>
      <c r="O33" s="42"/>
      <c r="P33" s="42">
        <f>SQRT(N33)</f>
        <v>3.1622776601683795</v>
      </c>
      <c r="Q33" s="42" t="e">
        <f>(P33-MIN($P$2:$P$58))/(MAX($P$2:$P$58)-MIN($P$2:$P$58))*100</f>
        <v>#REF!</v>
      </c>
      <c r="R33" s="42" cm="1">
        <f t="array" ref="R33">_xlfn.IFS(N33&gt;$AH$2,100,N33&lt;1,1,N33&lt;$AH$2,ROUND((N33/$AH$2)*100,))</f>
        <v>7</v>
      </c>
      <c r="S33" s="42">
        <v>0.5</v>
      </c>
      <c r="T33" s="42"/>
      <c r="U33" s="42">
        <f>(((ABS(H33-J33)/2)+(ABS(I33-J33)/2)))*100/SQRT(J33)</f>
        <v>14.940097782114094</v>
      </c>
      <c r="V33" s="42" t="e">
        <f>(U33-MIN($U$2:$U$58))/(MAX($U$2:$U$58)-MIN($U$2:$U$58))*100</f>
        <v>#REF!</v>
      </c>
      <c r="W33" s="42">
        <f t="shared" si="7"/>
        <v>0.82019953226472453</v>
      </c>
      <c r="X33" s="42">
        <f>IF($M33 &gt;0,(M33)/AVERAGE(H33:I33),0)</f>
        <v>1.3454545454545457</v>
      </c>
      <c r="Y33" s="42" t="e">
        <f t="shared" si="44"/>
        <v>#REF!</v>
      </c>
      <c r="Z33" s="42" t="e">
        <f t="shared" si="8"/>
        <v>#REF!</v>
      </c>
      <c r="AA33" s="42"/>
      <c r="AB33" s="14" t="s">
        <v>244</v>
      </c>
    </row>
    <row r="34" spans="1:28" x14ac:dyDescent="0.35">
      <c r="A34" s="14" t="s">
        <v>176</v>
      </c>
      <c r="B34" s="31" t="s">
        <v>32</v>
      </c>
      <c r="C34" s="14" t="s">
        <v>161</v>
      </c>
      <c r="D34" s="14" t="s">
        <v>94</v>
      </c>
      <c r="E34" s="26" t="s">
        <v>179</v>
      </c>
      <c r="F34" s="14">
        <f>G71</f>
        <v>1682000</v>
      </c>
      <c r="G34" s="14">
        <f>SUM('Demographics Data'!E27:F27)</f>
        <v>1992000</v>
      </c>
      <c r="H34" s="14">
        <f>I71</f>
        <v>0.16900000000000001</v>
      </c>
      <c r="I34" s="14">
        <f>ROUND(('Raw Data'!E20*'Demographics Data'!E27+'Demographics Data'!F27*'Raw Data'!F20)/G34,3)</f>
        <v>0.45100000000000001</v>
      </c>
      <c r="J34" s="14">
        <f t="shared" ref="J34:J35" si="49">ROUND((H34*F34 +I34*G34)/SUM(F34:G34),3)</f>
        <v>0.32200000000000001</v>
      </c>
      <c r="K34" s="14">
        <f t="shared" ref="K34" si="50">ROUND((I34-H34)/(SQRT(J34*(1-J34)*((1/F34)+(1/G34)))),1)</f>
        <v>576.4</v>
      </c>
      <c r="L34" s="14">
        <f>$AF$2*(SQRT(J34*(1-J34)*((1/G34)+(1/F34))))</f>
        <v>9.5898268842373635E-4</v>
      </c>
      <c r="M34" s="42">
        <f t="shared" ref="M34" si="51">I34-H34</f>
        <v>0.28200000000000003</v>
      </c>
      <c r="N34" s="42">
        <f t="shared" ref="N34" si="52">IF(K34&lt;1.96,0,ROUND((M34)/L34,0))</f>
        <v>294</v>
      </c>
      <c r="O34" s="42"/>
      <c r="P34" s="42">
        <f>SQRT(N34)</f>
        <v>17.146428199482248</v>
      </c>
      <c r="Q34" s="42" t="e">
        <f>(P34-MIN($P$2:$P$58))/(MAX($P$2:$P$58)-MIN($P$2:$P$58))*100</f>
        <v>#REF!</v>
      </c>
      <c r="R34" s="42" cm="1">
        <f t="array" ref="R34">_xlfn.IFS(N34&gt;$AH$2,100,N34&lt;1,1,N34&lt;$AH$2,ROUND((N34/$AH$2)*100,))</f>
        <v>100</v>
      </c>
      <c r="S34" s="42">
        <v>0.5</v>
      </c>
      <c r="T34" s="42"/>
      <c r="U34" s="42">
        <f>(((ABS(H34-J34)/2)+(ABS(I34-J34)/2)))*100/SQRT(J34)</f>
        <v>24.84798503397101</v>
      </c>
      <c r="V34" s="42" t="e">
        <f>(U34-MIN($U$2:$U$58))/(MAX($U$2:$U$58)-MIN($U$2:$U$58))*100</f>
        <v>#REF!</v>
      </c>
      <c r="W34" s="42">
        <f t="shared" si="7"/>
        <v>0.67441731122311754</v>
      </c>
      <c r="X34" s="42">
        <f>IF($M34 &gt;0,(M34)/AVERAGE(H34:I34),0)</f>
        <v>0.90967741935483881</v>
      </c>
      <c r="Y34" s="42" t="e">
        <f t="shared" si="44"/>
        <v>#REF!</v>
      </c>
      <c r="Z34" s="42" t="e">
        <f t="shared" si="8"/>
        <v>#REF!</v>
      </c>
      <c r="AA34" s="42"/>
      <c r="AB34" s="14" t="s">
        <v>244</v>
      </c>
    </row>
    <row r="35" spans="1:28" x14ac:dyDescent="0.35">
      <c r="A35" s="14" t="s">
        <v>176</v>
      </c>
      <c r="B35" s="31" t="s">
        <v>32</v>
      </c>
      <c r="C35" s="14" t="s">
        <v>161</v>
      </c>
      <c r="D35" s="14" t="s">
        <v>95</v>
      </c>
      <c r="E35" s="26" t="s">
        <v>180</v>
      </c>
      <c r="F35" s="14">
        <f>F34</f>
        <v>1682000</v>
      </c>
      <c r="G35" s="14">
        <f>G34</f>
        <v>1992000</v>
      </c>
      <c r="H35" s="14">
        <f>I73</f>
        <v>2.64E-2</v>
      </c>
      <c r="I35" s="14">
        <f>ROUND(('Raw Data'!E21*'Demographics Data'!E27+'Demographics Data'!F27*'Raw Data'!F21)/G35,3)</f>
        <v>0.15</v>
      </c>
      <c r="J35" s="14">
        <f t="shared" si="49"/>
        <v>9.2999999999999999E-2</v>
      </c>
      <c r="K35" s="14">
        <f t="shared" ref="K35" si="53">ROUND((I35-H35)/(SQRT(J35*(1-J35)*((1/F35)+(1/G35)))),1)</f>
        <v>406.4</v>
      </c>
      <c r="L35" s="14">
        <f>$AF$2*(SQRT(J35*(1-J35)*((1/G35)+(1/F35))))</f>
        <v>5.9609173792684017E-4</v>
      </c>
      <c r="M35" s="42">
        <f t="shared" ref="M35" si="54">I35-H35</f>
        <v>0.12359999999999999</v>
      </c>
      <c r="N35" s="42">
        <f t="shared" ref="N35" si="55">IF(K35&lt;1.96,0,ROUND((M35)/L35,0))</f>
        <v>207</v>
      </c>
      <c r="O35" s="42"/>
      <c r="P35" s="42">
        <f>SQRT(N35)</f>
        <v>14.387494569938159</v>
      </c>
      <c r="Q35" s="42" t="e">
        <f>(P35-MIN($P$2:$P$58))/(MAX($P$2:$P$58)-MIN($P$2:$P$58))*100</f>
        <v>#REF!</v>
      </c>
      <c r="R35" s="42" cm="1">
        <f t="array" ref="R35">_xlfn.IFS(N35&gt;$AH$2,100,N35&lt;1,1,N35&lt;$AH$2,ROUND((N35/$AH$2)*100,))</f>
        <v>100</v>
      </c>
      <c r="S35" s="42">
        <v>0.5</v>
      </c>
      <c r="T35" s="42"/>
      <c r="U35" s="42">
        <f>(((ABS(H35-J35)/2)+(ABS(I35-J35)/2)))*100/SQRT(J35)</f>
        <v>20.265018325724142</v>
      </c>
      <c r="V35" s="42" t="e">
        <f>(U35-MIN($U$2:$U$58))/(MAX($U$2:$U$58)-MIN($U$2:$U$58))*100</f>
        <v>#REF!</v>
      </c>
      <c r="W35" s="42">
        <f t="shared" si="7"/>
        <v>0.83706646815461638</v>
      </c>
      <c r="X35" s="42">
        <f>IF($M35 &gt;0,(M35)/AVERAGE(H35:I35),0)</f>
        <v>1.4013605442176869</v>
      </c>
      <c r="Y35" s="42" t="e">
        <f t="shared" si="44"/>
        <v>#REF!</v>
      </c>
      <c r="Z35" s="42" t="e">
        <f t="shared" si="8"/>
        <v>#REF!</v>
      </c>
      <c r="AA35" s="42"/>
      <c r="AB35" s="14" t="s">
        <v>244</v>
      </c>
    </row>
    <row r="36" spans="1:28" x14ac:dyDescent="0.35">
      <c r="A36" s="14" t="s">
        <v>176</v>
      </c>
      <c r="B36" s="31" t="s">
        <v>32</v>
      </c>
      <c r="C36" s="14" t="s">
        <v>161</v>
      </c>
      <c r="D36" s="14" t="s">
        <v>88</v>
      </c>
      <c r="E36" s="29" t="s">
        <v>181</v>
      </c>
      <c r="F36" s="14" t="s">
        <v>59</v>
      </c>
      <c r="G36" s="14"/>
      <c r="H36" s="14"/>
      <c r="I36" s="14"/>
      <c r="J36" s="14"/>
      <c r="K36" s="14"/>
      <c r="L36" s="14"/>
      <c r="M36" s="14"/>
      <c r="N36" s="14"/>
      <c r="O36" s="14"/>
      <c r="P36" s="42"/>
      <c r="Q36" s="42"/>
      <c r="R36" s="42" cm="1">
        <f t="array" ref="R36">_xlfn.IFS(N36&gt;$AH$2,100,N36&lt;1,1,N36&lt;$AH$2,ROUND((N36/$AH$2)*100,))</f>
        <v>1</v>
      </c>
      <c r="S36" s="42"/>
      <c r="T36" s="42"/>
      <c r="U36" s="42"/>
      <c r="V36" s="42"/>
      <c r="W36" s="42"/>
      <c r="X36" s="42"/>
      <c r="Y36" s="42" t="e">
        <f t="shared" si="44"/>
        <v>#REF!</v>
      </c>
      <c r="Z36" s="42"/>
      <c r="AA36" s="42"/>
      <c r="AB36" s="14" t="s">
        <v>283</v>
      </c>
    </row>
    <row r="37" spans="1:28" x14ac:dyDescent="0.35">
      <c r="A37" s="14" t="s">
        <v>176</v>
      </c>
      <c r="B37" s="31" t="s">
        <v>32</v>
      </c>
      <c r="C37" s="14" t="s">
        <v>161</v>
      </c>
      <c r="D37" s="14" t="s">
        <v>88</v>
      </c>
      <c r="E37" s="30" t="s">
        <v>96</v>
      </c>
      <c r="F37" s="14" t="s">
        <v>59</v>
      </c>
      <c r="G37" s="14"/>
      <c r="H37" s="14"/>
      <c r="I37" s="14"/>
      <c r="J37" s="14"/>
      <c r="K37" s="14"/>
      <c r="L37" s="14"/>
      <c r="M37" s="14"/>
      <c r="N37" s="14"/>
      <c r="O37" s="14"/>
      <c r="P37" s="42"/>
      <c r="Q37" s="42"/>
      <c r="R37" s="42" cm="1">
        <f t="array" ref="R37">_xlfn.IFS(N37&gt;$AH$2,100,N37&lt;1,1,N37&lt;$AH$2,ROUND((N37/$AH$2)*100,))</f>
        <v>1</v>
      </c>
      <c r="S37" s="42"/>
      <c r="T37" s="42"/>
      <c r="U37" s="42"/>
      <c r="V37" s="42"/>
      <c r="W37" s="42"/>
      <c r="X37" s="42"/>
      <c r="Y37" s="42" t="e">
        <f t="shared" si="44"/>
        <v>#REF!</v>
      </c>
      <c r="Z37" s="42" t="e">
        <f t="shared" si="8"/>
        <v>#REF!</v>
      </c>
      <c r="AA37" s="42"/>
      <c r="AB37" s="14" t="s">
        <v>283</v>
      </c>
    </row>
    <row r="38" spans="1:28" x14ac:dyDescent="0.35">
      <c r="A38" s="14" t="s">
        <v>176</v>
      </c>
      <c r="B38" s="31" t="s">
        <v>32</v>
      </c>
      <c r="C38" s="14" t="s">
        <v>161</v>
      </c>
      <c r="D38" s="14" t="s">
        <v>89</v>
      </c>
      <c r="E38" s="26" t="s">
        <v>182</v>
      </c>
      <c r="F38" s="14">
        <f>F35</f>
        <v>1682000</v>
      </c>
      <c r="G38" s="14">
        <f>F33</f>
        <v>3585</v>
      </c>
      <c r="H38" s="14">
        <f>H35</f>
        <v>2.64E-2</v>
      </c>
      <c r="I38" s="14">
        <f>H33</f>
        <v>2.7E-2</v>
      </c>
      <c r="J38" s="14">
        <f>ROUND((H38*F38 +I38*G38)/SUM(F38:G38),3)</f>
        <v>2.5999999999999999E-2</v>
      </c>
      <c r="K38" s="14">
        <f t="shared" ref="K38" si="56">ROUND((I38-H38)/(SQRT(J38*(1-J38)*((1/F38)+(1/G38)))),1)</f>
        <v>0.2</v>
      </c>
      <c r="L38" s="14">
        <f>$AF$2*(SQRT(J38*(1-J38)*((1/G38)+(1/F38))))</f>
        <v>5.2148278588690861E-3</v>
      </c>
      <c r="M38" s="42">
        <f t="shared" ref="M38" si="57">I38-H38</f>
        <v>5.9999999999999984E-4</v>
      </c>
      <c r="N38" s="42">
        <f t="shared" ref="N38" si="58">IF(K38&lt;1.96,0,ROUND((M38)/L38,0))</f>
        <v>0</v>
      </c>
      <c r="O38" s="42"/>
      <c r="P38" s="42">
        <f t="shared" ref="P38:P49" si="59">SQRT(N38)</f>
        <v>0</v>
      </c>
      <c r="Q38" s="42" t="e">
        <f t="shared" ref="Q38:Q49" si="60">(P38-MIN($P$2:$P$58))/(MAX($P$2:$P$58)-MIN($P$2:$P$58))*100</f>
        <v>#REF!</v>
      </c>
      <c r="R38" s="42" cm="1">
        <f t="array" ref="R38">_xlfn.IFS(N38&gt;$AH$2,100,N38&lt;1,1,N38&lt;$AH$2,ROUND((N38/$AH$2)*100,))</f>
        <v>1</v>
      </c>
      <c r="S38" s="42">
        <v>1</v>
      </c>
      <c r="T38" s="42"/>
      <c r="U38" s="42">
        <f>(((ABS(H38-J38)/2)+(ABS(I38-J38)/2)))*100/SQRT(J38)</f>
        <v>0.43412157106223015</v>
      </c>
      <c r="V38" s="42" t="e">
        <f>(U38-MIN($U$2:$U$58))/(MAX($U$2:$U$58)-MIN($U$2:$U$58))*100</f>
        <v>#REF!</v>
      </c>
      <c r="W38" s="42">
        <f t="shared" si="7"/>
        <v>0.10599978800063597</v>
      </c>
      <c r="X38" s="42">
        <f>IF($M38 &gt;0,(M38)/AVERAGE(H38:I38),0)</f>
        <v>2.2471910112359543E-2</v>
      </c>
      <c r="Y38" s="42" t="e">
        <f t="shared" si="44"/>
        <v>#REF!</v>
      </c>
      <c r="Z38" s="42" t="e">
        <f t="shared" si="8"/>
        <v>#REF!</v>
      </c>
      <c r="AA38" s="42"/>
      <c r="AB38" s="14" t="s">
        <v>244</v>
      </c>
    </row>
    <row r="39" spans="1:28" x14ac:dyDescent="0.35">
      <c r="A39" s="14" t="s">
        <v>176</v>
      </c>
      <c r="B39" s="14" t="s">
        <v>90</v>
      </c>
      <c r="C39" s="14" t="s">
        <v>161</v>
      </c>
      <c r="D39" s="14" t="s">
        <v>94</v>
      </c>
      <c r="E39" s="27" t="s">
        <v>183</v>
      </c>
      <c r="F39" s="14">
        <f>G77</f>
        <v>502080</v>
      </c>
      <c r="G39" s="14">
        <f>SUM('Demographics Data'!E20:F20)</f>
        <v>802694</v>
      </c>
      <c r="H39" s="14" t="e">
        <f>I77</f>
        <v>#REF!</v>
      </c>
      <c r="I39" s="14">
        <f>ROUND(SUM('Raw Data'!E25:F25)/'Significance Tests'!G39,3)</f>
        <v>0.64</v>
      </c>
      <c r="J39" s="14" t="e">
        <f t="shared" ref="J39" si="61">ROUND((H39*F39 +I39*G39)/SUM(F39:G39),3)</f>
        <v>#REF!</v>
      </c>
      <c r="K39" s="14" t="e">
        <f t="shared" ref="K39" si="62">ROUND((I39-H39)/(SQRT(J39*(1-J39)*((1/F39)+(1/G39)))),1)</f>
        <v>#REF!</v>
      </c>
      <c r="L39" s="14" t="e">
        <f>$AF$2*(SQRT(J39*(1-J39)*((1/G39)+(1/F39))))</f>
        <v>#REF!</v>
      </c>
      <c r="M39" s="42" t="e">
        <f t="shared" ref="M39" si="63">I39-H39</f>
        <v>#REF!</v>
      </c>
      <c r="N39" s="42" t="e">
        <f t="shared" ref="N39" si="64">IF(K39&lt;1.96,0,ROUND((M39)/L39,0))</f>
        <v>#REF!</v>
      </c>
      <c r="O39" s="42"/>
      <c r="P39" s="42" t="e">
        <f t="shared" si="59"/>
        <v>#REF!</v>
      </c>
      <c r="Q39" s="42" t="e">
        <f t="shared" si="60"/>
        <v>#REF!</v>
      </c>
      <c r="R39" s="42" t="e" cm="1">
        <f t="array" ref="R39">_xlfn.IFS(N39&gt;$AH$2,100,N39&lt;1,1,N39&lt;$AH$2,ROUND((N39/$AH$2)*100,))</f>
        <v>#REF!</v>
      </c>
      <c r="S39" s="42">
        <v>1</v>
      </c>
      <c r="T39" s="42"/>
      <c r="U39" s="42" t="e">
        <f>(((ABS(H39-J39)/2)+(ABS(I39-J39)/2)))*100/SQRT(J39)</f>
        <v>#REF!</v>
      </c>
      <c r="V39" s="42" t="e">
        <f>(U39-MIN($U$2:$U$58))/(MAX($U$2:$U$58)-MIN($U$2:$U$58))*100</f>
        <v>#REF!</v>
      </c>
      <c r="W39" s="42" t="e">
        <f t="shared" si="7"/>
        <v>#REF!</v>
      </c>
      <c r="X39" s="42" t="e">
        <f>IF($M39 &gt;0,(M39)/AVERAGE(H39:I39),0)</f>
        <v>#REF!</v>
      </c>
      <c r="Y39" s="42" t="e">
        <f t="shared" si="44"/>
        <v>#REF!</v>
      </c>
      <c r="Z39" s="42" t="e">
        <f t="shared" si="8"/>
        <v>#REF!</v>
      </c>
      <c r="AA39" s="42"/>
      <c r="AB39" s="14" t="s">
        <v>285</v>
      </c>
    </row>
    <row r="40" spans="1:28" x14ac:dyDescent="0.35">
      <c r="A40" s="14" t="s">
        <v>176</v>
      </c>
      <c r="B40" s="14" t="s">
        <v>90</v>
      </c>
      <c r="C40" s="14" t="s">
        <v>161</v>
      </c>
      <c r="D40" s="14" t="s">
        <v>95</v>
      </c>
      <c r="E40" s="27" t="s">
        <v>184</v>
      </c>
      <c r="F40" s="14">
        <f>F39</f>
        <v>502080</v>
      </c>
      <c r="G40" s="14">
        <f>G39</f>
        <v>802694</v>
      </c>
      <c r="H40" s="14">
        <f>ROUND(SUM('Raw Data'!C26:D26)/'Significance Tests'!F40,3)</f>
        <v>6.6000000000000003E-2</v>
      </c>
      <c r="I40" s="14">
        <f>ROUND(SUM('Raw Data'!E26:F26)/'Significance Tests'!G40,3)</f>
        <v>0.22500000000000001</v>
      </c>
      <c r="J40" s="14">
        <f t="shared" ref="J40:J42" si="65">ROUND((H40*F40 +I40*G40)/SUM(F40:G40),3)</f>
        <v>0.16400000000000001</v>
      </c>
      <c r="K40" s="14">
        <f t="shared" ref="K40" si="66">ROUND((I40-H40)/(SQRT(J40*(1-J40)*((1/F40)+(1/G40)))),1)</f>
        <v>238.7</v>
      </c>
      <c r="L40" s="14">
        <f>$AF$2*(SQRT(J40*(1-J40)*((1/G40)+(1/F40))))</f>
        <v>1.3058320144768724E-3</v>
      </c>
      <c r="M40" s="42">
        <f t="shared" ref="M40" si="67">I40-H40</f>
        <v>0.159</v>
      </c>
      <c r="N40" s="42">
        <f t="shared" ref="N40" si="68">IF(K40&lt;1.96,0,ROUND((M40)/L40,0))</f>
        <v>122</v>
      </c>
      <c r="O40" s="42"/>
      <c r="P40" s="42">
        <f t="shared" si="59"/>
        <v>11.045361017187261</v>
      </c>
      <c r="Q40" s="42" t="e">
        <f t="shared" si="60"/>
        <v>#REF!</v>
      </c>
      <c r="R40" s="42" cm="1">
        <f t="array" ref="R40">_xlfn.IFS(N40&gt;$AH$2,100,N40&lt;1,1,N40&lt;$AH$2,ROUND((N40/$AH$2)*100,))</f>
        <v>81</v>
      </c>
      <c r="S40" s="42">
        <v>0.5</v>
      </c>
      <c r="T40" s="42"/>
      <c r="U40" s="42">
        <f>(((ABS(H40-J40)/2)+(ABS(I40-J40)/2)))*100/SQRT(J40)</f>
        <v>19.631125733410592</v>
      </c>
      <c r="V40" s="42" t="e">
        <f>(U40-MIN($U$2:$U$58))/(MAX($U$2:$U$58)-MIN($U$2:$U$58))*100</f>
        <v>#REF!</v>
      </c>
      <c r="W40" s="42">
        <f t="shared" si="7"/>
        <v>0.73918316578323096</v>
      </c>
      <c r="X40" s="42">
        <f>IF($M40 &gt;0,(M40)/AVERAGE(H40:I40),0)</f>
        <v>1.0927835051546391</v>
      </c>
      <c r="Y40" s="42" t="e">
        <f t="shared" si="44"/>
        <v>#REF!</v>
      </c>
      <c r="Z40" s="42" t="e">
        <f t="shared" si="8"/>
        <v>#REF!</v>
      </c>
      <c r="AA40" s="42"/>
      <c r="AB40" s="14" t="s">
        <v>285</v>
      </c>
    </row>
    <row r="41" spans="1:28" x14ac:dyDescent="0.35">
      <c r="A41" s="14" t="s">
        <v>176</v>
      </c>
      <c r="B41" s="14" t="s">
        <v>90</v>
      </c>
      <c r="C41" s="14" t="s">
        <v>161</v>
      </c>
      <c r="D41" s="14" t="s">
        <v>95</v>
      </c>
      <c r="E41" s="27" t="s">
        <v>185</v>
      </c>
      <c r="F41" s="14">
        <f>SUM('Raw Data'!C27:D27)</f>
        <v>38371</v>
      </c>
      <c r="G41" s="14">
        <f>SUM('Raw Data'!E27:F27)</f>
        <v>123108</v>
      </c>
      <c r="H41" s="14">
        <f>ROUND(SUM('Raw Data'!C28:D28)/'Significance Tests'!F41,3)</f>
        <v>0.56200000000000006</v>
      </c>
      <c r="I41" s="14">
        <f>ROUND(SUM('Raw Data'!E28:F28)/'Significance Tests'!G41,3)</f>
        <v>0.751</v>
      </c>
      <c r="J41" s="14">
        <f t="shared" si="65"/>
        <v>0.70599999999999996</v>
      </c>
      <c r="K41" s="14">
        <f t="shared" ref="K41" si="69">ROUND((I41-H41)/(SQRT(J41*(1-J41)*((1/F41)+(1/G41)))),1)</f>
        <v>71</v>
      </c>
      <c r="L41" s="14">
        <f>$AF$2*(SQRT(J41*(1-J41)*((1/G41)+(1/F41))))</f>
        <v>5.2209004936104924E-3</v>
      </c>
      <c r="M41" s="42">
        <f t="shared" ref="M41" si="70">I41-H41</f>
        <v>0.18899999999999995</v>
      </c>
      <c r="N41" s="42">
        <f t="shared" ref="N41" si="71">IF(K41&lt;1.96,0,ROUND((M41)/L41,0))</f>
        <v>36</v>
      </c>
      <c r="O41" s="42"/>
      <c r="P41" s="42">
        <f t="shared" si="59"/>
        <v>6</v>
      </c>
      <c r="Q41" s="42" t="e">
        <f t="shared" si="60"/>
        <v>#REF!</v>
      </c>
      <c r="R41" s="42" cm="1">
        <f t="array" ref="R41">_xlfn.IFS(N41&gt;$AH$2,100,N41&lt;1,1,N41&lt;$AH$2,ROUND((N41/$AH$2)*100,))</f>
        <v>24</v>
      </c>
      <c r="S41" s="42">
        <v>0.5</v>
      </c>
      <c r="T41" s="42"/>
      <c r="U41" s="42">
        <f>(((ABS(H41-J41)/2)+(ABS(I41-J41)/2)))*100/SQRT(J41)</f>
        <v>11.24681257962153</v>
      </c>
      <c r="V41" s="42" t="e">
        <f>(U41-MIN($U$2:$U$58))/(MAX($U$2:$U$58)-MIN($U$2:$U$58))*100</f>
        <v>#REF!</v>
      </c>
      <c r="W41" s="42">
        <f t="shared" si="7"/>
        <v>0.37940105923302836</v>
      </c>
      <c r="X41" s="42">
        <f>IF($M41 &gt;0,(M41)/AVERAGE(H41:I41),0)</f>
        <v>0.28789032749428778</v>
      </c>
      <c r="Y41" s="42" t="e">
        <f t="shared" si="44"/>
        <v>#REF!</v>
      </c>
      <c r="Z41" s="42" t="e">
        <f t="shared" si="8"/>
        <v>#REF!</v>
      </c>
      <c r="AA41" s="42"/>
      <c r="AB41" s="14" t="s">
        <v>286</v>
      </c>
    </row>
    <row r="42" spans="1:28" x14ac:dyDescent="0.35">
      <c r="A42" s="14" t="s">
        <v>176</v>
      </c>
      <c r="B42" s="14" t="s">
        <v>90</v>
      </c>
      <c r="C42" s="14" t="s">
        <v>161</v>
      </c>
      <c r="D42" s="14" t="s">
        <v>88</v>
      </c>
      <c r="E42" s="27" t="s">
        <v>186</v>
      </c>
      <c r="F42" s="14">
        <f>SUM('Demographics Data'!C28:D28)</f>
        <v>6464000</v>
      </c>
      <c r="G42" s="14">
        <f>SUM('Demographics Data'!E28:F28)</f>
        <v>8070000</v>
      </c>
      <c r="H42" s="14">
        <f>ROUND(F41/F42,3)</f>
        <v>6.0000000000000001E-3</v>
      </c>
      <c r="I42" s="14">
        <f>ROUND(G41/G42,3)</f>
        <v>1.4999999999999999E-2</v>
      </c>
      <c r="J42" s="14">
        <f t="shared" si="65"/>
        <v>1.0999999999999999E-2</v>
      </c>
      <c r="K42" s="14">
        <f t="shared" ref="K42" si="72">ROUND((I42-H42)/(SQRT(J42*(1-J42)*((1/F42)+(1/G42)))),1)</f>
        <v>163.5</v>
      </c>
      <c r="L42" s="14">
        <f>$AF$2*(SQRT(J42*(1-J42)*((1/G42)+(1/F42))))</f>
        <v>1.0790851014269265E-4</v>
      </c>
      <c r="M42" s="42">
        <f t="shared" ref="M42" si="73">I42-H42</f>
        <v>8.9999999999999993E-3</v>
      </c>
      <c r="N42" s="42">
        <f t="shared" ref="N42" si="74">IF(K42&lt;1.96,0,ROUND((M42)/L42,0))</f>
        <v>83</v>
      </c>
      <c r="O42" s="42"/>
      <c r="P42" s="42">
        <f t="shared" si="59"/>
        <v>9.1104335791442992</v>
      </c>
      <c r="Q42" s="42" t="e">
        <f t="shared" si="60"/>
        <v>#REF!</v>
      </c>
      <c r="R42" s="42" cm="1">
        <f t="array" ref="R42">_xlfn.IFS(N42&gt;$AH$2,100,N42&lt;1,1,N42&lt;$AH$2,ROUND((N42/$AH$2)*100,))</f>
        <v>55</v>
      </c>
      <c r="S42" s="42">
        <v>1</v>
      </c>
      <c r="T42" s="42"/>
      <c r="U42" s="42">
        <f>(((ABS(H42-J42)/2)+(ABS(I42-J42)/2)))*100/SQRT(J42)</f>
        <v>4.2905816516051649</v>
      </c>
      <c r="V42" s="42" t="e">
        <f>(U42-MIN($U$2:$U$58))/(MAX($U$2:$U$58)-MIN($U$2:$U$58))*100</f>
        <v>#REF!</v>
      </c>
      <c r="W42" s="42">
        <f t="shared" si="7"/>
        <v>0.6546536707079772</v>
      </c>
      <c r="X42" s="42">
        <f>IF($M42 &gt;0,(M42)/AVERAGE(H42:I42),0)</f>
        <v>0.85714285714285721</v>
      </c>
      <c r="Y42" s="42" t="e">
        <f t="shared" si="44"/>
        <v>#REF!</v>
      </c>
      <c r="Z42" s="42" t="e">
        <f t="shared" si="8"/>
        <v>#REF!</v>
      </c>
      <c r="AA42" s="42"/>
      <c r="AB42" s="14" t="s">
        <v>287</v>
      </c>
    </row>
    <row r="43" spans="1:28" x14ac:dyDescent="0.35">
      <c r="A43" s="14" t="s">
        <v>176</v>
      </c>
      <c r="B43" s="14" t="s">
        <v>90</v>
      </c>
      <c r="C43" s="14" t="s">
        <v>161</v>
      </c>
      <c r="D43" s="14" t="s">
        <v>88</v>
      </c>
      <c r="E43" s="29" t="s">
        <v>187</v>
      </c>
      <c r="F43" s="14" t="s">
        <v>59</v>
      </c>
      <c r="G43" s="14"/>
      <c r="H43" s="14"/>
      <c r="I43" s="14"/>
      <c r="J43" s="14"/>
      <c r="K43" s="14"/>
      <c r="L43" s="14"/>
      <c r="M43" s="14"/>
      <c r="N43" s="14"/>
      <c r="O43" s="14"/>
      <c r="P43" s="42">
        <f t="shared" si="59"/>
        <v>0</v>
      </c>
      <c r="Q43" s="42" t="e">
        <f t="shared" si="60"/>
        <v>#REF!</v>
      </c>
      <c r="R43" s="42" cm="1">
        <f t="array" ref="R43">_xlfn.IFS(N43&gt;$AH$2,100,N43&lt;1,1,N43&lt;$AH$2,ROUND((N43/$AH$2)*100,))</f>
        <v>1</v>
      </c>
      <c r="S43" s="14">
        <v>0.5</v>
      </c>
      <c r="T43" s="14"/>
      <c r="U43" s="42"/>
      <c r="V43" s="42"/>
      <c r="W43" s="42"/>
      <c r="X43" s="42"/>
      <c r="Y43" s="42" t="e">
        <f t="shared" si="44"/>
        <v>#REF!</v>
      </c>
      <c r="Z43" s="42" t="e">
        <f t="shared" si="8"/>
        <v>#REF!</v>
      </c>
      <c r="AA43" s="14"/>
      <c r="AB43" s="14" t="s">
        <v>288</v>
      </c>
    </row>
    <row r="44" spans="1:28" x14ac:dyDescent="0.35">
      <c r="A44" s="14" t="s">
        <v>176</v>
      </c>
      <c r="B44" s="14" t="s">
        <v>90</v>
      </c>
      <c r="C44" s="14" t="s">
        <v>161</v>
      </c>
      <c r="D44" s="14" t="s">
        <v>89</v>
      </c>
      <c r="E44" s="26" t="s">
        <v>167</v>
      </c>
      <c r="F44" s="33">
        <f>F38</f>
        <v>1682000</v>
      </c>
      <c r="G44" s="33">
        <f>F39</f>
        <v>502080</v>
      </c>
      <c r="H44" s="33">
        <f>H34</f>
        <v>0.16900000000000001</v>
      </c>
      <c r="I44" s="33">
        <v>0.28199999999999997</v>
      </c>
      <c r="J44" s="14">
        <f t="shared" ref="J44" si="75">ROUND((H44*F44 +I44*G44)/SUM(F44:G44),3)</f>
        <v>0.19500000000000001</v>
      </c>
      <c r="K44" s="14">
        <f t="shared" ref="K44" si="76">ROUND((I44-H44)/(SQRT(J44*(1-J44)*((1/F44)+(1/G44)))),1)</f>
        <v>177.3</v>
      </c>
      <c r="L44" s="14">
        <f t="shared" ref="L44:L49" si="77">$AF$2*(SQRT(J44*(1-J44)*((1/G44)+(1/F44))))</f>
        <v>1.2488380759928476E-3</v>
      </c>
      <c r="M44" s="42">
        <f t="shared" ref="M44" si="78">I44-H44</f>
        <v>0.11299999999999996</v>
      </c>
      <c r="N44" s="42">
        <f t="shared" ref="N44" si="79">IF(K44&lt;1.96,0,ROUND((M44)/L44,0))</f>
        <v>90</v>
      </c>
      <c r="O44" s="42"/>
      <c r="P44" s="42">
        <f t="shared" si="59"/>
        <v>9.4868329805051381</v>
      </c>
      <c r="Q44" s="42" t="e">
        <f t="shared" si="60"/>
        <v>#REF!</v>
      </c>
      <c r="R44" s="42" cm="1">
        <f t="array" ref="R44">_xlfn.IFS(N44&gt;$AH$2,100,N44&lt;1,1,N44&lt;$AH$2,ROUND((N44/$AH$2)*100,))</f>
        <v>60</v>
      </c>
      <c r="S44" s="42">
        <v>1</v>
      </c>
      <c r="T44" s="42"/>
      <c r="U44" s="42">
        <f t="shared" ref="U44:U49" si="80">(((ABS(H44-J44)/2)+(ABS(I44-J44)/2)))*100/SQRT(J44)</f>
        <v>12.794730485833927</v>
      </c>
      <c r="V44" s="42" t="e">
        <f t="shared" ref="V44:V56" si="81">(U44-MIN($U$2:$U$58))/(MAX($U$2:$U$58)-MIN($U$2:$U$58))*100</f>
        <v>#REF!</v>
      </c>
      <c r="W44" s="42">
        <f t="shared" si="7"/>
        <v>0.50055401679045131</v>
      </c>
      <c r="X44" s="42">
        <f t="shared" ref="X44:X49" si="82">IF($M44 &gt;0,(M44)/AVERAGE(H44:I44),0)</f>
        <v>0.50110864745011074</v>
      </c>
      <c r="Y44" s="42" t="e">
        <f t="shared" si="44"/>
        <v>#REF!</v>
      </c>
      <c r="Z44" s="42" t="e">
        <f t="shared" si="8"/>
        <v>#REF!</v>
      </c>
      <c r="AA44" s="42"/>
      <c r="AB44" s="14" t="s">
        <v>245</v>
      </c>
    </row>
    <row r="45" spans="1:28" x14ac:dyDescent="0.35">
      <c r="A45" s="14" t="s">
        <v>176</v>
      </c>
      <c r="B45" s="14" t="s">
        <v>91</v>
      </c>
      <c r="C45" s="14" t="s">
        <v>161</v>
      </c>
      <c r="D45" s="32" t="s">
        <v>94</v>
      </c>
      <c r="E45" s="26" t="s">
        <v>188</v>
      </c>
      <c r="F45" s="14">
        <f>SUM('Raw Data'!C40:D40)</f>
        <v>135000</v>
      </c>
      <c r="G45" s="14">
        <f>SUM('Raw Data'!E40:F40)</f>
        <v>565000</v>
      </c>
      <c r="H45" s="14">
        <f>ROUND(SUM('Raw Data'!C22:D22)/'Significance Tests'!F45,3)</f>
        <v>0.155</v>
      </c>
      <c r="I45" s="14">
        <f>ROUND(SUM('Raw Data'!E22:F22)/'Significance Tests'!G45,3)</f>
        <v>0.13</v>
      </c>
      <c r="J45" s="14">
        <f t="shared" ref="J45" si="83">ROUND((H45*F45 +I45*G45)/SUM(F45:G45),3)</f>
        <v>0.13500000000000001</v>
      </c>
      <c r="K45" s="14">
        <f t="shared" ref="K45" si="84">ROUND((I45-H45)/(SQRT(J45*(1-J45)*((1/F45)+(1/G45)))),1)</f>
        <v>-24.1</v>
      </c>
      <c r="L45" s="14">
        <f t="shared" si="77"/>
        <v>2.0290321159197131E-3</v>
      </c>
      <c r="M45" s="42">
        <f t="shared" ref="M45" si="85">I45-H45</f>
        <v>-2.4999999999999994E-2</v>
      </c>
      <c r="N45" s="42">
        <f t="shared" ref="N45" si="86">IF(K45&lt;1.96,0,ROUND((M45)/L45,0))</f>
        <v>0</v>
      </c>
      <c r="O45" s="42"/>
      <c r="P45" s="42">
        <f t="shared" si="59"/>
        <v>0</v>
      </c>
      <c r="Q45" s="42" t="e">
        <f t="shared" si="60"/>
        <v>#REF!</v>
      </c>
      <c r="R45" s="42" cm="1">
        <f t="array" ref="R45">_xlfn.IFS(N45&gt;$AH$2,100,N45&lt;1,1,N45&lt;$AH$2,ROUND((N45/$AH$2)*100,))</f>
        <v>1</v>
      </c>
      <c r="S45" s="42">
        <v>0.5</v>
      </c>
      <c r="T45" s="42"/>
      <c r="U45" s="42">
        <f t="shared" si="80"/>
        <v>3.4020690871988579</v>
      </c>
      <c r="V45" s="42" t="e">
        <f t="shared" si="81"/>
        <v>#REF!</v>
      </c>
      <c r="W45" s="42">
        <f t="shared" si="7"/>
        <v>0</v>
      </c>
      <c r="X45" s="42">
        <f t="shared" si="82"/>
        <v>0</v>
      </c>
      <c r="Y45" s="42" t="e">
        <f t="shared" si="44"/>
        <v>#REF!</v>
      </c>
      <c r="Z45" s="42" t="e">
        <f t="shared" si="8"/>
        <v>#REF!</v>
      </c>
      <c r="AA45" s="42"/>
      <c r="AB45" s="14" t="s">
        <v>289</v>
      </c>
    </row>
    <row r="46" spans="1:28" x14ac:dyDescent="0.35">
      <c r="A46" s="14" t="s">
        <v>176</v>
      </c>
      <c r="B46" s="14" t="s">
        <v>91</v>
      </c>
      <c r="C46" s="14" t="s">
        <v>161</v>
      </c>
      <c r="D46" s="32" t="s">
        <v>94</v>
      </c>
      <c r="E46" s="26" t="s">
        <v>189</v>
      </c>
      <c r="F46" s="14">
        <f>'Raw Data'!C35+'Raw Data'!D35</f>
        <v>500059</v>
      </c>
      <c r="G46" s="14">
        <f>SUM('Raw Data'!E35:F35)</f>
        <v>1341021</v>
      </c>
      <c r="H46" s="14">
        <f>ROUND(SUM('Raw Data'!C22:D22)/'Significance Tests'!F46,3)</f>
        <v>4.2000000000000003E-2</v>
      </c>
      <c r="I46" s="14">
        <f>ROUND(SUM('Raw Data'!E22:F22)/'Significance Tests'!G46,3)</f>
        <v>5.5E-2</v>
      </c>
      <c r="J46" s="14">
        <f t="shared" ref="J46" si="87">ROUND((H46*F46 +I46*G46)/SUM(F46:G46),3)</f>
        <v>5.0999999999999997E-2</v>
      </c>
      <c r="K46" s="14">
        <f t="shared" ref="K46" si="88">ROUND((I46-H46)/(SQRT(J46*(1-J46)*((1/F46)+(1/G46)))),1)</f>
        <v>35.700000000000003</v>
      </c>
      <c r="L46" s="14">
        <f t="shared" si="77"/>
        <v>7.1446701316085564E-4</v>
      </c>
      <c r="M46" s="42">
        <f t="shared" ref="M46" si="89">I46-H46</f>
        <v>1.2999999999999998E-2</v>
      </c>
      <c r="N46" s="42">
        <f t="shared" ref="N46" si="90">IF(K46&lt;1.96,0,ROUND((M46)/L46,0))</f>
        <v>18</v>
      </c>
      <c r="O46" s="42"/>
      <c r="P46" s="42">
        <f t="shared" si="59"/>
        <v>4.2426406871192848</v>
      </c>
      <c r="Q46" s="42" t="e">
        <f t="shared" si="60"/>
        <v>#REF!</v>
      </c>
      <c r="R46" s="42" cm="1">
        <f t="array" ref="R46">_xlfn.IFS(N46&gt;$AH$2,100,N46&lt;1,1,N46&lt;$AH$2,ROUND((N46/$AH$2)*100,))</f>
        <v>12</v>
      </c>
      <c r="S46" s="42">
        <v>0.5</v>
      </c>
      <c r="T46" s="42"/>
      <c r="U46" s="42">
        <f t="shared" si="80"/>
        <v>2.8782483780053094</v>
      </c>
      <c r="V46" s="42" t="e">
        <f t="shared" si="81"/>
        <v>#REF!</v>
      </c>
      <c r="W46" s="42">
        <f t="shared" si="7"/>
        <v>0.36608826607349898</v>
      </c>
      <c r="X46" s="42">
        <f t="shared" si="82"/>
        <v>0.268041237113402</v>
      </c>
      <c r="Y46" s="42" t="e">
        <f t="shared" si="44"/>
        <v>#REF!</v>
      </c>
      <c r="Z46" s="42" t="e">
        <f t="shared" si="8"/>
        <v>#REF!</v>
      </c>
      <c r="AA46" s="42"/>
      <c r="AB46" s="14" t="s">
        <v>290</v>
      </c>
    </row>
    <row r="47" spans="1:28" x14ac:dyDescent="0.35">
      <c r="A47" s="14" t="s">
        <v>176</v>
      </c>
      <c r="B47" s="14" t="s">
        <v>91</v>
      </c>
      <c r="C47" s="14" t="s">
        <v>161</v>
      </c>
      <c r="D47" s="32" t="s">
        <v>95</v>
      </c>
      <c r="E47" s="26" t="s">
        <v>190</v>
      </c>
      <c r="F47" s="14">
        <f>'Raw Data'!C39+'Raw Data'!D39</f>
        <v>792</v>
      </c>
      <c r="G47" s="14">
        <f>'Raw Data'!F39+'Raw Data'!E39</f>
        <v>2695</v>
      </c>
      <c r="H47" s="14">
        <f>ROUND(SUM('Raw Data'!C37:D37)/'Significance Tests'!F47,3)</f>
        <v>0.21299999999999999</v>
      </c>
      <c r="I47" s="14">
        <f>ROUND(SUM('Raw Data'!E37:F37)/'Significance Tests'!G47,3)</f>
        <v>0.32</v>
      </c>
      <c r="J47" s="14">
        <f t="shared" ref="J47" si="91">ROUND((H47*F47 +I47*G47)/SUM(F47:G47),3)</f>
        <v>0.29599999999999999</v>
      </c>
      <c r="K47" s="14">
        <f t="shared" ref="K47" si="92">ROUND((I47-H47)/(SQRT(J47*(1-J47)*((1/F47)+(1/G47)))),1)</f>
        <v>5.8</v>
      </c>
      <c r="L47" s="14">
        <f t="shared" si="77"/>
        <v>3.6163649766643366E-2</v>
      </c>
      <c r="M47" s="42">
        <f t="shared" ref="M47" si="93">I47-H47</f>
        <v>0.10700000000000001</v>
      </c>
      <c r="N47" s="42">
        <f t="shared" ref="N47" si="94">IF(K47&lt;1.96,0,ROUND((M47)/L47,0))</f>
        <v>3</v>
      </c>
      <c r="O47" s="42"/>
      <c r="P47" s="42">
        <f t="shared" si="59"/>
        <v>1.7320508075688772</v>
      </c>
      <c r="Q47" s="42" t="e">
        <f t="shared" si="60"/>
        <v>#REF!</v>
      </c>
      <c r="R47" s="42" cm="1">
        <f t="array" ref="R47">_xlfn.IFS(N47&gt;$AH$2,100,N47&lt;1,1,N47&lt;$AH$2,ROUND((N47/$AH$2)*100,))</f>
        <v>2</v>
      </c>
      <c r="S47" s="42">
        <v>0.5</v>
      </c>
      <c r="T47" s="42"/>
      <c r="U47" s="42">
        <f t="shared" si="80"/>
        <v>9.8334955705046792</v>
      </c>
      <c r="V47" s="42" t="e">
        <f t="shared" si="81"/>
        <v>#REF!</v>
      </c>
      <c r="W47" s="42">
        <f t="shared" si="7"/>
        <v>0.44805185976977258</v>
      </c>
      <c r="X47" s="42">
        <f t="shared" si="82"/>
        <v>0.40150093808630394</v>
      </c>
      <c r="Y47" s="42" t="e">
        <f t="shared" si="44"/>
        <v>#REF!</v>
      </c>
      <c r="Z47" s="42" t="e">
        <f t="shared" si="8"/>
        <v>#REF!</v>
      </c>
      <c r="AA47" s="42"/>
      <c r="AB47" s="14" t="s">
        <v>286</v>
      </c>
    </row>
    <row r="48" spans="1:28" x14ac:dyDescent="0.35">
      <c r="A48" s="14" t="s">
        <v>176</v>
      </c>
      <c r="B48" s="14" t="s">
        <v>91</v>
      </c>
      <c r="C48" s="14" t="s">
        <v>161</v>
      </c>
      <c r="D48" s="32" t="s">
        <v>95</v>
      </c>
      <c r="E48" s="26" t="s">
        <v>191</v>
      </c>
      <c r="F48" s="14">
        <f>'Raw Data'!C36+'Raw Data'!D36</f>
        <v>481</v>
      </c>
      <c r="G48" s="14">
        <f>'Raw Data'!F36+'Raw Data'!E36</f>
        <v>2074</v>
      </c>
      <c r="H48" s="14">
        <f>ROUND(SUM('Raw Data'!C37:D37)/'Significance Tests'!F48,3)</f>
        <v>0.35099999999999998</v>
      </c>
      <c r="I48" s="14">
        <f>ROUND(SUM('Raw Data'!E37:F37)/'Significance Tests'!G48,3)</f>
        <v>0.41599999999999998</v>
      </c>
      <c r="J48" s="14">
        <f t="shared" ref="J48" si="95">ROUND((H48*F48 +I48*G48)/SUM(F48:G48),3)</f>
        <v>0.40400000000000003</v>
      </c>
      <c r="K48" s="14">
        <f t="shared" ref="K48" si="96">ROUND((I48-H48)/(SQRT(J48*(1-J48)*((1/F48)+(1/G48)))),1)</f>
        <v>2.6</v>
      </c>
      <c r="L48" s="14">
        <f t="shared" si="77"/>
        <v>4.867303436643635E-2</v>
      </c>
      <c r="M48" s="42">
        <f t="shared" ref="M48" si="97">I48-H48</f>
        <v>6.5000000000000002E-2</v>
      </c>
      <c r="N48" s="42">
        <f t="shared" ref="N48" si="98">IF(K48&lt;1.96,0,ROUND((M48)/L48,0))</f>
        <v>1</v>
      </c>
      <c r="O48" s="42"/>
      <c r="P48" s="42">
        <f t="shared" si="59"/>
        <v>1</v>
      </c>
      <c r="Q48" s="42" t="e">
        <f t="shared" si="60"/>
        <v>#REF!</v>
      </c>
      <c r="R48" s="42" cm="1">
        <f t="array" ref="R48">_xlfn.IFS(N48&gt;$AH$2,100,N48&lt;1,1,N48&lt;$AH$2,ROUND((N48/$AH$2)*100,))</f>
        <v>1</v>
      </c>
      <c r="S48" s="42">
        <v>0.5</v>
      </c>
      <c r="T48" s="42"/>
      <c r="U48" s="42">
        <f t="shared" si="80"/>
        <v>5.1131988011613645</v>
      </c>
      <c r="V48" s="42" t="e">
        <f t="shared" si="81"/>
        <v>#REF!</v>
      </c>
      <c r="W48" s="42">
        <f t="shared" si="7"/>
        <v>0.291111254869791</v>
      </c>
      <c r="X48" s="42">
        <f t="shared" si="82"/>
        <v>0.16949152542372883</v>
      </c>
      <c r="Y48" s="42" t="e">
        <f t="shared" si="44"/>
        <v>#REF!</v>
      </c>
      <c r="Z48" s="42" t="e">
        <f t="shared" si="8"/>
        <v>#REF!</v>
      </c>
      <c r="AA48" s="42"/>
      <c r="AB48" s="14" t="s">
        <v>291</v>
      </c>
    </row>
    <row r="49" spans="1:28" x14ac:dyDescent="0.35">
      <c r="A49" s="14" t="s">
        <v>176</v>
      </c>
      <c r="B49" s="14" t="s">
        <v>91</v>
      </c>
      <c r="C49" s="14" t="s">
        <v>161</v>
      </c>
      <c r="D49" s="32" t="s">
        <v>88</v>
      </c>
      <c r="E49" s="26" t="s">
        <v>192</v>
      </c>
      <c r="F49" s="14">
        <f>SUM('Raw Data'!C41:D41)</f>
        <v>5121847</v>
      </c>
      <c r="G49" s="14">
        <f>SUM('Raw Data'!E41:F41)</f>
        <v>8812975</v>
      </c>
      <c r="H49" s="14">
        <f>ROUND(SUM('Raw Data'!C40:D40)/'Significance Tests'!F49,3)</f>
        <v>2.5999999999999999E-2</v>
      </c>
      <c r="I49" s="14">
        <f>ROUND(SUM('Raw Data'!E40:F40)/'Significance Tests'!G49,3)</f>
        <v>6.4000000000000001E-2</v>
      </c>
      <c r="J49" s="14">
        <f t="shared" ref="J49:J51" si="99">ROUND((H49*F49 +I49*G49)/SUM(F49:G49),3)</f>
        <v>0.05</v>
      </c>
      <c r="K49" s="14">
        <f t="shared" ref="K49:K51" si="100">ROUND((I49-H49)/(SQRT(J49*(1-J49)*((1/F49)+(1/G49)))),1)</f>
        <v>313.8</v>
      </c>
      <c r="L49" s="14">
        <f t="shared" si="77"/>
        <v>2.373444164296494E-4</v>
      </c>
      <c r="M49" s="42">
        <f t="shared" ref="M49:M51" si="101">I49-H49</f>
        <v>3.8000000000000006E-2</v>
      </c>
      <c r="N49" s="42">
        <f t="shared" ref="N49:N51" si="102">IF(K49&lt;1.96,0,ROUND((M49)/L49,0))</f>
        <v>160</v>
      </c>
      <c r="O49" s="42"/>
      <c r="P49" s="42">
        <f t="shared" si="59"/>
        <v>12.649110640673518</v>
      </c>
      <c r="Q49" s="42" t="e">
        <f t="shared" si="60"/>
        <v>#REF!</v>
      </c>
      <c r="R49" s="42" cm="1">
        <f t="array" ref="R49">_xlfn.IFS(N49&gt;$AH$2,100,N49&lt;1,1,N49&lt;$AH$2,ROUND((N49/$AH$2)*100,))</f>
        <v>100</v>
      </c>
      <c r="S49" s="42">
        <v>0.25</v>
      </c>
      <c r="T49" s="42"/>
      <c r="U49" s="42">
        <f t="shared" si="80"/>
        <v>8.4970583144992027</v>
      </c>
      <c r="V49" s="42" t="e">
        <f t="shared" si="81"/>
        <v>#REF!</v>
      </c>
      <c r="W49" s="42">
        <f t="shared" si="7"/>
        <v>0.64978628965393104</v>
      </c>
      <c r="X49" s="42">
        <f t="shared" si="82"/>
        <v>0.84444444444444466</v>
      </c>
      <c r="Y49" s="42" t="e">
        <f t="shared" si="44"/>
        <v>#REF!</v>
      </c>
      <c r="Z49" s="42" t="e">
        <f t="shared" si="8"/>
        <v>#REF!</v>
      </c>
      <c r="AA49" s="42"/>
      <c r="AB49" s="14" t="s">
        <v>292</v>
      </c>
    </row>
    <row r="50" spans="1:28" x14ac:dyDescent="0.35">
      <c r="A50" s="14" t="s">
        <v>176</v>
      </c>
      <c r="B50" s="14" t="s">
        <v>91</v>
      </c>
      <c r="C50" s="14" t="s">
        <v>161</v>
      </c>
      <c r="D50" s="32" t="s">
        <v>88</v>
      </c>
      <c r="E50" s="26" t="s">
        <v>389</v>
      </c>
      <c r="F50" s="14"/>
      <c r="G50" s="14"/>
      <c r="H50" s="14"/>
      <c r="I50" s="14"/>
      <c r="J50" s="14"/>
      <c r="K50" s="14"/>
      <c r="L50" s="14"/>
      <c r="M50" s="42"/>
      <c r="N50" s="42"/>
      <c r="O50" s="42"/>
      <c r="P50" s="42"/>
      <c r="Q50" s="42"/>
      <c r="R50" s="42" cm="1">
        <f t="array" ref="R50">_xlfn.IFS(N50&gt;$AH$2,100,N50&lt;1,1,N50&lt;$AH$2,ROUND((N50/$AH$2)*100,))</f>
        <v>1</v>
      </c>
      <c r="S50" s="42"/>
      <c r="T50" s="42"/>
      <c r="U50" s="42"/>
      <c r="V50" s="42" t="e">
        <f t="shared" si="81"/>
        <v>#REF!</v>
      </c>
      <c r="W50" s="42">
        <f t="shared" si="7"/>
        <v>0</v>
      </c>
      <c r="X50" s="42"/>
      <c r="Y50" s="42" t="e">
        <f t="shared" si="44"/>
        <v>#REF!</v>
      </c>
      <c r="Z50" s="42" t="e">
        <f t="shared" si="8"/>
        <v>#REF!</v>
      </c>
      <c r="AA50" s="42"/>
      <c r="AB50" s="14"/>
    </row>
    <row r="51" spans="1:28" x14ac:dyDescent="0.35">
      <c r="A51" s="14" t="s">
        <v>176</v>
      </c>
      <c r="B51" s="14" t="s">
        <v>91</v>
      </c>
      <c r="C51" s="14" t="s">
        <v>161</v>
      </c>
      <c r="D51" s="32" t="s">
        <v>88</v>
      </c>
      <c r="E51" s="26" t="s">
        <v>193</v>
      </c>
      <c r="F51" s="14">
        <f>'Raw Data'!B40</f>
        <v>700000</v>
      </c>
      <c r="G51" s="14">
        <f>'Demographics Data'!B31</f>
        <v>28727000</v>
      </c>
      <c r="H51" s="14">
        <f>ROUND(SUM('Raw Data'!C40:D40)/'Raw Data'!B40,3)</f>
        <v>0.193</v>
      </c>
      <c r="I51" s="14">
        <f>SUM('Demographics Data'!C31:D31)/'Significance Tests'!G51</f>
        <v>0.38744038709228251</v>
      </c>
      <c r="J51" s="14">
        <f t="shared" si="99"/>
        <v>0.38300000000000001</v>
      </c>
      <c r="K51" s="14">
        <f t="shared" si="100"/>
        <v>330.6</v>
      </c>
      <c r="L51" s="14">
        <f t="shared" ref="L51:L56" si="103">$AF$2*(SQRT(J51*(1-J51)*((1/G51)+(1/F51))))</f>
        <v>1.1525953888497664E-3</v>
      </c>
      <c r="M51" s="42">
        <f t="shared" si="101"/>
        <v>0.19444038709228251</v>
      </c>
      <c r="N51" s="42">
        <f t="shared" si="102"/>
        <v>169</v>
      </c>
      <c r="O51" s="42"/>
      <c r="P51" s="42">
        <f t="shared" ref="P51:P56" si="104">SQRT(N51)</f>
        <v>13</v>
      </c>
      <c r="Q51" s="42" t="e">
        <f t="shared" ref="Q51:Q58" si="105">(P51-MIN($P$2:$P$58))/(MAX($P$2:$P$58)-MIN($P$2:$P$58))*100</f>
        <v>#REF!</v>
      </c>
      <c r="R51" s="42" cm="1">
        <f t="array" ref="R51">_xlfn.IFS(N51&gt;$AH$2,100,N51&lt;1,1,N51&lt;$AH$2,ROUND((N51/$AH$2)*100,))</f>
        <v>100</v>
      </c>
      <c r="S51" s="42">
        <v>0.25</v>
      </c>
      <c r="T51" s="42"/>
      <c r="U51" s="42">
        <f t="shared" ref="U51:U56" si="106">(((ABS(H51-J51)/2)+(ABS(I51-J51)/2)))*100/SQRT(J51)</f>
        <v>15.709309435945501</v>
      </c>
      <c r="V51" s="42" t="e">
        <f t="shared" si="81"/>
        <v>#REF!</v>
      </c>
      <c r="W51" s="42">
        <f t="shared" si="7"/>
        <v>0.5787812147470065</v>
      </c>
      <c r="X51" s="42">
        <f t="shared" ref="X51:X56" si="107">IF($M51 &gt;0,(M51)/AVERAGE(H51:I51),0)</f>
        <v>0.66997538908804088</v>
      </c>
      <c r="Y51" s="42" t="e">
        <f t="shared" si="44"/>
        <v>#REF!</v>
      </c>
      <c r="Z51" s="42" t="e">
        <f t="shared" si="8"/>
        <v>#REF!</v>
      </c>
      <c r="AA51" s="42"/>
      <c r="AB51" s="14" t="s">
        <v>293</v>
      </c>
    </row>
    <row r="52" spans="1:28" x14ac:dyDescent="0.35">
      <c r="A52" s="14" t="s">
        <v>176</v>
      </c>
      <c r="B52" s="14" t="s">
        <v>91</v>
      </c>
      <c r="C52" s="14" t="s">
        <v>161</v>
      </c>
      <c r="D52" s="32" t="s">
        <v>88</v>
      </c>
      <c r="E52" s="26" t="s">
        <v>194</v>
      </c>
      <c r="F52" s="14">
        <f>F51</f>
        <v>700000</v>
      </c>
      <c r="G52" s="14">
        <f>'Demographics Data'!B32</f>
        <v>3189180</v>
      </c>
      <c r="H52" s="14">
        <f>H51</f>
        <v>0.193</v>
      </c>
      <c r="I52" s="14">
        <f>ROUND(SUM('Demographics Data'!C32:D32)/'Demographics Data'!B32,3)</f>
        <v>0.41599999999999998</v>
      </c>
      <c r="J52" s="14">
        <f t="shared" ref="J52:J53" si="108">ROUND((H52*F52 +I52*G52)/SUM(F52:G52),3)</f>
        <v>0.376</v>
      </c>
      <c r="K52" s="14">
        <f t="shared" ref="K52:K53" si="109">ROUND((I52-H52)/(SQRT(J52*(1-J52)*((1/F52)+(1/G52)))),1)</f>
        <v>348.8</v>
      </c>
      <c r="L52" s="14">
        <f t="shared" si="103"/>
        <v>1.2530914726042348E-3</v>
      </c>
      <c r="M52" s="42">
        <f t="shared" ref="M52:M53" si="110">I52-H52</f>
        <v>0.22299999999999998</v>
      </c>
      <c r="N52" s="42">
        <f t="shared" ref="N52:N53" si="111">IF(K52&lt;1.96,0,ROUND((M52)/L52,0))</f>
        <v>178</v>
      </c>
      <c r="O52" s="42"/>
      <c r="P52" s="42">
        <f t="shared" si="104"/>
        <v>13.341664064126334</v>
      </c>
      <c r="Q52" s="42" t="e">
        <f t="shared" si="105"/>
        <v>#REF!</v>
      </c>
      <c r="R52" s="42" cm="1">
        <f t="array" ref="R52">_xlfn.IFS(N52&gt;$AH$2,100,N52&lt;1,1,N52&lt;$AH$2,ROUND((N52/$AH$2)*100,))</f>
        <v>100</v>
      </c>
      <c r="S52" s="42">
        <v>0.25</v>
      </c>
      <c r="T52" s="42"/>
      <c r="U52" s="42">
        <f t="shared" si="106"/>
        <v>18.183645036364702</v>
      </c>
      <c r="V52" s="42" t="e">
        <f t="shared" si="81"/>
        <v>#REF!</v>
      </c>
      <c r="W52" s="42">
        <f t="shared" si="7"/>
        <v>0.60512317409700001</v>
      </c>
      <c r="X52" s="42">
        <f t="shared" si="107"/>
        <v>0.73234811165845648</v>
      </c>
      <c r="Y52" s="42" t="e">
        <f t="shared" si="44"/>
        <v>#REF!</v>
      </c>
      <c r="Z52" s="42" t="e">
        <f t="shared" si="8"/>
        <v>#REF!</v>
      </c>
      <c r="AA52" s="42"/>
      <c r="AB52" s="14" t="s">
        <v>293</v>
      </c>
    </row>
    <row r="53" spans="1:28" x14ac:dyDescent="0.35">
      <c r="A53" s="14" t="s">
        <v>176</v>
      </c>
      <c r="B53" s="14" t="s">
        <v>91</v>
      </c>
      <c r="C53" s="14" t="s">
        <v>161</v>
      </c>
      <c r="D53" s="32" t="s">
        <v>88</v>
      </c>
      <c r="E53" s="26" t="s">
        <v>195</v>
      </c>
      <c r="F53" s="14">
        <f>'Raw Data'!B40</f>
        <v>700000</v>
      </c>
      <c r="G53" s="14">
        <f>'Raw Data'!B41</f>
        <v>13934822</v>
      </c>
      <c r="H53" s="14">
        <f>H52</f>
        <v>0.193</v>
      </c>
      <c r="I53" s="14">
        <f>ROUND(SUM('Raw Data'!C41:D41)/'Significance Tests'!G53,3)</f>
        <v>0.36799999999999999</v>
      </c>
      <c r="J53" s="14">
        <f t="shared" si="108"/>
        <v>0.36</v>
      </c>
      <c r="K53" s="14">
        <f t="shared" si="109"/>
        <v>297.60000000000002</v>
      </c>
      <c r="L53" s="14">
        <f t="shared" si="103"/>
        <v>1.1523682875361945E-3</v>
      </c>
      <c r="M53" s="42">
        <f t="shared" si="110"/>
        <v>0.17499999999999999</v>
      </c>
      <c r="N53" s="42">
        <f t="shared" si="111"/>
        <v>152</v>
      </c>
      <c r="O53" s="42"/>
      <c r="P53" s="42">
        <f t="shared" si="104"/>
        <v>12.328828005937952</v>
      </c>
      <c r="Q53" s="42" t="e">
        <f t="shared" si="105"/>
        <v>#REF!</v>
      </c>
      <c r="R53" s="42" cm="1">
        <f t="array" ref="R53">_xlfn.IFS(N53&gt;$AH$2,100,N53&lt;1,1,N53&lt;$AH$2,ROUND((N53/$AH$2)*100,))</f>
        <v>100</v>
      </c>
      <c r="S53" s="42">
        <v>0.25</v>
      </c>
      <c r="T53" s="42"/>
      <c r="U53" s="42">
        <f t="shared" si="106"/>
        <v>14.583333333333334</v>
      </c>
      <c r="V53" s="42" t="e">
        <f t="shared" si="81"/>
        <v>#REF!</v>
      </c>
      <c r="W53" s="42">
        <f t="shared" si="7"/>
        <v>0.55851853953273789</v>
      </c>
      <c r="X53" s="42">
        <f t="shared" si="107"/>
        <v>0.62388591800356508</v>
      </c>
      <c r="Y53" s="42" t="e">
        <f t="shared" si="44"/>
        <v>#REF!</v>
      </c>
      <c r="Z53" s="42" t="e">
        <f t="shared" si="8"/>
        <v>#REF!</v>
      </c>
      <c r="AA53" s="42"/>
      <c r="AB53" s="14" t="s">
        <v>293</v>
      </c>
    </row>
    <row r="54" spans="1:28" x14ac:dyDescent="0.35">
      <c r="A54" s="14" t="s">
        <v>176</v>
      </c>
      <c r="B54" s="14" t="s">
        <v>91</v>
      </c>
      <c r="C54" s="14" t="s">
        <v>161</v>
      </c>
      <c r="D54" s="32" t="s">
        <v>89</v>
      </c>
      <c r="E54" s="26" t="s">
        <v>196</v>
      </c>
      <c r="F54">
        <f>F53</f>
        <v>700000</v>
      </c>
      <c r="G54" s="14">
        <f>'Raw Data'!B28</f>
        <v>114024</v>
      </c>
      <c r="H54" s="14">
        <f>H53</f>
        <v>0.193</v>
      </c>
      <c r="I54" s="14">
        <f>ROUND(SUM('Raw Data'!C28:D28)/'Raw Data'!B28,3)</f>
        <v>0.189</v>
      </c>
      <c r="J54" s="14">
        <f t="shared" ref="J54" si="112">ROUND((H54*F54 +I54*G54)/SUM(F54:G54),3)</f>
        <v>0.192</v>
      </c>
      <c r="K54" s="14">
        <f t="shared" ref="K54" si="113">ROUND((I54-H54)/(SQRT(J54*(1-J54)*((1/F54)+(1/G54)))),1)</f>
        <v>-3.2</v>
      </c>
      <c r="L54" s="14">
        <f t="shared" si="103"/>
        <v>2.4653796947808246E-3</v>
      </c>
      <c r="M54" s="42">
        <f t="shared" ref="M54" si="114">I54-H54</f>
        <v>-4.0000000000000036E-3</v>
      </c>
      <c r="N54" s="42">
        <f t="shared" ref="N54" si="115">IF(K54&lt;1.96,0,ROUND((M54)/L54,0))</f>
        <v>0</v>
      </c>
      <c r="O54" s="42"/>
      <c r="P54" s="42">
        <f t="shared" si="104"/>
        <v>0</v>
      </c>
      <c r="Q54" s="42" t="e">
        <f t="shared" si="105"/>
        <v>#REF!</v>
      </c>
      <c r="R54" s="42" cm="1">
        <f t="array" ref="R54">_xlfn.IFS(N54&gt;$AH$2,100,N54&lt;1,1,N54&lt;$AH$2,ROUND((N54/$AH$2)*100,))</f>
        <v>1</v>
      </c>
      <c r="S54" s="42">
        <v>1</v>
      </c>
      <c r="T54" s="42"/>
      <c r="U54" s="42">
        <f t="shared" si="106"/>
        <v>0.45643546458763884</v>
      </c>
      <c r="V54" s="42" t="e">
        <f t="shared" si="81"/>
        <v>#REF!</v>
      </c>
      <c r="W54" s="42">
        <f t="shared" si="7"/>
        <v>0</v>
      </c>
      <c r="X54" s="42">
        <f t="shared" si="107"/>
        <v>0</v>
      </c>
      <c r="Y54" s="42" t="e">
        <f t="shared" si="44"/>
        <v>#REF!</v>
      </c>
      <c r="Z54" s="42" t="e">
        <f t="shared" si="8"/>
        <v>#REF!</v>
      </c>
      <c r="AA54" s="42"/>
      <c r="AB54" s="14" t="s">
        <v>293</v>
      </c>
    </row>
    <row r="55" spans="1:28" x14ac:dyDescent="0.35">
      <c r="A55" s="14" t="s">
        <v>176</v>
      </c>
      <c r="B55" s="33" t="s">
        <v>92</v>
      </c>
      <c r="C55" s="33" t="s">
        <v>161</v>
      </c>
      <c r="D55" s="32" t="s">
        <v>94</v>
      </c>
      <c r="E55" s="26" t="s">
        <v>247</v>
      </c>
      <c r="F55" s="14">
        <f>'Raw Data'!B24</f>
        <v>5049583</v>
      </c>
      <c r="G55" s="14">
        <f>'Demographics Data'!B30</f>
        <v>185445419</v>
      </c>
      <c r="H55" s="14">
        <f>ROUND(SUM('Raw Data'!C24:D24)/'Raw Data'!B24,3)</f>
        <v>0.159</v>
      </c>
      <c r="I55" s="14">
        <f>ROUND(SUM('Demographics Data'!C30:D30)/'Demographics Data'!B30,3)</f>
        <v>0.32100000000000001</v>
      </c>
      <c r="J55" s="14">
        <f t="shared" ref="J55" si="116">ROUND((H55*F55 +I55*G55)/SUM(F55:G55),3)</f>
        <v>0.317</v>
      </c>
      <c r="K55" s="14">
        <f t="shared" ref="K55" si="117">ROUND((I55-H55)/(SQRT(J55*(1-J55)*((1/F55)+(1/G55)))),1)</f>
        <v>771.9</v>
      </c>
      <c r="L55" s="14">
        <f t="shared" si="103"/>
        <v>4.1134103339381941E-4</v>
      </c>
      <c r="M55" s="42">
        <f t="shared" ref="M55" si="118">I55-H55</f>
        <v>0.16200000000000001</v>
      </c>
      <c r="N55" s="42">
        <f t="shared" ref="N55" si="119">IF(K55&lt;1.96,0,ROUND((M55)/L55,0))</f>
        <v>394</v>
      </c>
      <c r="O55" s="42"/>
      <c r="P55" s="42">
        <f t="shared" si="104"/>
        <v>19.849433241279208</v>
      </c>
      <c r="Q55" s="42" t="e">
        <f t="shared" si="105"/>
        <v>#REF!</v>
      </c>
      <c r="R55" s="42" cm="1">
        <f t="array" ref="R55">_xlfn.IFS(N55&gt;$AH$2,100,N55&lt;1,1,N55&lt;$AH$2,ROUND((N55/$AH$2)*100,))</f>
        <v>100</v>
      </c>
      <c r="S55" s="42">
        <v>1</v>
      </c>
      <c r="T55" s="42"/>
      <c r="U55" s="42">
        <f t="shared" si="106"/>
        <v>14.386507874839104</v>
      </c>
      <c r="V55" s="42" t="e">
        <f t="shared" si="81"/>
        <v>#REF!</v>
      </c>
      <c r="W55" s="42">
        <f t="shared" si="7"/>
        <v>0.58094750193111255</v>
      </c>
      <c r="X55" s="42">
        <f t="shared" si="107"/>
        <v>0.67500000000000004</v>
      </c>
      <c r="Y55" s="42" t="e">
        <f t="shared" si="44"/>
        <v>#REF!</v>
      </c>
      <c r="Z55" s="42" t="e">
        <f t="shared" si="8"/>
        <v>#REF!</v>
      </c>
      <c r="AA55" s="42"/>
      <c r="AB55" s="14" t="s">
        <v>294</v>
      </c>
    </row>
    <row r="56" spans="1:28" x14ac:dyDescent="0.35">
      <c r="A56" s="14" t="s">
        <v>176</v>
      </c>
      <c r="B56" s="33" t="s">
        <v>92</v>
      </c>
      <c r="C56" s="33" t="s">
        <v>161</v>
      </c>
      <c r="D56" s="32" t="s">
        <v>95</v>
      </c>
      <c r="E56" s="26" t="s">
        <v>248</v>
      </c>
      <c r="F56" s="14">
        <f>'Raw Data'!B42</f>
        <v>678685</v>
      </c>
      <c r="G56" s="14">
        <f>G55</f>
        <v>185445419</v>
      </c>
      <c r="H56" s="14">
        <f>ROUND(SUM('Raw Data'!C42:D42)/'Raw Data'!B42,3)</f>
        <v>0.14599999999999999</v>
      </c>
      <c r="I56" s="14">
        <f>I55</f>
        <v>0.32100000000000001</v>
      </c>
      <c r="J56" s="14">
        <f t="shared" ref="J56" si="120">ROUND((H56*F56 +I56*G56)/SUM(F56:G56),3)</f>
        <v>0.32</v>
      </c>
      <c r="K56" s="14">
        <f t="shared" ref="K56" si="121">ROUND((I56-H56)/(SQRT(J56*(1-J56)*((1/F56)+(1/G56)))),1)</f>
        <v>308.5</v>
      </c>
      <c r="L56" s="14">
        <f t="shared" si="103"/>
        <v>1.1118460225078065E-3</v>
      </c>
      <c r="M56" s="42">
        <f t="shared" ref="M56" si="122">I56-H56</f>
        <v>0.17500000000000002</v>
      </c>
      <c r="N56" s="42">
        <f t="shared" ref="N56" si="123">IF(K56&lt;1.96,0,ROUND((M56)/L56,0))</f>
        <v>157</v>
      </c>
      <c r="O56" s="42"/>
      <c r="P56" s="42">
        <f t="shared" si="104"/>
        <v>12.529964086141668</v>
      </c>
      <c r="Q56" s="42" t="e">
        <f t="shared" si="105"/>
        <v>#REF!</v>
      </c>
      <c r="R56" s="42" cm="1">
        <f t="array" ref="R56">_xlfn.IFS(N56&gt;$AH$2,100,N56&lt;1,1,N56&lt;$AH$2,ROUND((N56/$AH$2)*100,))</f>
        <v>100</v>
      </c>
      <c r="S56" s="42">
        <v>1</v>
      </c>
      <c r="T56" s="42"/>
      <c r="U56" s="42">
        <f t="shared" si="106"/>
        <v>15.467960838455728</v>
      </c>
      <c r="V56" s="42" t="e">
        <f t="shared" si="81"/>
        <v>#REF!</v>
      </c>
      <c r="W56" s="42">
        <f t="shared" si="7"/>
        <v>0.61215384834787179</v>
      </c>
      <c r="X56" s="42">
        <f t="shared" si="107"/>
        <v>0.74946466809421852</v>
      </c>
      <c r="Y56" s="42" t="e">
        <f t="shared" si="44"/>
        <v>#REF!</v>
      </c>
      <c r="Z56" s="42" t="e">
        <f t="shared" si="8"/>
        <v>#REF!</v>
      </c>
      <c r="AA56" s="42"/>
      <c r="AB56" s="14" t="s">
        <v>294</v>
      </c>
    </row>
    <row r="57" spans="1:28" x14ac:dyDescent="0.35">
      <c r="A57" s="14" t="s">
        <v>176</v>
      </c>
      <c r="B57" s="33" t="s">
        <v>92</v>
      </c>
      <c r="C57" s="33" t="s">
        <v>161</v>
      </c>
      <c r="D57" s="32" t="s">
        <v>88</v>
      </c>
      <c r="E57" s="34" t="s">
        <v>197</v>
      </c>
      <c r="F57" s="14" t="s">
        <v>59</v>
      </c>
      <c r="G57" s="14" t="s">
        <v>59</v>
      </c>
      <c r="H57" s="14" t="s">
        <v>59</v>
      </c>
      <c r="I57" s="14" t="s">
        <v>59</v>
      </c>
      <c r="J57" s="14" t="s">
        <v>59</v>
      </c>
      <c r="K57" s="14" t="s">
        <v>59</v>
      </c>
      <c r="L57" s="14" t="s">
        <v>59</v>
      </c>
      <c r="M57" s="14" t="s">
        <v>59</v>
      </c>
      <c r="N57" s="14" t="s">
        <v>59</v>
      </c>
      <c r="O57" s="14"/>
      <c r="P57" s="42"/>
      <c r="Q57" s="42" t="e">
        <f t="shared" si="105"/>
        <v>#REF!</v>
      </c>
      <c r="R57" s="42"/>
      <c r="S57" s="14"/>
      <c r="T57" s="14"/>
      <c r="U57" s="42"/>
      <c r="V57" s="42"/>
      <c r="W57" s="42"/>
      <c r="X57" s="42"/>
      <c r="Y57" s="42"/>
      <c r="Z57" s="42"/>
      <c r="AA57" s="14"/>
      <c r="AB57" s="14" t="s">
        <v>295</v>
      </c>
    </row>
    <row r="58" spans="1:28" x14ac:dyDescent="0.35">
      <c r="A58" s="14" t="s">
        <v>176</v>
      </c>
      <c r="B58" s="33" t="s">
        <v>92</v>
      </c>
      <c r="C58" s="33" t="s">
        <v>161</v>
      </c>
      <c r="D58" s="32" t="s">
        <v>89</v>
      </c>
      <c r="E58" s="26" t="s">
        <v>198</v>
      </c>
      <c r="F58" s="14">
        <f>'Raw Data'!B43</f>
        <v>176364</v>
      </c>
      <c r="G58" s="14">
        <f>'Raw Data'!B47</f>
        <v>307073</v>
      </c>
      <c r="H58" s="14">
        <f>ROUND(SUM('Raw Data'!C43:D43)/'Raw Data'!B43,3)</f>
        <v>0.14499999999999999</v>
      </c>
      <c r="I58" s="14">
        <f>ROUND(SUM('Raw Data'!C47:D47)/'Raw Data'!B47,3)</f>
        <v>0.25900000000000001</v>
      </c>
      <c r="J58" s="14">
        <f t="shared" ref="J58" si="124">ROUND((H58*F58 +I58*G58)/SUM(F58:G58),3)</f>
        <v>0.217</v>
      </c>
      <c r="K58" s="14">
        <f t="shared" ref="K58" si="125">ROUND((I58-H58)/(SQRT(J58*(1-J58)*((1/F58)+(1/G58)))),1)</f>
        <v>92.6</v>
      </c>
      <c r="L58" s="14">
        <f>$AF$2*(SQRT(J58*(1-J58)*((1/G58)+(1/F58))))</f>
        <v>2.4138538762406916E-3</v>
      </c>
      <c r="M58" s="42">
        <f t="shared" ref="M58" si="126">I58-H58</f>
        <v>0.11400000000000002</v>
      </c>
      <c r="N58" s="42">
        <f t="shared" ref="N58" si="127">IF(K58&lt;1.96,0,ROUND((M58)/L58,0))</f>
        <v>47</v>
      </c>
      <c r="O58" s="42"/>
      <c r="P58" s="42">
        <f>SQRT(N58)</f>
        <v>6.8556546004010439</v>
      </c>
      <c r="Q58" s="42" t="e">
        <f t="shared" si="105"/>
        <v>#REF!</v>
      </c>
      <c r="R58" s="42" cm="1">
        <f t="array" ref="R58">_xlfn.IFS(N58&gt;$AH$2,100,N58&lt;1,1,N58&lt;$AH$2,ROUND((N58/$AH$2)*100,))</f>
        <v>31</v>
      </c>
      <c r="S58" s="42">
        <v>1</v>
      </c>
      <c r="T58" s="42"/>
      <c r="U58" s="42">
        <f>(((ABS(H58-J58)/2)+(ABS(I58-J58)/2)))*100/SQRT(J58)</f>
        <v>12.236155536121121</v>
      </c>
      <c r="V58" s="42" t="e">
        <f>(U58-MIN($U$2:$U$58))/(MAX($U$2:$U$58)-MIN($U$2:$U$58))*100</f>
        <v>#REF!</v>
      </c>
      <c r="W58" s="42">
        <f t="shared" si="7"/>
        <v>0.53120449717767093</v>
      </c>
      <c r="X58" s="42">
        <f>IF($M58 &gt;0,(M58)/AVERAGE(H58:I58),0)</f>
        <v>0.56435643564356441</v>
      </c>
      <c r="Y58" s="42" t="e">
        <f>ROUND(((W58-MIN(W$2:W$49))/(MAX(W$2:W$49)-MIN(W$2:W$49)))*100,1)</f>
        <v>#REF!</v>
      </c>
      <c r="Z58" s="42" t="e">
        <f t="shared" si="8"/>
        <v>#REF!</v>
      </c>
      <c r="AA58" s="42"/>
      <c r="AB58" s="14" t="s">
        <v>296</v>
      </c>
    </row>
    <row r="64" spans="1:28" ht="14" customHeight="1" x14ac:dyDescent="0.35"/>
    <row r="70" spans="1:28" x14ac:dyDescent="0.35">
      <c r="A70" s="14" t="s">
        <v>171</v>
      </c>
      <c r="B70" s="31" t="s">
        <v>32</v>
      </c>
      <c r="C70" s="14" t="s">
        <v>162</v>
      </c>
      <c r="D70" s="14" t="s">
        <v>94</v>
      </c>
      <c r="E70" s="26" t="s">
        <v>120</v>
      </c>
      <c r="F70" s="14">
        <f>F2</f>
        <v>18667</v>
      </c>
      <c r="G70" s="14">
        <f>G2</f>
        <v>3585</v>
      </c>
      <c r="H70" s="14">
        <f>H2</f>
        <v>0.24099999999999999</v>
      </c>
      <c r="I70" s="14">
        <f>ROUND(('Raw Data'!C18*'Demographics Data'!C22+'Raw Data'!D18*'Demographics Data'!D22)/SUM('Demographics Data'!C22:D22),3)</f>
        <v>0.252</v>
      </c>
      <c r="J70" s="14">
        <f>ROUND((I70*G70 +H70*F70)/SUM(F70:G70),3)</f>
        <v>0.24299999999999999</v>
      </c>
      <c r="K70" s="14">
        <f>ROUND((I70-H70)/(SQRT(J70*(1-J70)*((1/G70)+(1/F70)))),1)</f>
        <v>1.4</v>
      </c>
      <c r="L70" s="14">
        <f>$AF$2*(SQRT(J70*(1-J70)*((1/F70)+(1/G70))))</f>
        <v>1.5328859012353089E-2</v>
      </c>
      <c r="M70" s="42">
        <f t="shared" ref="M70" si="128">I70-H70</f>
        <v>1.100000000000001E-2</v>
      </c>
      <c r="N70" s="42">
        <f>IF(K70&lt;1.96,0,ROUND((M70)/L70,0))</f>
        <v>0</v>
      </c>
      <c r="O70" s="42"/>
      <c r="P70" s="42"/>
      <c r="Q70" s="42"/>
      <c r="R70" s="42">
        <f t="shared" ref="R70:R75" si="129">IF(N70&gt;$AG$2,100,ROUND((N70/$AG$2)*100,))</f>
        <v>0</v>
      </c>
      <c r="S70" s="42">
        <v>0.5</v>
      </c>
      <c r="T70" s="42"/>
      <c r="U70" s="42">
        <f t="shared" ref="U70:U92" si="130">(((ABS(H70-J70)/2)+(ABS(I70-J70)/2))*100)/J70</f>
        <v>2.2633744855967097</v>
      </c>
      <c r="V70" s="42"/>
      <c r="W70" s="42"/>
      <c r="X70" s="42"/>
      <c r="Y70" s="42"/>
      <c r="Z70" s="42"/>
      <c r="AA70" s="42"/>
      <c r="AB70" s="14" t="s">
        <v>267</v>
      </c>
    </row>
    <row r="71" spans="1:28" x14ac:dyDescent="0.35">
      <c r="A71" s="14" t="s">
        <v>171</v>
      </c>
      <c r="B71" s="31" t="s">
        <v>32</v>
      </c>
      <c r="C71" s="14" t="s">
        <v>162</v>
      </c>
      <c r="D71" s="14" t="s">
        <v>94</v>
      </c>
      <c r="E71" s="26" t="s">
        <v>121</v>
      </c>
      <c r="F71" s="14">
        <f>F5</f>
        <v>21876</v>
      </c>
      <c r="G71" s="14">
        <f>'Demographics Data'!C27+'Demographics Data'!D27</f>
        <v>1682000</v>
      </c>
      <c r="H71" s="14">
        <f>H3</f>
        <v>0.219</v>
      </c>
      <c r="I71" s="14">
        <f>ROUND(('Demographics Data'!C23*'Raw Data'!C20+'Raw Data'!D20*'Demographics Data'!D23)/SUM('Demographics Data'!C23:D23),3)</f>
        <v>0.16900000000000001</v>
      </c>
      <c r="J71" s="14">
        <f>ROUND((H71*F71 +I71*G71)/SUM(F71:G71),3)</f>
        <v>0.17</v>
      </c>
      <c r="K71" s="14">
        <f>ROUND((I71-H71)/(SQRT(J71*(1-J71)*((1/F71)+(1/G71)))),1)</f>
        <v>-19.600000000000001</v>
      </c>
      <c r="L71" s="14">
        <f>$AF$2*(SQRT(J71*(1-J71)*((1/G71)+(1/F71))))</f>
        <v>5.0100448996233029E-3</v>
      </c>
      <c r="M71" s="42">
        <f>I71-H71</f>
        <v>-4.9999999999999989E-2</v>
      </c>
      <c r="N71" s="42">
        <f>IF(K71&lt;1.96,0,ROUND((M71)/L71,0))</f>
        <v>0</v>
      </c>
      <c r="O71" s="42"/>
      <c r="P71" s="42"/>
      <c r="Q71" s="42"/>
      <c r="R71" s="42">
        <f t="shared" si="129"/>
        <v>0</v>
      </c>
      <c r="S71" s="42">
        <v>0.5</v>
      </c>
      <c r="T71" s="42"/>
      <c r="U71" s="42">
        <f t="shared" si="130"/>
        <v>14.705882352941172</v>
      </c>
      <c r="V71" s="42"/>
      <c r="W71" s="42"/>
      <c r="X71" s="42"/>
      <c r="Y71" s="42"/>
      <c r="Z71" s="42"/>
      <c r="AA71" s="42"/>
      <c r="AB71" s="14" t="s">
        <v>267</v>
      </c>
    </row>
    <row r="72" spans="1:28" x14ac:dyDescent="0.35">
      <c r="A72" s="14" t="s">
        <v>171</v>
      </c>
      <c r="B72" s="31" t="s">
        <v>32</v>
      </c>
      <c r="C72" s="14" t="s">
        <v>162</v>
      </c>
      <c r="D72" s="14" t="s">
        <v>95</v>
      </c>
      <c r="E72" s="26" t="s">
        <v>122</v>
      </c>
      <c r="F72" s="14">
        <f>F70</f>
        <v>18667</v>
      </c>
      <c r="G72" s="14">
        <f>G70</f>
        <v>3585</v>
      </c>
      <c r="H72" s="14">
        <f>'Significance Tests'!I9</f>
        <v>3.6999999999999998E-2</v>
      </c>
      <c r="I72" s="14">
        <f>ROUND(('Raw Data'!C19*'Demographics Data'!C22+'Raw Data'!D19*'Demographics Data'!D22)/SUM('Demographics Data'!C22:D22),3)</f>
        <v>2.7E-2</v>
      </c>
      <c r="J72" s="14">
        <f>ROUND((H72*F72 +I72*G72)/SUM(F72:G72),3)</f>
        <v>3.5000000000000003E-2</v>
      </c>
      <c r="K72" s="14">
        <f>ROUND((I72-H72)/(SQRT(J72*(1-J72)*((1/F72)+(1/G72)))),1)</f>
        <v>-3</v>
      </c>
      <c r="L72" s="14">
        <f>$AF$2*(SQRT(J72*(1-J72)*((1/G72)+(1/F72))))</f>
        <v>6.5683522024887961E-3</v>
      </c>
      <c r="M72" s="42">
        <f>I72-H72</f>
        <v>-9.9999999999999985E-3</v>
      </c>
      <c r="N72" s="42">
        <f>IF(K72&lt;1.96,0,ROUND((M72)/L72,0))</f>
        <v>0</v>
      </c>
      <c r="O72" s="42"/>
      <c r="P72" s="42"/>
      <c r="Q72" s="42"/>
      <c r="R72" s="42">
        <f t="shared" si="129"/>
        <v>0</v>
      </c>
      <c r="S72" s="42">
        <v>0.5</v>
      </c>
      <c r="T72" s="42"/>
      <c r="U72" s="42">
        <f t="shared" si="130"/>
        <v>14.285714285714283</v>
      </c>
      <c r="V72" s="42"/>
      <c r="W72" s="42"/>
      <c r="X72" s="42"/>
      <c r="Y72" s="42"/>
      <c r="Z72" s="42"/>
      <c r="AA72" s="42"/>
      <c r="AB72" s="14" t="s">
        <v>267</v>
      </c>
    </row>
    <row r="73" spans="1:28" x14ac:dyDescent="0.35">
      <c r="A73" s="14" t="s">
        <v>171</v>
      </c>
      <c r="B73" s="31" t="s">
        <v>32</v>
      </c>
      <c r="C73" s="14" t="s">
        <v>162</v>
      </c>
      <c r="D73" s="14" t="s">
        <v>95</v>
      </c>
      <c r="E73" s="26" t="s">
        <v>123</v>
      </c>
      <c r="F73" s="14">
        <f>F71</f>
        <v>21876</v>
      </c>
      <c r="G73" s="14">
        <f>G71</f>
        <v>1682000</v>
      </c>
      <c r="H73" s="14">
        <f>H9</f>
        <v>4.2999999999999997E-2</v>
      </c>
      <c r="I73" s="14">
        <f>ROUND(('Demographics Data'!C23*'Raw Data'!C21+'Raw Data'!D21*'Demographics Data'!D23)/SUM('Demographics Data'!C23:D23),4)</f>
        <v>2.64E-2</v>
      </c>
      <c r="J73" s="14">
        <f>ROUND((H73*F73 +I73*G73)/SUM(F73:G73),3)</f>
        <v>2.7E-2</v>
      </c>
      <c r="K73" s="14">
        <f>ROUND((I73-H73)/(SQRT(J73*(1-J73)*((1/F73)+(1/G73)))),1)</f>
        <v>-15.1</v>
      </c>
      <c r="L73" s="14">
        <f>$AF$2*(SQRT(J73*(1-J73)*((1/G73)+(1/F73))))</f>
        <v>2.1618044840794378E-3</v>
      </c>
      <c r="M73" s="42">
        <f>I73-H73</f>
        <v>-1.6599999999999997E-2</v>
      </c>
      <c r="N73" s="42">
        <f>IF(K73&lt;1.96,0,ROUND((M73)/L73,0))</f>
        <v>0</v>
      </c>
      <c r="O73" s="42"/>
      <c r="P73" s="42"/>
      <c r="Q73" s="42"/>
      <c r="R73" s="42">
        <f t="shared" si="129"/>
        <v>0</v>
      </c>
      <c r="S73" s="42">
        <v>0.5</v>
      </c>
      <c r="T73" s="42"/>
      <c r="U73" s="42">
        <f t="shared" si="130"/>
        <v>30.740740740740737</v>
      </c>
      <c r="V73" s="42"/>
      <c r="W73" s="42"/>
      <c r="X73" s="42"/>
      <c r="Y73" s="42"/>
      <c r="Z73" s="42"/>
      <c r="AA73" s="42"/>
      <c r="AB73" s="14" t="s">
        <v>267</v>
      </c>
    </row>
    <row r="74" spans="1:28" x14ac:dyDescent="0.35">
      <c r="A74" s="14" t="s">
        <v>171</v>
      </c>
      <c r="B74" s="31" t="s">
        <v>32</v>
      </c>
      <c r="C74" s="14" t="s">
        <v>162</v>
      </c>
      <c r="D74" s="14" t="s">
        <v>88</v>
      </c>
      <c r="E74" s="29" t="s">
        <v>163</v>
      </c>
      <c r="F74" s="14" t="s">
        <v>59</v>
      </c>
      <c r="G74" s="14" t="s">
        <v>59</v>
      </c>
      <c r="H74" s="14" t="s">
        <v>59</v>
      </c>
      <c r="I74" s="14" t="s">
        <v>59</v>
      </c>
      <c r="J74" s="14" t="e">
        <f t="shared" ref="J74:J75" si="131">ROUND((H74*F74 +I74*G74)/SUM(F74:G74),3)</f>
        <v>#VALUE!</v>
      </c>
      <c r="K74" s="14" t="e">
        <f t="shared" ref="K74:K75" si="132">ROUND((I74-H74)/(SQRT(J74*(1-J74)*((1/F74)+(1/G74)))),1)</f>
        <v>#VALUE!</v>
      </c>
      <c r="L74" s="14" t="s">
        <v>59</v>
      </c>
      <c r="M74" s="42" t="s">
        <v>59</v>
      </c>
      <c r="N74" s="42" t="s">
        <v>59</v>
      </c>
      <c r="O74" s="42"/>
      <c r="P74" s="42"/>
      <c r="Q74" s="42"/>
      <c r="R74" s="42">
        <f t="shared" si="129"/>
        <v>100</v>
      </c>
      <c r="S74" s="42">
        <v>0.5</v>
      </c>
      <c r="T74" s="42"/>
      <c r="U74" s="42" t="e">
        <f t="shared" si="130"/>
        <v>#VALUE!</v>
      </c>
      <c r="V74" s="42"/>
      <c r="W74" s="42"/>
      <c r="X74" s="42"/>
      <c r="Y74" s="42"/>
      <c r="Z74" s="42"/>
      <c r="AA74" s="42"/>
      <c r="AB74" s="14" t="s">
        <v>267</v>
      </c>
    </row>
    <row r="75" spans="1:28" x14ac:dyDescent="0.35">
      <c r="A75" s="14" t="s">
        <v>171</v>
      </c>
      <c r="B75" s="31" t="s">
        <v>32</v>
      </c>
      <c r="C75" s="14" t="s">
        <v>162</v>
      </c>
      <c r="D75" s="14" t="s">
        <v>88</v>
      </c>
      <c r="E75" s="30" t="s">
        <v>96</v>
      </c>
      <c r="F75" s="14" t="s">
        <v>59</v>
      </c>
      <c r="G75" s="14" t="s">
        <v>59</v>
      </c>
      <c r="H75" s="14" t="s">
        <v>59</v>
      </c>
      <c r="I75" s="14" t="s">
        <v>59</v>
      </c>
      <c r="J75" s="14" t="e">
        <f t="shared" si="131"/>
        <v>#VALUE!</v>
      </c>
      <c r="K75" s="14" t="e">
        <f t="shared" si="132"/>
        <v>#VALUE!</v>
      </c>
      <c r="L75" s="14" t="s">
        <v>59</v>
      </c>
      <c r="M75" s="42" t="s">
        <v>59</v>
      </c>
      <c r="N75" s="42" t="s">
        <v>59</v>
      </c>
      <c r="O75" s="42"/>
      <c r="P75" s="42"/>
      <c r="Q75" s="42"/>
      <c r="R75" s="42">
        <f t="shared" si="129"/>
        <v>100</v>
      </c>
      <c r="S75" s="42">
        <v>0.5</v>
      </c>
      <c r="T75" s="42"/>
      <c r="U75" s="42" t="e">
        <f t="shared" si="130"/>
        <v>#VALUE!</v>
      </c>
      <c r="V75" s="42"/>
      <c r="W75" s="42"/>
      <c r="X75" s="42"/>
      <c r="Y75" s="42"/>
      <c r="Z75" s="42"/>
      <c r="AA75" s="42"/>
      <c r="AB75" s="14" t="s">
        <v>267</v>
      </c>
    </row>
    <row r="76" spans="1:28" x14ac:dyDescent="0.35">
      <c r="A76" s="14" t="s">
        <v>171</v>
      </c>
      <c r="B76" s="31" t="s">
        <v>32</v>
      </c>
      <c r="C76" s="14" t="s">
        <v>162</v>
      </c>
      <c r="D76" s="14" t="s">
        <v>89</v>
      </c>
      <c r="E76" s="26" t="s">
        <v>200</v>
      </c>
      <c r="F76" s="14" t="s">
        <v>202</v>
      </c>
      <c r="G76" s="14" t="s">
        <v>202</v>
      </c>
      <c r="H76" s="14" t="s">
        <v>202</v>
      </c>
      <c r="I76" s="14" t="s">
        <v>202</v>
      </c>
      <c r="J76" s="14" t="s">
        <v>202</v>
      </c>
      <c r="K76" s="14" t="s">
        <v>202</v>
      </c>
      <c r="L76" s="14" t="s">
        <v>202</v>
      </c>
      <c r="M76" s="14" t="s">
        <v>202</v>
      </c>
      <c r="N76" s="42" t="s">
        <v>202</v>
      </c>
      <c r="O76" s="42"/>
      <c r="P76" s="42"/>
      <c r="Q76" s="42"/>
      <c r="R76" s="42">
        <f>AVERAGE(R72:R73)</f>
        <v>0</v>
      </c>
      <c r="S76" s="42">
        <v>1</v>
      </c>
      <c r="T76" s="42"/>
      <c r="U76" s="42" t="e">
        <f t="shared" si="130"/>
        <v>#VALUE!</v>
      </c>
      <c r="V76" s="42"/>
      <c r="W76" s="42"/>
      <c r="X76" s="42"/>
      <c r="Y76" s="42"/>
      <c r="Z76" s="42"/>
      <c r="AA76" s="42"/>
      <c r="AB76" s="14" t="s">
        <v>267</v>
      </c>
    </row>
    <row r="77" spans="1:28" x14ac:dyDescent="0.35">
      <c r="A77" s="14" t="s">
        <v>171</v>
      </c>
      <c r="B77" s="14" t="s">
        <v>90</v>
      </c>
      <c r="C77" s="14" t="s">
        <v>162</v>
      </c>
      <c r="D77" s="14" t="s">
        <v>94</v>
      </c>
      <c r="E77" s="27" t="s">
        <v>132</v>
      </c>
      <c r="F77" s="14">
        <f>F16</f>
        <v>19268</v>
      </c>
      <c r="G77" s="14">
        <f>('Demographics Data'!C20+'Demographics Data'!D20)-F77</f>
        <v>502080</v>
      </c>
      <c r="H77" s="14">
        <f>H16</f>
        <v>0.159</v>
      </c>
      <c r="I77" s="14" t="e">
        <f>ROUND(('Raw Data'!#REF!+'Raw Data'!#REF!)/G77,3)</f>
        <v>#REF!</v>
      </c>
      <c r="J77" s="14" t="e">
        <f>ROUND((H77*F77 +I77*G77)/SUM(F77:G77),3)</f>
        <v>#REF!</v>
      </c>
      <c r="K77" s="14" t="e">
        <f>ROUND((I77-H77)/(SQRT(J77*(1-J77)*((1/F77)+(1/G77)))),1)</f>
        <v>#REF!</v>
      </c>
      <c r="L77" s="14" t="e">
        <f>$AF$2*(SQRT(J77*(1-J77)*((1/G77)+(1/G16))))</f>
        <v>#REF!</v>
      </c>
      <c r="M77" s="42" t="e">
        <f t="shared" ref="M77" si="133">I77-H77</f>
        <v>#REF!</v>
      </c>
      <c r="N77" s="42" t="e">
        <f>IF(K77&lt;1.96,0,ROUND((M77)/L77,0))</f>
        <v>#REF!</v>
      </c>
      <c r="O77" s="42"/>
      <c r="P77" s="42"/>
      <c r="Q77" s="42"/>
      <c r="R77" s="42" t="e">
        <f>IF(N77&gt;$AG$2,100,ROUND((N77/$AG$2)*100,))</f>
        <v>#REF!</v>
      </c>
      <c r="S77" s="42">
        <v>1</v>
      </c>
      <c r="T77" s="42"/>
      <c r="U77" s="42" t="e">
        <f t="shared" si="130"/>
        <v>#REF!</v>
      </c>
      <c r="V77" s="42"/>
      <c r="W77" s="42"/>
      <c r="X77" s="42"/>
      <c r="Y77" s="42"/>
      <c r="Z77" s="42"/>
      <c r="AA77" s="42"/>
      <c r="AB77" s="14" t="s">
        <v>267</v>
      </c>
    </row>
    <row r="78" spans="1:28" x14ac:dyDescent="0.35">
      <c r="A78" s="14" t="s">
        <v>171</v>
      </c>
      <c r="B78" s="14" t="s">
        <v>90</v>
      </c>
      <c r="C78" s="14" t="s">
        <v>162</v>
      </c>
      <c r="D78" s="14" t="s">
        <v>95</v>
      </c>
      <c r="E78" s="27" t="s">
        <v>153</v>
      </c>
      <c r="F78" s="33">
        <f>F11</f>
        <v>19268</v>
      </c>
      <c r="G78" s="33">
        <f>G77</f>
        <v>502080</v>
      </c>
      <c r="H78" s="33">
        <f>H11</f>
        <v>1.4E-2</v>
      </c>
      <c r="I78" s="33">
        <f>ROUND(('Raw Data'!C26+'Raw Data'!D26)/'Significance Tests'!G78,3)</f>
        <v>6.6000000000000003E-2</v>
      </c>
      <c r="J78" s="14">
        <f>ROUND((H78*F78 +I78*G78)/SUM(F78:G78),3)</f>
        <v>6.4000000000000001E-2</v>
      </c>
      <c r="K78" s="14">
        <f>ROUND((I78-H78)/(SQRT(J78*(1-J78)*((1/F78)+(1/G78)))),1)</f>
        <v>28.9</v>
      </c>
      <c r="L78" s="14">
        <f>$AF$2*(SQRT(J78*(1-J78)*((1/G78)+(1/G77))))</f>
        <v>9.5744209895374263E-4</v>
      </c>
      <c r="M78" s="42">
        <f t="shared" ref="M78" si="134">I78-H78</f>
        <v>5.2000000000000005E-2</v>
      </c>
      <c r="N78" s="42">
        <f>IF(K78&lt;1.96,0,ROUND((M78)/L78,0))</f>
        <v>54</v>
      </c>
      <c r="O78" s="42"/>
      <c r="P78" s="42"/>
      <c r="Q78" s="42"/>
      <c r="R78" s="42">
        <f>IF(N78&gt;$AG$2,100,ROUND((N78/$AG$2)*100,))</f>
        <v>100</v>
      </c>
      <c r="S78" s="42">
        <v>0.5</v>
      </c>
      <c r="T78" s="42"/>
      <c r="U78" s="42">
        <f t="shared" si="130"/>
        <v>40.625</v>
      </c>
      <c r="V78" s="42"/>
      <c r="W78" s="42"/>
      <c r="X78" s="42"/>
      <c r="Y78" s="42"/>
      <c r="Z78" s="42"/>
      <c r="AA78" s="42"/>
      <c r="AB78" s="14" t="s">
        <v>267</v>
      </c>
    </row>
    <row r="79" spans="1:28" x14ac:dyDescent="0.35">
      <c r="A79" s="14" t="s">
        <v>171</v>
      </c>
      <c r="B79" s="14" t="s">
        <v>90</v>
      </c>
      <c r="C79" s="14" t="s">
        <v>162</v>
      </c>
      <c r="D79" s="14" t="s">
        <v>95</v>
      </c>
      <c r="E79" s="27" t="s">
        <v>152</v>
      </c>
      <c r="F79" s="33">
        <f>F12</f>
        <v>1832</v>
      </c>
      <c r="G79" s="33">
        <f>SUM('Raw Data'!C27:D27)</f>
        <v>38371</v>
      </c>
      <c r="H79" s="33">
        <f>H12</f>
        <v>0.59299999999999997</v>
      </c>
      <c r="I79" s="33">
        <f>ROUND(SUM('Raw Data'!C28:D28)/G79,3)</f>
        <v>0.56200000000000006</v>
      </c>
      <c r="J79" s="14">
        <f>ROUND((H79*F79 +I79*G79)/SUM(F79:G79),3)</f>
        <v>0.56299999999999994</v>
      </c>
      <c r="K79" s="14">
        <f>ROUND((I79-H79)/(SQRT(J79*(1-J79)*((1/F79)+(1/G79)))),1)</f>
        <v>-2.6</v>
      </c>
      <c r="L79" s="14">
        <f>$AF$2*(SQRT(J79*(1-J79)*((1/G79)+(1/G78))))</f>
        <v>5.1492162349645139E-3</v>
      </c>
      <c r="M79" s="42">
        <f t="shared" ref="M79" si="135">I79-H79</f>
        <v>-3.0999999999999917E-2</v>
      </c>
      <c r="N79" s="42">
        <f>IF(K79&lt;1.96,0,ROUND((M79)/L79,0))</f>
        <v>0</v>
      </c>
      <c r="O79" s="42"/>
      <c r="P79" s="42"/>
      <c r="Q79" s="42"/>
      <c r="R79" s="42">
        <f>IF(N79&gt;$AG$2,100,ROUND((N79/$AG$2)*100,))</f>
        <v>0</v>
      </c>
      <c r="S79" s="42">
        <v>0.5</v>
      </c>
      <c r="T79" s="42"/>
      <c r="U79" s="42">
        <f t="shared" si="130"/>
        <v>2.7531083481349841</v>
      </c>
      <c r="V79" s="42"/>
      <c r="W79" s="42"/>
      <c r="X79" s="42"/>
      <c r="Y79" s="42"/>
      <c r="Z79" s="42"/>
      <c r="AA79" s="42"/>
      <c r="AB79" s="14" t="s">
        <v>267</v>
      </c>
    </row>
    <row r="80" spans="1:28" x14ac:dyDescent="0.35">
      <c r="A80" s="14" t="s">
        <v>171</v>
      </c>
      <c r="B80" s="14" t="s">
        <v>90</v>
      </c>
      <c r="C80" s="14" t="s">
        <v>162</v>
      </c>
      <c r="D80" s="14" t="s">
        <v>88</v>
      </c>
      <c r="E80" s="27" t="s">
        <v>138</v>
      </c>
      <c r="F80" s="33">
        <f>F13</f>
        <v>262555</v>
      </c>
      <c r="G80" s="33">
        <f>SUM('Demographics Data'!C28:D28)</f>
        <v>6464000</v>
      </c>
      <c r="H80" s="33">
        <f>H13</f>
        <v>7.0000000000000001E-3</v>
      </c>
      <c r="I80" s="33">
        <f>ROUND(SUM('Raw Data'!C27:D27)/'Significance Tests'!G80,3)</f>
        <v>6.0000000000000001E-3</v>
      </c>
      <c r="J80" s="14">
        <f>ROUND((H80*F80 +I80*G80)/SUM(F80:G80),3)</f>
        <v>6.0000000000000001E-3</v>
      </c>
      <c r="K80" s="14">
        <f>ROUND((I80-H80)/(SQRT(J80*(1-J80)*((1/F80)+(1/G80)))),1)</f>
        <v>-6.5</v>
      </c>
      <c r="L80" s="14">
        <f>$AF$2*(SQRT(J80*(1-J80)*((1/G80)+(1/G79))))</f>
        <v>7.7501218119678137E-4</v>
      </c>
      <c r="M80" s="42">
        <f t="shared" ref="M80" si="136">I80-H80</f>
        <v>-1E-3</v>
      </c>
      <c r="N80" s="42">
        <f>IF(K80&lt;1.96,0,ROUND((M80)/L80,0))</f>
        <v>0</v>
      </c>
      <c r="O80" s="42"/>
      <c r="P80" s="42"/>
      <c r="Q80" s="42"/>
      <c r="R80" s="42">
        <f>IF(N80&gt;$AG$2,100,ROUND((N80/$AG$2)*100,))</f>
        <v>0</v>
      </c>
      <c r="S80" s="42">
        <v>1</v>
      </c>
      <c r="T80" s="42"/>
      <c r="U80" s="42">
        <f t="shared" si="130"/>
        <v>8.3333333333333339</v>
      </c>
      <c r="V80" s="42"/>
      <c r="W80" s="42"/>
      <c r="X80" s="42"/>
      <c r="Y80" s="42"/>
      <c r="Z80" s="42"/>
      <c r="AA80" s="42"/>
      <c r="AB80" s="14" t="s">
        <v>267</v>
      </c>
    </row>
    <row r="81" spans="1:28" x14ac:dyDescent="0.35">
      <c r="A81" s="14" t="s">
        <v>171</v>
      </c>
      <c r="B81" s="14" t="s">
        <v>90</v>
      </c>
      <c r="C81" s="14" t="s">
        <v>162</v>
      </c>
      <c r="D81" s="14" t="s">
        <v>88</v>
      </c>
      <c r="E81" s="29" t="s">
        <v>137</v>
      </c>
      <c r="F81" s="33" t="s">
        <v>59</v>
      </c>
      <c r="G81" s="33" t="s">
        <v>59</v>
      </c>
      <c r="H81" s="33" t="s">
        <v>59</v>
      </c>
      <c r="I81" s="33" t="s">
        <v>59</v>
      </c>
      <c r="J81" s="33" t="s">
        <v>59</v>
      </c>
      <c r="K81" s="14" t="e">
        <f t="shared" ref="K81" si="137">ROUND((I81-H81)/(SQRT(J81*(1-J81)*((1/F81)+(1/G81)))),1)</f>
        <v>#VALUE!</v>
      </c>
      <c r="L81" s="33" t="s">
        <v>59</v>
      </c>
      <c r="M81" s="43" t="s">
        <v>59</v>
      </c>
      <c r="N81" s="43" t="s">
        <v>59</v>
      </c>
      <c r="O81" s="43"/>
      <c r="P81" s="43"/>
      <c r="Q81" s="43"/>
      <c r="R81" s="42">
        <f>IF(N81&gt;$AG$2,100,ROUND((N81/$AG$2)*100,))</f>
        <v>100</v>
      </c>
      <c r="S81" s="42">
        <v>0.5</v>
      </c>
      <c r="T81" s="42"/>
      <c r="U81" s="42" t="e">
        <f t="shared" si="130"/>
        <v>#VALUE!</v>
      </c>
      <c r="V81" s="42"/>
      <c r="W81" s="42"/>
      <c r="X81" s="42"/>
      <c r="Y81" s="42"/>
      <c r="Z81" s="42"/>
      <c r="AA81" s="42"/>
      <c r="AB81" s="14" t="s">
        <v>267</v>
      </c>
    </row>
    <row r="82" spans="1:28" x14ac:dyDescent="0.35">
      <c r="A82" s="14" t="s">
        <v>171</v>
      </c>
      <c r="B82" s="14" t="s">
        <v>90</v>
      </c>
      <c r="C82" s="14" t="s">
        <v>162</v>
      </c>
      <c r="D82" s="14" t="s">
        <v>89</v>
      </c>
      <c r="E82" s="26" t="s">
        <v>199</v>
      </c>
      <c r="F82" s="33" t="s">
        <v>202</v>
      </c>
      <c r="G82" s="33" t="s">
        <v>202</v>
      </c>
      <c r="H82" s="33" t="s">
        <v>202</v>
      </c>
      <c r="I82" s="33" t="s">
        <v>202</v>
      </c>
      <c r="J82" s="33" t="s">
        <v>202</v>
      </c>
      <c r="K82" s="33" t="s">
        <v>202</v>
      </c>
      <c r="L82" s="33" t="s">
        <v>202</v>
      </c>
      <c r="M82" s="33" t="s">
        <v>202</v>
      </c>
      <c r="N82" s="33" t="s">
        <v>202</v>
      </c>
      <c r="O82" s="33"/>
      <c r="P82" s="33"/>
      <c r="Q82" s="33"/>
      <c r="R82" s="42" t="e">
        <f>AVERAGE(R71,R77)</f>
        <v>#REF!</v>
      </c>
      <c r="S82" s="42">
        <v>1</v>
      </c>
      <c r="T82" s="42"/>
      <c r="U82" s="42" t="e">
        <f t="shared" si="130"/>
        <v>#VALUE!</v>
      </c>
      <c r="V82" s="42"/>
      <c r="W82" s="42"/>
      <c r="X82" s="42"/>
      <c r="Y82" s="42"/>
      <c r="Z82" s="42"/>
      <c r="AA82" s="42"/>
      <c r="AB82" s="14" t="s">
        <v>267</v>
      </c>
    </row>
    <row r="83" spans="1:28" x14ac:dyDescent="0.35">
      <c r="A83" s="14" t="s">
        <v>171</v>
      </c>
      <c r="B83" s="14" t="s">
        <v>91</v>
      </c>
      <c r="C83" s="33" t="s">
        <v>162</v>
      </c>
      <c r="D83" s="32" t="s">
        <v>94</v>
      </c>
      <c r="E83" s="28" t="s">
        <v>109</v>
      </c>
      <c r="F83" s="40">
        <f>F17</f>
        <v>3200</v>
      </c>
      <c r="G83" s="40" t="s">
        <v>59</v>
      </c>
      <c r="H83" s="40">
        <f>H17</f>
        <v>0.20100000000000001</v>
      </c>
      <c r="I83" s="40" t="s">
        <v>59</v>
      </c>
      <c r="J83" s="14" t="s">
        <v>59</v>
      </c>
      <c r="K83" s="14" t="s">
        <v>59</v>
      </c>
      <c r="L83" s="14" t="s">
        <v>59</v>
      </c>
      <c r="M83" s="42" t="s">
        <v>59</v>
      </c>
      <c r="N83" s="42" t="s">
        <v>59</v>
      </c>
      <c r="O83" s="42"/>
      <c r="P83" s="42"/>
      <c r="Q83" s="42"/>
      <c r="R83" s="42">
        <f t="shared" ref="R83:R91" si="138">IF(N83&gt;$AG$2,100,ROUND((N83/$AG$2)*100,))</f>
        <v>100</v>
      </c>
      <c r="S83" s="42">
        <v>0.5</v>
      </c>
      <c r="T83" s="42"/>
      <c r="U83" s="42" t="e">
        <f t="shared" si="130"/>
        <v>#VALUE!</v>
      </c>
      <c r="V83" s="42"/>
      <c r="W83" s="42"/>
      <c r="X83" s="42"/>
      <c r="Y83" s="42"/>
      <c r="Z83" s="42"/>
      <c r="AA83" s="42"/>
      <c r="AB83" s="14" t="s">
        <v>267</v>
      </c>
    </row>
    <row r="84" spans="1:28" x14ac:dyDescent="0.35">
      <c r="A84" s="14" t="s">
        <v>171</v>
      </c>
      <c r="B84" s="14" t="s">
        <v>91</v>
      </c>
      <c r="C84" s="33" t="s">
        <v>162</v>
      </c>
      <c r="D84" s="32" t="s">
        <v>94</v>
      </c>
      <c r="E84" s="26" t="s">
        <v>110</v>
      </c>
      <c r="F84" s="40">
        <f>F18</f>
        <v>17696</v>
      </c>
      <c r="G84" s="40">
        <f>SUM('Raw Data'!C35:D35)</f>
        <v>500059</v>
      </c>
      <c r="H84" s="40">
        <f>H18</f>
        <v>3.5999999999999997E-2</v>
      </c>
      <c r="I84" s="40" t="e">
        <f>ROUND(SUM('Raw Data'!#REF!)/'Significance Tests'!G84,3)</f>
        <v>#REF!</v>
      </c>
      <c r="J84" s="14" t="e">
        <f t="shared" ref="J84" si="139">ROUND((H84*F84 +I84*G84)/SUM(F84:G84),3)</f>
        <v>#REF!</v>
      </c>
      <c r="K84" s="14" t="e">
        <f t="shared" ref="K84" si="140">ROUND((I84-H84)/(SQRT(J84*(1-J84)*((1/F84)+(1/G84)))),1)</f>
        <v>#REF!</v>
      </c>
      <c r="L84" s="14" t="e">
        <f>$AF$2*(SQRT(J84*(1-J84)*((1/G84)+(1/F84))))</f>
        <v>#REF!</v>
      </c>
      <c r="M84" s="42" t="e">
        <f t="shared" ref="M84" si="141">I84-H84</f>
        <v>#REF!</v>
      </c>
      <c r="N84" s="42" t="e">
        <f t="shared" ref="N84" si="142">IF(K84&lt;1.96,0,ROUND((M84)/L84,0))</f>
        <v>#REF!</v>
      </c>
      <c r="O84" s="42"/>
      <c r="P84" s="42"/>
      <c r="Q84" s="42"/>
      <c r="R84" s="42" t="e">
        <f t="shared" si="138"/>
        <v>#REF!</v>
      </c>
      <c r="S84" s="42">
        <v>0.5</v>
      </c>
      <c r="T84" s="42"/>
      <c r="U84" s="42" t="e">
        <f t="shared" si="130"/>
        <v>#REF!</v>
      </c>
      <c r="V84" s="42"/>
      <c r="W84" s="42"/>
      <c r="X84" s="42"/>
      <c r="Y84" s="42"/>
      <c r="Z84" s="42"/>
      <c r="AA84" s="42"/>
      <c r="AB84" s="14" t="s">
        <v>267</v>
      </c>
    </row>
    <row r="85" spans="1:28" x14ac:dyDescent="0.35">
      <c r="A85" s="14" t="s">
        <v>171</v>
      </c>
      <c r="B85" s="14" t="s">
        <v>91</v>
      </c>
      <c r="C85" s="33" t="s">
        <v>162</v>
      </c>
      <c r="D85" s="32" t="s">
        <v>95</v>
      </c>
      <c r="E85" s="28" t="s">
        <v>111</v>
      </c>
      <c r="F85" s="40">
        <f>F20</f>
        <v>380</v>
      </c>
      <c r="G85" s="40" t="s">
        <v>59</v>
      </c>
      <c r="H85" s="40">
        <f>H20</f>
        <v>0.221</v>
      </c>
      <c r="I85" s="40" t="s">
        <v>59</v>
      </c>
      <c r="J85" s="14" t="s">
        <v>59</v>
      </c>
      <c r="K85" s="14" t="s">
        <v>59</v>
      </c>
      <c r="L85" s="14" t="s">
        <v>59</v>
      </c>
      <c r="M85" s="42" t="s">
        <v>59</v>
      </c>
      <c r="N85" s="42" t="s">
        <v>59</v>
      </c>
      <c r="O85" s="42"/>
      <c r="P85" s="42"/>
      <c r="Q85" s="42"/>
      <c r="R85" s="42">
        <f t="shared" si="138"/>
        <v>100</v>
      </c>
      <c r="S85" s="42">
        <v>0.5</v>
      </c>
      <c r="T85" s="42"/>
      <c r="U85" s="42" t="e">
        <f t="shared" si="130"/>
        <v>#VALUE!</v>
      </c>
      <c r="V85" s="42"/>
      <c r="W85" s="42"/>
      <c r="X85" s="42"/>
      <c r="Y85" s="42"/>
      <c r="Z85" s="42"/>
      <c r="AA85" s="42"/>
      <c r="AB85" s="14" t="s">
        <v>267</v>
      </c>
    </row>
    <row r="86" spans="1:28" x14ac:dyDescent="0.35">
      <c r="A86" s="14" t="s">
        <v>171</v>
      </c>
      <c r="B86" s="14" t="s">
        <v>91</v>
      </c>
      <c r="C86" s="33" t="s">
        <v>162</v>
      </c>
      <c r="D86" s="32" t="s">
        <v>95</v>
      </c>
      <c r="E86" s="26" t="s">
        <v>112</v>
      </c>
      <c r="F86" s="40">
        <f>F19</f>
        <v>2121</v>
      </c>
      <c r="G86" s="40">
        <f>SUM('Raw Data'!C39:D39)</f>
        <v>792</v>
      </c>
      <c r="H86" s="40">
        <f>H19</f>
        <v>0.04</v>
      </c>
      <c r="I86" s="40">
        <f>ROUND(SUM('Raw Data'!C37:D37)/G86,3)</f>
        <v>0.21299999999999999</v>
      </c>
      <c r="J86" s="14">
        <f t="shared" ref="J86" si="143">ROUND((H86*F86 +I86*G86)/SUM(F86:G86),3)</f>
        <v>8.6999999999999994E-2</v>
      </c>
      <c r="K86" s="14">
        <f t="shared" ref="K86" si="144">ROUND((I86-H86)/(SQRT(J86*(1-J86)*((1/F86)+(1/G86)))),1)</f>
        <v>14.7</v>
      </c>
      <c r="L86" s="14">
        <f>$AF$2*(SQRT(J86*(1-J86)*((1/G86)+(1/F86))))</f>
        <v>2.3003207854931054E-2</v>
      </c>
      <c r="M86" s="42">
        <f t="shared" ref="M86" si="145">I86-H86</f>
        <v>0.17299999999999999</v>
      </c>
      <c r="N86" s="42">
        <f t="shared" ref="N86" si="146">IF(K86&lt;1.96,0,ROUND((M86)/L86,0))</f>
        <v>8</v>
      </c>
      <c r="O86" s="42"/>
      <c r="P86" s="42"/>
      <c r="Q86" s="42"/>
      <c r="R86" s="42">
        <f t="shared" si="138"/>
        <v>53</v>
      </c>
      <c r="S86" s="42">
        <v>0.5</v>
      </c>
      <c r="T86" s="42"/>
      <c r="U86" s="42">
        <f t="shared" si="130"/>
        <v>99.425287356321832</v>
      </c>
      <c r="V86" s="42"/>
      <c r="W86" s="42"/>
      <c r="X86" s="42"/>
      <c r="Y86" s="42"/>
      <c r="Z86" s="42"/>
      <c r="AA86" s="42"/>
      <c r="AB86" s="14" t="s">
        <v>267</v>
      </c>
    </row>
    <row r="87" spans="1:28" x14ac:dyDescent="0.35">
      <c r="A87" s="14" t="s">
        <v>171</v>
      </c>
      <c r="B87" s="14" t="s">
        <v>91</v>
      </c>
      <c r="C87" s="33" t="s">
        <v>162</v>
      </c>
      <c r="D87" s="32" t="s">
        <v>88</v>
      </c>
      <c r="E87" s="36" t="s">
        <v>203</v>
      </c>
      <c r="F87" s="40">
        <f>F21</f>
        <v>78595</v>
      </c>
      <c r="G87" s="40">
        <f>'Raw Data'!C41+'Raw Data'!D41</f>
        <v>5121847</v>
      </c>
      <c r="H87" s="40">
        <f>H21</f>
        <v>4.1000000000000002E-2</v>
      </c>
      <c r="I87" s="40" t="s">
        <v>59</v>
      </c>
      <c r="J87" s="14" t="s">
        <v>59</v>
      </c>
      <c r="K87" s="14" t="s">
        <v>59</v>
      </c>
      <c r="L87" s="14" t="s">
        <v>59</v>
      </c>
      <c r="M87" s="42" t="s">
        <v>59</v>
      </c>
      <c r="N87" s="42" t="s">
        <v>59</v>
      </c>
      <c r="O87" s="42"/>
      <c r="P87" s="42"/>
      <c r="Q87" s="42"/>
      <c r="R87" s="42">
        <f t="shared" si="138"/>
        <v>100</v>
      </c>
      <c r="S87" s="42">
        <v>0.25</v>
      </c>
      <c r="T87" s="42"/>
      <c r="U87" s="42" t="e">
        <f t="shared" si="130"/>
        <v>#VALUE!</v>
      </c>
      <c r="V87" s="42"/>
      <c r="W87" s="42"/>
      <c r="X87" s="42"/>
      <c r="Y87" s="42"/>
      <c r="Z87" s="42"/>
      <c r="AA87" s="42"/>
      <c r="AB87" s="14" t="s">
        <v>267</v>
      </c>
    </row>
    <row r="88" spans="1:28" x14ac:dyDescent="0.35">
      <c r="A88" s="14" t="s">
        <v>171</v>
      </c>
      <c r="B88" s="14" t="s">
        <v>91</v>
      </c>
      <c r="C88" s="33" t="s">
        <v>162</v>
      </c>
      <c r="D88" s="32" t="s">
        <v>89</v>
      </c>
      <c r="E88" s="28" t="s">
        <v>201</v>
      </c>
      <c r="F88" s="40" t="s">
        <v>202</v>
      </c>
      <c r="G88" s="40" t="s">
        <v>202</v>
      </c>
      <c r="H88" s="40" t="s">
        <v>202</v>
      </c>
      <c r="I88" s="40" t="s">
        <v>202</v>
      </c>
      <c r="J88" s="40" t="s">
        <v>202</v>
      </c>
      <c r="K88" s="40" t="s">
        <v>202</v>
      </c>
      <c r="L88" s="40" t="s">
        <v>202</v>
      </c>
      <c r="M88" s="40" t="s">
        <v>202</v>
      </c>
      <c r="N88" s="40" t="s">
        <v>202</v>
      </c>
      <c r="O88" s="40"/>
      <c r="P88" s="40"/>
      <c r="Q88" s="40"/>
      <c r="R88" s="42">
        <f t="shared" si="138"/>
        <v>100</v>
      </c>
      <c r="S88" s="42">
        <v>1</v>
      </c>
      <c r="T88" s="42"/>
      <c r="U88" s="42" t="e">
        <f t="shared" si="130"/>
        <v>#VALUE!</v>
      </c>
      <c r="V88" s="42"/>
      <c r="W88" s="42"/>
      <c r="X88" s="42"/>
      <c r="Y88" s="42"/>
      <c r="Z88" s="42"/>
      <c r="AA88" s="42"/>
      <c r="AB88" s="14" t="s">
        <v>267</v>
      </c>
    </row>
    <row r="89" spans="1:28" x14ac:dyDescent="0.35">
      <c r="A89" s="14" t="s">
        <v>171</v>
      </c>
      <c r="B89" s="33" t="s">
        <v>92</v>
      </c>
      <c r="C89" s="33" t="s">
        <v>162</v>
      </c>
      <c r="D89" s="32" t="s">
        <v>94</v>
      </c>
      <c r="E89" s="26" t="s">
        <v>144</v>
      </c>
      <c r="F89" s="41">
        <f>F27</f>
        <v>123681</v>
      </c>
      <c r="G89" s="14" t="e">
        <f>'Raw Data'!#REF!</f>
        <v>#REF!</v>
      </c>
      <c r="H89" s="14">
        <f>H27</f>
        <v>0.14399999999999999</v>
      </c>
      <c r="I89" s="14" t="e">
        <f>ROUND(('Raw Data'!#REF!+'Raw Data'!#REF!)/'Raw Data'!#REF!,3)</f>
        <v>#REF!</v>
      </c>
      <c r="J89" s="14" t="e">
        <f>ROUND((H89*F89 +I89*G89)/SUM(F89:G89),3)</f>
        <v>#REF!</v>
      </c>
      <c r="K89" s="14" t="e">
        <f>ROUND((I89-H89)/(SQRT(J89*(1-J89)*((1/F89)+(1/G89)))),1)</f>
        <v>#REF!</v>
      </c>
      <c r="L89" s="14" t="e">
        <f>$AF$2*(SQRT(J89*(1-J89)*((1/G89)+(1/F89))))</f>
        <v>#REF!</v>
      </c>
      <c r="M89" s="42" t="e">
        <f>I89-H89</f>
        <v>#REF!</v>
      </c>
      <c r="N89" s="42" t="e">
        <f>IF(K89&lt;1.96,0,ROUND((M89)/L89,0))</f>
        <v>#REF!</v>
      </c>
      <c r="O89" s="42"/>
      <c r="P89" s="42"/>
      <c r="Q89" s="42"/>
      <c r="R89" s="42" t="e">
        <f t="shared" si="138"/>
        <v>#REF!</v>
      </c>
      <c r="S89" s="42">
        <v>1</v>
      </c>
      <c r="T89" s="42"/>
      <c r="U89" s="42" t="e">
        <f t="shared" si="130"/>
        <v>#REF!</v>
      </c>
      <c r="V89" s="42"/>
      <c r="W89" s="42"/>
      <c r="X89" s="42"/>
      <c r="Y89" s="42"/>
      <c r="Z89" s="42"/>
      <c r="AA89" s="42"/>
      <c r="AB89" s="14" t="s">
        <v>267</v>
      </c>
    </row>
    <row r="90" spans="1:28" x14ac:dyDescent="0.35">
      <c r="A90" s="14" t="s">
        <v>171</v>
      </c>
      <c r="B90" s="33" t="s">
        <v>92</v>
      </c>
      <c r="C90" s="33" t="s">
        <v>162</v>
      </c>
      <c r="D90" s="32" t="s">
        <v>95</v>
      </c>
      <c r="E90" s="26" t="s">
        <v>145</v>
      </c>
      <c r="F90" s="14">
        <f>F28</f>
        <v>21858</v>
      </c>
      <c r="G90" s="14">
        <f>SUM('Raw Data'!B34)</f>
        <v>678685</v>
      </c>
      <c r="H90" s="14">
        <f>H28</f>
        <v>0.14299999999999999</v>
      </c>
      <c r="I90" s="14">
        <f>ROUND(SUM('Raw Data'!C34:D34)/'Raw Data'!B34,3)</f>
        <v>0.14599999999999999</v>
      </c>
      <c r="J90" s="14">
        <f>ROUND((H90*F90 +I90*G90)/SUM(F90:G90),3)</f>
        <v>0.14599999999999999</v>
      </c>
      <c r="K90" s="14">
        <f>ROUND((I90-H90)/(SQRT(J90*(1-J90)*((1/F90)+(1/G90)))),1)</f>
        <v>1.2</v>
      </c>
      <c r="L90" s="14">
        <f>$AF$2*(SQRT(J90*(1-J90)*((1/G90)+(1/F90))))</f>
        <v>4.7559742803741012E-3</v>
      </c>
      <c r="M90" s="42">
        <f>I90-H90</f>
        <v>3.0000000000000027E-3</v>
      </c>
      <c r="N90" s="42">
        <f>IF(K90&lt;1.96,0,ROUND((M90)/L90,0))</f>
        <v>0</v>
      </c>
      <c r="O90" s="42"/>
      <c r="P90" s="42"/>
      <c r="Q90" s="42"/>
      <c r="R90" s="42">
        <f t="shared" si="138"/>
        <v>0</v>
      </c>
      <c r="S90" s="42">
        <v>1</v>
      </c>
      <c r="T90" s="42"/>
      <c r="U90" s="42">
        <f t="shared" si="130"/>
        <v>1.0273972602739736</v>
      </c>
      <c r="V90" s="42"/>
      <c r="W90" s="42"/>
      <c r="X90" s="42"/>
      <c r="Y90" s="42"/>
      <c r="Z90" s="42"/>
      <c r="AA90" s="42"/>
      <c r="AB90" s="14" t="s">
        <v>267</v>
      </c>
    </row>
    <row r="91" spans="1:28" x14ac:dyDescent="0.35">
      <c r="A91" s="14" t="s">
        <v>171</v>
      </c>
      <c r="B91" s="33" t="s">
        <v>92</v>
      </c>
      <c r="C91" s="33" t="s">
        <v>162</v>
      </c>
      <c r="D91" s="32" t="s">
        <v>88</v>
      </c>
      <c r="E91" s="34" t="s">
        <v>146</v>
      </c>
      <c r="F91" s="14" t="s">
        <v>59</v>
      </c>
      <c r="G91" s="14" t="s">
        <v>59</v>
      </c>
      <c r="H91" s="14" t="s">
        <v>59</v>
      </c>
      <c r="I91" s="14" t="s">
        <v>59</v>
      </c>
      <c r="J91" s="14" t="s">
        <v>59</v>
      </c>
      <c r="K91" s="14" t="s">
        <v>59</v>
      </c>
      <c r="L91" s="14" t="s">
        <v>59</v>
      </c>
      <c r="M91" s="42" t="s">
        <v>59</v>
      </c>
      <c r="N91" s="42" t="s">
        <v>59</v>
      </c>
      <c r="O91" s="42"/>
      <c r="P91" s="42"/>
      <c r="Q91" s="42"/>
      <c r="R91" s="42">
        <f t="shared" si="138"/>
        <v>100</v>
      </c>
      <c r="S91" s="42">
        <v>1</v>
      </c>
      <c r="T91" s="42"/>
      <c r="U91" s="42" t="e">
        <f t="shared" si="130"/>
        <v>#VALUE!</v>
      </c>
      <c r="V91" s="42"/>
      <c r="W91" s="42"/>
      <c r="X91" s="42"/>
      <c r="Y91" s="42"/>
      <c r="Z91" s="42"/>
      <c r="AA91" s="42"/>
      <c r="AB91" s="14" t="s">
        <v>267</v>
      </c>
    </row>
    <row r="92" spans="1:28" x14ac:dyDescent="0.35">
      <c r="A92" s="14" t="s">
        <v>171</v>
      </c>
      <c r="B92" s="33" t="s">
        <v>92</v>
      </c>
      <c r="C92" s="33" t="s">
        <v>162</v>
      </c>
      <c r="D92" s="32" t="s">
        <v>89</v>
      </c>
      <c r="E92" s="28" t="s">
        <v>147</v>
      </c>
      <c r="F92" s="14" t="s">
        <v>202</v>
      </c>
      <c r="G92" s="14" t="s">
        <v>202</v>
      </c>
      <c r="H92" s="14" t="s">
        <v>202</v>
      </c>
      <c r="I92" s="14" t="s">
        <v>202</v>
      </c>
      <c r="J92" s="14" t="s">
        <v>202</v>
      </c>
      <c r="K92" s="14" t="s">
        <v>202</v>
      </c>
      <c r="L92" s="14" t="s">
        <v>202</v>
      </c>
      <c r="M92" s="42" t="s">
        <v>202</v>
      </c>
      <c r="N92" s="42" t="s">
        <v>202</v>
      </c>
      <c r="O92" s="42"/>
      <c r="P92" s="42"/>
      <c r="Q92" s="42"/>
      <c r="R92" s="42" t="s">
        <v>59</v>
      </c>
      <c r="S92" s="42">
        <v>1</v>
      </c>
      <c r="T92" s="42"/>
      <c r="U92" s="42" t="e">
        <f t="shared" si="130"/>
        <v>#VALUE!</v>
      </c>
      <c r="V92" s="42"/>
      <c r="W92" s="42"/>
      <c r="X92" s="42"/>
      <c r="Y92" s="42"/>
      <c r="Z92" s="42"/>
      <c r="AA92" s="42"/>
      <c r="AB92" s="14" t="s">
        <v>267</v>
      </c>
    </row>
    <row r="95" spans="1:28" x14ac:dyDescent="0.35">
      <c r="A95" s="14" t="s">
        <v>176</v>
      </c>
      <c r="B95" s="31" t="s">
        <v>32</v>
      </c>
      <c r="C95" s="14" t="s">
        <v>161</v>
      </c>
      <c r="D95" s="14" t="s">
        <v>94</v>
      </c>
      <c r="E95" s="26" t="s">
        <v>177</v>
      </c>
      <c r="F95" s="14">
        <v>18667</v>
      </c>
      <c r="G95" s="14">
        <v>3585</v>
      </c>
      <c r="H95" s="14">
        <v>0.252</v>
      </c>
      <c r="I95" s="14">
        <v>0.53900000000000003</v>
      </c>
      <c r="J95" s="14">
        <f>ROUND((H95*F95 +I95*G95)/SUM(F95:G95),3)</f>
        <v>0.29799999999999999</v>
      </c>
      <c r="K95" s="14">
        <f>ROUND((I95-H95)/(SQRT(J95*(1-J95)*((1/F95)+(1/G95)))),1)</f>
        <v>34.4</v>
      </c>
      <c r="L95" s="14">
        <f t="shared" ref="L95:L109" si="147">$AF$2*(SQRT(J95*(1-J95)*((1/G95)+(1/F95))))</f>
        <v>1.6346901334765369E-2</v>
      </c>
      <c r="M95" s="42">
        <f>I95-H95</f>
        <v>0.28700000000000003</v>
      </c>
      <c r="N95" s="42">
        <f>IF(K95&lt;1.96,0,ROUND((M95)/L95,0))</f>
        <v>18</v>
      </c>
      <c r="O95" s="42"/>
      <c r="P95" s="42"/>
      <c r="Q95" s="42"/>
      <c r="R95" s="42">
        <f>IF(N95&gt;$AG$2,100,ROUND((N95/$AG$2)*100,))</f>
        <v>100</v>
      </c>
      <c r="S95" s="42">
        <v>0.5</v>
      </c>
      <c r="T95" s="42"/>
      <c r="U95" s="42">
        <f t="shared" ref="U95:U118" si="148">(((ABS(H95-J95)/2)+(ABS(I95-J95)/2))*100)/J95</f>
        <v>48.154362416107389</v>
      </c>
      <c r="V95" s="42"/>
      <c r="W95" s="42"/>
      <c r="X95" s="42"/>
      <c r="Y95" s="42"/>
      <c r="Z95" s="42"/>
      <c r="AA95" s="42"/>
      <c r="AB95" s="14" t="s">
        <v>244</v>
      </c>
    </row>
    <row r="96" spans="1:28" x14ac:dyDescent="0.35">
      <c r="A96" s="14" t="s">
        <v>176</v>
      </c>
      <c r="B96" s="31" t="s">
        <v>32</v>
      </c>
      <c r="C96" s="14" t="s">
        <v>161</v>
      </c>
      <c r="D96" s="14" t="s">
        <v>95</v>
      </c>
      <c r="E96" s="26" t="s">
        <v>178</v>
      </c>
      <c r="F96" s="14">
        <v>18667</v>
      </c>
      <c r="G96" s="14">
        <v>3585</v>
      </c>
      <c r="H96" s="14">
        <v>2.7E-2</v>
      </c>
      <c r="I96" s="14">
        <v>0.13800000000000001</v>
      </c>
      <c r="J96" s="14">
        <f t="shared" ref="J96:J118" si="149">ROUND((H96*F96 +I96*G96)/SUM(F96:G96),3)</f>
        <v>4.4999999999999998E-2</v>
      </c>
      <c r="K96" s="14">
        <f t="shared" ref="K96:K118" si="150">ROUND((I96-H96)/(SQRT(J96*(1-J96)*((1/F96)+(1/G96)))),1)</f>
        <v>29.4</v>
      </c>
      <c r="L96" s="14">
        <f t="shared" si="147"/>
        <v>7.4091211455335967E-3</v>
      </c>
      <c r="M96" s="42">
        <f t="shared" ref="M96:M118" si="151">I96-H96</f>
        <v>0.11100000000000002</v>
      </c>
      <c r="N96" s="42">
        <f t="shared" ref="N96:N118" si="152">IF(K96&lt;1.96,0,ROUND((M96)/L96,0))</f>
        <v>15</v>
      </c>
      <c r="O96" s="42"/>
      <c r="P96" s="42"/>
      <c r="Q96" s="42"/>
      <c r="R96" s="42">
        <f t="shared" ref="R96:R118" si="153">IF(N96&gt;$AG$2,100,ROUND((N96/$AG$2)*100,))</f>
        <v>100</v>
      </c>
      <c r="S96" s="42">
        <v>0.5</v>
      </c>
      <c r="T96" s="42"/>
      <c r="U96" s="42">
        <f t="shared" si="148"/>
        <v>123.33333333333336</v>
      </c>
      <c r="V96" s="42"/>
      <c r="W96" s="42"/>
      <c r="X96" s="42"/>
      <c r="Y96" s="42"/>
      <c r="Z96" s="42"/>
      <c r="AA96" s="42"/>
      <c r="AB96" s="14" t="s">
        <v>244</v>
      </c>
    </row>
    <row r="97" spans="1:28" x14ac:dyDescent="0.35">
      <c r="A97" s="14" t="s">
        <v>176</v>
      </c>
      <c r="B97" s="31" t="s">
        <v>32</v>
      </c>
      <c r="C97" s="14" t="s">
        <v>161</v>
      </c>
      <c r="D97" s="14" t="s">
        <v>94</v>
      </c>
      <c r="E97" s="26" t="s">
        <v>179</v>
      </c>
      <c r="F97" s="14">
        <v>21876</v>
      </c>
      <c r="G97" s="14">
        <v>3589</v>
      </c>
      <c r="H97" s="14">
        <v>0.16900000000000001</v>
      </c>
      <c r="I97" s="14">
        <v>0.45100000000000001</v>
      </c>
      <c r="J97" s="14">
        <f t="shared" si="149"/>
        <v>0.20899999999999999</v>
      </c>
      <c r="K97" s="14">
        <f t="shared" si="150"/>
        <v>38.5</v>
      </c>
      <c r="L97" s="14">
        <f t="shared" si="147"/>
        <v>1.4352204368832E-2</v>
      </c>
      <c r="M97" s="42">
        <f t="shared" si="151"/>
        <v>0.28200000000000003</v>
      </c>
      <c r="N97" s="42">
        <f t="shared" si="152"/>
        <v>20</v>
      </c>
      <c r="O97" s="42"/>
      <c r="P97" s="42"/>
      <c r="Q97" s="42"/>
      <c r="R97" s="42">
        <f t="shared" si="153"/>
        <v>100</v>
      </c>
      <c r="S97" s="42">
        <v>0.5</v>
      </c>
      <c r="T97" s="42"/>
      <c r="U97" s="42">
        <f t="shared" si="148"/>
        <v>67.464114832535898</v>
      </c>
      <c r="V97" s="42"/>
      <c r="W97" s="42"/>
      <c r="X97" s="42"/>
      <c r="Y97" s="42"/>
      <c r="Z97" s="42"/>
      <c r="AA97" s="42"/>
      <c r="AB97" s="14" t="s">
        <v>244</v>
      </c>
    </row>
    <row r="98" spans="1:28" x14ac:dyDescent="0.35">
      <c r="A98" s="14" t="s">
        <v>176</v>
      </c>
      <c r="B98" s="31" t="s">
        <v>32</v>
      </c>
      <c r="C98" s="14" t="s">
        <v>161</v>
      </c>
      <c r="D98" s="14" t="s">
        <v>95</v>
      </c>
      <c r="E98" s="26" t="s">
        <v>180</v>
      </c>
      <c r="F98" s="14">
        <v>21876</v>
      </c>
      <c r="G98" s="14">
        <v>3589</v>
      </c>
      <c r="H98" s="14">
        <v>2.5999999999999999E-2</v>
      </c>
      <c r="I98" s="14">
        <v>0.15</v>
      </c>
      <c r="J98" s="14">
        <f t="shared" si="149"/>
        <v>4.2999999999999997E-2</v>
      </c>
      <c r="K98" s="14">
        <f t="shared" si="150"/>
        <v>33.9</v>
      </c>
      <c r="L98" s="14">
        <f t="shared" si="147"/>
        <v>7.1605671495596932E-3</v>
      </c>
      <c r="M98" s="42">
        <f t="shared" si="151"/>
        <v>0.124</v>
      </c>
      <c r="N98" s="42">
        <f t="shared" si="152"/>
        <v>17</v>
      </c>
      <c r="O98" s="42"/>
      <c r="P98" s="42"/>
      <c r="Q98" s="42"/>
      <c r="R98" s="42">
        <f t="shared" si="153"/>
        <v>100</v>
      </c>
      <c r="S98" s="42">
        <v>0.5</v>
      </c>
      <c r="T98" s="42"/>
      <c r="U98" s="42">
        <f t="shared" si="148"/>
        <v>144.18604651162792</v>
      </c>
      <c r="V98" s="42"/>
      <c r="W98" s="42"/>
      <c r="X98" s="42"/>
      <c r="Y98" s="42"/>
      <c r="Z98" s="42"/>
      <c r="AA98" s="42"/>
      <c r="AB98" s="14" t="s">
        <v>244</v>
      </c>
    </row>
    <row r="99" spans="1:28" x14ac:dyDescent="0.35">
      <c r="A99" s="14" t="s">
        <v>176</v>
      </c>
      <c r="B99" s="31" t="s">
        <v>32</v>
      </c>
      <c r="C99" s="14" t="s">
        <v>161</v>
      </c>
      <c r="D99" s="14" t="s">
        <v>89</v>
      </c>
      <c r="E99" s="26" t="s">
        <v>182</v>
      </c>
      <c r="F99" s="14">
        <v>21876</v>
      </c>
      <c r="G99" s="14">
        <v>18667</v>
      </c>
      <c r="H99" s="14">
        <v>2.5999999999999999E-2</v>
      </c>
      <c r="I99" s="14">
        <v>2.7E-2</v>
      </c>
      <c r="J99" s="14">
        <f t="shared" si="149"/>
        <v>2.5999999999999999E-2</v>
      </c>
      <c r="K99" s="14">
        <f t="shared" si="150"/>
        <v>0.6</v>
      </c>
      <c r="L99" s="14">
        <f t="shared" si="147"/>
        <v>3.1078420848124734E-3</v>
      </c>
      <c r="M99" s="42">
        <f t="shared" si="151"/>
        <v>1.0000000000000009E-3</v>
      </c>
      <c r="N99" s="42">
        <f t="shared" si="152"/>
        <v>0</v>
      </c>
      <c r="O99" s="42"/>
      <c r="P99" s="42"/>
      <c r="Q99" s="42"/>
      <c r="R99" s="42">
        <f t="shared" si="153"/>
        <v>0</v>
      </c>
      <c r="S99" s="42">
        <v>1</v>
      </c>
      <c r="T99" s="42"/>
      <c r="U99" s="42">
        <f t="shared" si="148"/>
        <v>1.9230769230769249</v>
      </c>
      <c r="V99" s="42"/>
      <c r="W99" s="42"/>
      <c r="X99" s="42"/>
      <c r="Y99" s="42"/>
      <c r="Z99" s="42"/>
      <c r="AA99" s="42"/>
      <c r="AB99" s="14" t="s">
        <v>244</v>
      </c>
    </row>
    <row r="100" spans="1:28" x14ac:dyDescent="0.35">
      <c r="A100" s="14" t="s">
        <v>176</v>
      </c>
      <c r="B100" s="14" t="s">
        <v>90</v>
      </c>
      <c r="C100" s="14" t="s">
        <v>161</v>
      </c>
      <c r="D100" s="14" t="s">
        <v>94</v>
      </c>
      <c r="E100" s="27" t="s">
        <v>183</v>
      </c>
      <c r="F100" s="14">
        <v>19268</v>
      </c>
      <c r="G100" s="14">
        <v>3368</v>
      </c>
      <c r="H100" s="33">
        <v>0.28199999999999997</v>
      </c>
      <c r="I100" s="33">
        <v>0.64</v>
      </c>
      <c r="J100" s="14">
        <f t="shared" si="149"/>
        <v>0.33500000000000002</v>
      </c>
      <c r="K100" s="14">
        <f t="shared" si="150"/>
        <v>40.6</v>
      </c>
      <c r="L100" s="14">
        <f t="shared" si="147"/>
        <v>1.7277654290051372E-2</v>
      </c>
      <c r="M100" s="42">
        <f t="shared" si="151"/>
        <v>0.35800000000000004</v>
      </c>
      <c r="N100" s="42">
        <f t="shared" si="152"/>
        <v>21</v>
      </c>
      <c r="O100" s="42"/>
      <c r="P100" s="42"/>
      <c r="Q100" s="42"/>
      <c r="R100" s="42">
        <f t="shared" si="153"/>
        <v>100</v>
      </c>
      <c r="S100" s="42">
        <v>1</v>
      </c>
      <c r="T100" s="42"/>
      <c r="U100" s="42">
        <f t="shared" si="148"/>
        <v>53.432835820895527</v>
      </c>
      <c r="V100" s="42"/>
      <c r="W100" s="42"/>
      <c r="X100" s="42"/>
      <c r="Y100" s="42"/>
      <c r="Z100" s="42"/>
      <c r="AA100" s="42"/>
      <c r="AB100" s="14" t="s">
        <v>285</v>
      </c>
    </row>
    <row r="101" spans="1:28" x14ac:dyDescent="0.35">
      <c r="A101" s="14" t="s">
        <v>176</v>
      </c>
      <c r="B101" s="14" t="s">
        <v>90</v>
      </c>
      <c r="C101" s="14" t="s">
        <v>161</v>
      </c>
      <c r="D101" s="14" t="s">
        <v>95</v>
      </c>
      <c r="E101" s="27" t="s">
        <v>184</v>
      </c>
      <c r="F101" s="14">
        <v>19268</v>
      </c>
      <c r="G101" s="14">
        <v>3368</v>
      </c>
      <c r="H101" s="14">
        <v>6.6000000000000003E-2</v>
      </c>
      <c r="I101" s="14">
        <v>0.22500000000000001</v>
      </c>
      <c r="J101" s="14">
        <f t="shared" si="149"/>
        <v>0.09</v>
      </c>
      <c r="K101" s="14">
        <f t="shared" si="150"/>
        <v>29.7</v>
      </c>
      <c r="L101" s="14">
        <f t="shared" si="147"/>
        <v>1.0475952115283344E-2</v>
      </c>
      <c r="M101" s="42">
        <f t="shared" si="151"/>
        <v>0.159</v>
      </c>
      <c r="N101" s="42">
        <f t="shared" si="152"/>
        <v>15</v>
      </c>
      <c r="O101" s="42"/>
      <c r="P101" s="42"/>
      <c r="Q101" s="42"/>
      <c r="R101" s="42">
        <f t="shared" si="153"/>
        <v>100</v>
      </c>
      <c r="S101" s="42">
        <v>0.5</v>
      </c>
      <c r="T101" s="42"/>
      <c r="U101" s="42">
        <f t="shared" si="148"/>
        <v>88.333333333333343</v>
      </c>
      <c r="V101" s="42"/>
      <c r="W101" s="42"/>
      <c r="X101" s="42"/>
      <c r="Y101" s="42"/>
      <c r="Z101" s="42"/>
      <c r="AA101" s="42"/>
      <c r="AB101" s="14" t="s">
        <v>285</v>
      </c>
    </row>
    <row r="102" spans="1:28" x14ac:dyDescent="0.35">
      <c r="A102" s="14" t="s">
        <v>176</v>
      </c>
      <c r="B102" s="14" t="s">
        <v>90</v>
      </c>
      <c r="C102" s="14" t="s">
        <v>161</v>
      </c>
      <c r="D102" s="14" t="s">
        <v>95</v>
      </c>
      <c r="E102" s="27" t="s">
        <v>185</v>
      </c>
      <c r="F102" s="14">
        <v>1832</v>
      </c>
      <c r="G102" s="14">
        <v>5835</v>
      </c>
      <c r="H102" s="14">
        <v>0.56200000000000006</v>
      </c>
      <c r="I102" s="14">
        <v>0.751</v>
      </c>
      <c r="J102" s="14">
        <f t="shared" si="149"/>
        <v>0.70599999999999996</v>
      </c>
      <c r="K102" s="14">
        <f t="shared" si="150"/>
        <v>15.5</v>
      </c>
      <c r="L102" s="14">
        <f t="shared" si="147"/>
        <v>2.3914519201607275E-2</v>
      </c>
      <c r="M102" s="42">
        <f t="shared" si="151"/>
        <v>0.18899999999999995</v>
      </c>
      <c r="N102" s="42">
        <f t="shared" si="152"/>
        <v>8</v>
      </c>
      <c r="O102" s="42"/>
      <c r="P102" s="42"/>
      <c r="Q102" s="42"/>
      <c r="R102" s="42">
        <f t="shared" si="153"/>
        <v>53</v>
      </c>
      <c r="S102" s="42">
        <v>0.5</v>
      </c>
      <c r="T102" s="42"/>
      <c r="U102" s="42">
        <f t="shared" si="148"/>
        <v>13.385269121813028</v>
      </c>
      <c r="V102" s="42"/>
      <c r="W102" s="42"/>
      <c r="X102" s="42"/>
      <c r="Y102" s="42"/>
      <c r="Z102" s="42"/>
      <c r="AA102" s="42"/>
      <c r="AB102" s="14" t="s">
        <v>286</v>
      </c>
    </row>
    <row r="103" spans="1:28" x14ac:dyDescent="0.35">
      <c r="A103" s="14" t="s">
        <v>176</v>
      </c>
      <c r="B103" s="14" t="s">
        <v>90</v>
      </c>
      <c r="C103" s="14" t="s">
        <v>161</v>
      </c>
      <c r="D103" s="14" t="s">
        <v>88</v>
      </c>
      <c r="E103" s="27" t="s">
        <v>186</v>
      </c>
      <c r="F103" s="14">
        <v>262555</v>
      </c>
      <c r="G103" s="14">
        <v>309874</v>
      </c>
      <c r="H103" s="14">
        <v>6.0000000000000001E-3</v>
      </c>
      <c r="I103" s="14">
        <v>1.4999999999999999E-2</v>
      </c>
      <c r="J103" s="14">
        <f t="shared" si="149"/>
        <v>1.0999999999999999E-2</v>
      </c>
      <c r="K103" s="14">
        <f t="shared" si="150"/>
        <v>32.5</v>
      </c>
      <c r="L103" s="14">
        <f t="shared" si="147"/>
        <v>5.4226135852339038E-4</v>
      </c>
      <c r="M103" s="42">
        <f t="shared" si="151"/>
        <v>8.9999999999999993E-3</v>
      </c>
      <c r="N103" s="42">
        <f t="shared" si="152"/>
        <v>17</v>
      </c>
      <c r="O103" s="42"/>
      <c r="P103" s="42"/>
      <c r="Q103" s="42"/>
      <c r="R103" s="42">
        <f t="shared" si="153"/>
        <v>100</v>
      </c>
      <c r="S103" s="42">
        <v>1</v>
      </c>
      <c r="T103" s="42"/>
      <c r="U103" s="42">
        <f t="shared" si="148"/>
        <v>40.909090909090907</v>
      </c>
      <c r="V103" s="42"/>
      <c r="W103" s="42"/>
      <c r="X103" s="42"/>
      <c r="Y103" s="42"/>
      <c r="Z103" s="42"/>
      <c r="AA103" s="42"/>
      <c r="AB103" s="14" t="s">
        <v>287</v>
      </c>
    </row>
    <row r="104" spans="1:28" x14ac:dyDescent="0.35">
      <c r="A104" s="14" t="s">
        <v>176</v>
      </c>
      <c r="B104" s="14" t="s">
        <v>90</v>
      </c>
      <c r="C104" s="14" t="s">
        <v>161</v>
      </c>
      <c r="D104" s="14" t="s">
        <v>89</v>
      </c>
      <c r="E104" s="26" t="s">
        <v>167</v>
      </c>
      <c r="F104">
        <v>19268</v>
      </c>
      <c r="G104">
        <v>21876</v>
      </c>
      <c r="H104" s="14">
        <v>0.16900000000000001</v>
      </c>
      <c r="I104" s="14">
        <v>0.28199999999999997</v>
      </c>
      <c r="J104" s="14">
        <f t="shared" si="149"/>
        <v>0.22900000000000001</v>
      </c>
      <c r="K104" s="14">
        <f t="shared" si="150"/>
        <v>27.2</v>
      </c>
      <c r="L104" s="14">
        <f t="shared" si="147"/>
        <v>8.1367688938130973E-3</v>
      </c>
      <c r="M104" s="42">
        <f t="shared" si="151"/>
        <v>0.11299999999999996</v>
      </c>
      <c r="N104" s="42">
        <f t="shared" si="152"/>
        <v>14</v>
      </c>
      <c r="O104" s="42"/>
      <c r="P104" s="42"/>
      <c r="Q104" s="42"/>
      <c r="R104" s="42">
        <f t="shared" si="153"/>
        <v>93</v>
      </c>
      <c r="S104" s="42">
        <v>1</v>
      </c>
      <c r="T104" s="42"/>
      <c r="U104" s="42">
        <f t="shared" si="148"/>
        <v>24.67248908296942</v>
      </c>
      <c r="V104" s="42"/>
      <c r="W104" s="42"/>
      <c r="X104" s="42"/>
      <c r="Y104" s="42"/>
      <c r="Z104" s="42"/>
      <c r="AA104" s="42"/>
      <c r="AB104" s="14" t="s">
        <v>245</v>
      </c>
    </row>
    <row r="105" spans="1:28" x14ac:dyDescent="0.35">
      <c r="A105" s="14" t="s">
        <v>176</v>
      </c>
      <c r="B105" s="14" t="s">
        <v>91</v>
      </c>
      <c r="C105" s="14" t="s">
        <v>161</v>
      </c>
      <c r="D105" s="32" t="s">
        <v>94</v>
      </c>
      <c r="E105" s="26" t="s">
        <v>188</v>
      </c>
      <c r="F105" s="14">
        <v>3200</v>
      </c>
      <c r="G105" s="14">
        <v>8559</v>
      </c>
      <c r="H105" s="14">
        <v>0.155</v>
      </c>
      <c r="I105" s="14">
        <v>0.13</v>
      </c>
      <c r="J105" s="14">
        <f t="shared" si="149"/>
        <v>0.13700000000000001</v>
      </c>
      <c r="K105" s="14">
        <f t="shared" si="150"/>
        <v>-3.5</v>
      </c>
      <c r="L105" s="14">
        <f t="shared" si="147"/>
        <v>1.3964341005496194E-2</v>
      </c>
      <c r="M105" s="42">
        <f t="shared" si="151"/>
        <v>-2.4999999999999994E-2</v>
      </c>
      <c r="N105" s="42">
        <f t="shared" si="152"/>
        <v>0</v>
      </c>
      <c r="O105" s="42"/>
      <c r="P105" s="42"/>
      <c r="Q105" s="42"/>
      <c r="R105" s="42">
        <f t="shared" si="153"/>
        <v>0</v>
      </c>
      <c r="S105" s="42">
        <v>0.5</v>
      </c>
      <c r="T105" s="42"/>
      <c r="U105" s="42">
        <f t="shared" si="148"/>
        <v>9.1240875912408743</v>
      </c>
      <c r="V105" s="42"/>
      <c r="W105" s="42"/>
      <c r="X105" s="42"/>
      <c r="Y105" s="42"/>
      <c r="Z105" s="42"/>
      <c r="AA105" s="42"/>
      <c r="AB105" s="14" t="s">
        <v>289</v>
      </c>
    </row>
    <row r="106" spans="1:28" x14ac:dyDescent="0.35">
      <c r="A106" s="14" t="s">
        <v>176</v>
      </c>
      <c r="B106" s="14" t="s">
        <v>91</v>
      </c>
      <c r="C106" s="14" t="s">
        <v>161</v>
      </c>
      <c r="D106" s="32" t="s">
        <v>94</v>
      </c>
      <c r="E106" s="26" t="s">
        <v>189</v>
      </c>
      <c r="F106" s="14">
        <v>17696</v>
      </c>
      <c r="G106" s="14">
        <v>43937</v>
      </c>
      <c r="H106" s="14">
        <v>4.2000000000000003E-2</v>
      </c>
      <c r="I106" s="14">
        <v>5.5E-2</v>
      </c>
      <c r="J106" s="14">
        <f t="shared" si="149"/>
        <v>5.0999999999999997E-2</v>
      </c>
      <c r="K106" s="14">
        <f t="shared" si="150"/>
        <v>6.6</v>
      </c>
      <c r="L106" s="14">
        <f t="shared" si="147"/>
        <v>3.8390888607028831E-3</v>
      </c>
      <c r="M106" s="42">
        <f t="shared" si="151"/>
        <v>1.2999999999999998E-2</v>
      </c>
      <c r="N106" s="42">
        <f t="shared" si="152"/>
        <v>3</v>
      </c>
      <c r="O106" s="42"/>
      <c r="P106" s="42"/>
      <c r="Q106" s="42"/>
      <c r="R106" s="42">
        <f t="shared" si="153"/>
        <v>20</v>
      </c>
      <c r="S106" s="42">
        <v>0.5</v>
      </c>
      <c r="T106" s="42"/>
      <c r="U106" s="42">
        <f t="shared" si="148"/>
        <v>12.745098039215685</v>
      </c>
      <c r="V106" s="42"/>
      <c r="W106" s="42"/>
      <c r="X106" s="42"/>
      <c r="Y106" s="42"/>
      <c r="Z106" s="42"/>
      <c r="AA106" s="42"/>
      <c r="AB106" s="14" t="s">
        <v>290</v>
      </c>
    </row>
    <row r="107" spans="1:28" x14ac:dyDescent="0.35">
      <c r="A107" s="14" t="s">
        <v>176</v>
      </c>
      <c r="B107" s="14" t="s">
        <v>91</v>
      </c>
      <c r="C107" s="14" t="s">
        <v>161</v>
      </c>
      <c r="D107" s="32" t="s">
        <v>95</v>
      </c>
      <c r="E107" s="26" t="s">
        <v>190</v>
      </c>
      <c r="F107" s="14">
        <v>2121</v>
      </c>
      <c r="G107" s="14">
        <v>7642</v>
      </c>
      <c r="H107" s="14">
        <v>0.21299999999999999</v>
      </c>
      <c r="I107" s="14">
        <v>0.32</v>
      </c>
      <c r="J107" s="14">
        <f t="shared" si="149"/>
        <v>0.29699999999999999</v>
      </c>
      <c r="K107" s="14">
        <f t="shared" si="150"/>
        <v>9.5</v>
      </c>
      <c r="L107" s="14">
        <f t="shared" si="147"/>
        <v>2.1980104469005755E-2</v>
      </c>
      <c r="M107" s="42">
        <f t="shared" si="151"/>
        <v>0.10700000000000001</v>
      </c>
      <c r="N107" s="42">
        <f t="shared" si="152"/>
        <v>5</v>
      </c>
      <c r="O107" s="42"/>
      <c r="P107" s="42"/>
      <c r="Q107" s="42"/>
      <c r="R107" s="42">
        <f t="shared" si="153"/>
        <v>33</v>
      </c>
      <c r="S107" s="42">
        <v>0.5</v>
      </c>
      <c r="T107" s="42"/>
      <c r="U107" s="42">
        <f t="shared" si="148"/>
        <v>18.013468013468017</v>
      </c>
      <c r="V107" s="42"/>
      <c r="W107" s="42"/>
      <c r="X107" s="42"/>
      <c r="Y107" s="42"/>
      <c r="Z107" s="42"/>
      <c r="AA107" s="42"/>
      <c r="AB107" s="14" t="s">
        <v>286</v>
      </c>
    </row>
    <row r="108" spans="1:28" x14ac:dyDescent="0.35">
      <c r="A108" s="14" t="s">
        <v>176</v>
      </c>
      <c r="B108" s="14" t="s">
        <v>91</v>
      </c>
      <c r="C108" s="14" t="s">
        <v>161</v>
      </c>
      <c r="D108" s="32" t="s">
        <v>95</v>
      </c>
      <c r="E108" s="26" t="s">
        <v>191</v>
      </c>
      <c r="F108" s="14">
        <v>380</v>
      </c>
      <c r="G108" s="14">
        <v>2824</v>
      </c>
      <c r="H108" s="14">
        <v>0.35099999999999998</v>
      </c>
      <c r="I108" s="14">
        <v>0.41599999999999998</v>
      </c>
      <c r="J108" s="14">
        <f t="shared" si="149"/>
        <v>0.40799999999999997</v>
      </c>
      <c r="K108" s="14">
        <f t="shared" si="150"/>
        <v>2.4</v>
      </c>
      <c r="L108" s="14">
        <f t="shared" si="147"/>
        <v>5.2634331992956029E-2</v>
      </c>
      <c r="M108" s="42">
        <f t="shared" si="151"/>
        <v>6.5000000000000002E-2</v>
      </c>
      <c r="N108" s="42">
        <f t="shared" si="152"/>
        <v>1</v>
      </c>
      <c r="O108" s="42"/>
      <c r="P108" s="42"/>
      <c r="Q108" s="42"/>
      <c r="R108" s="42">
        <f t="shared" si="153"/>
        <v>7</v>
      </c>
      <c r="S108" s="42">
        <v>0.5</v>
      </c>
      <c r="T108" s="42"/>
      <c r="U108" s="42">
        <f t="shared" si="148"/>
        <v>7.965686274509804</v>
      </c>
      <c r="V108" s="42"/>
      <c r="W108" s="42"/>
      <c r="X108" s="42"/>
      <c r="Y108" s="42"/>
      <c r="Z108" s="42"/>
      <c r="AA108" s="42"/>
      <c r="AB108" s="14" t="s">
        <v>291</v>
      </c>
    </row>
    <row r="109" spans="1:28" x14ac:dyDescent="0.35">
      <c r="A109" s="14" t="s">
        <v>176</v>
      </c>
      <c r="B109" s="14" t="s">
        <v>91</v>
      </c>
      <c r="C109" s="14" t="s">
        <v>161</v>
      </c>
      <c r="D109" s="32" t="s">
        <v>88</v>
      </c>
      <c r="E109" s="26" t="s">
        <v>192</v>
      </c>
      <c r="F109" s="14">
        <v>78595</v>
      </c>
      <c r="G109" s="14">
        <v>151503</v>
      </c>
      <c r="H109" s="14">
        <v>2.5999999999999999E-2</v>
      </c>
      <c r="I109" s="14">
        <v>6.4000000000000001E-2</v>
      </c>
      <c r="J109" s="14">
        <f t="shared" si="149"/>
        <v>5.0999999999999997E-2</v>
      </c>
      <c r="K109" s="14">
        <f t="shared" si="150"/>
        <v>39.299999999999997</v>
      </c>
      <c r="L109" s="14">
        <f t="shared" si="147"/>
        <v>1.8954948642493576E-3</v>
      </c>
      <c r="M109" s="42">
        <f t="shared" si="151"/>
        <v>3.8000000000000006E-2</v>
      </c>
      <c r="N109" s="42">
        <f t="shared" si="152"/>
        <v>20</v>
      </c>
      <c r="O109" s="42"/>
      <c r="P109" s="42"/>
      <c r="Q109" s="42"/>
      <c r="R109" s="42">
        <f t="shared" si="153"/>
        <v>100</v>
      </c>
      <c r="S109" s="42">
        <v>0.25</v>
      </c>
      <c r="T109" s="42"/>
      <c r="U109" s="42">
        <f t="shared" si="148"/>
        <v>37.254901960784323</v>
      </c>
      <c r="V109" s="42"/>
      <c r="W109" s="42"/>
      <c r="X109" s="42"/>
      <c r="Y109" s="42"/>
      <c r="Z109" s="42"/>
      <c r="AA109" s="42"/>
      <c r="AB109" s="14" t="s">
        <v>292</v>
      </c>
    </row>
    <row r="110" spans="1:28" x14ac:dyDescent="0.35">
      <c r="A110" s="14" t="s">
        <v>176</v>
      </c>
      <c r="B110" s="14" t="s">
        <v>91</v>
      </c>
      <c r="C110" s="14" t="s">
        <v>161</v>
      </c>
      <c r="D110" s="32" t="s">
        <v>88</v>
      </c>
      <c r="E110" s="26" t="s">
        <v>389</v>
      </c>
      <c r="F110" s="14"/>
      <c r="G110" s="14"/>
      <c r="H110" s="14"/>
      <c r="I110" s="14"/>
      <c r="J110" s="14"/>
      <c r="K110" s="14"/>
      <c r="L110" s="14"/>
      <c r="M110" s="42"/>
      <c r="N110" s="42">
        <f t="shared" si="152"/>
        <v>0</v>
      </c>
      <c r="O110" s="42"/>
      <c r="P110" s="42"/>
      <c r="Q110" s="42"/>
      <c r="R110" s="42">
        <f t="shared" si="153"/>
        <v>0</v>
      </c>
      <c r="S110" s="42"/>
      <c r="T110" s="42"/>
      <c r="U110" s="42" t="e">
        <f t="shared" si="148"/>
        <v>#DIV/0!</v>
      </c>
      <c r="V110" s="42"/>
      <c r="W110" s="42"/>
      <c r="X110" s="42"/>
      <c r="Y110" s="42"/>
      <c r="Z110" s="42"/>
      <c r="AA110" s="42"/>
      <c r="AB110" s="14"/>
    </row>
    <row r="111" spans="1:28" x14ac:dyDescent="0.35">
      <c r="A111" s="14" t="s">
        <v>176</v>
      </c>
      <c r="B111" s="14" t="s">
        <v>91</v>
      </c>
      <c r="C111" s="14" t="s">
        <v>161</v>
      </c>
      <c r="D111" s="32" t="s">
        <v>88</v>
      </c>
      <c r="E111" s="26" t="s">
        <v>193</v>
      </c>
      <c r="F111" s="14">
        <v>11759</v>
      </c>
      <c r="G111" s="14">
        <v>1151971</v>
      </c>
      <c r="H111" s="14">
        <v>0.193</v>
      </c>
      <c r="I111" s="14">
        <v>0.38744038709228251</v>
      </c>
      <c r="J111" s="14">
        <f t="shared" si="149"/>
        <v>0.38500000000000001</v>
      </c>
      <c r="K111" s="14">
        <f t="shared" si="150"/>
        <v>43.1</v>
      </c>
      <c r="L111" s="14">
        <f t="shared" ref="L111:L116" si="154">$AF$2*(SQRT(J111*(1-J111)*((1/G111)+(1/F111))))</f>
        <v>8.8398346349846807E-3</v>
      </c>
      <c r="M111" s="42">
        <f t="shared" si="151"/>
        <v>0.19444038709228251</v>
      </c>
      <c r="N111" s="42">
        <f t="shared" si="152"/>
        <v>22</v>
      </c>
      <c r="O111" s="42"/>
      <c r="P111" s="42"/>
      <c r="Q111" s="42"/>
      <c r="R111" s="42">
        <f t="shared" si="153"/>
        <v>100</v>
      </c>
      <c r="S111" s="42">
        <v>0.25</v>
      </c>
      <c r="T111" s="42"/>
      <c r="U111" s="42">
        <f t="shared" si="148"/>
        <v>25.251998323673053</v>
      </c>
      <c r="V111" s="42"/>
      <c r="W111" s="42"/>
      <c r="X111" s="42"/>
      <c r="Y111" s="42"/>
      <c r="Z111" s="42"/>
      <c r="AA111" s="42"/>
      <c r="AB111" s="14" t="s">
        <v>293</v>
      </c>
    </row>
    <row r="112" spans="1:28" x14ac:dyDescent="0.35">
      <c r="A112" s="14" t="s">
        <v>176</v>
      </c>
      <c r="B112" s="14" t="s">
        <v>91</v>
      </c>
      <c r="C112" s="14" t="s">
        <v>161</v>
      </c>
      <c r="D112" s="32" t="s">
        <v>88</v>
      </c>
      <c r="E112" s="26" t="s">
        <v>194</v>
      </c>
      <c r="F112" s="14">
        <v>11759</v>
      </c>
      <c r="G112" s="14">
        <v>133178</v>
      </c>
      <c r="H112" s="14">
        <v>0.193</v>
      </c>
      <c r="I112" s="14">
        <v>0.41599999999999998</v>
      </c>
      <c r="J112" s="14">
        <f t="shared" si="149"/>
        <v>0.39800000000000002</v>
      </c>
      <c r="K112" s="14">
        <f t="shared" si="150"/>
        <v>47.4</v>
      </c>
      <c r="L112" s="14">
        <f t="shared" si="154"/>
        <v>9.2296248181505305E-3</v>
      </c>
      <c r="M112" s="42">
        <f t="shared" si="151"/>
        <v>0.22299999999999998</v>
      </c>
      <c r="N112" s="42">
        <f t="shared" si="152"/>
        <v>24</v>
      </c>
      <c r="O112" s="42"/>
      <c r="P112" s="42"/>
      <c r="Q112" s="42"/>
      <c r="R112" s="42">
        <f t="shared" si="153"/>
        <v>100</v>
      </c>
      <c r="S112" s="42">
        <v>0.25</v>
      </c>
      <c r="T112" s="42"/>
      <c r="U112" s="42">
        <f t="shared" si="148"/>
        <v>28.015075376884418</v>
      </c>
      <c r="V112" s="42"/>
      <c r="W112" s="42"/>
      <c r="X112" s="42"/>
      <c r="Y112" s="42"/>
      <c r="Z112" s="42"/>
      <c r="AA112" s="42"/>
      <c r="AB112" s="14" t="s">
        <v>293</v>
      </c>
    </row>
    <row r="113" spans="1:28" x14ac:dyDescent="0.35">
      <c r="A113" s="14" t="s">
        <v>176</v>
      </c>
      <c r="B113" s="14" t="s">
        <v>91</v>
      </c>
      <c r="C113" s="14" t="s">
        <v>161</v>
      </c>
      <c r="D113" s="32" t="s">
        <v>88</v>
      </c>
      <c r="E113" s="26" t="s">
        <v>195</v>
      </c>
      <c r="F113" s="14">
        <v>11759</v>
      </c>
      <c r="G113" s="14">
        <v>230098</v>
      </c>
      <c r="H113" s="14">
        <v>0.193</v>
      </c>
      <c r="I113" s="14">
        <v>0.36799999999999999</v>
      </c>
      <c r="J113" s="14">
        <f t="shared" si="149"/>
        <v>0.35899999999999999</v>
      </c>
      <c r="K113" s="14">
        <f t="shared" si="150"/>
        <v>38.6</v>
      </c>
      <c r="L113" s="14">
        <f t="shared" si="154"/>
        <v>8.8893503705335802E-3</v>
      </c>
      <c r="M113" s="42">
        <f t="shared" si="151"/>
        <v>0.17499999999999999</v>
      </c>
      <c r="N113" s="42">
        <f t="shared" si="152"/>
        <v>20</v>
      </c>
      <c r="O113" s="42"/>
      <c r="P113" s="42"/>
      <c r="Q113" s="42"/>
      <c r="R113" s="42">
        <f t="shared" si="153"/>
        <v>100</v>
      </c>
      <c r="S113" s="42">
        <v>0.25</v>
      </c>
      <c r="T113" s="42"/>
      <c r="U113" s="42">
        <f t="shared" si="148"/>
        <v>24.373259052924791</v>
      </c>
      <c r="V113" s="42"/>
      <c r="W113" s="42"/>
      <c r="X113" s="42"/>
      <c r="Y113" s="42"/>
      <c r="Z113" s="42"/>
      <c r="AA113" s="42"/>
      <c r="AB113" s="14" t="s">
        <v>293</v>
      </c>
    </row>
    <row r="114" spans="1:28" x14ac:dyDescent="0.35">
      <c r="A114" s="14" t="s">
        <v>176</v>
      </c>
      <c r="B114" s="14" t="s">
        <v>91</v>
      </c>
      <c r="C114" s="14" t="s">
        <v>161</v>
      </c>
      <c r="D114" s="32" t="s">
        <v>89</v>
      </c>
      <c r="E114" s="26" t="s">
        <v>196</v>
      </c>
      <c r="F114" s="14">
        <v>11759</v>
      </c>
      <c r="G114" s="14">
        <v>5720</v>
      </c>
      <c r="H114" s="14">
        <v>0.193</v>
      </c>
      <c r="I114" s="14">
        <v>0.189</v>
      </c>
      <c r="J114" s="14">
        <f t="shared" si="149"/>
        <v>0.192</v>
      </c>
      <c r="K114" s="14">
        <f t="shared" si="150"/>
        <v>-0.6</v>
      </c>
      <c r="L114" s="14">
        <f t="shared" si="154"/>
        <v>1.2444786424055812E-2</v>
      </c>
      <c r="M114" s="42">
        <f t="shared" si="151"/>
        <v>-4.0000000000000036E-3</v>
      </c>
      <c r="N114" s="42">
        <f t="shared" si="152"/>
        <v>0</v>
      </c>
      <c r="O114" s="42"/>
      <c r="P114" s="42"/>
      <c r="Q114" s="42"/>
      <c r="R114" s="42">
        <f t="shared" si="153"/>
        <v>0</v>
      </c>
      <c r="S114" s="42">
        <v>1</v>
      </c>
      <c r="T114" s="42"/>
      <c r="U114" s="42">
        <f t="shared" si="148"/>
        <v>1.0416666666666676</v>
      </c>
      <c r="V114" s="42"/>
      <c r="W114" s="42"/>
      <c r="X114" s="42"/>
      <c r="Y114" s="42"/>
      <c r="Z114" s="42"/>
      <c r="AA114" s="42"/>
      <c r="AB114" s="14" t="s">
        <v>293</v>
      </c>
    </row>
    <row r="115" spans="1:28" x14ac:dyDescent="0.35">
      <c r="A115" s="14" t="s">
        <v>176</v>
      </c>
      <c r="B115" s="33" t="s">
        <v>92</v>
      </c>
      <c r="C115" s="33" t="s">
        <v>161</v>
      </c>
      <c r="D115" s="32" t="s">
        <v>94</v>
      </c>
      <c r="E115" s="26" t="s">
        <v>247</v>
      </c>
      <c r="F115" s="14">
        <v>123681</v>
      </c>
      <c r="G115" s="14">
        <v>5438637</v>
      </c>
      <c r="H115" s="14">
        <v>0.159</v>
      </c>
      <c r="I115" s="14">
        <v>0.32100000000000001</v>
      </c>
      <c r="J115" s="14">
        <f t="shared" si="149"/>
        <v>0.317</v>
      </c>
      <c r="K115" s="14">
        <f t="shared" si="150"/>
        <v>121.1</v>
      </c>
      <c r="L115" s="14">
        <f t="shared" si="154"/>
        <v>2.622572064717527E-3</v>
      </c>
      <c r="M115" s="42">
        <f t="shared" si="151"/>
        <v>0.16200000000000001</v>
      </c>
      <c r="N115" s="42">
        <f t="shared" si="152"/>
        <v>62</v>
      </c>
      <c r="O115" s="42"/>
      <c r="P115" s="42"/>
      <c r="Q115" s="42"/>
      <c r="R115" s="42">
        <f t="shared" si="153"/>
        <v>100</v>
      </c>
      <c r="S115" s="42">
        <v>1</v>
      </c>
      <c r="T115" s="42"/>
      <c r="U115" s="42">
        <f t="shared" si="148"/>
        <v>25.552050473186117</v>
      </c>
      <c r="V115" s="42"/>
      <c r="W115" s="42"/>
      <c r="X115" s="42"/>
      <c r="Y115" s="42"/>
      <c r="Z115" s="42"/>
      <c r="AA115" s="42"/>
      <c r="AB115" s="14" t="s">
        <v>294</v>
      </c>
    </row>
    <row r="116" spans="1:28" x14ac:dyDescent="0.35">
      <c r="A116" s="14" t="s">
        <v>176</v>
      </c>
      <c r="B116" s="33" t="s">
        <v>92</v>
      </c>
      <c r="C116" s="33" t="s">
        <v>161</v>
      </c>
      <c r="D116" s="32" t="s">
        <v>95</v>
      </c>
      <c r="E116" s="26" t="s">
        <v>248</v>
      </c>
      <c r="F116" s="14">
        <v>21858</v>
      </c>
      <c r="G116" s="14">
        <v>5438637</v>
      </c>
      <c r="H116" s="14">
        <v>0.14599999999999999</v>
      </c>
      <c r="I116" s="14">
        <v>0.32100000000000001</v>
      </c>
      <c r="J116" s="14">
        <f t="shared" si="149"/>
        <v>0.32</v>
      </c>
      <c r="K116" s="14">
        <f t="shared" si="150"/>
        <v>55.4</v>
      </c>
      <c r="L116" s="14">
        <f t="shared" si="154"/>
        <v>6.1965688067850393E-3</v>
      </c>
      <c r="M116" s="42">
        <f t="shared" si="151"/>
        <v>0.17500000000000002</v>
      </c>
      <c r="N116" s="42">
        <f t="shared" si="152"/>
        <v>28</v>
      </c>
      <c r="O116" s="42"/>
      <c r="P116" s="42"/>
      <c r="Q116" s="42"/>
      <c r="R116" s="42">
        <f t="shared" si="153"/>
        <v>100</v>
      </c>
      <c r="S116" s="42">
        <v>1</v>
      </c>
      <c r="T116" s="42"/>
      <c r="U116" s="42">
        <f t="shared" si="148"/>
        <v>27.34375</v>
      </c>
      <c r="V116" s="42"/>
      <c r="W116" s="42"/>
      <c r="X116" s="42"/>
      <c r="Y116" s="42"/>
      <c r="Z116" s="42"/>
      <c r="AA116" s="42"/>
      <c r="AB116" s="14" t="s">
        <v>294</v>
      </c>
    </row>
    <row r="117" spans="1:28" x14ac:dyDescent="0.35">
      <c r="A117" s="14" t="s">
        <v>176</v>
      </c>
      <c r="B117" s="33" t="s">
        <v>92</v>
      </c>
      <c r="C117" s="33" t="s">
        <v>161</v>
      </c>
      <c r="D117" s="32" t="s">
        <v>88</v>
      </c>
      <c r="E117" s="34" t="s">
        <v>197</v>
      </c>
      <c r="F117" s="14" t="s">
        <v>59</v>
      </c>
      <c r="G117" s="14" t="s">
        <v>59</v>
      </c>
      <c r="H117" s="14" t="s">
        <v>59</v>
      </c>
      <c r="I117" s="14" t="s">
        <v>59</v>
      </c>
      <c r="J117" s="14"/>
      <c r="K117" s="14"/>
      <c r="L117" s="14"/>
      <c r="M117" s="42"/>
      <c r="N117" s="42">
        <f t="shared" si="152"/>
        <v>0</v>
      </c>
      <c r="O117" s="42"/>
      <c r="P117" s="42"/>
      <c r="Q117" s="42"/>
      <c r="R117" s="42">
        <f t="shared" si="153"/>
        <v>0</v>
      </c>
      <c r="S117" s="14"/>
      <c r="T117" s="14"/>
      <c r="U117" s="42" t="e">
        <f t="shared" si="148"/>
        <v>#VALUE!</v>
      </c>
      <c r="V117" s="42"/>
      <c r="W117" s="42"/>
      <c r="X117" s="42"/>
      <c r="Y117" s="42"/>
      <c r="Z117" s="42"/>
      <c r="AA117" s="14"/>
      <c r="AB117" s="14" t="s">
        <v>295</v>
      </c>
    </row>
    <row r="118" spans="1:28" x14ac:dyDescent="0.35">
      <c r="A118" s="14" t="s">
        <v>176</v>
      </c>
      <c r="B118" s="33" t="s">
        <v>92</v>
      </c>
      <c r="C118" s="33" t="s">
        <v>161</v>
      </c>
      <c r="D118" s="32" t="s">
        <v>89</v>
      </c>
      <c r="E118" s="26" t="s">
        <v>198</v>
      </c>
      <c r="F118" s="14">
        <v>5518</v>
      </c>
      <c r="G118" s="14">
        <v>8490</v>
      </c>
      <c r="H118" s="14">
        <v>0.14499999999999999</v>
      </c>
      <c r="I118" s="14">
        <v>0.25900000000000001</v>
      </c>
      <c r="J118" s="14">
        <f t="shared" si="149"/>
        <v>0.214</v>
      </c>
      <c r="K118" s="14">
        <f t="shared" si="150"/>
        <v>16.100000000000001</v>
      </c>
      <c r="L118" s="14">
        <f>$AF$2*(SQRT(J118*(1-J118)*((1/G118)+(1/F118))))</f>
        <v>1.3900089749432229E-2</v>
      </c>
      <c r="M118" s="42">
        <f t="shared" si="151"/>
        <v>0.11400000000000002</v>
      </c>
      <c r="N118" s="42">
        <f t="shared" si="152"/>
        <v>8</v>
      </c>
      <c r="O118" s="42"/>
      <c r="P118" s="42"/>
      <c r="Q118" s="42"/>
      <c r="R118" s="42">
        <f t="shared" si="153"/>
        <v>53</v>
      </c>
      <c r="S118" s="42">
        <v>1</v>
      </c>
      <c r="T118" s="42"/>
      <c r="U118" s="42">
        <f t="shared" si="148"/>
        <v>26.635514018691595</v>
      </c>
      <c r="V118" s="42"/>
      <c r="W118" s="42"/>
      <c r="X118" s="42"/>
      <c r="Y118" s="42"/>
      <c r="Z118" s="42"/>
      <c r="AA118" s="42"/>
      <c r="AB118" s="14" t="s">
        <v>296</v>
      </c>
    </row>
  </sheetData>
  <phoneticPr fontId="4" type="noConversion"/>
  <conditionalFormatting sqref="D3">
    <cfRule type="containsText" dxfId="25" priority="5" operator="containsText" text="Proficient">
      <formula>NOT(ISERROR(SEARCH("Proficient",D3)))</formula>
    </cfRule>
  </conditionalFormatting>
  <conditionalFormatting sqref="D70:D1048576 D1:D30 D32:D58">
    <cfRule type="containsText" dxfId="24" priority="1" operator="containsText" text="progress">
      <formula>NOT(ISERROR(SEARCH("progress",D1)))</formula>
    </cfRule>
    <cfRule type="containsText" dxfId="23" priority="2" operator="containsText" text="Access">
      <formula>NOT(ISERROR(SEARCH("Access",D1)))</formula>
    </cfRule>
    <cfRule type="containsText" dxfId="22" priority="3" operator="containsText" text="Excellence">
      <formula>NOT(ISERROR(SEARCH("Excellence",D1)))</formula>
    </cfRule>
    <cfRule type="containsText" dxfId="21" priority="4" operator="containsText" text="Proficient">
      <formula>NOT(ISERROR(SEARCH("Proficient",D1)))</formula>
    </cfRule>
  </conditionalFormatting>
  <pageMargins left="0.7" right="0.7" top="0.75" bottom="0.75" header="0.3" footer="0.3"/>
  <ignoredErrors>
    <ignoredError sqref="J2 H2:I2 I5:J5 F10 G10:I12 F2:G2 I8:J9 I6:I7 H14:I15 H7 F3:G4 F7:G7" formulaRange="1"/>
    <ignoredError sqref="G16 F8:G9 F25 G24 G17:K17 L16" formula="1"/>
    <ignoredError sqref="H8:H9 H28 H5:H6 F5:G6" formula="1" formulaRange="1"/>
  </ignoredErrors>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1DDDF-B9DD-4104-AD78-6E28EB3841FB}">
  <dimension ref="A1:A10"/>
  <sheetViews>
    <sheetView zoomScale="85" zoomScaleNormal="85" workbookViewId="0">
      <selection activeCell="A7" sqref="A7"/>
    </sheetView>
  </sheetViews>
  <sheetFormatPr defaultRowHeight="14.5" x14ac:dyDescent="0.35"/>
  <cols>
    <col min="1" max="1" width="150.36328125" customWidth="1"/>
  </cols>
  <sheetData>
    <row r="1" spans="1:1" x14ac:dyDescent="0.35">
      <c r="A1" t="s">
        <v>310</v>
      </c>
    </row>
    <row r="2" spans="1:1" x14ac:dyDescent="0.35">
      <c r="A2" s="48" t="s">
        <v>311</v>
      </c>
    </row>
    <row r="3" spans="1:1" ht="29" x14ac:dyDescent="0.35">
      <c r="A3" s="50" t="s">
        <v>316</v>
      </c>
    </row>
    <row r="4" spans="1:1" x14ac:dyDescent="0.35">
      <c r="A4" s="48" t="s">
        <v>314</v>
      </c>
    </row>
    <row r="5" spans="1:1" ht="43.5" x14ac:dyDescent="0.35">
      <c r="A5" s="49" t="s">
        <v>312</v>
      </c>
    </row>
    <row r="6" spans="1:1" ht="29" x14ac:dyDescent="0.35">
      <c r="A6" s="49" t="s">
        <v>313</v>
      </c>
    </row>
    <row r="7" spans="1:1" ht="87" x14ac:dyDescent="0.35">
      <c r="A7" s="52" t="s">
        <v>315</v>
      </c>
    </row>
    <row r="8" spans="1:1" x14ac:dyDescent="0.35">
      <c r="A8" t="s">
        <v>317</v>
      </c>
    </row>
    <row r="9" spans="1:1" x14ac:dyDescent="0.35">
      <c r="A9" t="s">
        <v>318</v>
      </c>
    </row>
    <row r="10" spans="1:1" ht="101.5" x14ac:dyDescent="0.35">
      <c r="A10" s="51" t="s">
        <v>319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C52C2-34CE-4731-B134-BF536686D7F2}">
  <dimension ref="A1:K59"/>
  <sheetViews>
    <sheetView topLeftCell="A38" zoomScale="70" zoomScaleNormal="70" workbookViewId="0">
      <pane xSplit="1" topLeftCell="B1" activePane="topRight" state="frozen"/>
      <selection pane="topRight" activeCell="A60" sqref="A60"/>
    </sheetView>
  </sheetViews>
  <sheetFormatPr defaultRowHeight="14.5" x14ac:dyDescent="0.35"/>
  <cols>
    <col min="1" max="1" width="75.7265625" customWidth="1"/>
    <col min="2" max="2" width="26.36328125" customWidth="1"/>
    <col min="3" max="3" width="22.1796875" customWidth="1"/>
    <col min="4" max="6" width="25.36328125" customWidth="1"/>
    <col min="7" max="7" width="35.36328125" customWidth="1"/>
    <col min="8" max="8" width="166.26953125" bestFit="1" customWidth="1"/>
    <col min="9" max="9" width="106.453125" bestFit="1" customWidth="1"/>
    <col min="10" max="10" width="33.26953125" customWidth="1"/>
    <col min="11" max="11" width="15.453125" customWidth="1"/>
    <col min="12" max="12" width="11.54296875" customWidth="1"/>
    <col min="13" max="16" width="32.6328125" customWidth="1"/>
    <col min="17" max="17" width="23.1796875" customWidth="1"/>
    <col min="18" max="18" width="23.54296875" customWidth="1"/>
    <col min="19" max="19" width="26.453125" customWidth="1"/>
    <col min="20" max="20" width="22.54296875" customWidth="1"/>
    <col min="21" max="21" width="30.453125" customWidth="1"/>
    <col min="22" max="22" width="35.90625" customWidth="1"/>
    <col min="23" max="23" width="26.26953125" customWidth="1"/>
    <col min="24" max="24" width="35.453125" customWidth="1"/>
    <col min="25" max="25" width="26.36328125" customWidth="1"/>
    <col min="26" max="26" width="26" customWidth="1"/>
    <col min="27" max="27" width="32.90625" customWidth="1"/>
    <col min="28" max="28" width="36.81640625" customWidth="1"/>
    <col min="29" max="29" width="43.90625" customWidth="1"/>
    <col min="30" max="30" width="52.26953125" customWidth="1"/>
    <col min="31" max="31" width="31.90625" customWidth="1"/>
    <col min="32" max="32" width="35.1796875" customWidth="1"/>
  </cols>
  <sheetData>
    <row r="1" spans="1:11" x14ac:dyDescent="0.35">
      <c r="A1" t="s">
        <v>0</v>
      </c>
      <c r="B1" t="s">
        <v>1</v>
      </c>
      <c r="C1" t="s">
        <v>2</v>
      </c>
      <c r="D1" t="s">
        <v>3</v>
      </c>
      <c r="E1" t="s">
        <v>4</v>
      </c>
      <c r="F1" t="s">
        <v>5</v>
      </c>
      <c r="G1" t="s">
        <v>329</v>
      </c>
      <c r="H1" t="s">
        <v>343</v>
      </c>
      <c r="I1" t="s">
        <v>11</v>
      </c>
    </row>
    <row r="2" spans="1:11" x14ac:dyDescent="0.35">
      <c r="A2" t="s">
        <v>205</v>
      </c>
      <c r="B2">
        <v>0.25</v>
      </c>
      <c r="C2">
        <v>0.16</v>
      </c>
      <c r="D2">
        <v>0.25</v>
      </c>
      <c r="E2">
        <v>0.45</v>
      </c>
      <c r="F2">
        <v>0.4</v>
      </c>
      <c r="G2" t="s">
        <v>320</v>
      </c>
      <c r="H2" t="s">
        <v>202</v>
      </c>
      <c r="I2" s="55" t="s">
        <v>371</v>
      </c>
    </row>
    <row r="3" spans="1:11" x14ac:dyDescent="0.35">
      <c r="A3" t="s">
        <v>206</v>
      </c>
      <c r="B3">
        <v>0.05</v>
      </c>
      <c r="C3">
        <v>0.02</v>
      </c>
      <c r="D3">
        <v>0.04</v>
      </c>
      <c r="E3">
        <v>0.2</v>
      </c>
      <c r="F3">
        <v>0.32</v>
      </c>
      <c r="G3" t="s">
        <v>320</v>
      </c>
      <c r="H3" t="s">
        <v>202</v>
      </c>
      <c r="I3" s="55" t="s">
        <v>371</v>
      </c>
    </row>
    <row r="4" spans="1:11" x14ac:dyDescent="0.35">
      <c r="A4" t="s">
        <v>207</v>
      </c>
      <c r="B4">
        <v>0.2</v>
      </c>
      <c r="C4">
        <v>0.13</v>
      </c>
      <c r="D4">
        <v>0.21</v>
      </c>
      <c r="E4">
        <v>0.34</v>
      </c>
      <c r="F4">
        <v>0.34</v>
      </c>
      <c r="G4" t="s">
        <v>320</v>
      </c>
      <c r="H4" t="s">
        <v>202</v>
      </c>
      <c r="I4" s="55" t="s">
        <v>372</v>
      </c>
    </row>
    <row r="5" spans="1:11" x14ac:dyDescent="0.35">
      <c r="A5" t="s">
        <v>208</v>
      </c>
      <c r="B5">
        <v>7.0000000000000007E-2</v>
      </c>
      <c r="C5">
        <v>0.02</v>
      </c>
      <c r="D5">
        <v>0.06</v>
      </c>
      <c r="E5">
        <v>0.22</v>
      </c>
      <c r="F5">
        <v>0.37</v>
      </c>
      <c r="G5" t="s">
        <v>320</v>
      </c>
      <c r="H5" t="s">
        <v>202</v>
      </c>
      <c r="I5" s="55" t="s">
        <v>372</v>
      </c>
    </row>
    <row r="6" spans="1:11" x14ac:dyDescent="0.35">
      <c r="A6" t="s">
        <v>204</v>
      </c>
      <c r="B6">
        <v>20717</v>
      </c>
      <c r="C6">
        <v>10133</v>
      </c>
      <c r="D6">
        <v>7539</v>
      </c>
      <c r="E6">
        <v>1325</v>
      </c>
      <c r="F6">
        <v>1354</v>
      </c>
      <c r="G6" t="s">
        <v>320</v>
      </c>
      <c r="H6" t="s">
        <v>202</v>
      </c>
      <c r="I6" s="58" t="s">
        <v>387</v>
      </c>
      <c r="J6" s="2"/>
      <c r="K6" s="2"/>
    </row>
    <row r="7" spans="1:11" x14ac:dyDescent="0.35">
      <c r="A7" t="s">
        <v>209</v>
      </c>
      <c r="B7">
        <v>7667</v>
      </c>
      <c r="C7">
        <v>369</v>
      </c>
      <c r="D7">
        <v>1463</v>
      </c>
      <c r="E7">
        <v>3674</v>
      </c>
      <c r="F7">
        <v>2161</v>
      </c>
      <c r="G7" t="s">
        <v>320</v>
      </c>
      <c r="H7" t="s">
        <v>202</v>
      </c>
      <c r="I7" t="s">
        <v>388</v>
      </c>
    </row>
    <row r="8" spans="1:11" x14ac:dyDescent="0.35">
      <c r="A8" t="s">
        <v>210</v>
      </c>
      <c r="B8">
        <v>5720</v>
      </c>
      <c r="C8">
        <v>179</v>
      </c>
      <c r="D8">
        <v>908</v>
      </c>
      <c r="E8">
        <v>2868</v>
      </c>
      <c r="F8">
        <v>1765</v>
      </c>
      <c r="G8" t="s">
        <v>320</v>
      </c>
      <c r="H8" t="s">
        <v>202</v>
      </c>
      <c r="I8" t="s">
        <v>388</v>
      </c>
    </row>
    <row r="9" spans="1:11" x14ac:dyDescent="0.35">
      <c r="A9" t="s">
        <v>211</v>
      </c>
      <c r="B9">
        <v>0.23100000000000001</v>
      </c>
      <c r="C9">
        <v>0.113</v>
      </c>
      <c r="D9">
        <v>0.19</v>
      </c>
      <c r="E9">
        <v>0.63600000000000001</v>
      </c>
      <c r="F9">
        <v>0.52700000000000002</v>
      </c>
      <c r="G9" t="s">
        <v>320</v>
      </c>
      <c r="H9" t="s">
        <v>202</v>
      </c>
      <c r="I9" s="55" t="s">
        <v>1987</v>
      </c>
    </row>
    <row r="10" spans="1:11" x14ac:dyDescent="0.35">
      <c r="A10" t="s">
        <v>212</v>
      </c>
      <c r="B10">
        <v>4.8000000000000001E-2</v>
      </c>
      <c r="C10">
        <v>7.0000000000000001E-3</v>
      </c>
      <c r="D10">
        <v>1.7999999999999999E-2</v>
      </c>
      <c r="E10">
        <v>0.223</v>
      </c>
      <c r="F10">
        <v>0.23499999999999999</v>
      </c>
      <c r="G10" t="s">
        <v>320</v>
      </c>
      <c r="H10" t="s">
        <v>202</v>
      </c>
      <c r="I10" s="55" t="s">
        <v>1987</v>
      </c>
    </row>
    <row r="11" spans="1:11" x14ac:dyDescent="0.35">
      <c r="A11" t="s">
        <v>213</v>
      </c>
      <c r="B11">
        <v>15513</v>
      </c>
      <c r="C11">
        <v>3282</v>
      </c>
      <c r="D11">
        <v>10070</v>
      </c>
      <c r="E11">
        <v>1318</v>
      </c>
      <c r="F11">
        <v>843</v>
      </c>
      <c r="G11" t="s">
        <v>320</v>
      </c>
      <c r="H11" t="s">
        <v>202</v>
      </c>
      <c r="I11" s="55" t="s">
        <v>1988</v>
      </c>
    </row>
    <row r="12" spans="1:11" x14ac:dyDescent="0.35">
      <c r="A12" t="s">
        <v>214</v>
      </c>
      <c r="B12">
        <v>0.86</v>
      </c>
      <c r="C12">
        <v>0.77900000000000003</v>
      </c>
      <c r="D12">
        <v>0.83599999999999997</v>
      </c>
      <c r="E12">
        <v>0.90900000000000003</v>
      </c>
      <c r="F12">
        <v>0.95099999999999996</v>
      </c>
      <c r="G12" t="s">
        <v>320</v>
      </c>
      <c r="H12" t="s">
        <v>202</v>
      </c>
      <c r="I12" s="55" t="s">
        <v>1989</v>
      </c>
    </row>
    <row r="13" spans="1:11" x14ac:dyDescent="0.35">
      <c r="A13" t="s">
        <v>215</v>
      </c>
      <c r="B13">
        <v>11759</v>
      </c>
      <c r="C13">
        <v>1066</v>
      </c>
      <c r="D13">
        <v>2134</v>
      </c>
      <c r="E13">
        <v>5264</v>
      </c>
      <c r="F13">
        <v>3295</v>
      </c>
      <c r="G13" t="s">
        <v>320</v>
      </c>
      <c r="H13" t="s">
        <v>202</v>
      </c>
      <c r="I13" s="55" t="s">
        <v>1990</v>
      </c>
    </row>
    <row r="14" spans="1:11" x14ac:dyDescent="0.35">
      <c r="A14" t="s">
        <v>216</v>
      </c>
      <c r="B14">
        <v>2953</v>
      </c>
      <c r="C14">
        <v>193</v>
      </c>
      <c r="D14">
        <v>449</v>
      </c>
      <c r="E14">
        <v>1439</v>
      </c>
      <c r="F14">
        <v>872</v>
      </c>
      <c r="G14" t="s">
        <v>320</v>
      </c>
      <c r="H14" t="s">
        <v>202</v>
      </c>
      <c r="I14" s="55" t="s">
        <v>1990</v>
      </c>
    </row>
    <row r="15" spans="1:11" x14ac:dyDescent="0.35">
      <c r="A15" t="s">
        <v>217</v>
      </c>
      <c r="B15">
        <v>8490</v>
      </c>
      <c r="C15">
        <v>539</v>
      </c>
      <c r="D15">
        <v>1227</v>
      </c>
      <c r="E15">
        <v>4478</v>
      </c>
      <c r="F15">
        <v>2246</v>
      </c>
      <c r="G15" t="s">
        <v>321</v>
      </c>
      <c r="H15" t="s">
        <v>1991</v>
      </c>
      <c r="I15" s="55" t="s">
        <v>1992</v>
      </c>
    </row>
    <row r="16" spans="1:11" x14ac:dyDescent="0.35">
      <c r="A16" t="s">
        <v>218</v>
      </c>
      <c r="B16">
        <v>123681</v>
      </c>
      <c r="C16">
        <v>8621</v>
      </c>
      <c r="D16">
        <v>9226</v>
      </c>
      <c r="E16">
        <v>72374</v>
      </c>
      <c r="F16">
        <v>33460</v>
      </c>
      <c r="G16" t="s">
        <v>320</v>
      </c>
      <c r="H16" t="s">
        <v>202</v>
      </c>
      <c r="I16" s="55" t="s">
        <v>1992</v>
      </c>
    </row>
    <row r="17" spans="1:9" x14ac:dyDescent="0.35">
      <c r="A17" t="s">
        <v>219</v>
      </c>
      <c r="B17">
        <v>5518</v>
      </c>
      <c r="C17">
        <v>385</v>
      </c>
      <c r="D17">
        <v>412</v>
      </c>
      <c r="E17">
        <v>3228</v>
      </c>
      <c r="F17">
        <v>1493</v>
      </c>
      <c r="G17" t="s">
        <v>321</v>
      </c>
      <c r="H17" t="s">
        <v>1993</v>
      </c>
      <c r="I17" s="55" t="s">
        <v>1992</v>
      </c>
    </row>
    <row r="18" spans="1:9" x14ac:dyDescent="0.35">
      <c r="A18" t="s">
        <v>220</v>
      </c>
      <c r="B18">
        <v>0.41</v>
      </c>
      <c r="C18">
        <v>0.2</v>
      </c>
      <c r="D18">
        <v>0.28000000000000003</v>
      </c>
      <c r="E18">
        <v>0.52</v>
      </c>
      <c r="F18">
        <v>0.7</v>
      </c>
      <c r="G18" t="s">
        <v>320</v>
      </c>
      <c r="H18" t="s">
        <v>202</v>
      </c>
      <c r="I18" s="55" t="s">
        <v>1994</v>
      </c>
    </row>
    <row r="19" spans="1:9" x14ac:dyDescent="0.35">
      <c r="A19" t="s">
        <v>221</v>
      </c>
      <c r="B19">
        <v>0.09</v>
      </c>
      <c r="C19">
        <v>0.02</v>
      </c>
      <c r="D19">
        <v>0.03</v>
      </c>
      <c r="E19">
        <v>0.12</v>
      </c>
      <c r="F19">
        <v>0.28999999999999998</v>
      </c>
      <c r="G19" t="s">
        <v>320</v>
      </c>
      <c r="H19" t="s">
        <v>202</v>
      </c>
      <c r="I19" s="55" t="s">
        <v>371</v>
      </c>
    </row>
    <row r="20" spans="1:9" x14ac:dyDescent="0.35">
      <c r="A20" t="s">
        <v>222</v>
      </c>
      <c r="B20">
        <v>0.33</v>
      </c>
      <c r="C20">
        <v>0.13</v>
      </c>
      <c r="D20">
        <v>0.19</v>
      </c>
      <c r="E20">
        <v>0.43</v>
      </c>
      <c r="F20">
        <v>0.64</v>
      </c>
      <c r="G20" t="s">
        <v>320</v>
      </c>
      <c r="H20" t="s">
        <v>202</v>
      </c>
      <c r="I20" s="55" t="s">
        <v>372</v>
      </c>
    </row>
    <row r="21" spans="1:9" x14ac:dyDescent="0.35">
      <c r="A21" t="s">
        <v>223</v>
      </c>
      <c r="B21">
        <v>0.1</v>
      </c>
      <c r="C21">
        <v>0.02</v>
      </c>
      <c r="D21">
        <v>0.03</v>
      </c>
      <c r="E21">
        <v>0.13</v>
      </c>
      <c r="F21">
        <v>0.33</v>
      </c>
      <c r="G21" t="s">
        <v>320</v>
      </c>
      <c r="H21" t="s">
        <v>202</v>
      </c>
      <c r="I21" s="55" t="s">
        <v>372</v>
      </c>
    </row>
    <row r="22" spans="1:9" x14ac:dyDescent="0.35">
      <c r="A22" t="s">
        <v>64</v>
      </c>
      <c r="B22">
        <v>107967</v>
      </c>
      <c r="C22">
        <v>8779</v>
      </c>
      <c r="D22">
        <v>12080</v>
      </c>
      <c r="E22">
        <v>53788</v>
      </c>
      <c r="F22">
        <v>19466</v>
      </c>
      <c r="G22" t="s">
        <v>321</v>
      </c>
      <c r="I22" s="55" t="s">
        <v>1992</v>
      </c>
    </row>
    <row r="23" spans="1:9" x14ac:dyDescent="0.35">
      <c r="A23" t="s">
        <v>63</v>
      </c>
      <c r="B23">
        <v>2769</v>
      </c>
      <c r="C23">
        <v>223</v>
      </c>
      <c r="D23">
        <v>423</v>
      </c>
      <c r="E23">
        <v>1583</v>
      </c>
      <c r="F23">
        <v>540</v>
      </c>
      <c r="G23" t="s">
        <v>322</v>
      </c>
      <c r="I23" s="55" t="s">
        <v>1992</v>
      </c>
    </row>
    <row r="24" spans="1:9" x14ac:dyDescent="0.35">
      <c r="A24" t="s">
        <v>224</v>
      </c>
      <c r="B24">
        <v>5049583</v>
      </c>
      <c r="C24">
        <v>401798</v>
      </c>
      <c r="D24">
        <v>401158</v>
      </c>
      <c r="E24">
        <v>3117300</v>
      </c>
      <c r="F24">
        <v>1129327</v>
      </c>
      <c r="G24" t="s">
        <v>320</v>
      </c>
      <c r="H24" t="s">
        <v>202</v>
      </c>
      <c r="I24" s="55" t="s">
        <v>1992</v>
      </c>
    </row>
    <row r="25" spans="1:9" x14ac:dyDescent="0.35">
      <c r="A25" t="s">
        <v>225</v>
      </c>
      <c r="B25">
        <v>658332</v>
      </c>
      <c r="C25">
        <v>38744</v>
      </c>
      <c r="D25">
        <v>105868</v>
      </c>
      <c r="E25">
        <v>374937</v>
      </c>
      <c r="F25">
        <v>138783</v>
      </c>
      <c r="G25" t="s">
        <v>321</v>
      </c>
      <c r="I25" s="55" t="s">
        <v>359</v>
      </c>
    </row>
    <row r="26" spans="1:9" x14ac:dyDescent="0.35">
      <c r="A26" t="s">
        <v>226</v>
      </c>
      <c r="B26">
        <v>234000</v>
      </c>
      <c r="C26">
        <v>8423</v>
      </c>
      <c r="D26">
        <v>24703</v>
      </c>
      <c r="E26">
        <v>101678</v>
      </c>
      <c r="F26">
        <v>78588</v>
      </c>
      <c r="G26" t="s">
        <v>321</v>
      </c>
      <c r="I26" s="55" t="s">
        <v>359</v>
      </c>
    </row>
    <row r="27" spans="1:9" x14ac:dyDescent="0.35">
      <c r="A27" t="s">
        <v>227</v>
      </c>
      <c r="B27" s="37">
        <v>179188</v>
      </c>
      <c r="C27" s="37">
        <v>10163</v>
      </c>
      <c r="D27" s="37">
        <v>28208</v>
      </c>
      <c r="E27" s="37">
        <v>76508</v>
      </c>
      <c r="F27" s="37">
        <v>46600</v>
      </c>
      <c r="G27" t="s">
        <v>320</v>
      </c>
      <c r="H27" t="s">
        <v>202</v>
      </c>
      <c r="I27" t="s">
        <v>388</v>
      </c>
    </row>
    <row r="28" spans="1:9" x14ac:dyDescent="0.35">
      <c r="A28" t="s">
        <v>228</v>
      </c>
      <c r="B28">
        <f t="shared" ref="B28:B34" si="0">SUM(C28:F28)</f>
        <v>114024</v>
      </c>
      <c r="C28">
        <v>5050</v>
      </c>
      <c r="D28">
        <v>16497</v>
      </c>
      <c r="E28" s="37">
        <v>54718</v>
      </c>
      <c r="F28" s="37">
        <v>37759</v>
      </c>
      <c r="G28" t="s">
        <v>320</v>
      </c>
      <c r="H28" t="s">
        <v>202</v>
      </c>
      <c r="I28" t="s">
        <v>388</v>
      </c>
    </row>
    <row r="29" spans="1:9" x14ac:dyDescent="0.35">
      <c r="A29" t="s">
        <v>229</v>
      </c>
      <c r="B29">
        <f t="shared" si="0"/>
        <v>3204</v>
      </c>
      <c r="C29">
        <f>80+17</f>
        <v>97</v>
      </c>
      <c r="D29">
        <f>213+70</f>
        <v>283</v>
      </c>
      <c r="E29" s="38">
        <f>658+325</f>
        <v>983</v>
      </c>
      <c r="F29" s="38">
        <f>1282+559</f>
        <v>1841</v>
      </c>
      <c r="G29" t="s">
        <v>320</v>
      </c>
      <c r="H29" t="s">
        <v>202</v>
      </c>
    </row>
    <row r="30" spans="1:9" x14ac:dyDescent="0.35">
      <c r="A30" t="s">
        <v>230</v>
      </c>
      <c r="B30">
        <f t="shared" si="0"/>
        <v>721</v>
      </c>
      <c r="C30">
        <f>16+3</f>
        <v>19</v>
      </c>
      <c r="D30">
        <f>45+20</f>
        <v>65</v>
      </c>
      <c r="E30">
        <f>176+85</f>
        <v>261</v>
      </c>
      <c r="F30">
        <f>221+155</f>
        <v>376</v>
      </c>
      <c r="G30" t="s">
        <v>320</v>
      </c>
      <c r="H30" t="s">
        <v>202</v>
      </c>
    </row>
    <row r="31" spans="1:9" x14ac:dyDescent="0.35">
      <c r="A31" t="s">
        <v>231</v>
      </c>
      <c r="B31">
        <f t="shared" si="0"/>
        <v>40403</v>
      </c>
      <c r="C31">
        <f>3059</f>
        <v>3059</v>
      </c>
      <c r="D31">
        <f>7078</f>
        <v>7078</v>
      </c>
      <c r="E31">
        <f>19643</f>
        <v>19643</v>
      </c>
      <c r="F31">
        <f>10623</f>
        <v>10623</v>
      </c>
      <c r="G31" t="s">
        <v>320</v>
      </c>
      <c r="H31" t="s">
        <v>202</v>
      </c>
    </row>
    <row r="32" spans="1:9" x14ac:dyDescent="0.35">
      <c r="A32" t="s">
        <v>232</v>
      </c>
      <c r="B32">
        <f t="shared" si="0"/>
        <v>9763</v>
      </c>
      <c r="C32">
        <f>677</f>
        <v>677</v>
      </c>
      <c r="D32">
        <f>1444</f>
        <v>1444</v>
      </c>
      <c r="E32">
        <f>5293</f>
        <v>5293</v>
      </c>
      <c r="F32">
        <f>2349</f>
        <v>2349</v>
      </c>
      <c r="G32" t="s">
        <v>320</v>
      </c>
      <c r="H32" t="s">
        <v>202</v>
      </c>
    </row>
    <row r="33" spans="1:8" x14ac:dyDescent="0.35">
      <c r="A33" t="s">
        <v>233</v>
      </c>
      <c r="B33">
        <f t="shared" si="0"/>
        <v>21858</v>
      </c>
      <c r="C33">
        <v>1457</v>
      </c>
      <c r="D33">
        <v>1659</v>
      </c>
      <c r="E33">
        <v>14664</v>
      </c>
      <c r="F33">
        <v>4078</v>
      </c>
      <c r="G33" t="s">
        <v>320</v>
      </c>
      <c r="H33" t="s">
        <v>202</v>
      </c>
    </row>
    <row r="34" spans="1:8" x14ac:dyDescent="0.35">
      <c r="A34" t="s">
        <v>234</v>
      </c>
      <c r="B34" s="39">
        <f t="shared" si="0"/>
        <v>678685</v>
      </c>
      <c r="C34">
        <f>48317</f>
        <v>48317</v>
      </c>
      <c r="D34">
        <f>50868</f>
        <v>50868</v>
      </c>
      <c r="E34">
        <f>451767</f>
        <v>451767</v>
      </c>
      <c r="F34">
        <f>127733</f>
        <v>127733</v>
      </c>
      <c r="G34" t="s">
        <v>320</v>
      </c>
      <c r="H34" t="s">
        <v>202</v>
      </c>
    </row>
    <row r="35" spans="1:8" x14ac:dyDescent="0.35">
      <c r="A35" t="s">
        <v>235</v>
      </c>
      <c r="B35">
        <v>2039431</v>
      </c>
      <c r="C35">
        <v>197444</v>
      </c>
      <c r="D35">
        <v>302615</v>
      </c>
      <c r="E35">
        <v>1183959</v>
      </c>
      <c r="F35">
        <v>157062</v>
      </c>
      <c r="G35" t="s">
        <v>320</v>
      </c>
      <c r="H35" t="s">
        <v>202</v>
      </c>
    </row>
    <row r="36" spans="1:8" x14ac:dyDescent="0.35">
      <c r="A36" t="s">
        <v>243</v>
      </c>
      <c r="B36">
        <v>2555</v>
      </c>
      <c r="C36">
        <v>136</v>
      </c>
      <c r="D36">
        <v>345</v>
      </c>
      <c r="E36">
        <v>823</v>
      </c>
      <c r="F36">
        <v>1251</v>
      </c>
      <c r="G36" t="s">
        <v>321</v>
      </c>
    </row>
    <row r="37" spans="1:8" x14ac:dyDescent="0.35">
      <c r="A37" t="s">
        <v>240</v>
      </c>
      <c r="B37">
        <v>1031</v>
      </c>
      <c r="C37">
        <v>41</v>
      </c>
      <c r="D37">
        <v>128</v>
      </c>
      <c r="E37">
        <v>486</v>
      </c>
      <c r="F37">
        <v>376</v>
      </c>
      <c r="G37" t="s">
        <v>321</v>
      </c>
    </row>
    <row r="38" spans="1:8" x14ac:dyDescent="0.35">
      <c r="A38" t="s">
        <v>241</v>
      </c>
      <c r="B38" s="39">
        <f>SUM(B48:B50)</f>
        <v>14933</v>
      </c>
      <c r="C38">
        <f>SUM(C48:C50)</f>
        <v>1126</v>
      </c>
      <c r="D38">
        <f>SUM(D48:D50)</f>
        <v>2689</v>
      </c>
      <c r="E38">
        <f>SUM(E48:E50)</f>
        <v>5154</v>
      </c>
      <c r="F38">
        <f>SUM(F48:F50)</f>
        <v>5964</v>
      </c>
      <c r="G38" t="s">
        <v>321</v>
      </c>
    </row>
    <row r="39" spans="1:8" x14ac:dyDescent="0.35">
      <c r="A39" t="s">
        <v>239</v>
      </c>
      <c r="B39">
        <f>SUM(C39:F39)</f>
        <v>3487</v>
      </c>
      <c r="C39">
        <f>65+49+117</f>
        <v>231</v>
      </c>
      <c r="D39">
        <f>161+122+278</f>
        <v>561</v>
      </c>
      <c r="E39">
        <f>356+420+765</f>
        <v>1541</v>
      </c>
      <c r="F39">
        <f>309+468+377</f>
        <v>1154</v>
      </c>
      <c r="G39" t="s">
        <v>320</v>
      </c>
      <c r="H39" t="s">
        <v>202</v>
      </c>
    </row>
    <row r="40" spans="1:8" x14ac:dyDescent="0.35">
      <c r="A40" t="s">
        <v>255</v>
      </c>
      <c r="B40">
        <f>SUM(C40:F40)</f>
        <v>700000</v>
      </c>
      <c r="C40">
        <v>57000</v>
      </c>
      <c r="D40">
        <v>78000</v>
      </c>
      <c r="E40">
        <v>350000</v>
      </c>
      <c r="F40">
        <f>215000</f>
        <v>215000</v>
      </c>
      <c r="G40" t="s">
        <v>321</v>
      </c>
    </row>
    <row r="41" spans="1:8" x14ac:dyDescent="0.35">
      <c r="A41" t="s">
        <v>242</v>
      </c>
      <c r="B41" s="39">
        <f>SUM(C41:F41)</f>
        <v>13934822</v>
      </c>
      <c r="C41">
        <v>1901153</v>
      </c>
      <c r="D41">
        <v>3220694</v>
      </c>
      <c r="E41">
        <v>7751815</v>
      </c>
      <c r="F41">
        <v>1061160</v>
      </c>
      <c r="G41" t="s">
        <v>320</v>
      </c>
      <c r="H41" t="s">
        <v>202</v>
      </c>
    </row>
    <row r="42" spans="1:8" x14ac:dyDescent="0.35">
      <c r="A42" t="s">
        <v>323</v>
      </c>
      <c r="B42" s="39">
        <f>SUM(C42:F42)</f>
        <v>678685</v>
      </c>
      <c r="C42">
        <f>48317</f>
        <v>48317</v>
      </c>
      <c r="D42">
        <f>50868</f>
        <v>50868</v>
      </c>
      <c r="E42">
        <f>451767</f>
        <v>451767</v>
      </c>
      <c r="F42">
        <f>127733</f>
        <v>127733</v>
      </c>
      <c r="G42" t="s">
        <v>320</v>
      </c>
      <c r="H42" t="s">
        <v>202</v>
      </c>
    </row>
    <row r="43" spans="1:8" x14ac:dyDescent="0.35">
      <c r="A43" t="s">
        <v>324</v>
      </c>
      <c r="B43">
        <f>SUM(C43:F43)</f>
        <v>176364</v>
      </c>
      <c r="C43">
        <v>12939</v>
      </c>
      <c r="D43">
        <v>12629</v>
      </c>
      <c r="E43">
        <v>106699</v>
      </c>
      <c r="F43">
        <v>44097</v>
      </c>
      <c r="G43" t="s">
        <v>321</v>
      </c>
    </row>
    <row r="44" spans="1:8" x14ac:dyDescent="0.35">
      <c r="A44" t="s">
        <v>252</v>
      </c>
      <c r="B44">
        <v>698</v>
      </c>
      <c r="C44">
        <f>ROUND(0.061*B44,)</f>
        <v>43</v>
      </c>
      <c r="D44">
        <f>ROUND(0.095*B44,)</f>
        <v>66</v>
      </c>
      <c r="E44">
        <f>ROUND(0.38*B44,)</f>
        <v>265</v>
      </c>
      <c r="F44">
        <f>ROUND(0.464*B44,)</f>
        <v>324</v>
      </c>
      <c r="G44" t="s">
        <v>321</v>
      </c>
    </row>
    <row r="45" spans="1:8" x14ac:dyDescent="0.35">
      <c r="A45" t="s">
        <v>253</v>
      </c>
      <c r="B45">
        <v>600</v>
      </c>
      <c r="C45">
        <v>18</v>
      </c>
      <c r="D45">
        <v>53</v>
      </c>
      <c r="E45">
        <v>168</v>
      </c>
      <c r="F45">
        <v>361</v>
      </c>
      <c r="G45" t="s">
        <v>321</v>
      </c>
    </row>
    <row r="46" spans="1:8" x14ac:dyDescent="0.35">
      <c r="A46" t="s">
        <v>254</v>
      </c>
      <c r="B46">
        <v>1257</v>
      </c>
      <c r="C46" s="9">
        <v>75</v>
      </c>
      <c r="D46" s="9">
        <v>226</v>
      </c>
      <c r="E46">
        <v>390</v>
      </c>
      <c r="F46">
        <v>566</v>
      </c>
      <c r="G46" t="s">
        <v>321</v>
      </c>
    </row>
    <row r="47" spans="1:8" x14ac:dyDescent="0.35">
      <c r="A47" t="s">
        <v>325</v>
      </c>
      <c r="B47">
        <v>307073</v>
      </c>
      <c r="C47">
        <v>37558</v>
      </c>
      <c r="D47">
        <v>41827</v>
      </c>
      <c r="E47">
        <v>180234</v>
      </c>
      <c r="F47">
        <v>47454</v>
      </c>
      <c r="G47" t="s">
        <v>321</v>
      </c>
    </row>
    <row r="48" spans="1:8" x14ac:dyDescent="0.35">
      <c r="A48" t="s">
        <v>326</v>
      </c>
      <c r="B48">
        <v>4156</v>
      </c>
      <c r="C48">
        <v>336</v>
      </c>
      <c r="D48">
        <v>702</v>
      </c>
      <c r="E48">
        <v>1582</v>
      </c>
      <c r="F48">
        <v>1536</v>
      </c>
      <c r="G48" t="s">
        <v>320</v>
      </c>
      <c r="H48" t="s">
        <v>202</v>
      </c>
    </row>
    <row r="49" spans="1:9" x14ac:dyDescent="0.35">
      <c r="A49" t="s">
        <v>327</v>
      </c>
      <c r="B49">
        <f>SUM(C49:F49)</f>
        <v>5963</v>
      </c>
      <c r="C49">
        <v>535</v>
      </c>
      <c r="D49">
        <v>1376</v>
      </c>
      <c r="E49">
        <v>1911</v>
      </c>
      <c r="F49">
        <v>2141</v>
      </c>
      <c r="G49" t="s">
        <v>320</v>
      </c>
      <c r="H49" t="s">
        <v>202</v>
      </c>
    </row>
    <row r="50" spans="1:9" x14ac:dyDescent="0.35">
      <c r="A50" t="s">
        <v>328</v>
      </c>
      <c r="B50">
        <f>SUM(C50:F50)</f>
        <v>4814</v>
      </c>
      <c r="C50">
        <v>255</v>
      </c>
      <c r="D50">
        <v>611</v>
      </c>
      <c r="E50">
        <v>1661</v>
      </c>
      <c r="F50">
        <v>2287</v>
      </c>
      <c r="G50" t="s">
        <v>320</v>
      </c>
      <c r="H50" t="s">
        <v>202</v>
      </c>
    </row>
    <row r="51" spans="1:9" x14ac:dyDescent="0.35">
      <c r="A51" t="s">
        <v>496</v>
      </c>
      <c r="B51">
        <v>88387</v>
      </c>
      <c r="C51">
        <v>4491</v>
      </c>
      <c r="D51">
        <v>14050</v>
      </c>
      <c r="E51">
        <v>43220</v>
      </c>
      <c r="F51">
        <v>26626</v>
      </c>
      <c r="G51" t="s">
        <v>320</v>
      </c>
      <c r="H51" t="s">
        <v>202</v>
      </c>
      <c r="I51" t="s">
        <v>388</v>
      </c>
    </row>
    <row r="52" spans="1:9" x14ac:dyDescent="0.35">
      <c r="A52" t="s">
        <v>495</v>
      </c>
      <c r="B52" s="5">
        <v>25637</v>
      </c>
      <c r="C52" s="5">
        <v>559</v>
      </c>
      <c r="D52" s="5">
        <v>2447</v>
      </c>
      <c r="E52" s="5">
        <v>11498</v>
      </c>
      <c r="F52" s="5">
        <v>11133</v>
      </c>
      <c r="G52" t="s">
        <v>497</v>
      </c>
      <c r="H52" t="s">
        <v>202</v>
      </c>
      <c r="I52" t="s">
        <v>388</v>
      </c>
    </row>
    <row r="53" spans="1:9" x14ac:dyDescent="0.35">
      <c r="A53" t="s">
        <v>2073</v>
      </c>
      <c r="B53">
        <v>0.38</v>
      </c>
      <c r="C53">
        <v>0.26</v>
      </c>
      <c r="D53">
        <v>0.35</v>
      </c>
      <c r="E53">
        <v>0.36</v>
      </c>
      <c r="F53">
        <v>0.43</v>
      </c>
      <c r="G53" t="s">
        <v>320</v>
      </c>
      <c r="H53" t="s">
        <v>202</v>
      </c>
    </row>
    <row r="54" spans="1:9" x14ac:dyDescent="0.35">
      <c r="A54" t="s">
        <v>2075</v>
      </c>
      <c r="B54">
        <v>0.69</v>
      </c>
      <c r="C54">
        <v>0.67</v>
      </c>
      <c r="D54">
        <v>0.68</v>
      </c>
      <c r="E54">
        <v>0.7</v>
      </c>
      <c r="F54">
        <v>0.79</v>
      </c>
      <c r="G54" t="s">
        <v>321</v>
      </c>
    </row>
    <row r="55" spans="1:9" x14ac:dyDescent="0.35">
      <c r="A55" t="s">
        <v>2076</v>
      </c>
      <c r="B55">
        <v>0.53</v>
      </c>
      <c r="C55">
        <v>0.51</v>
      </c>
      <c r="D55">
        <v>0.52</v>
      </c>
      <c r="E55">
        <v>0.54</v>
      </c>
      <c r="F55">
        <v>0.61</v>
      </c>
      <c r="G55" t="s">
        <v>321</v>
      </c>
    </row>
    <row r="56" spans="1:9" x14ac:dyDescent="0.35">
      <c r="A56" t="s">
        <v>2077</v>
      </c>
      <c r="B56">
        <v>0.78</v>
      </c>
      <c r="C56">
        <v>0.73</v>
      </c>
      <c r="D56">
        <v>0.76</v>
      </c>
      <c r="E56">
        <v>0.79</v>
      </c>
      <c r="F56">
        <v>0.89</v>
      </c>
      <c r="G56" t="s">
        <v>320</v>
      </c>
      <c r="H56" t="s">
        <v>202</v>
      </c>
    </row>
    <row r="57" spans="1:9" x14ac:dyDescent="0.35">
      <c r="A57" t="s">
        <v>2078</v>
      </c>
      <c r="B57">
        <f>SUM(C57:F57)</f>
        <v>2288743</v>
      </c>
      <c r="C57">
        <f>6897000*0.075</f>
        <v>517275</v>
      </c>
      <c r="D57">
        <f>13128000*0.069</f>
        <v>905832.00000000012</v>
      </c>
      <c r="E57">
        <f>25946000*0.032</f>
        <v>830272</v>
      </c>
      <c r="F57">
        <f>2526000*0.014</f>
        <v>35364</v>
      </c>
      <c r="G57" t="s">
        <v>497</v>
      </c>
      <c r="H57" t="s">
        <v>202</v>
      </c>
    </row>
    <row r="58" spans="1:9" x14ac:dyDescent="0.35">
      <c r="A58" t="s">
        <v>2083</v>
      </c>
      <c r="B58">
        <f>ROUND(B57/B59,)</f>
        <v>58685718</v>
      </c>
      <c r="C58">
        <f>ROUND(C57/C59,)</f>
        <v>6897000</v>
      </c>
      <c r="D58">
        <f>ROUND(D57/D59,)</f>
        <v>13128000</v>
      </c>
      <c r="E58">
        <f>ROUND(E57/E59,)</f>
        <v>25946000</v>
      </c>
      <c r="F58">
        <f>ROUND(F57/F59,)</f>
        <v>2526000</v>
      </c>
      <c r="G58" t="s">
        <v>320</v>
      </c>
      <c r="H58" t="s">
        <v>202</v>
      </c>
    </row>
    <row r="59" spans="1:9" x14ac:dyDescent="0.35">
      <c r="A59" t="s">
        <v>2074</v>
      </c>
      <c r="B59">
        <v>3.9E-2</v>
      </c>
      <c r="C59">
        <v>7.4999999999999997E-2</v>
      </c>
      <c r="D59">
        <v>6.9000000000000006E-2</v>
      </c>
      <c r="E59">
        <v>3.2000000000000001E-2</v>
      </c>
      <c r="F59">
        <v>1.4E-2</v>
      </c>
      <c r="G59" t="s">
        <v>320</v>
      </c>
      <c r="H59" t="s">
        <v>202</v>
      </c>
    </row>
  </sheetData>
  <hyperlinks>
    <hyperlink ref="I2" r:id="rId1" xr:uid="{FD5CF97A-D8CA-453D-9AFD-343C5E4E879D}"/>
    <hyperlink ref="I4" r:id="rId2" xr:uid="{EA54AF3F-AF4B-465B-98DC-1816ECD5FAAD}"/>
    <hyperlink ref="I3" r:id="rId3" xr:uid="{790A4E92-79FB-40ED-B013-C45999C3C887}"/>
    <hyperlink ref="I5" r:id="rId4" xr:uid="{5969E909-5A9B-48F2-831D-E081AFE56145}"/>
    <hyperlink ref="I6" r:id="rId5" xr:uid="{6E45DF58-9A19-4DE3-A980-4E1C8116DE26}"/>
    <hyperlink ref="I9" r:id="rId6" xr:uid="{38CDF1B4-89A6-4BD5-ADCA-DB32C6BCE66E}"/>
    <hyperlink ref="I10" r:id="rId7" xr:uid="{B57F0D00-4719-40AF-A6DB-0B58222F0DB5}"/>
    <hyperlink ref="I11" r:id="rId8" xr:uid="{F30126A4-1300-41EF-A520-63DD854D02D9}"/>
    <hyperlink ref="I12" r:id="rId9" xr:uid="{33D61DD7-5AB6-4226-B2DF-735483A82A22}"/>
    <hyperlink ref="I13" r:id="rId10" xr:uid="{CD992627-91D0-476C-A493-4BCBD8B6906C}"/>
    <hyperlink ref="I14" r:id="rId11" xr:uid="{0BF5AEF7-D254-437B-BA33-86FF3ED5F061}"/>
    <hyperlink ref="I15" r:id="rId12" location="h=hHD8v&amp;page=historic_completions&amp;vertical=edo&amp;nation=us" xr:uid="{E4B9F7ED-71D3-4C57-9D07-83ACA78023A3}"/>
    <hyperlink ref="I16" r:id="rId13" location="h=hHD8v&amp;page=historic_completions&amp;vertical=edo&amp;nation=us" xr:uid="{A4FFCEE8-70C4-4D72-B392-848B55A7B980}"/>
    <hyperlink ref="I17" r:id="rId14" location="h=hHD8v&amp;page=historic_completions&amp;vertical=edo&amp;nation=us" xr:uid="{5A048059-6654-4586-A14D-4F3532CC8878}"/>
    <hyperlink ref="I18" r:id="rId15" xr:uid="{1213EE4E-0518-4AE1-8DE9-A3B8D896896A}"/>
    <hyperlink ref="I19" r:id="rId16" xr:uid="{5F9192B5-D964-499D-BD8A-FADC5F52FB1D}"/>
    <hyperlink ref="I20" r:id="rId17" xr:uid="{C22BD0EC-BE85-4459-B58A-98251BCE8186}"/>
    <hyperlink ref="I21" r:id="rId18" xr:uid="{68817B3F-1EFC-4CD2-8385-FF19C54A2CEC}"/>
    <hyperlink ref="I22" r:id="rId19" location="h=hHD8v&amp;page=historic_completions&amp;vertical=edo&amp;nation=us" xr:uid="{C13A4DD5-2B1E-451D-A515-780F0BD56B46}"/>
    <hyperlink ref="I23" r:id="rId20" location="h=hHD8v&amp;page=historic_completions&amp;vertical=edo&amp;nation=us" xr:uid="{BAE40FBC-E25B-4348-8517-CB448B40B4CE}"/>
    <hyperlink ref="I24" r:id="rId21" location="h=hHD8v&amp;page=historic_completions&amp;vertical=edo&amp;nation=us" xr:uid="{69626E77-5887-4250-BE2D-15341E9D2E97}"/>
    <hyperlink ref="I25" r:id="rId22" xr:uid="{D01B7EA6-13F9-40F6-B2B1-B0495FAEA7F3}"/>
    <hyperlink ref="I26" r:id="rId23" xr:uid="{A6112559-243D-48F3-8037-F802D65EADB4}"/>
  </hyperlinks>
  <pageMargins left="0.7" right="0.7" top="0.75" bottom="0.75" header="0.3" footer="0.3"/>
  <pageSetup orientation="portrait" horizontalDpi="1200" verticalDpi="1200" r:id="rId24"/>
  <ignoredErrors>
    <ignoredError sqref="C38:F38" formulaRange="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02A91-1BA4-4465-9314-31A3EE41B187}">
  <dimension ref="A1:H63"/>
  <sheetViews>
    <sheetView topLeftCell="A10" workbookViewId="0">
      <selection activeCell="A63" sqref="A63"/>
    </sheetView>
  </sheetViews>
  <sheetFormatPr defaultRowHeight="14.5" x14ac:dyDescent="0.35"/>
  <cols>
    <col min="1" max="1" width="43.36328125" style="53" bestFit="1" customWidth="1"/>
    <col min="2" max="2" width="5" style="53" bestFit="1" customWidth="1"/>
    <col min="3" max="3" width="4.453125" style="53" bestFit="1" customWidth="1"/>
    <col min="4" max="4" width="5.54296875" style="53" bestFit="1" customWidth="1"/>
    <col min="5" max="6" width="4.453125" style="53" bestFit="1" customWidth="1"/>
    <col min="7" max="7" width="21.1796875" style="53" bestFit="1" customWidth="1"/>
    <col min="8" max="8" width="7.7265625" bestFit="1" customWidth="1"/>
  </cols>
  <sheetData>
    <row r="1" spans="1:8" x14ac:dyDescent="0.35">
      <c r="A1" s="111" t="s">
        <v>0</v>
      </c>
      <c r="B1" s="111" t="s">
        <v>1</v>
      </c>
      <c r="C1" s="111" t="s">
        <v>2</v>
      </c>
      <c r="D1" s="111" t="s">
        <v>3</v>
      </c>
      <c r="E1" s="111" t="s">
        <v>4</v>
      </c>
      <c r="F1" s="111" t="s">
        <v>5</v>
      </c>
      <c r="G1" s="111" t="s">
        <v>2061</v>
      </c>
      <c r="H1" s="110"/>
    </row>
    <row r="2" spans="1:8" x14ac:dyDescent="0.35">
      <c r="A2" s="70" t="s">
        <v>205</v>
      </c>
      <c r="B2" s="70">
        <v>5481</v>
      </c>
      <c r="C2" s="70">
        <v>1324</v>
      </c>
      <c r="D2" s="70">
        <v>2598</v>
      </c>
      <c r="E2" s="70">
        <v>1125</v>
      </c>
      <c r="F2" s="70">
        <v>434</v>
      </c>
      <c r="G2" s="70" t="s">
        <v>2062</v>
      </c>
    </row>
    <row r="3" spans="1:8" x14ac:dyDescent="0.35">
      <c r="A3" s="70" t="s">
        <v>206</v>
      </c>
      <c r="B3" s="70">
        <v>1429</v>
      </c>
      <c r="C3" s="70">
        <v>166</v>
      </c>
      <c r="D3" s="70">
        <v>416</v>
      </c>
      <c r="E3" s="70">
        <v>500</v>
      </c>
      <c r="F3" s="70">
        <v>347</v>
      </c>
      <c r="G3" s="70" t="s">
        <v>2062</v>
      </c>
    </row>
    <row r="4" spans="1:8" x14ac:dyDescent="0.35">
      <c r="A4" s="70" t="s">
        <v>2063</v>
      </c>
      <c r="B4" s="70">
        <v>5064</v>
      </c>
      <c r="C4" s="70">
        <v>1219</v>
      </c>
      <c r="D4" s="70">
        <v>2625</v>
      </c>
      <c r="E4" s="70">
        <v>872</v>
      </c>
      <c r="F4" s="70">
        <v>348</v>
      </c>
      <c r="G4" s="70" t="s">
        <v>2062</v>
      </c>
    </row>
    <row r="5" spans="1:8" x14ac:dyDescent="0.35">
      <c r="A5" s="70" t="s">
        <v>208</v>
      </c>
      <c r="B5" s="70">
        <v>1882</v>
      </c>
      <c r="C5" s="70">
        <v>188</v>
      </c>
      <c r="D5" s="70">
        <v>750</v>
      </c>
      <c r="E5" s="70">
        <v>565</v>
      </c>
      <c r="F5" s="70">
        <v>379</v>
      </c>
      <c r="G5" s="70" t="s">
        <v>2062</v>
      </c>
    </row>
    <row r="6" spans="1:8" x14ac:dyDescent="0.35">
      <c r="A6" s="70" t="s">
        <v>204</v>
      </c>
      <c r="B6" s="70">
        <v>20717</v>
      </c>
      <c r="C6" s="70">
        <v>10133</v>
      </c>
      <c r="D6" s="70">
        <v>7539</v>
      </c>
      <c r="E6" s="70">
        <v>1325</v>
      </c>
      <c r="F6" s="70">
        <v>1354</v>
      </c>
      <c r="G6" s="70" t="s">
        <v>320</v>
      </c>
    </row>
    <row r="7" spans="1:8" x14ac:dyDescent="0.35">
      <c r="A7" s="70" t="s">
        <v>209</v>
      </c>
      <c r="B7" s="70">
        <v>7667</v>
      </c>
      <c r="C7" s="70">
        <v>369</v>
      </c>
      <c r="D7" s="70">
        <v>1463</v>
      </c>
      <c r="E7" s="70">
        <v>3674</v>
      </c>
      <c r="F7" s="70">
        <v>2161</v>
      </c>
      <c r="G7" s="70" t="s">
        <v>320</v>
      </c>
    </row>
    <row r="8" spans="1:8" x14ac:dyDescent="0.35">
      <c r="A8" s="70" t="s">
        <v>210</v>
      </c>
      <c r="B8" s="70">
        <v>5720</v>
      </c>
      <c r="C8" s="70">
        <v>179</v>
      </c>
      <c r="D8" s="70">
        <v>908</v>
      </c>
      <c r="E8" s="70">
        <v>2868</v>
      </c>
      <c r="F8" s="70">
        <v>1765</v>
      </c>
      <c r="G8" s="70" t="s">
        <v>320</v>
      </c>
    </row>
    <row r="9" spans="1:8" x14ac:dyDescent="0.35">
      <c r="A9" s="70" t="s">
        <v>2064</v>
      </c>
      <c r="B9" s="70">
        <v>5081</v>
      </c>
      <c r="C9" s="70">
        <v>888</v>
      </c>
      <c r="D9" s="70">
        <v>2170</v>
      </c>
      <c r="E9" s="70">
        <v>1449</v>
      </c>
      <c r="F9" s="70">
        <v>574</v>
      </c>
      <c r="G9" s="70" t="s">
        <v>320</v>
      </c>
    </row>
    <row r="10" spans="1:8" x14ac:dyDescent="0.35">
      <c r="A10" s="70" t="s">
        <v>2065</v>
      </c>
      <c r="B10" s="70">
        <v>1025</v>
      </c>
      <c r="C10" s="70">
        <v>55</v>
      </c>
      <c r="D10" s="70">
        <v>206</v>
      </c>
      <c r="E10" s="70">
        <v>508</v>
      </c>
      <c r="F10" s="70">
        <v>256</v>
      </c>
      <c r="G10" s="70" t="s">
        <v>320</v>
      </c>
    </row>
    <row r="11" spans="1:8" x14ac:dyDescent="0.35">
      <c r="A11" s="70" t="s">
        <v>2066</v>
      </c>
      <c r="B11" s="70">
        <v>15513</v>
      </c>
      <c r="C11" s="70">
        <v>3282</v>
      </c>
      <c r="D11" s="70">
        <v>10070</v>
      </c>
      <c r="E11" s="70">
        <v>1318</v>
      </c>
      <c r="F11" s="70">
        <v>843</v>
      </c>
      <c r="G11" s="70" t="s">
        <v>320</v>
      </c>
    </row>
    <row r="12" spans="1:8" x14ac:dyDescent="0.35">
      <c r="A12" s="70" t="s">
        <v>2067</v>
      </c>
      <c r="B12" s="70">
        <v>133178</v>
      </c>
      <c r="C12" s="70">
        <v>20880</v>
      </c>
      <c r="D12" s="70">
        <v>34946</v>
      </c>
      <c r="E12" s="70">
        <v>69614</v>
      </c>
      <c r="F12" s="70">
        <v>7738</v>
      </c>
      <c r="G12" s="70" t="s">
        <v>320</v>
      </c>
    </row>
    <row r="13" spans="1:8" x14ac:dyDescent="0.35">
      <c r="A13" s="70" t="s">
        <v>215</v>
      </c>
      <c r="B13" s="70">
        <v>11759</v>
      </c>
      <c r="C13" s="70">
        <v>1066</v>
      </c>
      <c r="D13" s="70">
        <v>2134</v>
      </c>
      <c r="E13" s="70">
        <v>5264</v>
      </c>
      <c r="F13" s="70">
        <v>3295</v>
      </c>
      <c r="G13" s="70" t="s">
        <v>320</v>
      </c>
    </row>
    <row r="14" spans="1:8" x14ac:dyDescent="0.35">
      <c r="A14" s="70" t="s">
        <v>216</v>
      </c>
      <c r="B14" s="70">
        <v>2953</v>
      </c>
      <c r="C14" s="70">
        <v>193</v>
      </c>
      <c r="D14" s="70">
        <v>449</v>
      </c>
      <c r="E14" s="70">
        <v>1439</v>
      </c>
      <c r="F14" s="70">
        <v>872</v>
      </c>
      <c r="G14" s="70" t="s">
        <v>320</v>
      </c>
    </row>
    <row r="15" spans="1:8" x14ac:dyDescent="0.35">
      <c r="A15" s="70" t="s">
        <v>217</v>
      </c>
      <c r="B15" s="70">
        <v>8490</v>
      </c>
      <c r="C15" s="70">
        <v>539</v>
      </c>
      <c r="D15" s="70">
        <v>1227</v>
      </c>
      <c r="E15" s="70">
        <v>4478</v>
      </c>
      <c r="F15" s="70">
        <v>2246</v>
      </c>
      <c r="G15" s="70" t="s">
        <v>321</v>
      </c>
    </row>
    <row r="16" spans="1:8" x14ac:dyDescent="0.35">
      <c r="A16" s="70" t="s">
        <v>218</v>
      </c>
      <c r="B16" s="70">
        <v>123681</v>
      </c>
      <c r="C16" s="70">
        <v>8621</v>
      </c>
      <c r="D16" s="70">
        <v>9226</v>
      </c>
      <c r="E16" s="70">
        <v>72374</v>
      </c>
      <c r="F16" s="70">
        <v>33460</v>
      </c>
      <c r="G16" s="70" t="s">
        <v>320</v>
      </c>
    </row>
    <row r="17" spans="1:7" x14ac:dyDescent="0.35">
      <c r="A17" s="70" t="s">
        <v>219</v>
      </c>
      <c r="B17" s="70">
        <v>5518</v>
      </c>
      <c r="C17" s="70">
        <v>385</v>
      </c>
      <c r="D17" s="70">
        <v>412</v>
      </c>
      <c r="E17" s="70">
        <v>3228</v>
      </c>
      <c r="F17" s="70">
        <v>1493</v>
      </c>
      <c r="G17" s="70" t="s">
        <v>321</v>
      </c>
    </row>
    <row r="18" spans="1:7" x14ac:dyDescent="0.35">
      <c r="A18" s="70" t="s">
        <v>220</v>
      </c>
      <c r="B18" s="70">
        <v>1504000</v>
      </c>
      <c r="C18" s="70">
        <v>120000</v>
      </c>
      <c r="D18" s="70">
        <v>308000</v>
      </c>
      <c r="E18" s="70">
        <v>936000</v>
      </c>
      <c r="F18" s="70">
        <v>140000</v>
      </c>
      <c r="G18" s="70" t="s">
        <v>320</v>
      </c>
    </row>
    <row r="19" spans="1:7" x14ac:dyDescent="0.35">
      <c r="A19" s="70" t="s">
        <v>221</v>
      </c>
      <c r="B19" s="70">
        <v>319000</v>
      </c>
      <c r="C19" s="70">
        <v>12000</v>
      </c>
      <c r="D19" s="70">
        <v>33000</v>
      </c>
      <c r="E19" s="70">
        <v>216000</v>
      </c>
      <c r="F19" s="70">
        <v>58000</v>
      </c>
      <c r="G19" s="70" t="s">
        <v>320</v>
      </c>
    </row>
    <row r="20" spans="1:7" x14ac:dyDescent="0.35">
      <c r="A20" s="70" t="s">
        <v>222</v>
      </c>
      <c r="B20" s="70">
        <v>1183800</v>
      </c>
      <c r="C20" s="70">
        <v>72800</v>
      </c>
      <c r="D20" s="70">
        <v>209000</v>
      </c>
      <c r="E20" s="70">
        <v>774000</v>
      </c>
      <c r="F20" s="70">
        <v>128000</v>
      </c>
      <c r="G20" s="70" t="s">
        <v>320</v>
      </c>
    </row>
    <row r="21" spans="1:7" x14ac:dyDescent="0.35">
      <c r="A21" s="70" t="s">
        <v>223</v>
      </c>
      <c r="B21" s="70">
        <v>344200</v>
      </c>
      <c r="C21" s="70">
        <v>11200</v>
      </c>
      <c r="D21" s="70">
        <v>33000</v>
      </c>
      <c r="E21" s="70">
        <v>234000</v>
      </c>
      <c r="F21" s="70">
        <v>66000</v>
      </c>
      <c r="G21" s="70" t="s">
        <v>320</v>
      </c>
    </row>
    <row r="22" spans="1:7" x14ac:dyDescent="0.35">
      <c r="A22" s="70" t="s">
        <v>64</v>
      </c>
      <c r="B22" s="70">
        <v>107967</v>
      </c>
      <c r="C22" s="70">
        <v>8779</v>
      </c>
      <c r="D22" s="70">
        <v>12080</v>
      </c>
      <c r="E22" s="70">
        <v>53788</v>
      </c>
      <c r="F22" s="70">
        <v>19466</v>
      </c>
      <c r="G22" s="70" t="s">
        <v>321</v>
      </c>
    </row>
    <row r="23" spans="1:7" x14ac:dyDescent="0.35">
      <c r="A23" s="70" t="s">
        <v>63</v>
      </c>
      <c r="B23" s="70">
        <v>2769</v>
      </c>
      <c r="C23" s="70">
        <v>223</v>
      </c>
      <c r="D23" s="70">
        <v>423</v>
      </c>
      <c r="E23" s="70">
        <v>1583</v>
      </c>
      <c r="F23" s="70">
        <v>540</v>
      </c>
      <c r="G23" s="70" t="s">
        <v>322</v>
      </c>
    </row>
    <row r="24" spans="1:7" x14ac:dyDescent="0.35">
      <c r="A24" s="70" t="s">
        <v>224</v>
      </c>
      <c r="B24" s="70">
        <v>5049583</v>
      </c>
      <c r="C24" s="70">
        <v>401798</v>
      </c>
      <c r="D24" s="70">
        <v>401158</v>
      </c>
      <c r="E24" s="70">
        <v>3117300</v>
      </c>
      <c r="F24" s="70">
        <v>1129327</v>
      </c>
      <c r="G24" s="70" t="s">
        <v>320</v>
      </c>
    </row>
    <row r="25" spans="1:7" x14ac:dyDescent="0.35">
      <c r="A25" s="70" t="s">
        <v>225</v>
      </c>
      <c r="B25" s="70">
        <v>658332</v>
      </c>
      <c r="C25" s="70">
        <v>38744</v>
      </c>
      <c r="D25" s="70">
        <v>105868</v>
      </c>
      <c r="E25" s="70">
        <v>374937</v>
      </c>
      <c r="F25" s="70">
        <v>138783</v>
      </c>
      <c r="G25" s="70" t="s">
        <v>321</v>
      </c>
    </row>
    <row r="26" spans="1:7" x14ac:dyDescent="0.35">
      <c r="A26" s="70" t="s">
        <v>2068</v>
      </c>
      <c r="B26" s="70">
        <v>5081</v>
      </c>
      <c r="C26" s="70">
        <v>888</v>
      </c>
      <c r="D26" s="70">
        <v>2170</v>
      </c>
      <c r="E26" s="70">
        <v>1449</v>
      </c>
      <c r="F26" s="70">
        <v>574</v>
      </c>
      <c r="G26" s="70" t="s">
        <v>320</v>
      </c>
    </row>
    <row r="27" spans="1:7" x14ac:dyDescent="0.35">
      <c r="A27" s="70" t="s">
        <v>2069</v>
      </c>
      <c r="B27" s="70">
        <v>6169</v>
      </c>
      <c r="C27" s="70">
        <v>3227</v>
      </c>
      <c r="D27" s="70">
        <v>2702</v>
      </c>
      <c r="E27" s="70">
        <v>175</v>
      </c>
      <c r="F27" s="70">
        <v>65</v>
      </c>
      <c r="G27" s="70" t="s">
        <v>320</v>
      </c>
    </row>
    <row r="28" spans="1:7" x14ac:dyDescent="0.35">
      <c r="A28" s="70" t="s">
        <v>2070</v>
      </c>
      <c r="B28" s="70">
        <v>9172</v>
      </c>
      <c r="C28" s="70">
        <v>3558</v>
      </c>
      <c r="D28" s="70">
        <v>4676</v>
      </c>
      <c r="E28" s="70">
        <v>700</v>
      </c>
      <c r="F28" s="70">
        <v>238</v>
      </c>
      <c r="G28" s="70" t="s">
        <v>320</v>
      </c>
    </row>
    <row r="29" spans="1:7" x14ac:dyDescent="0.35">
      <c r="A29" s="70" t="s">
        <v>2071</v>
      </c>
      <c r="B29" s="70">
        <v>9514</v>
      </c>
      <c r="C29" s="70">
        <v>4407</v>
      </c>
      <c r="D29" s="70">
        <v>4625</v>
      </c>
      <c r="E29" s="70">
        <v>359</v>
      </c>
      <c r="F29" s="70">
        <v>123</v>
      </c>
      <c r="G29" s="70" t="s">
        <v>320</v>
      </c>
    </row>
    <row r="30" spans="1:7" x14ac:dyDescent="0.35">
      <c r="A30" s="70" t="s">
        <v>2072</v>
      </c>
      <c r="B30" s="70">
        <v>9007</v>
      </c>
      <c r="C30" s="70">
        <v>3563</v>
      </c>
      <c r="D30" s="70">
        <v>4500</v>
      </c>
      <c r="E30" s="70">
        <v>770</v>
      </c>
      <c r="F30" s="70">
        <v>174</v>
      </c>
      <c r="G30" s="70" t="s">
        <v>320</v>
      </c>
    </row>
    <row r="31" spans="1:7" x14ac:dyDescent="0.35">
      <c r="A31" s="70" t="s">
        <v>226</v>
      </c>
      <c r="B31" s="70">
        <v>234000</v>
      </c>
      <c r="C31" s="70">
        <v>8423</v>
      </c>
      <c r="D31" s="70">
        <v>24703</v>
      </c>
      <c r="E31" s="70">
        <v>101678</v>
      </c>
      <c r="F31" s="70">
        <v>78588</v>
      </c>
      <c r="G31" s="70" t="s">
        <v>321</v>
      </c>
    </row>
    <row r="32" spans="1:7" x14ac:dyDescent="0.35">
      <c r="A32" s="70" t="s">
        <v>227</v>
      </c>
      <c r="B32" s="70">
        <v>179188</v>
      </c>
      <c r="C32" s="70">
        <v>10163</v>
      </c>
      <c r="D32" s="70">
        <v>28208</v>
      </c>
      <c r="E32" s="70">
        <v>76508</v>
      </c>
      <c r="F32" s="70">
        <v>46600</v>
      </c>
      <c r="G32" s="70" t="s">
        <v>320</v>
      </c>
    </row>
    <row r="33" spans="1:7" x14ac:dyDescent="0.35">
      <c r="A33" s="70" t="s">
        <v>228</v>
      </c>
      <c r="B33" s="70">
        <v>114024</v>
      </c>
      <c r="C33" s="70">
        <v>5050</v>
      </c>
      <c r="D33" s="70">
        <v>16497</v>
      </c>
      <c r="E33" s="70">
        <v>54718</v>
      </c>
      <c r="F33" s="70">
        <v>37759</v>
      </c>
      <c r="G33" s="70" t="s">
        <v>320</v>
      </c>
    </row>
    <row r="34" spans="1:7" x14ac:dyDescent="0.35">
      <c r="A34" s="70" t="s">
        <v>229</v>
      </c>
      <c r="B34" s="70">
        <v>3204</v>
      </c>
      <c r="C34" s="70">
        <v>97</v>
      </c>
      <c r="D34" s="70">
        <v>283</v>
      </c>
      <c r="E34" s="70">
        <v>983</v>
      </c>
      <c r="F34" s="70">
        <v>1841</v>
      </c>
      <c r="G34" s="70" t="s">
        <v>320</v>
      </c>
    </row>
    <row r="35" spans="1:7" x14ac:dyDescent="0.35">
      <c r="A35" s="70" t="s">
        <v>230</v>
      </c>
      <c r="B35" s="70">
        <v>721</v>
      </c>
      <c r="C35" s="70">
        <v>19</v>
      </c>
      <c r="D35" s="70">
        <v>65</v>
      </c>
      <c r="E35" s="70">
        <v>261</v>
      </c>
      <c r="F35" s="70">
        <v>376</v>
      </c>
      <c r="G35" s="70" t="s">
        <v>320</v>
      </c>
    </row>
    <row r="36" spans="1:7" x14ac:dyDescent="0.35">
      <c r="A36" s="70" t="s">
        <v>231</v>
      </c>
      <c r="B36" s="70">
        <v>40403</v>
      </c>
      <c r="C36" s="70">
        <v>3059</v>
      </c>
      <c r="D36" s="70">
        <v>7078</v>
      </c>
      <c r="E36" s="70">
        <v>19643</v>
      </c>
      <c r="F36" s="70">
        <v>10623</v>
      </c>
      <c r="G36" s="70" t="s">
        <v>320</v>
      </c>
    </row>
    <row r="37" spans="1:7" x14ac:dyDescent="0.35">
      <c r="A37" s="70" t="s">
        <v>232</v>
      </c>
      <c r="B37" s="70">
        <v>9763</v>
      </c>
      <c r="C37" s="70">
        <v>677</v>
      </c>
      <c r="D37" s="70">
        <v>1444</v>
      </c>
      <c r="E37" s="70">
        <v>5293</v>
      </c>
      <c r="F37" s="70">
        <v>2349</v>
      </c>
      <c r="G37" s="70" t="s">
        <v>320</v>
      </c>
    </row>
    <row r="38" spans="1:7" x14ac:dyDescent="0.35">
      <c r="A38" s="70" t="s">
        <v>233</v>
      </c>
      <c r="B38" s="70">
        <v>21858</v>
      </c>
      <c r="C38" s="70">
        <v>1457</v>
      </c>
      <c r="D38" s="70">
        <v>1659</v>
      </c>
      <c r="E38" s="70">
        <v>14664</v>
      </c>
      <c r="F38" s="70">
        <v>4078</v>
      </c>
      <c r="G38" s="70" t="s">
        <v>320</v>
      </c>
    </row>
    <row r="39" spans="1:7" x14ac:dyDescent="0.35">
      <c r="A39" s="70" t="s">
        <v>234</v>
      </c>
      <c r="B39" s="70">
        <v>678685</v>
      </c>
      <c r="C39" s="70">
        <v>48317</v>
      </c>
      <c r="D39" s="70">
        <v>50868</v>
      </c>
      <c r="E39" s="70">
        <v>451767</v>
      </c>
      <c r="F39" s="70">
        <v>127733</v>
      </c>
      <c r="G39" s="70" t="s">
        <v>320</v>
      </c>
    </row>
    <row r="40" spans="1:7" x14ac:dyDescent="0.35">
      <c r="A40" s="70" t="s">
        <v>235</v>
      </c>
      <c r="B40" s="70">
        <v>2039431</v>
      </c>
      <c r="C40" s="70">
        <v>197444</v>
      </c>
      <c r="D40" s="70">
        <v>302615</v>
      </c>
      <c r="E40" s="70">
        <v>1183959</v>
      </c>
      <c r="F40" s="70">
        <v>157062</v>
      </c>
      <c r="G40" s="70" t="s">
        <v>320</v>
      </c>
    </row>
    <row r="41" spans="1:7" x14ac:dyDescent="0.35">
      <c r="A41" s="70" t="s">
        <v>243</v>
      </c>
      <c r="B41" s="70">
        <v>2555</v>
      </c>
      <c r="C41" s="70">
        <v>136</v>
      </c>
      <c r="D41" s="70">
        <v>345</v>
      </c>
      <c r="E41" s="70">
        <v>823</v>
      </c>
      <c r="F41" s="70">
        <v>1251</v>
      </c>
      <c r="G41" s="70" t="s">
        <v>321</v>
      </c>
    </row>
    <row r="42" spans="1:7" x14ac:dyDescent="0.35">
      <c r="A42" s="70" t="s">
        <v>240</v>
      </c>
      <c r="B42" s="70">
        <v>1031</v>
      </c>
      <c r="C42" s="70">
        <v>41</v>
      </c>
      <c r="D42" s="70">
        <v>128</v>
      </c>
      <c r="E42" s="70">
        <v>486</v>
      </c>
      <c r="F42" s="70">
        <v>376</v>
      </c>
      <c r="G42" s="70" t="s">
        <v>321</v>
      </c>
    </row>
    <row r="43" spans="1:7" x14ac:dyDescent="0.35">
      <c r="A43" s="70" t="s">
        <v>241</v>
      </c>
      <c r="B43" s="70">
        <v>14933</v>
      </c>
      <c r="C43" s="70">
        <v>1126</v>
      </c>
      <c r="D43" s="70">
        <v>2689</v>
      </c>
      <c r="E43" s="70">
        <v>5154</v>
      </c>
      <c r="F43" s="70">
        <v>5964</v>
      </c>
      <c r="G43" s="70" t="s">
        <v>321</v>
      </c>
    </row>
    <row r="44" spans="1:7" x14ac:dyDescent="0.35">
      <c r="A44" s="70" t="s">
        <v>239</v>
      </c>
      <c r="B44" s="70">
        <v>3487</v>
      </c>
      <c r="C44" s="70">
        <v>231</v>
      </c>
      <c r="D44" s="70">
        <v>561</v>
      </c>
      <c r="E44" s="70">
        <v>1541</v>
      </c>
      <c r="F44" s="70">
        <v>1154</v>
      </c>
      <c r="G44" s="70" t="s">
        <v>320</v>
      </c>
    </row>
    <row r="45" spans="1:7" x14ac:dyDescent="0.35">
      <c r="A45" s="70" t="s">
        <v>255</v>
      </c>
      <c r="B45" s="70">
        <v>700000</v>
      </c>
      <c r="C45" s="70">
        <v>57000</v>
      </c>
      <c r="D45" s="70">
        <v>78000</v>
      </c>
      <c r="E45" s="70">
        <v>350000</v>
      </c>
      <c r="F45" s="70">
        <v>215000</v>
      </c>
      <c r="G45" s="70" t="s">
        <v>321</v>
      </c>
    </row>
    <row r="46" spans="1:7" x14ac:dyDescent="0.35">
      <c r="A46" s="70" t="s">
        <v>242</v>
      </c>
      <c r="B46" s="70">
        <v>13934822</v>
      </c>
      <c r="C46" s="70">
        <v>1901153</v>
      </c>
      <c r="D46" s="70">
        <v>3220694</v>
      </c>
      <c r="E46" s="70">
        <v>7751815</v>
      </c>
      <c r="F46" s="70">
        <v>1061160</v>
      </c>
      <c r="G46" s="70" t="s">
        <v>320</v>
      </c>
    </row>
    <row r="47" spans="1:7" x14ac:dyDescent="0.35">
      <c r="A47" s="70" t="s">
        <v>323</v>
      </c>
      <c r="B47" s="70">
        <v>678685</v>
      </c>
      <c r="C47" s="70">
        <v>48317</v>
      </c>
      <c r="D47" s="70">
        <v>50868</v>
      </c>
      <c r="E47" s="70">
        <v>451767</v>
      </c>
      <c r="F47" s="70">
        <v>127733</v>
      </c>
      <c r="G47" s="70" t="s">
        <v>320</v>
      </c>
    </row>
    <row r="48" spans="1:7" x14ac:dyDescent="0.35">
      <c r="A48" s="70" t="s">
        <v>324</v>
      </c>
      <c r="B48" s="70">
        <v>176364</v>
      </c>
      <c r="C48" s="70">
        <v>12939</v>
      </c>
      <c r="D48" s="70">
        <v>12629</v>
      </c>
      <c r="E48" s="70">
        <v>106699</v>
      </c>
      <c r="F48" s="70">
        <v>44097</v>
      </c>
      <c r="G48" s="70" t="s">
        <v>321</v>
      </c>
    </row>
    <row r="49" spans="1:7" x14ac:dyDescent="0.35">
      <c r="A49" s="70" t="s">
        <v>252</v>
      </c>
      <c r="B49" s="70">
        <v>698</v>
      </c>
      <c r="C49" s="70">
        <v>43</v>
      </c>
      <c r="D49" s="70">
        <v>66</v>
      </c>
      <c r="E49" s="70">
        <v>265</v>
      </c>
      <c r="F49" s="70">
        <v>324</v>
      </c>
      <c r="G49" s="70" t="s">
        <v>321</v>
      </c>
    </row>
    <row r="50" spans="1:7" x14ac:dyDescent="0.35">
      <c r="A50" s="70" t="s">
        <v>253</v>
      </c>
      <c r="B50" s="70">
        <v>600</v>
      </c>
      <c r="C50" s="70">
        <v>18</v>
      </c>
      <c r="D50" s="70">
        <v>53</v>
      </c>
      <c r="E50" s="70">
        <v>168</v>
      </c>
      <c r="F50" s="70">
        <v>361</v>
      </c>
      <c r="G50" s="70" t="s">
        <v>321</v>
      </c>
    </row>
    <row r="51" spans="1:7" x14ac:dyDescent="0.35">
      <c r="A51" s="70" t="s">
        <v>254</v>
      </c>
      <c r="B51" s="70">
        <v>1257</v>
      </c>
      <c r="C51" s="70">
        <v>75</v>
      </c>
      <c r="D51" s="70">
        <v>226</v>
      </c>
      <c r="E51" s="70">
        <v>390</v>
      </c>
      <c r="F51" s="70">
        <v>566</v>
      </c>
      <c r="G51" s="70" t="s">
        <v>321</v>
      </c>
    </row>
    <row r="52" spans="1:7" x14ac:dyDescent="0.35">
      <c r="A52" s="70" t="s">
        <v>325</v>
      </c>
      <c r="B52" s="70">
        <v>307073</v>
      </c>
      <c r="C52" s="70">
        <v>37558</v>
      </c>
      <c r="D52" s="70">
        <v>41827</v>
      </c>
      <c r="E52" s="70">
        <v>180234</v>
      </c>
      <c r="F52" s="70">
        <v>47454</v>
      </c>
      <c r="G52" s="70" t="s">
        <v>321</v>
      </c>
    </row>
    <row r="53" spans="1:7" x14ac:dyDescent="0.35">
      <c r="A53" s="70" t="s">
        <v>326</v>
      </c>
      <c r="B53" s="70">
        <v>4156</v>
      </c>
      <c r="C53" s="70">
        <v>336</v>
      </c>
      <c r="D53" s="70">
        <v>702</v>
      </c>
      <c r="E53" s="70">
        <v>1582</v>
      </c>
      <c r="F53" s="70">
        <v>1536</v>
      </c>
      <c r="G53" s="70" t="s">
        <v>320</v>
      </c>
    </row>
    <row r="54" spans="1:7" x14ac:dyDescent="0.35">
      <c r="A54" s="70" t="s">
        <v>327</v>
      </c>
      <c r="B54" s="70">
        <v>5963</v>
      </c>
      <c r="C54" s="70">
        <v>535</v>
      </c>
      <c r="D54" s="70">
        <v>1376</v>
      </c>
      <c r="E54" s="70">
        <v>1911</v>
      </c>
      <c r="F54" s="70">
        <v>2141</v>
      </c>
      <c r="G54" s="70" t="s">
        <v>320</v>
      </c>
    </row>
    <row r="55" spans="1:7" x14ac:dyDescent="0.35">
      <c r="A55" s="70" t="s">
        <v>328</v>
      </c>
      <c r="B55" s="70">
        <v>4814</v>
      </c>
      <c r="C55" s="70">
        <v>255</v>
      </c>
      <c r="D55" s="70">
        <v>611</v>
      </c>
      <c r="E55" s="70">
        <v>1661</v>
      </c>
      <c r="F55" s="70">
        <v>2287</v>
      </c>
      <c r="G55" s="70" t="s">
        <v>320</v>
      </c>
    </row>
    <row r="56" spans="1:7" s="112" customFormat="1" ht="8" x14ac:dyDescent="0.2">
      <c r="A56" s="112" t="s">
        <v>496</v>
      </c>
      <c r="B56" s="113">
        <v>88387</v>
      </c>
      <c r="C56" s="113">
        <v>4491</v>
      </c>
      <c r="D56" s="113">
        <v>14050</v>
      </c>
      <c r="E56" s="113">
        <v>43220</v>
      </c>
      <c r="F56" s="113">
        <v>26626</v>
      </c>
      <c r="G56" s="113" t="s">
        <v>320</v>
      </c>
    </row>
    <row r="57" spans="1:7" s="112" customFormat="1" ht="8" x14ac:dyDescent="0.2">
      <c r="A57" s="112" t="s">
        <v>495</v>
      </c>
      <c r="B57" s="114">
        <v>25637</v>
      </c>
      <c r="C57" s="114">
        <v>559</v>
      </c>
      <c r="D57" s="114">
        <v>2447</v>
      </c>
      <c r="E57" s="114">
        <v>11498</v>
      </c>
      <c r="F57" s="114">
        <v>11133</v>
      </c>
      <c r="G57" s="113" t="s">
        <v>497</v>
      </c>
    </row>
    <row r="58" spans="1:7" s="112" customFormat="1" ht="8" x14ac:dyDescent="0.2">
      <c r="A58" s="112" t="s">
        <v>2079</v>
      </c>
      <c r="B58" s="113">
        <v>0.38</v>
      </c>
      <c r="C58" s="113">
        <v>0.26</v>
      </c>
      <c r="D58" s="113">
        <v>0.35</v>
      </c>
      <c r="E58" s="113">
        <v>0.36</v>
      </c>
      <c r="F58" s="113">
        <v>0.43</v>
      </c>
      <c r="G58" s="113" t="s">
        <v>320</v>
      </c>
    </row>
    <row r="59" spans="1:7" s="112" customFormat="1" ht="8" x14ac:dyDescent="0.2">
      <c r="A59" s="112" t="s">
        <v>2074</v>
      </c>
      <c r="B59" s="113">
        <v>3.9E-2</v>
      </c>
      <c r="C59" s="113">
        <v>7.4999999999999997E-2</v>
      </c>
      <c r="D59" s="113">
        <v>6.9000000000000006E-2</v>
      </c>
      <c r="E59" s="113">
        <v>3.2000000000000001E-2</v>
      </c>
      <c r="F59" s="113">
        <v>1.4E-2</v>
      </c>
      <c r="G59" s="113" t="s">
        <v>320</v>
      </c>
    </row>
    <row r="60" spans="1:7" s="112" customFormat="1" ht="8" x14ac:dyDescent="0.2">
      <c r="A60" s="112" t="s">
        <v>2080</v>
      </c>
      <c r="B60" s="113">
        <v>0.69</v>
      </c>
      <c r="C60" s="113">
        <v>0.67</v>
      </c>
      <c r="D60" s="113">
        <v>0.68</v>
      </c>
      <c r="E60" s="113">
        <v>0.7</v>
      </c>
      <c r="F60" s="113">
        <v>0.79</v>
      </c>
      <c r="G60" s="113" t="s">
        <v>321</v>
      </c>
    </row>
    <row r="61" spans="1:7" s="112" customFormat="1" ht="8" x14ac:dyDescent="0.2">
      <c r="A61" s="112" t="s">
        <v>2081</v>
      </c>
      <c r="B61" s="113">
        <v>0.53</v>
      </c>
      <c r="C61" s="113">
        <v>0.51</v>
      </c>
      <c r="D61" s="113">
        <v>0.52</v>
      </c>
      <c r="E61" s="113">
        <v>0.54</v>
      </c>
      <c r="F61" s="113">
        <v>0.61</v>
      </c>
      <c r="G61" s="113" t="s">
        <v>321</v>
      </c>
    </row>
    <row r="62" spans="1:7" s="112" customFormat="1" ht="8" x14ac:dyDescent="0.2">
      <c r="A62" s="112" t="s">
        <v>2082</v>
      </c>
      <c r="B62" s="113">
        <v>0.78</v>
      </c>
      <c r="C62" s="113">
        <v>0.73</v>
      </c>
      <c r="D62" s="113">
        <v>0.76</v>
      </c>
      <c r="E62" s="113">
        <v>0.79</v>
      </c>
      <c r="F62" s="113">
        <v>0.89</v>
      </c>
      <c r="G62" s="113" t="s">
        <v>320</v>
      </c>
    </row>
    <row r="63" spans="1:7" s="112" customFormat="1" ht="8" x14ac:dyDescent="0.2">
      <c r="A63" s="112" t="s">
        <v>2078</v>
      </c>
      <c r="B63" s="113">
        <f>SUM(C63:F63)</f>
        <v>2288743</v>
      </c>
      <c r="C63" s="113">
        <f>6897000*0.075</f>
        <v>517275</v>
      </c>
      <c r="D63" s="113">
        <f>13128000*0.069</f>
        <v>905832.00000000012</v>
      </c>
      <c r="E63" s="113">
        <f>25946000*0.032</f>
        <v>830272</v>
      </c>
      <c r="F63" s="113">
        <f>2526000*0.014</f>
        <v>35364</v>
      </c>
      <c r="G63" s="113" t="s">
        <v>497</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91D1A-4F11-45A9-AAF1-5FBB52EC2E21}">
  <dimension ref="A1:J34"/>
  <sheetViews>
    <sheetView topLeftCell="A16" zoomScale="80" workbookViewId="0">
      <pane xSplit="1" topLeftCell="B1" activePane="topRight" state="frozen"/>
      <selection activeCell="A7" sqref="A7"/>
      <selection pane="topRight" activeCell="A33" sqref="A33:G34"/>
    </sheetView>
  </sheetViews>
  <sheetFormatPr defaultRowHeight="14.5" x14ac:dyDescent="0.35"/>
  <cols>
    <col min="1" max="1" width="50.7265625" bestFit="1" customWidth="1"/>
    <col min="2" max="2" width="10.54296875" bestFit="1" customWidth="1"/>
    <col min="3" max="4" width="9.54296875" bestFit="1" customWidth="1"/>
    <col min="5" max="5" width="10.54296875" bestFit="1" customWidth="1"/>
    <col min="6" max="6" width="9.54296875" bestFit="1" customWidth="1"/>
    <col min="7" max="7" width="28.6328125" bestFit="1" customWidth="1"/>
    <col min="8" max="8" width="134.26953125" bestFit="1" customWidth="1"/>
    <col min="9" max="9" width="123" customWidth="1"/>
    <col min="10" max="10" width="81" customWidth="1"/>
    <col min="11" max="11" width="19.54296875" customWidth="1"/>
    <col min="12" max="12" width="31.6328125" customWidth="1"/>
    <col min="13" max="13" width="29.90625" customWidth="1"/>
    <col min="14" max="14" width="26.54296875" customWidth="1"/>
    <col min="15" max="15" width="50" customWidth="1"/>
    <col min="16" max="16" width="26.54296875" customWidth="1"/>
    <col min="17" max="17" width="19.1796875" customWidth="1"/>
    <col min="18" max="18" width="22.08984375" customWidth="1"/>
    <col min="19" max="19" width="30.36328125" customWidth="1"/>
    <col min="20" max="20" width="21.08984375" customWidth="1"/>
    <col min="21" max="21" width="20.08984375" customWidth="1"/>
    <col min="22" max="22" width="34.08984375" customWidth="1"/>
    <col min="23" max="23" width="34.90625" customWidth="1"/>
    <col min="24" max="24" width="34.36328125" customWidth="1"/>
    <col min="25" max="25" width="34.453125" customWidth="1"/>
  </cols>
  <sheetData>
    <row r="1" spans="1:10" x14ac:dyDescent="0.35">
      <c r="A1" t="s">
        <v>7</v>
      </c>
      <c r="B1" t="s">
        <v>1</v>
      </c>
      <c r="C1" t="s">
        <v>2</v>
      </c>
      <c r="D1" t="s">
        <v>3</v>
      </c>
      <c r="E1" t="s">
        <v>4</v>
      </c>
      <c r="F1" t="s">
        <v>5</v>
      </c>
      <c r="G1" t="s">
        <v>329</v>
      </c>
      <c r="H1" t="s">
        <v>343</v>
      </c>
      <c r="I1" t="s">
        <v>366</v>
      </c>
      <c r="J1" t="s">
        <v>367</v>
      </c>
    </row>
    <row r="2" spans="1:10" x14ac:dyDescent="0.35">
      <c r="A2" t="s">
        <v>332</v>
      </c>
      <c r="B2">
        <f t="shared" ref="B2:B7" si="0">SUM(C2:F2)</f>
        <v>22252</v>
      </c>
      <c r="C2">
        <v>8275</v>
      </c>
      <c r="D2">
        <v>10392</v>
      </c>
      <c r="E2">
        <v>2501</v>
      </c>
      <c r="F2">
        <v>1084</v>
      </c>
      <c r="G2" s="53" t="s">
        <v>320</v>
      </c>
      <c r="H2" t="s">
        <v>202</v>
      </c>
      <c r="I2" s="55" t="s">
        <v>331</v>
      </c>
    </row>
    <row r="3" spans="1:10" x14ac:dyDescent="0.35">
      <c r="A3" s="3" t="s">
        <v>333</v>
      </c>
      <c r="B3">
        <f t="shared" si="0"/>
        <v>25465</v>
      </c>
      <c r="C3">
        <v>9376</v>
      </c>
      <c r="D3">
        <v>12500</v>
      </c>
      <c r="E3">
        <v>2566</v>
      </c>
      <c r="F3">
        <v>1023</v>
      </c>
      <c r="G3" s="53" t="s">
        <v>320</v>
      </c>
      <c r="H3" s="53" t="s">
        <v>202</v>
      </c>
      <c r="I3" s="55" t="s">
        <v>331</v>
      </c>
    </row>
    <row r="4" spans="1:10" x14ac:dyDescent="0.35">
      <c r="A4" s="3" t="s">
        <v>334</v>
      </c>
      <c r="B4">
        <f t="shared" si="0"/>
        <v>205654</v>
      </c>
      <c r="C4">
        <v>76478</v>
      </c>
      <c r="D4">
        <v>95809</v>
      </c>
      <c r="E4" s="60">
        <v>23965</v>
      </c>
      <c r="F4">
        <v>9402</v>
      </c>
      <c r="G4" s="53" t="s">
        <v>320</v>
      </c>
      <c r="H4" s="53" t="s">
        <v>202</v>
      </c>
      <c r="I4" s="55" t="s">
        <v>331</v>
      </c>
    </row>
    <row r="5" spans="1:10" x14ac:dyDescent="0.35">
      <c r="A5" t="s">
        <v>335</v>
      </c>
      <c r="B5">
        <f t="shared" si="0"/>
        <v>25552</v>
      </c>
      <c r="C5">
        <v>9285</v>
      </c>
      <c r="D5">
        <v>12923</v>
      </c>
      <c r="E5">
        <v>2306</v>
      </c>
      <c r="F5">
        <v>1038</v>
      </c>
      <c r="G5" s="53" t="s">
        <v>320</v>
      </c>
      <c r="H5" s="53" t="s">
        <v>202</v>
      </c>
      <c r="I5" s="55" t="s">
        <v>331</v>
      </c>
    </row>
    <row r="6" spans="1:10" x14ac:dyDescent="0.35">
      <c r="A6" t="s">
        <v>336</v>
      </c>
      <c r="B6">
        <f t="shared" si="0"/>
        <v>26053</v>
      </c>
      <c r="C6">
        <v>9608</v>
      </c>
      <c r="D6">
        <v>13039</v>
      </c>
      <c r="E6">
        <v>2404</v>
      </c>
      <c r="F6">
        <v>1002</v>
      </c>
      <c r="G6" s="53" t="s">
        <v>320</v>
      </c>
      <c r="H6" s="53" t="s">
        <v>202</v>
      </c>
      <c r="I6" s="55" t="s">
        <v>331</v>
      </c>
    </row>
    <row r="7" spans="1:10" x14ac:dyDescent="0.35">
      <c r="A7" t="s">
        <v>337</v>
      </c>
      <c r="B7">
        <f t="shared" si="0"/>
        <v>26118</v>
      </c>
      <c r="C7">
        <v>9535</v>
      </c>
      <c r="D7">
        <v>12869</v>
      </c>
      <c r="E7">
        <v>2623</v>
      </c>
      <c r="F7">
        <v>1091</v>
      </c>
      <c r="G7" s="53" t="s">
        <v>320</v>
      </c>
      <c r="H7" s="53" t="s">
        <v>202</v>
      </c>
      <c r="I7" s="55" t="s">
        <v>331</v>
      </c>
    </row>
    <row r="8" spans="1:10" x14ac:dyDescent="0.35">
      <c r="A8" t="s">
        <v>338</v>
      </c>
      <c r="B8">
        <f>B9-SUM(B5:B7)</f>
        <v>24694</v>
      </c>
      <c r="C8">
        <v>8775</v>
      </c>
      <c r="D8">
        <v>12397</v>
      </c>
      <c r="E8">
        <v>2391</v>
      </c>
      <c r="F8">
        <v>1131</v>
      </c>
      <c r="G8" s="53" t="s">
        <v>320</v>
      </c>
      <c r="H8" s="53" t="s">
        <v>202</v>
      </c>
      <c r="I8" s="55" t="s">
        <v>331</v>
      </c>
    </row>
    <row r="9" spans="1:10" x14ac:dyDescent="0.35">
      <c r="A9" t="s">
        <v>339</v>
      </c>
      <c r="B9">
        <f>SUM(C9:F9)</f>
        <v>102417</v>
      </c>
      <c r="C9">
        <f>SUM(C5:C8)</f>
        <v>37203</v>
      </c>
      <c r="D9">
        <f t="shared" ref="D9:F9" si="1">SUM(D5:D8)</f>
        <v>51228</v>
      </c>
      <c r="E9">
        <f t="shared" si="1"/>
        <v>9724</v>
      </c>
      <c r="F9">
        <f t="shared" si="1"/>
        <v>4262</v>
      </c>
      <c r="G9" s="53" t="s">
        <v>320</v>
      </c>
      <c r="H9" s="53" t="s">
        <v>202</v>
      </c>
      <c r="I9" s="55" t="s">
        <v>331</v>
      </c>
    </row>
    <row r="10" spans="1:10" x14ac:dyDescent="0.35">
      <c r="A10" t="s">
        <v>340</v>
      </c>
      <c r="B10">
        <f>SUM(C10:F10)</f>
        <v>139687</v>
      </c>
      <c r="C10">
        <v>24193</v>
      </c>
      <c r="D10">
        <v>39877</v>
      </c>
      <c r="E10">
        <v>68100</v>
      </c>
      <c r="F10">
        <v>7517</v>
      </c>
      <c r="G10" s="53" t="s">
        <v>321</v>
      </c>
      <c r="H10" s="53" t="s">
        <v>344</v>
      </c>
      <c r="I10" s="55" t="s">
        <v>341</v>
      </c>
    </row>
    <row r="11" spans="1:10" x14ac:dyDescent="0.35">
      <c r="A11" t="s">
        <v>350</v>
      </c>
      <c r="B11">
        <f>SUM(C11:F11)</f>
        <v>133178</v>
      </c>
      <c r="C11">
        <v>20880</v>
      </c>
      <c r="D11">
        <v>34946</v>
      </c>
      <c r="E11">
        <v>69614</v>
      </c>
      <c r="F11">
        <v>7738</v>
      </c>
      <c r="G11" s="53" t="s">
        <v>321</v>
      </c>
      <c r="H11" s="53" t="s">
        <v>345</v>
      </c>
      <c r="I11" s="55" t="s">
        <v>342</v>
      </c>
    </row>
    <row r="12" spans="1:10" x14ac:dyDescent="0.35">
      <c r="A12" t="s">
        <v>351</v>
      </c>
      <c r="B12">
        <f>SUM(C12:F12)</f>
        <v>572429</v>
      </c>
      <c r="C12">
        <v>99141</v>
      </c>
      <c r="D12">
        <v>163414</v>
      </c>
      <c r="E12">
        <v>279068</v>
      </c>
      <c r="F12">
        <v>30806</v>
      </c>
      <c r="G12" s="53" t="s">
        <v>321</v>
      </c>
      <c r="H12" s="53" t="s">
        <v>348</v>
      </c>
      <c r="I12" s="55" t="s">
        <v>341</v>
      </c>
    </row>
    <row r="13" spans="1:10" x14ac:dyDescent="0.35">
      <c r="A13" t="s">
        <v>2012</v>
      </c>
      <c r="B13" s="100">
        <f>SUM(C13:F13)</f>
        <v>869927</v>
      </c>
      <c r="C13" s="106">
        <v>104262</v>
      </c>
      <c r="D13" s="106">
        <v>181049</v>
      </c>
      <c r="E13" s="106">
        <v>491649</v>
      </c>
      <c r="F13" s="106">
        <v>92967</v>
      </c>
      <c r="G13" t="s">
        <v>320</v>
      </c>
      <c r="H13" t="s">
        <v>202</v>
      </c>
    </row>
    <row r="14" spans="1:10" x14ac:dyDescent="0.35">
      <c r="A14" t="s">
        <v>2013</v>
      </c>
      <c r="B14">
        <v>233051</v>
      </c>
      <c r="C14">
        <v>27966</v>
      </c>
      <c r="D14">
        <v>51271</v>
      </c>
      <c r="E14">
        <v>130509</v>
      </c>
      <c r="F14">
        <v>23305</v>
      </c>
      <c r="G14" s="53" t="s">
        <v>320</v>
      </c>
      <c r="H14" s="53" t="s">
        <v>202</v>
      </c>
      <c r="I14" s="56" t="s">
        <v>349</v>
      </c>
    </row>
    <row r="15" spans="1:10" x14ac:dyDescent="0.35">
      <c r="A15" t="s">
        <v>66</v>
      </c>
      <c r="B15">
        <f>B14-'Raw Data'!B14</f>
        <v>230098</v>
      </c>
      <c r="C15">
        <f>C14-'Raw Data'!C14</f>
        <v>27773</v>
      </c>
      <c r="D15">
        <f>D14-'Raw Data'!D14</f>
        <v>50822</v>
      </c>
      <c r="E15">
        <f>E14-'Raw Data'!E14</f>
        <v>129070</v>
      </c>
      <c r="F15">
        <f>F14-'Raw Data'!F14</f>
        <v>22433</v>
      </c>
      <c r="G15" s="53" t="s">
        <v>202</v>
      </c>
      <c r="H15" s="53" t="s">
        <v>202</v>
      </c>
      <c r="I15" t="s">
        <v>352</v>
      </c>
    </row>
    <row r="16" spans="1:10" x14ac:dyDescent="0.35">
      <c r="A16" t="s">
        <v>353</v>
      </c>
      <c r="B16">
        <f>31520 +29503</f>
        <v>61023</v>
      </c>
      <c r="C16">
        <v>6102</v>
      </c>
      <c r="D16">
        <v>11594</v>
      </c>
      <c r="E16">
        <v>37224</v>
      </c>
      <c r="F16">
        <v>6713</v>
      </c>
      <c r="G16" s="53" t="s">
        <v>320</v>
      </c>
      <c r="H16" s="53" t="s">
        <v>202</v>
      </c>
      <c r="I16" s="56" t="s">
        <v>349</v>
      </c>
    </row>
    <row r="17" spans="1:10" x14ac:dyDescent="0.35">
      <c r="A17" t="s">
        <v>354</v>
      </c>
      <c r="B17">
        <f>SUM(C17:F17)</f>
        <v>2662000</v>
      </c>
      <c r="C17">
        <v>840000</v>
      </c>
      <c r="D17">
        <v>779000</v>
      </c>
      <c r="E17">
        <v>878000</v>
      </c>
      <c r="F17">
        <v>165000</v>
      </c>
      <c r="G17" s="53" t="s">
        <v>355</v>
      </c>
      <c r="H17" s="53" t="s">
        <v>356</v>
      </c>
      <c r="I17" s="55" t="s">
        <v>357</v>
      </c>
    </row>
    <row r="18" spans="1:10" ht="29" x14ac:dyDescent="0.35">
      <c r="A18" t="s">
        <v>361</v>
      </c>
      <c r="B18">
        <f>SUM(C18:F18)</f>
        <v>1151971</v>
      </c>
      <c r="C18">
        <f>185882</f>
        <v>185882</v>
      </c>
      <c r="D18">
        <f>261730</f>
        <v>261730</v>
      </c>
      <c r="E18">
        <f>633474</f>
        <v>633474</v>
      </c>
      <c r="F18">
        <f>70885</f>
        <v>70885</v>
      </c>
      <c r="G18" s="53" t="s">
        <v>321</v>
      </c>
      <c r="H18" s="54" t="s">
        <v>403</v>
      </c>
      <c r="I18" s="55" t="s">
        <v>358</v>
      </c>
    </row>
    <row r="19" spans="1:10" x14ac:dyDescent="0.35">
      <c r="A19" t="s">
        <v>362</v>
      </c>
      <c r="B19">
        <v>5438637</v>
      </c>
      <c r="C19">
        <v>905408</v>
      </c>
      <c r="D19">
        <v>1212984</v>
      </c>
      <c r="E19">
        <v>2888593</v>
      </c>
      <c r="F19">
        <v>431652</v>
      </c>
      <c r="G19" s="53" t="s">
        <v>320</v>
      </c>
      <c r="H19" s="53" t="s">
        <v>202</v>
      </c>
      <c r="I19" s="55" t="s">
        <v>358</v>
      </c>
    </row>
    <row r="20" spans="1:10" x14ac:dyDescent="0.35">
      <c r="A20" t="s">
        <v>360</v>
      </c>
      <c r="B20">
        <f>168454+352094 +635486 +167208</f>
        <v>1323242</v>
      </c>
      <c r="C20">
        <f>168454</f>
        <v>168454</v>
      </c>
      <c r="D20">
        <f>352894</f>
        <v>352894</v>
      </c>
      <c r="E20">
        <f>635486</f>
        <v>635486</v>
      </c>
      <c r="F20">
        <f>167208</f>
        <v>167208</v>
      </c>
      <c r="G20" s="53" t="s">
        <v>320</v>
      </c>
      <c r="H20" s="53" t="s">
        <v>202</v>
      </c>
      <c r="I20" s="55" t="s">
        <v>359</v>
      </c>
    </row>
    <row r="21" spans="1:10" x14ac:dyDescent="0.35">
      <c r="A21" t="s">
        <v>236</v>
      </c>
      <c r="B21">
        <f>SUM(C21:F21)</f>
        <v>22636</v>
      </c>
      <c r="C21">
        <v>7850</v>
      </c>
      <c r="D21">
        <v>11418</v>
      </c>
      <c r="E21">
        <v>2278</v>
      </c>
      <c r="F21">
        <v>1090</v>
      </c>
      <c r="G21" s="53" t="s">
        <v>320</v>
      </c>
      <c r="H21" s="53" t="s">
        <v>202</v>
      </c>
      <c r="I21" s="55" t="s">
        <v>363</v>
      </c>
    </row>
    <row r="22" spans="1:10" x14ac:dyDescent="0.35">
      <c r="A22" t="s">
        <v>237</v>
      </c>
      <c r="B22">
        <f>SUM(C22:F22)</f>
        <v>141564</v>
      </c>
      <c r="C22">
        <v>22590</v>
      </c>
      <c r="D22">
        <v>42168.000000000007</v>
      </c>
      <c r="E22">
        <v>69276</v>
      </c>
      <c r="F22">
        <v>7530</v>
      </c>
      <c r="G22" s="53" t="s">
        <v>320</v>
      </c>
      <c r="H22" s="53" t="s">
        <v>202</v>
      </c>
      <c r="I22" s="56" t="s">
        <v>364</v>
      </c>
      <c r="J22" s="55" t="s">
        <v>371</v>
      </c>
    </row>
    <row r="23" spans="1:10" x14ac:dyDescent="0.35">
      <c r="A23" t="s">
        <v>238</v>
      </c>
      <c r="B23">
        <f>SUM(C23:F23)</f>
        <v>137376</v>
      </c>
      <c r="C23">
        <v>21465</v>
      </c>
      <c r="D23">
        <v>38637</v>
      </c>
      <c r="E23">
        <v>68688</v>
      </c>
      <c r="F23">
        <v>8586</v>
      </c>
      <c r="G23" s="53" t="s">
        <v>320</v>
      </c>
      <c r="H23" s="53" t="s">
        <v>202</v>
      </c>
      <c r="I23" s="56" t="s">
        <v>364</v>
      </c>
      <c r="J23" s="55" t="s">
        <v>372</v>
      </c>
    </row>
    <row r="24" spans="1:10" x14ac:dyDescent="0.35">
      <c r="A24" t="s">
        <v>368</v>
      </c>
      <c r="B24">
        <f>SUM(C24:F24)</f>
        <v>1764</v>
      </c>
      <c r="C24">
        <v>648</v>
      </c>
      <c r="D24">
        <v>864</v>
      </c>
      <c r="E24">
        <v>180</v>
      </c>
      <c r="F24">
        <v>72</v>
      </c>
      <c r="G24" s="53" t="s">
        <v>320</v>
      </c>
      <c r="H24" s="53" t="s">
        <v>202</v>
      </c>
      <c r="I24" s="57" t="s">
        <v>364</v>
      </c>
      <c r="J24" s="55" t="s">
        <v>365</v>
      </c>
    </row>
    <row r="25" spans="1:10" x14ac:dyDescent="0.35">
      <c r="A25" t="s">
        <v>369</v>
      </c>
      <c r="B25">
        <v>1700</v>
      </c>
      <c r="C25">
        <f>0.38*B25</f>
        <v>646</v>
      </c>
      <c r="D25">
        <f>0.49*B25</f>
        <v>833</v>
      </c>
      <c r="E25">
        <f>0.08*B25</f>
        <v>136</v>
      </c>
      <c r="F25">
        <f>0.05*B25</f>
        <v>85</v>
      </c>
      <c r="G25" s="53" t="s">
        <v>320</v>
      </c>
      <c r="H25" s="53" t="s">
        <v>202</v>
      </c>
      <c r="I25" s="57" t="s">
        <v>364</v>
      </c>
      <c r="J25" s="55" t="s">
        <v>370</v>
      </c>
    </row>
    <row r="26" spans="1:10" x14ac:dyDescent="0.35">
      <c r="A26" t="s">
        <v>373</v>
      </c>
      <c r="B26">
        <f t="shared" ref="B26:B34" si="2">SUM(C26:F26)</f>
        <v>3385000</v>
      </c>
      <c r="C26">
        <v>550000</v>
      </c>
      <c r="D26">
        <v>1020000</v>
      </c>
      <c r="E26">
        <v>1619000</v>
      </c>
      <c r="F26">
        <v>196000</v>
      </c>
      <c r="G26" s="53" t="s">
        <v>330</v>
      </c>
      <c r="H26" s="53" t="s">
        <v>376</v>
      </c>
      <c r="I26" s="55" t="s">
        <v>377</v>
      </c>
    </row>
    <row r="27" spans="1:10" x14ac:dyDescent="0.35">
      <c r="A27" t="s">
        <v>374</v>
      </c>
      <c r="B27">
        <f t="shared" si="2"/>
        <v>3674000</v>
      </c>
      <c r="C27">
        <v>587000</v>
      </c>
      <c r="D27">
        <v>1095000</v>
      </c>
      <c r="E27">
        <v>1789000</v>
      </c>
      <c r="F27">
        <v>203000</v>
      </c>
      <c r="G27" s="53" t="s">
        <v>330</v>
      </c>
      <c r="H27" s="53" t="s">
        <v>376</v>
      </c>
      <c r="I27" s="55" t="s">
        <v>377</v>
      </c>
    </row>
    <row r="28" spans="1:10" x14ac:dyDescent="0.35">
      <c r="A28" t="s">
        <v>375</v>
      </c>
      <c r="B28">
        <f t="shared" si="2"/>
        <v>14534000</v>
      </c>
      <c r="C28">
        <v>2241000</v>
      </c>
      <c r="D28">
        <v>4223000</v>
      </c>
      <c r="E28">
        <v>7230000</v>
      </c>
      <c r="F28">
        <v>840000</v>
      </c>
      <c r="G28" s="53" t="s">
        <v>330</v>
      </c>
      <c r="H28" s="53" t="s">
        <v>376</v>
      </c>
      <c r="I28" s="55" t="s">
        <v>377</v>
      </c>
    </row>
    <row r="29" spans="1:10" x14ac:dyDescent="0.35">
      <c r="A29" t="s">
        <v>380</v>
      </c>
      <c r="B29" s="39">
        <f t="shared" si="2"/>
        <v>319440000</v>
      </c>
      <c r="C29">
        <v>41580000</v>
      </c>
      <c r="D29">
        <v>61380000</v>
      </c>
      <c r="E29">
        <v>197010000</v>
      </c>
      <c r="F29">
        <v>19470000</v>
      </c>
      <c r="G29" s="53" t="s">
        <v>330</v>
      </c>
      <c r="H29" s="53" t="s">
        <v>376</v>
      </c>
      <c r="I29" s="55" t="s">
        <v>378</v>
      </c>
    </row>
    <row r="30" spans="1:10" x14ac:dyDescent="0.35">
      <c r="A30" t="s">
        <v>381</v>
      </c>
      <c r="B30">
        <f t="shared" si="2"/>
        <v>185445419</v>
      </c>
      <c r="C30">
        <f>25187271</f>
        <v>25187271</v>
      </c>
      <c r="D30">
        <f>34381798</f>
        <v>34381798</v>
      </c>
      <c r="E30">
        <f>113281506</f>
        <v>113281506</v>
      </c>
      <c r="F30">
        <f>12594844</f>
        <v>12594844</v>
      </c>
      <c r="G30" s="53" t="s">
        <v>320</v>
      </c>
      <c r="H30" s="53" t="s">
        <v>320</v>
      </c>
      <c r="I30" s="55" t="s">
        <v>379</v>
      </c>
    </row>
    <row r="31" spans="1:10" x14ac:dyDescent="0.35">
      <c r="A31" t="s">
        <v>382</v>
      </c>
      <c r="B31" s="39">
        <f t="shared" si="2"/>
        <v>28727000</v>
      </c>
      <c r="C31">
        <v>4207000</v>
      </c>
      <c r="D31">
        <v>6923000</v>
      </c>
      <c r="E31">
        <v>15908000</v>
      </c>
      <c r="F31">
        <v>1689000</v>
      </c>
      <c r="G31" s="53" t="s">
        <v>355</v>
      </c>
      <c r="H31" s="53" t="s">
        <v>376</v>
      </c>
      <c r="I31" s="55" t="s">
        <v>383</v>
      </c>
    </row>
    <row r="32" spans="1:10" x14ac:dyDescent="0.35">
      <c r="A32" t="s">
        <v>385</v>
      </c>
      <c r="B32">
        <f t="shared" si="2"/>
        <v>3189180</v>
      </c>
      <c r="C32">
        <v>441620</v>
      </c>
      <c r="D32">
        <v>885500</v>
      </c>
      <c r="E32">
        <v>1650010</v>
      </c>
      <c r="F32">
        <v>212050</v>
      </c>
      <c r="G32" s="53" t="s">
        <v>321</v>
      </c>
      <c r="H32" s="53" t="s">
        <v>384</v>
      </c>
      <c r="I32" s="55" t="s">
        <v>386</v>
      </c>
    </row>
    <row r="33" spans="1:9" x14ac:dyDescent="0.35">
      <c r="A33" t="s">
        <v>2032</v>
      </c>
      <c r="B33">
        <f t="shared" si="2"/>
        <v>2954160</v>
      </c>
      <c r="C33">
        <v>350308</v>
      </c>
      <c r="D33">
        <v>255494</v>
      </c>
      <c r="E33">
        <v>2007922</v>
      </c>
      <c r="F33">
        <v>340436</v>
      </c>
      <c r="G33" s="53" t="s">
        <v>320</v>
      </c>
      <c r="H33" s="53" t="s">
        <v>202</v>
      </c>
      <c r="I33" s="55" t="s">
        <v>379</v>
      </c>
    </row>
    <row r="34" spans="1:9" x14ac:dyDescent="0.35">
      <c r="A34" t="s">
        <v>2033</v>
      </c>
      <c r="B34">
        <f t="shared" si="2"/>
        <v>92755068</v>
      </c>
      <c r="C34" s="39">
        <v>8938595</v>
      </c>
      <c r="D34" s="39">
        <v>7991992</v>
      </c>
      <c r="E34" s="39">
        <v>67265010</v>
      </c>
      <c r="F34" s="39">
        <v>8559471</v>
      </c>
      <c r="G34" s="53" t="s">
        <v>320</v>
      </c>
      <c r="H34" s="53" t="s">
        <v>202</v>
      </c>
      <c r="I34" s="55" t="s">
        <v>379</v>
      </c>
    </row>
  </sheetData>
  <hyperlinks>
    <hyperlink ref="I2" r:id="rId1" xr:uid="{187A3419-EEAB-484C-9B00-0FB71CDF9A86}"/>
    <hyperlink ref="I3" r:id="rId2" xr:uid="{8E8F7B55-B75C-4D7C-9609-E8A5B521F64A}"/>
    <hyperlink ref="I4" r:id="rId3" xr:uid="{06E9DADB-9ED5-450D-A5D5-F1AE38798939}"/>
    <hyperlink ref="I5" r:id="rId4" xr:uid="{FB5B0A39-35C6-4126-B08F-B9E6CAEEE0F3}"/>
    <hyperlink ref="I6" r:id="rId5" xr:uid="{69BE8EDD-F4CE-4C66-A382-11251ACBE19B}"/>
    <hyperlink ref="I7" r:id="rId6" xr:uid="{BF5D41B4-BEE0-4B1F-A770-0191B520B667}"/>
    <hyperlink ref="I8" r:id="rId7" xr:uid="{7B1E8DAA-0916-422B-AF38-A1F4E2D2DC4C}"/>
    <hyperlink ref="I9" r:id="rId8" xr:uid="{D4069C27-E15C-4756-8C78-23F86E134B4D}"/>
    <hyperlink ref="I10" r:id="rId9" xr:uid="{E559B8D7-6D40-441E-9502-F95F3F8D8577}"/>
    <hyperlink ref="I11" r:id="rId10" xr:uid="{6F2E5518-C39F-4841-9C3A-93A0E2478F2B}"/>
    <hyperlink ref="I12" r:id="rId11" xr:uid="{C5E2A16B-65C1-408D-B08A-75ACB313C4E4}"/>
    <hyperlink ref="I14" r:id="rId12" xr:uid="{816B3463-27C7-4685-9B7B-21C22F304C69}"/>
    <hyperlink ref="I16" r:id="rId13" xr:uid="{DA21BEA9-34F9-4095-B6FF-8E293B6ADF12}"/>
    <hyperlink ref="I17" r:id="rId14" xr:uid="{CC907DA4-E3E5-4EF8-A2A8-A4449912ACB2}"/>
    <hyperlink ref="I18" r:id="rId15" location="h=h5NLD&amp;page=demographics_table&amp;vertical=edo&amp;nation=us" xr:uid="{CF605FDA-79D9-46E0-87B7-8694BEAB119C}"/>
    <hyperlink ref="I20" r:id="rId16" xr:uid="{FC765726-921A-43BC-BA1B-E04768F340EF}"/>
    <hyperlink ref="I19" r:id="rId17" location="h=h5NLD&amp;page=demographics_table&amp;vertical=edo&amp;nation=us" xr:uid="{D8A8E246-A21E-44F2-9750-498212877311}"/>
    <hyperlink ref="I21" r:id="rId18" xr:uid="{6EED6504-437B-4E23-8E5B-8B0E7D9777EE}"/>
    <hyperlink ref="J24" r:id="rId19" xr:uid="{5A3BED6B-2F5F-4CF4-9AF7-C7EE6DF5CA3A}"/>
    <hyperlink ref="I22" r:id="rId20" xr:uid="{5F82C0E7-A593-48D1-90B4-066D9A2DD64E}"/>
    <hyperlink ref="I23" r:id="rId21" xr:uid="{250D1882-B4EC-4A1B-86B1-F1BF366B2451}"/>
    <hyperlink ref="J22" r:id="rId22" xr:uid="{6194F4F9-E623-4EC4-9997-65E02B7E303A}"/>
    <hyperlink ref="J23" r:id="rId23" xr:uid="{BBC49A28-0CD2-4CCC-B633-B8B705484282}"/>
    <hyperlink ref="I26" r:id="rId24" xr:uid="{B799A521-1F54-491E-B858-8881D39C24AA}"/>
    <hyperlink ref="I27:I28" r:id="rId25" display="https://nces.ed.gov/programs/digest/d21/tables/dt21_203.65.asp" xr:uid="{45A999D5-F4D9-4FDA-B329-B00BD122AF54}"/>
    <hyperlink ref="I29" r:id="rId26" xr:uid="{8F715AE8-2F1A-4655-BDF3-BD16061861A5}"/>
    <hyperlink ref="I30" r:id="rId27" location="h=h5NtJ&amp;page=demographics_table&amp;vertical=edo&amp;nation=us" xr:uid="{37D51B31-32A5-4121-BD5A-591ED963F940}"/>
    <hyperlink ref="I31" r:id="rId28" xr:uid="{80EA0066-2101-4AB2-9C94-64B505F63751}"/>
    <hyperlink ref="I32" r:id="rId29" xr:uid="{EC82CC6A-FA07-4FFF-8350-9D232E3AB3DB}"/>
    <hyperlink ref="I24" r:id="rId30" xr:uid="{8FF74472-CD30-4E64-91EF-F0FFD870DFC0}"/>
    <hyperlink ref="I33" r:id="rId31" location="h=h5NtJ&amp;page=demographics_table&amp;vertical=edo&amp;nation=us" xr:uid="{A213FA89-3D7D-40F6-82FE-2B1389B8883C}"/>
    <hyperlink ref="I34" r:id="rId32" location="h=h5NtJ&amp;page=demographics_table&amp;vertical=edo&amp;nation=us" xr:uid="{A378466E-5427-4C1B-AE23-52631D311946}"/>
  </hyperlinks>
  <pageMargins left="0.7" right="0.7" top="0.75" bottom="0.75" header="0.3" footer="0.3"/>
  <pageSetup orientation="portrait" horizontalDpi="1200" verticalDpi="1200" r:id="rId33"/>
  <ignoredErrors>
    <ignoredError sqref="B8" formula="1"/>
    <ignoredError sqref="C9:F9" formulaRange="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BDB2E-5E61-4C77-AFC8-9B42AD9C1C15}">
  <dimension ref="A1:D60"/>
  <sheetViews>
    <sheetView topLeftCell="A34" workbookViewId="0">
      <selection activeCell="D45" sqref="D45"/>
    </sheetView>
  </sheetViews>
  <sheetFormatPr defaultRowHeight="14.5" x14ac:dyDescent="0.35"/>
  <cols>
    <col min="1" max="1" width="42" bestFit="1" customWidth="1"/>
    <col min="2" max="2" width="5.81640625" bestFit="1" customWidth="1"/>
    <col min="3" max="3" width="7.81640625" bestFit="1" customWidth="1"/>
    <col min="4" max="4" width="6.54296875" bestFit="1" customWidth="1"/>
  </cols>
  <sheetData>
    <row r="1" spans="1:4" x14ac:dyDescent="0.35">
      <c r="A1" s="70" t="s">
        <v>0</v>
      </c>
      <c r="B1" s="70" t="s">
        <v>1</v>
      </c>
      <c r="C1" s="70" t="s">
        <v>417</v>
      </c>
      <c r="D1" s="70" t="s">
        <v>418</v>
      </c>
    </row>
    <row r="2" spans="1:4" x14ac:dyDescent="0.35">
      <c r="A2" s="70" t="s">
        <v>419</v>
      </c>
      <c r="B2" s="70">
        <v>5481</v>
      </c>
      <c r="C2" s="70">
        <v>3922</v>
      </c>
      <c r="D2" s="70">
        <v>1559</v>
      </c>
    </row>
    <row r="3" spans="1:4" x14ac:dyDescent="0.35">
      <c r="A3" s="70" t="s">
        <v>420</v>
      </c>
      <c r="B3" s="70">
        <v>1429</v>
      </c>
      <c r="C3" s="70">
        <v>582</v>
      </c>
      <c r="D3" s="70">
        <v>847</v>
      </c>
    </row>
    <row r="4" spans="1:4" x14ac:dyDescent="0.35">
      <c r="A4" s="70" t="s">
        <v>421</v>
      </c>
      <c r="B4" s="70">
        <v>5064</v>
      </c>
      <c r="C4" s="70">
        <v>3844</v>
      </c>
      <c r="D4" s="70">
        <v>1220</v>
      </c>
    </row>
    <row r="5" spans="1:4" x14ac:dyDescent="0.35">
      <c r="A5" s="70" t="s">
        <v>422</v>
      </c>
      <c r="B5" s="70">
        <v>1882</v>
      </c>
      <c r="C5" s="70">
        <v>938</v>
      </c>
      <c r="D5" s="70">
        <v>944</v>
      </c>
    </row>
    <row r="6" spans="1:4" x14ac:dyDescent="0.35">
      <c r="A6" s="70" t="s">
        <v>423</v>
      </c>
      <c r="B6" s="70">
        <v>20717</v>
      </c>
      <c r="C6" s="70">
        <v>17672</v>
      </c>
      <c r="D6" s="70">
        <v>2679</v>
      </c>
    </row>
    <row r="7" spans="1:4" x14ac:dyDescent="0.35">
      <c r="A7" s="70" t="s">
        <v>424</v>
      </c>
      <c r="B7" s="70">
        <v>7667</v>
      </c>
      <c r="C7" s="70">
        <v>1832</v>
      </c>
      <c r="D7" s="70">
        <v>5835</v>
      </c>
    </row>
    <row r="8" spans="1:4" x14ac:dyDescent="0.35">
      <c r="A8" s="70" t="s">
        <v>425</v>
      </c>
      <c r="B8" s="70">
        <v>5720</v>
      </c>
      <c r="C8" s="70">
        <v>1087</v>
      </c>
      <c r="D8" s="70">
        <v>4633</v>
      </c>
    </row>
    <row r="9" spans="1:4" x14ac:dyDescent="0.35">
      <c r="A9" s="70" t="s">
        <v>426</v>
      </c>
      <c r="B9" s="70">
        <v>5081</v>
      </c>
      <c r="C9" s="70">
        <v>3058</v>
      </c>
      <c r="D9" s="70">
        <v>2023</v>
      </c>
    </row>
    <row r="10" spans="1:4" x14ac:dyDescent="0.35">
      <c r="A10" s="70" t="s">
        <v>427</v>
      </c>
      <c r="B10" s="70">
        <v>1025</v>
      </c>
      <c r="C10" s="70">
        <v>261</v>
      </c>
      <c r="D10" s="70">
        <v>764</v>
      </c>
    </row>
    <row r="11" spans="1:4" x14ac:dyDescent="0.35">
      <c r="A11" s="70" t="s">
        <v>428</v>
      </c>
      <c r="B11" s="70">
        <v>15513</v>
      </c>
      <c r="C11" s="70">
        <v>13352</v>
      </c>
      <c r="D11" s="70">
        <v>2161</v>
      </c>
    </row>
    <row r="12" spans="1:4" x14ac:dyDescent="0.35">
      <c r="A12" s="70" t="s">
        <v>429</v>
      </c>
      <c r="B12" s="70">
        <v>133178</v>
      </c>
      <c r="C12" s="70">
        <v>55826</v>
      </c>
      <c r="D12" s="70">
        <v>77352</v>
      </c>
    </row>
    <row r="13" spans="1:4" x14ac:dyDescent="0.35">
      <c r="A13" s="70" t="s">
        <v>430</v>
      </c>
      <c r="B13" s="70">
        <v>11759</v>
      </c>
      <c r="C13" s="70">
        <v>3200</v>
      </c>
      <c r="D13" s="70">
        <v>8559</v>
      </c>
    </row>
    <row r="14" spans="1:4" x14ac:dyDescent="0.35">
      <c r="A14" s="70" t="s">
        <v>431</v>
      </c>
      <c r="B14" s="70">
        <v>2953</v>
      </c>
      <c r="C14" s="70">
        <v>642</v>
      </c>
      <c r="D14" s="70">
        <v>2311</v>
      </c>
    </row>
    <row r="15" spans="1:4" x14ac:dyDescent="0.35">
      <c r="A15" s="70" t="s">
        <v>432</v>
      </c>
      <c r="B15" s="70">
        <v>8490</v>
      </c>
      <c r="C15" s="70">
        <v>1766</v>
      </c>
      <c r="D15" s="70">
        <v>6724</v>
      </c>
    </row>
    <row r="16" spans="1:4" x14ac:dyDescent="0.35">
      <c r="A16" s="70" t="s">
        <v>433</v>
      </c>
      <c r="B16" s="70">
        <v>123681</v>
      </c>
      <c r="C16" s="70">
        <v>17847</v>
      </c>
      <c r="D16" s="70">
        <v>105834</v>
      </c>
    </row>
    <row r="17" spans="1:4" x14ac:dyDescent="0.35">
      <c r="A17" s="70" t="s">
        <v>434</v>
      </c>
      <c r="B17" s="70">
        <v>5518</v>
      </c>
      <c r="C17" s="70">
        <v>797</v>
      </c>
      <c r="D17" s="70">
        <v>4721</v>
      </c>
    </row>
    <row r="18" spans="1:4" x14ac:dyDescent="0.35">
      <c r="A18" s="70" t="s">
        <v>435</v>
      </c>
      <c r="B18" s="70">
        <v>1504000</v>
      </c>
      <c r="C18" s="70">
        <v>428000</v>
      </c>
      <c r="D18" s="70">
        <v>1076000</v>
      </c>
    </row>
    <row r="19" spans="1:4" x14ac:dyDescent="0.35">
      <c r="A19" s="70" t="s">
        <v>436</v>
      </c>
      <c r="B19" s="70">
        <v>319000</v>
      </c>
      <c r="C19" s="70">
        <v>45000</v>
      </c>
      <c r="D19" s="70">
        <v>274000</v>
      </c>
    </row>
    <row r="20" spans="1:4" x14ac:dyDescent="0.35">
      <c r="A20" s="70" t="s">
        <v>437</v>
      </c>
      <c r="B20" s="70">
        <v>1183800</v>
      </c>
      <c r="C20" s="70">
        <v>281800</v>
      </c>
      <c r="D20" s="70">
        <v>902000</v>
      </c>
    </row>
    <row r="21" spans="1:4" x14ac:dyDescent="0.35">
      <c r="A21" s="70" t="s">
        <v>438</v>
      </c>
      <c r="B21" s="70">
        <v>344200</v>
      </c>
      <c r="C21" s="70">
        <v>44200</v>
      </c>
      <c r="D21" s="70">
        <v>300000</v>
      </c>
    </row>
    <row r="22" spans="1:4" x14ac:dyDescent="0.35">
      <c r="A22" s="70" t="s">
        <v>439</v>
      </c>
      <c r="B22" s="70">
        <v>107967</v>
      </c>
      <c r="C22" s="70">
        <v>20859</v>
      </c>
      <c r="D22" s="70">
        <v>73254</v>
      </c>
    </row>
    <row r="23" spans="1:4" x14ac:dyDescent="0.35">
      <c r="A23" s="70" t="s">
        <v>440</v>
      </c>
      <c r="B23" s="70">
        <v>2769</v>
      </c>
      <c r="C23" s="70">
        <v>646</v>
      </c>
      <c r="D23" s="70">
        <v>2123</v>
      </c>
    </row>
    <row r="24" spans="1:4" x14ac:dyDescent="0.35">
      <c r="A24" s="70" t="s">
        <v>441</v>
      </c>
      <c r="B24" s="70">
        <v>105198</v>
      </c>
      <c r="C24" s="70">
        <v>20213</v>
      </c>
      <c r="D24" s="70">
        <v>71131</v>
      </c>
    </row>
    <row r="25" spans="1:4" x14ac:dyDescent="0.35">
      <c r="A25" s="70" t="s">
        <v>442</v>
      </c>
      <c r="B25" s="70">
        <v>5049583</v>
      </c>
      <c r="C25" s="70">
        <v>802956</v>
      </c>
      <c r="D25" s="70">
        <v>4246627</v>
      </c>
    </row>
    <row r="26" spans="1:4" x14ac:dyDescent="0.35">
      <c r="A26" s="70" t="s">
        <v>443</v>
      </c>
      <c r="B26" s="70">
        <v>4925902</v>
      </c>
      <c r="C26" s="70">
        <v>785109</v>
      </c>
      <c r="D26" s="70">
        <v>4140793</v>
      </c>
    </row>
    <row r="27" spans="1:4" x14ac:dyDescent="0.35">
      <c r="A27" s="70" t="s">
        <v>444</v>
      </c>
      <c r="B27" s="70">
        <v>658332</v>
      </c>
      <c r="C27" s="70">
        <v>144612</v>
      </c>
      <c r="D27" s="70">
        <v>513720</v>
      </c>
    </row>
    <row r="28" spans="1:4" x14ac:dyDescent="0.35">
      <c r="A28" s="70" t="s">
        <v>445</v>
      </c>
      <c r="B28" s="70">
        <v>653251</v>
      </c>
      <c r="C28" s="70">
        <v>141554</v>
      </c>
      <c r="D28" s="70">
        <v>511697</v>
      </c>
    </row>
    <row r="29" spans="1:4" x14ac:dyDescent="0.35">
      <c r="A29" s="70" t="s">
        <v>446</v>
      </c>
      <c r="B29" s="70">
        <v>5081</v>
      </c>
      <c r="C29" s="70">
        <v>3058</v>
      </c>
      <c r="D29" s="70">
        <v>2023</v>
      </c>
    </row>
    <row r="30" spans="1:4" x14ac:dyDescent="0.35">
      <c r="A30" s="70" t="s">
        <v>447</v>
      </c>
      <c r="B30" s="70">
        <v>6169</v>
      </c>
      <c r="C30" s="70">
        <v>5929</v>
      </c>
      <c r="D30" s="70">
        <v>240</v>
      </c>
    </row>
    <row r="31" spans="1:4" x14ac:dyDescent="0.35">
      <c r="A31" s="70" t="s">
        <v>448</v>
      </c>
      <c r="B31" s="70">
        <v>9172</v>
      </c>
      <c r="C31" s="70">
        <v>8234</v>
      </c>
      <c r="D31" s="70">
        <v>938</v>
      </c>
    </row>
    <row r="32" spans="1:4" x14ac:dyDescent="0.35">
      <c r="A32" s="70" t="s">
        <v>449</v>
      </c>
      <c r="B32" s="70">
        <v>9514</v>
      </c>
      <c r="C32" s="70">
        <v>9032</v>
      </c>
      <c r="D32" s="70">
        <v>482</v>
      </c>
    </row>
    <row r="33" spans="1:4" x14ac:dyDescent="0.35">
      <c r="A33" s="70" t="s">
        <v>450</v>
      </c>
      <c r="B33" s="70">
        <v>9007</v>
      </c>
      <c r="C33" s="70">
        <v>8063</v>
      </c>
      <c r="D33" s="70">
        <v>944</v>
      </c>
    </row>
    <row r="34" spans="1:4" x14ac:dyDescent="0.35">
      <c r="A34" s="70" t="s">
        <v>451</v>
      </c>
      <c r="B34" s="70">
        <v>234000</v>
      </c>
      <c r="C34" s="70">
        <v>33126</v>
      </c>
      <c r="D34" s="70">
        <v>180266</v>
      </c>
    </row>
    <row r="35" spans="1:4" x14ac:dyDescent="0.35">
      <c r="A35" s="70" t="s">
        <v>452</v>
      </c>
      <c r="B35" s="70">
        <v>179188</v>
      </c>
      <c r="C35" s="70">
        <v>38371</v>
      </c>
      <c r="D35" s="70">
        <v>123108</v>
      </c>
    </row>
    <row r="36" spans="1:4" x14ac:dyDescent="0.35">
      <c r="A36" s="70" t="s">
        <v>453</v>
      </c>
      <c r="B36" s="70">
        <v>114024</v>
      </c>
      <c r="C36" s="70">
        <v>21547</v>
      </c>
      <c r="D36" s="70">
        <v>92477</v>
      </c>
    </row>
    <row r="37" spans="1:4" x14ac:dyDescent="0.35">
      <c r="A37" s="70" t="s">
        <v>454</v>
      </c>
      <c r="B37" s="70">
        <v>3204</v>
      </c>
      <c r="C37" s="70">
        <v>380</v>
      </c>
      <c r="D37" s="70">
        <v>2824</v>
      </c>
    </row>
    <row r="38" spans="1:4" x14ac:dyDescent="0.35">
      <c r="A38" s="70" t="s">
        <v>455</v>
      </c>
      <c r="B38" s="70">
        <v>721</v>
      </c>
      <c r="C38" s="70">
        <v>84</v>
      </c>
      <c r="D38" s="70">
        <v>637</v>
      </c>
    </row>
    <row r="39" spans="1:4" x14ac:dyDescent="0.35">
      <c r="A39" s="70" t="s">
        <v>456</v>
      </c>
      <c r="B39" s="70">
        <v>40403</v>
      </c>
      <c r="C39" s="70">
        <v>10137</v>
      </c>
      <c r="D39" s="70">
        <v>30266</v>
      </c>
    </row>
    <row r="40" spans="1:4" x14ac:dyDescent="0.35">
      <c r="A40" s="70" t="s">
        <v>457</v>
      </c>
      <c r="B40" s="70">
        <v>9763</v>
      </c>
      <c r="C40" s="70">
        <v>2121</v>
      </c>
      <c r="D40" s="70">
        <v>7642</v>
      </c>
    </row>
    <row r="41" spans="1:4" x14ac:dyDescent="0.35">
      <c r="A41" s="70" t="s">
        <v>458</v>
      </c>
      <c r="B41" s="70">
        <v>21858</v>
      </c>
      <c r="C41" s="70">
        <v>3116</v>
      </c>
      <c r="D41" s="70">
        <v>18742</v>
      </c>
    </row>
    <row r="42" spans="1:4" x14ac:dyDescent="0.35">
      <c r="A42" s="70" t="s">
        <v>459</v>
      </c>
      <c r="B42" s="70">
        <v>678685</v>
      </c>
      <c r="C42" s="70">
        <v>99185</v>
      </c>
      <c r="D42" s="70">
        <v>579500</v>
      </c>
    </row>
    <row r="43" spans="1:4" x14ac:dyDescent="0.35">
      <c r="A43" s="70" t="s">
        <v>460</v>
      </c>
      <c r="B43" s="70">
        <v>2039431</v>
      </c>
      <c r="C43" s="70">
        <v>500059</v>
      </c>
      <c r="D43" s="70">
        <v>1341021</v>
      </c>
    </row>
    <row r="44" spans="1:4" x14ac:dyDescent="0.35">
      <c r="A44" s="70" t="s">
        <v>461</v>
      </c>
      <c r="B44" s="70">
        <v>2555</v>
      </c>
      <c r="C44" s="70">
        <v>481</v>
      </c>
      <c r="D44" s="70">
        <v>2074</v>
      </c>
    </row>
    <row r="45" spans="1:4" x14ac:dyDescent="0.35">
      <c r="A45" s="70" t="s">
        <v>462</v>
      </c>
      <c r="B45" s="70">
        <v>1031</v>
      </c>
      <c r="C45" s="70">
        <v>169</v>
      </c>
      <c r="D45" s="70">
        <v>862</v>
      </c>
    </row>
    <row r="46" spans="1:4" x14ac:dyDescent="0.35">
      <c r="A46" s="70" t="s">
        <v>463</v>
      </c>
      <c r="B46" s="70">
        <v>14933</v>
      </c>
      <c r="C46" s="70">
        <v>3815</v>
      </c>
      <c r="D46" s="70">
        <v>11118</v>
      </c>
    </row>
    <row r="47" spans="1:4" x14ac:dyDescent="0.35">
      <c r="A47" s="70" t="s">
        <v>464</v>
      </c>
      <c r="B47" s="70">
        <v>3487</v>
      </c>
      <c r="C47" s="70">
        <v>792</v>
      </c>
      <c r="D47" s="70">
        <v>2695</v>
      </c>
    </row>
    <row r="48" spans="1:4" x14ac:dyDescent="0.35">
      <c r="A48" s="70" t="s">
        <v>465</v>
      </c>
      <c r="B48" s="70">
        <v>700000</v>
      </c>
      <c r="C48" s="70">
        <v>135000</v>
      </c>
      <c r="D48" s="70">
        <v>565000</v>
      </c>
    </row>
    <row r="49" spans="1:4" x14ac:dyDescent="0.35">
      <c r="A49" s="70" t="s">
        <v>466</v>
      </c>
      <c r="B49" s="70">
        <v>13934822</v>
      </c>
      <c r="C49" s="70">
        <v>5121847</v>
      </c>
      <c r="D49" s="70">
        <v>8812975</v>
      </c>
    </row>
    <row r="50" spans="1:4" x14ac:dyDescent="0.35">
      <c r="A50" s="70" t="s">
        <v>467</v>
      </c>
      <c r="B50" s="70">
        <v>678685</v>
      </c>
      <c r="C50" s="70">
        <v>99185</v>
      </c>
      <c r="D50" s="70">
        <v>579500</v>
      </c>
    </row>
    <row r="51" spans="1:4" x14ac:dyDescent="0.35">
      <c r="A51" s="70" t="s">
        <v>468</v>
      </c>
      <c r="B51" s="70">
        <v>176364</v>
      </c>
      <c r="C51" s="70">
        <v>25568</v>
      </c>
      <c r="D51" s="70">
        <v>150796</v>
      </c>
    </row>
    <row r="52" spans="1:4" x14ac:dyDescent="0.35">
      <c r="A52" s="70" t="s">
        <v>469</v>
      </c>
      <c r="B52" s="70">
        <v>698</v>
      </c>
      <c r="C52" s="70">
        <v>109</v>
      </c>
      <c r="D52" s="70">
        <v>589</v>
      </c>
    </row>
    <row r="53" spans="1:4" x14ac:dyDescent="0.35">
      <c r="A53" s="70" t="s">
        <v>470</v>
      </c>
      <c r="B53" s="70">
        <v>600</v>
      </c>
      <c r="C53" s="70">
        <v>71</v>
      </c>
      <c r="D53" s="70">
        <v>529</v>
      </c>
    </row>
    <row r="54" spans="1:4" x14ac:dyDescent="0.35">
      <c r="A54" s="70" t="s">
        <v>471</v>
      </c>
      <c r="B54" s="70">
        <v>1257</v>
      </c>
      <c r="C54" s="70">
        <v>301</v>
      </c>
      <c r="D54" s="70">
        <v>956</v>
      </c>
    </row>
    <row r="55" spans="1:4" x14ac:dyDescent="0.35">
      <c r="A55" s="70" t="s">
        <v>472</v>
      </c>
      <c r="B55" s="70">
        <v>307073</v>
      </c>
      <c r="C55" s="70">
        <v>79385</v>
      </c>
      <c r="D55" s="70">
        <v>227688</v>
      </c>
    </row>
    <row r="56" spans="1:4" x14ac:dyDescent="0.35">
      <c r="A56" s="70" t="s">
        <v>473</v>
      </c>
      <c r="B56" s="70">
        <v>4156</v>
      </c>
      <c r="C56" s="70">
        <v>1038</v>
      </c>
      <c r="D56" s="70">
        <v>3118</v>
      </c>
    </row>
    <row r="57" spans="1:4" x14ac:dyDescent="0.35">
      <c r="A57" s="70" t="s">
        <v>474</v>
      </c>
      <c r="B57" s="70">
        <v>5963</v>
      </c>
      <c r="C57" s="70">
        <v>1911</v>
      </c>
      <c r="D57" s="70">
        <v>4052</v>
      </c>
    </row>
    <row r="58" spans="1:4" x14ac:dyDescent="0.35">
      <c r="A58" s="70" t="s">
        <v>475</v>
      </c>
      <c r="B58" s="70">
        <v>4814</v>
      </c>
      <c r="C58" s="70">
        <v>866</v>
      </c>
      <c r="D58" s="70">
        <v>3948</v>
      </c>
    </row>
    <row r="59" spans="1:4" x14ac:dyDescent="0.35">
      <c r="A59" s="70" t="s">
        <v>498</v>
      </c>
      <c r="B59" s="70">
        <v>88387</v>
      </c>
      <c r="C59" s="70">
        <f>4491+14050</f>
        <v>18541</v>
      </c>
      <c r="D59" s="70">
        <f>43220+26626</f>
        <v>69846</v>
      </c>
    </row>
    <row r="60" spans="1:4" x14ac:dyDescent="0.35">
      <c r="A60" s="70" t="s">
        <v>499</v>
      </c>
      <c r="B60" s="70">
        <v>25637</v>
      </c>
      <c r="C60" s="70">
        <f>559+2447</f>
        <v>3006</v>
      </c>
      <c r="D60" s="70">
        <f>11498+11133</f>
        <v>22631</v>
      </c>
    </row>
  </sheetData>
  <phoneticPr fontId="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CCBAE-B0C1-4056-9CD9-7839064ADF3E}">
  <dimension ref="A1:AA55"/>
  <sheetViews>
    <sheetView topLeftCell="C24" zoomScale="50" zoomScaleNormal="50" workbookViewId="0">
      <selection activeCell="D65" sqref="D65"/>
    </sheetView>
  </sheetViews>
  <sheetFormatPr defaultRowHeight="14.5" x14ac:dyDescent="0.35"/>
  <cols>
    <col min="1" max="1" width="15.7265625" bestFit="1" customWidth="1"/>
    <col min="2" max="2" width="10.26953125" bestFit="1" customWidth="1"/>
    <col min="3" max="3" width="11.90625" bestFit="1" customWidth="1"/>
    <col min="4" max="4" width="147.7265625" bestFit="1" customWidth="1"/>
    <col min="5" max="5" width="41.6328125" bestFit="1" customWidth="1"/>
    <col min="6" max="6" width="41.453125" bestFit="1" customWidth="1"/>
    <col min="7" max="7" width="15.90625" customWidth="1"/>
    <col min="8" max="8" width="28.453125" customWidth="1"/>
    <col min="9" max="9" width="13.36328125" customWidth="1"/>
    <col min="10" max="10" width="18.6328125" bestFit="1" customWidth="1"/>
    <col min="11" max="11" width="17.1796875" bestFit="1" customWidth="1"/>
    <col min="12" max="12" width="16.08984375" bestFit="1" customWidth="1"/>
    <col min="13" max="13" width="26.26953125" bestFit="1" customWidth="1"/>
    <col min="14" max="14" width="24.6328125" bestFit="1" customWidth="1"/>
    <col min="15" max="15" width="23.54296875" style="9" bestFit="1" customWidth="1"/>
    <col min="16" max="16" width="26.6328125" style="9" bestFit="1" customWidth="1"/>
    <col min="17" max="17" width="25.1796875" style="9" bestFit="1" customWidth="1"/>
    <col min="18" max="18" width="24.08984375" style="9" bestFit="1" customWidth="1"/>
    <col min="19" max="19" width="34.81640625" style="9" bestFit="1" customWidth="1"/>
    <col min="20" max="20" width="31.54296875" customWidth="1"/>
    <col min="21" max="21" width="31.36328125" bestFit="1" customWidth="1"/>
    <col min="22" max="22" width="29.90625" style="8" bestFit="1" customWidth="1"/>
    <col min="23" max="23" width="28.81640625" bestFit="1" customWidth="1"/>
    <col min="24" max="24" width="20.453125" bestFit="1" customWidth="1"/>
    <col min="25" max="25" width="29.36328125" bestFit="1" customWidth="1"/>
    <col min="26" max="26" width="27.7265625" style="8" bestFit="1" customWidth="1"/>
    <col min="27" max="27" width="26.6328125" bestFit="1" customWidth="1"/>
  </cols>
  <sheetData>
    <row r="1" spans="1:27" x14ac:dyDescent="0.35">
      <c r="A1" s="14" t="s">
        <v>170</v>
      </c>
      <c r="B1" s="14" t="s">
        <v>159</v>
      </c>
      <c r="C1" s="14" t="s">
        <v>85</v>
      </c>
      <c r="D1" s="71" t="s">
        <v>6</v>
      </c>
      <c r="E1" s="33" t="s">
        <v>413</v>
      </c>
      <c r="F1" s="33" t="s">
        <v>414</v>
      </c>
      <c r="G1" s="33" t="s">
        <v>415</v>
      </c>
      <c r="H1" s="33" t="s">
        <v>484</v>
      </c>
      <c r="I1" s="33" t="s">
        <v>416</v>
      </c>
      <c r="J1" s="33" t="s">
        <v>476</v>
      </c>
      <c r="K1" s="33" t="s">
        <v>485</v>
      </c>
      <c r="L1" s="33" t="s">
        <v>479</v>
      </c>
      <c r="M1" s="33" t="s">
        <v>477</v>
      </c>
      <c r="N1" s="33" t="s">
        <v>487</v>
      </c>
      <c r="O1" s="33" t="s">
        <v>480</v>
      </c>
      <c r="P1" s="33" t="s">
        <v>478</v>
      </c>
      <c r="Q1" s="33" t="s">
        <v>486</v>
      </c>
      <c r="R1" s="33" t="s">
        <v>481</v>
      </c>
      <c r="S1" s="33" t="s">
        <v>502</v>
      </c>
      <c r="T1" s="77" t="s">
        <v>501</v>
      </c>
      <c r="U1" s="62" t="s">
        <v>503</v>
      </c>
      <c r="V1" s="90" t="s">
        <v>504</v>
      </c>
      <c r="W1" s="62" t="s">
        <v>505</v>
      </c>
      <c r="X1" s="62" t="s">
        <v>506</v>
      </c>
      <c r="Y1" s="62" t="s">
        <v>507</v>
      </c>
      <c r="Z1" s="90" t="s">
        <v>508</v>
      </c>
      <c r="AA1" s="62" t="s">
        <v>509</v>
      </c>
    </row>
    <row r="2" spans="1:27" x14ac:dyDescent="0.35">
      <c r="A2" s="14" t="s">
        <v>171</v>
      </c>
      <c r="B2" s="31" t="s">
        <v>32</v>
      </c>
      <c r="C2" s="14" t="s">
        <v>394</v>
      </c>
      <c r="D2" s="72" t="s">
        <v>405</v>
      </c>
      <c r="E2" s="14">
        <f>ROUND(('R Dataset'!C2+'R Dataset'!C3)/(SUM('Demographics Data'!C2:D2)),3)</f>
        <v>0.24099999999999999</v>
      </c>
      <c r="F2" s="14">
        <f>ROUND(('R Dataset'!D2+'R Dataset'!D3)/(SUM('Demographics Data'!E2:F2)),3)</f>
        <v>0.67100000000000004</v>
      </c>
      <c r="G2" s="14">
        <f>ROUND(AVERAGE(E2:F2),3)</f>
        <v>0.45600000000000002</v>
      </c>
      <c r="H2" s="14">
        <f>ROUND(SQRT(E2*F2),3)</f>
        <v>0.40200000000000002</v>
      </c>
      <c r="I2" s="14">
        <f>ROUND(('R Dataset'!B2+'R Dataset'!B3)/('Demographics Data'!B2),3)</f>
        <v>0.311</v>
      </c>
      <c r="J2" s="14">
        <f>ROUND((ABS((F2-E2))/2)/G2,3)</f>
        <v>0.47099999999999997</v>
      </c>
      <c r="K2" s="14">
        <f>ROUND((ABS(((E2-F2)))/2)/H2,3)</f>
        <v>0.53500000000000003</v>
      </c>
      <c r="L2" s="14">
        <f>ROUND((ABS((E2-F2))/2)/I2,3)</f>
        <v>0.69099999999999995</v>
      </c>
      <c r="M2" s="14">
        <f>ROUND(SQRT(J2),3)</f>
        <v>0.68600000000000005</v>
      </c>
      <c r="N2" s="14">
        <f>ROUND(SQRT(K2),3)</f>
        <v>0.73099999999999998</v>
      </c>
      <c r="O2" s="14">
        <f>ROUND(SQRT(L2),3)</f>
        <v>0.83099999999999996</v>
      </c>
      <c r="P2" s="33">
        <f>100-(ROUND((M2)/(MAX(M$2:M$6,M$10,M$12,M$15,M$17:M$26,M$29:M$32,M$37:M$41,M$44:M$53)),3)*100)</f>
        <v>26.900000000000006</v>
      </c>
      <c r="Q2" s="33">
        <f t="shared" ref="Q2:R6" si="0">100-(ROUND((N2)/(MAX(N$2:N$6,N$10,N$12,N$15,N$17:N$26,N$29:N$32,N$37:N$41,N$44:N$53)),3)*100)</f>
        <v>47</v>
      </c>
      <c r="R2" s="33">
        <f t="shared" si="0"/>
        <v>46</v>
      </c>
      <c r="S2" s="33">
        <v>0.5</v>
      </c>
      <c r="T2" s="71">
        <v>0.5</v>
      </c>
      <c r="U2" s="150">
        <f>ROUND(P2*$S2+P3*$S3,1)</f>
        <v>27.1</v>
      </c>
      <c r="V2" s="133">
        <f>ROUND(Q2*$S2+Q3*$S3,1)</f>
        <v>47.2</v>
      </c>
      <c r="W2" s="150">
        <f>ROUND(R2*$S2+R3*$S3,1)</f>
        <v>45.8</v>
      </c>
      <c r="X2" s="150">
        <v>0.4</v>
      </c>
      <c r="Y2" s="150">
        <f>100-ROUND(U2*$X2 + U4*$X4 +U6*$X6,1)</f>
        <v>73.400000000000006</v>
      </c>
      <c r="Z2" s="133">
        <f>ROUND(V2*$X2 + V4*$X4 +V6*$X6,1)</f>
        <v>43.1</v>
      </c>
      <c r="AA2" s="150">
        <f>100-ROUND(W2*$X2 + W4*$X4 +W6*$X6,1)</f>
        <v>58.4</v>
      </c>
    </row>
    <row r="3" spans="1:27" x14ac:dyDescent="0.35">
      <c r="A3" s="14" t="s">
        <v>171</v>
      </c>
      <c r="B3" s="31" t="s">
        <v>32</v>
      </c>
      <c r="C3" s="14" t="s">
        <v>394</v>
      </c>
      <c r="D3" s="72" t="s">
        <v>406</v>
      </c>
      <c r="E3" s="14">
        <f>ROUND(('R Dataset'!C5+'R Dataset'!C4)/(SUM('Demographics Data'!C3:D3)),3)</f>
        <v>0.219</v>
      </c>
      <c r="F3" s="14">
        <f>ROUND(('R Dataset'!D5+'R Dataset'!D4)/(SUM('Demographics Data'!E3:F3)),3)</f>
        <v>0.60299999999999998</v>
      </c>
      <c r="G3" s="14">
        <f>ROUND(AVERAGE(E3:F3),3)</f>
        <v>0.41099999999999998</v>
      </c>
      <c r="H3" s="14">
        <f t="shared" ref="H3:H6" si="1">ROUND(SQRT(E3*F3),3)</f>
        <v>0.36299999999999999</v>
      </c>
      <c r="I3" s="14">
        <f>ROUND(('R Dataset'!B5+'R Dataset'!B4)/('Demographics Data'!B3),3)</f>
        <v>0.27300000000000002</v>
      </c>
      <c r="J3" s="14">
        <f t="shared" ref="J3:J6" si="2">ROUND((ABS((F3-E3))/2)/G3,3)</f>
        <v>0.46700000000000003</v>
      </c>
      <c r="K3" s="14">
        <f>ROUND((ABS(((E3-F3)))/2)/H3,3)</f>
        <v>0.52900000000000003</v>
      </c>
      <c r="L3" s="14">
        <f>ROUND((ABS((E3-F3))/2)/I3,3)</f>
        <v>0.70299999999999996</v>
      </c>
      <c r="M3" s="14">
        <f t="shared" ref="M3:M6" si="3">ROUND(SQRT(J3),3)</f>
        <v>0.68300000000000005</v>
      </c>
      <c r="N3" s="14">
        <f t="shared" ref="N3:N6" si="4">ROUND(SQRT(K3),3)</f>
        <v>0.72699999999999998</v>
      </c>
      <c r="O3" s="14">
        <f t="shared" ref="O3:O6" si="5">ROUND(SQRT(L3),3)</f>
        <v>0.83799999999999997</v>
      </c>
      <c r="P3" s="33">
        <f t="shared" ref="P3:P6" si="6">100-(ROUND((M3)/(MAX(M$2:M$6,M$10,M$12,M$15,M$17:M$26,M$29:M$32,M$37:M$41,M$44:M$53)),3)*100)</f>
        <v>27.200000000000003</v>
      </c>
      <c r="Q3" s="33">
        <f t="shared" si="0"/>
        <v>47.3</v>
      </c>
      <c r="R3" s="33">
        <f t="shared" si="0"/>
        <v>45.499999999999993</v>
      </c>
      <c r="S3" s="33">
        <v>0.5</v>
      </c>
      <c r="T3" s="71">
        <v>0.5</v>
      </c>
      <c r="U3" s="150"/>
      <c r="V3" s="133"/>
      <c r="W3" s="150"/>
      <c r="X3" s="150"/>
      <c r="Y3" s="150"/>
      <c r="Z3" s="133"/>
      <c r="AA3" s="150"/>
    </row>
    <row r="4" spans="1:27" x14ac:dyDescent="0.35">
      <c r="A4" s="14" t="s">
        <v>171</v>
      </c>
      <c r="B4" s="31" t="s">
        <v>32</v>
      </c>
      <c r="C4" s="14" t="s">
        <v>95</v>
      </c>
      <c r="D4" s="72" t="s">
        <v>116</v>
      </c>
      <c r="E4" s="14">
        <f>ROUND(('R Dataset'!C3)/(SUM('Demographics Data'!C2:D2)),3)</f>
        <v>3.1E-2</v>
      </c>
      <c r="F4" s="14">
        <f>ROUND(('R Dataset'!D3)/(SUM('Demographics Data'!E2:F2)),3)</f>
        <v>0.23599999999999999</v>
      </c>
      <c r="G4" s="14">
        <f>ROUND(AVERAGE(E4:F4),3)</f>
        <v>0.13400000000000001</v>
      </c>
      <c r="H4" s="14">
        <f t="shared" si="1"/>
        <v>8.5999999999999993E-2</v>
      </c>
      <c r="I4" s="14">
        <f>ROUND(SUM('R Dataset'!B3)/'Demographics Data'!B2,3)</f>
        <v>6.4000000000000001E-2</v>
      </c>
      <c r="J4" s="14">
        <f t="shared" si="2"/>
        <v>0.76500000000000001</v>
      </c>
      <c r="K4" s="14">
        <f t="shared" ref="K4:K6" si="7">ROUND((ABS(((E4-F4)))/2)/H4,3)</f>
        <v>1.1919999999999999</v>
      </c>
      <c r="L4" s="14">
        <f t="shared" ref="L4:L6" si="8">ROUND((ABS((E4-F4))/2)/I4,3)</f>
        <v>1.6020000000000001</v>
      </c>
      <c r="M4" s="14">
        <f t="shared" si="3"/>
        <v>0.875</v>
      </c>
      <c r="N4" s="14">
        <f t="shared" si="4"/>
        <v>1.0920000000000001</v>
      </c>
      <c r="O4" s="14">
        <f t="shared" si="5"/>
        <v>1.266</v>
      </c>
      <c r="P4" s="33">
        <f t="shared" si="6"/>
        <v>6.6999999999999886</v>
      </c>
      <c r="Q4" s="33">
        <f t="shared" si="0"/>
        <v>20.799999999999997</v>
      </c>
      <c r="R4" s="33">
        <f t="shared" si="0"/>
        <v>17.700000000000003</v>
      </c>
      <c r="S4" s="33">
        <v>0.5</v>
      </c>
      <c r="T4" s="71">
        <v>0.5</v>
      </c>
      <c r="U4" s="150">
        <f>P4*$S2+P5*$S3</f>
        <v>8.1499999999999915</v>
      </c>
      <c r="V4" s="133">
        <f>(Q4*$S2+Q5*$S3)</f>
        <v>23.449999999999996</v>
      </c>
      <c r="W4" s="150">
        <f>R4*$S2+R5*$S3</f>
        <v>19.25</v>
      </c>
      <c r="X4" s="150">
        <v>0.4</v>
      </c>
      <c r="Y4" s="150"/>
      <c r="Z4" s="133"/>
      <c r="AA4" s="150"/>
    </row>
    <row r="5" spans="1:27" x14ac:dyDescent="0.35">
      <c r="A5" s="14" t="s">
        <v>171</v>
      </c>
      <c r="B5" s="31" t="s">
        <v>32</v>
      </c>
      <c r="C5" s="14" t="s">
        <v>95</v>
      </c>
      <c r="D5" s="72" t="s">
        <v>117</v>
      </c>
      <c r="E5" s="14">
        <f>ROUND(('R Dataset'!C5)/(SUM('Demographics Data'!C3:D3)),3)</f>
        <v>4.2999999999999997E-2</v>
      </c>
      <c r="F5" s="14">
        <f>ROUND(('R Dataset'!D5)/(SUM('Demographics Data'!E3:F3)),3)</f>
        <v>0.26300000000000001</v>
      </c>
      <c r="G5" s="14">
        <f>ROUND(AVERAGE(E5:F5),3)</f>
        <v>0.153</v>
      </c>
      <c r="H5" s="14">
        <f t="shared" si="1"/>
        <v>0.106</v>
      </c>
      <c r="I5" s="14">
        <f>ROUND(SUM('R Dataset'!B5)/'Demographics Data'!B3,3)</f>
        <v>7.3999999999999996E-2</v>
      </c>
      <c r="J5" s="14">
        <f t="shared" si="2"/>
        <v>0.71899999999999997</v>
      </c>
      <c r="K5" s="14">
        <f t="shared" si="7"/>
        <v>1.038</v>
      </c>
      <c r="L5" s="14">
        <f t="shared" si="8"/>
        <v>1.486</v>
      </c>
      <c r="M5" s="14">
        <f t="shared" si="3"/>
        <v>0.84799999999999998</v>
      </c>
      <c r="N5" s="14">
        <f t="shared" si="4"/>
        <v>1.0189999999999999</v>
      </c>
      <c r="O5" s="14">
        <f t="shared" si="5"/>
        <v>1.2190000000000001</v>
      </c>
      <c r="P5" s="33">
        <f t="shared" si="6"/>
        <v>9.5999999999999943</v>
      </c>
      <c r="Q5" s="33">
        <f t="shared" si="0"/>
        <v>26.099999999999994</v>
      </c>
      <c r="R5" s="33">
        <f t="shared" si="0"/>
        <v>20.799999999999997</v>
      </c>
      <c r="S5" s="33">
        <v>0.5</v>
      </c>
      <c r="T5" s="71">
        <v>0.5</v>
      </c>
      <c r="U5" s="150"/>
      <c r="V5" s="133"/>
      <c r="W5" s="150"/>
      <c r="X5" s="150"/>
      <c r="Y5" s="150"/>
      <c r="Z5" s="133"/>
      <c r="AA5" s="150"/>
    </row>
    <row r="6" spans="1:27" x14ac:dyDescent="0.35">
      <c r="A6" s="14" t="s">
        <v>171</v>
      </c>
      <c r="B6" s="31" t="s">
        <v>32</v>
      </c>
      <c r="C6" s="14" t="s">
        <v>88</v>
      </c>
      <c r="D6" s="73" t="s">
        <v>251</v>
      </c>
      <c r="E6" s="14">
        <f>ROUND('R Dataset'!C6/('Demographics Data'!C4+'Demographics Data'!D4),3)</f>
        <v>0.10299999999999999</v>
      </c>
      <c r="F6" s="14">
        <f>ROUND('R Dataset'!D6/('Demographics Data'!F4+'Demographics Data'!E4),3)</f>
        <v>0.08</v>
      </c>
      <c r="G6" s="14">
        <f>ROUND(AVERAGE(E6:F6),3)</f>
        <v>9.1999999999999998E-2</v>
      </c>
      <c r="H6" s="14">
        <f t="shared" si="1"/>
        <v>9.0999999999999998E-2</v>
      </c>
      <c r="I6" s="14">
        <f>ROUND(SUM('R Dataset'!B6)/'Demographics Data'!B4,3)</f>
        <v>0.10100000000000001</v>
      </c>
      <c r="J6" s="14">
        <f t="shared" si="2"/>
        <v>0.125</v>
      </c>
      <c r="K6" s="14">
        <f t="shared" si="7"/>
        <v>0.126</v>
      </c>
      <c r="L6" s="14">
        <f t="shared" si="8"/>
        <v>0.114</v>
      </c>
      <c r="M6" s="14">
        <f t="shared" si="3"/>
        <v>0.35399999999999998</v>
      </c>
      <c r="N6" s="14">
        <f t="shared" si="4"/>
        <v>0.35499999999999998</v>
      </c>
      <c r="O6" s="14">
        <f t="shared" si="5"/>
        <v>0.33800000000000002</v>
      </c>
      <c r="P6" s="33">
        <f t="shared" si="6"/>
        <v>62.3</v>
      </c>
      <c r="Q6" s="33">
        <f t="shared" si="0"/>
        <v>74.3</v>
      </c>
      <c r="R6" s="33">
        <f t="shared" si="0"/>
        <v>78</v>
      </c>
      <c r="S6" s="33">
        <v>1</v>
      </c>
      <c r="T6" s="71">
        <v>0.25</v>
      </c>
      <c r="U6" s="150">
        <f>P6*$S6</f>
        <v>62.3</v>
      </c>
      <c r="V6" s="133">
        <f>Q6*$S6</f>
        <v>74.3</v>
      </c>
      <c r="W6" s="150">
        <f>R6*$S6</f>
        <v>78</v>
      </c>
      <c r="X6" s="150">
        <v>0.2</v>
      </c>
      <c r="Y6" s="150"/>
      <c r="Z6" s="133"/>
      <c r="AA6" s="150"/>
    </row>
    <row r="7" spans="1:27" x14ac:dyDescent="0.35">
      <c r="A7" s="14" t="s">
        <v>171</v>
      </c>
      <c r="B7" s="31" t="s">
        <v>32</v>
      </c>
      <c r="C7" s="14" t="s">
        <v>88</v>
      </c>
      <c r="D7" s="74" t="s">
        <v>96</v>
      </c>
      <c r="E7" s="78"/>
      <c r="F7" s="78"/>
      <c r="G7" s="78"/>
      <c r="H7" s="78"/>
      <c r="I7" s="78"/>
      <c r="J7" s="78"/>
      <c r="K7" s="78"/>
      <c r="L7" s="78"/>
      <c r="M7" s="78"/>
      <c r="N7" s="78"/>
      <c r="O7" s="78"/>
      <c r="P7" s="78"/>
      <c r="Q7" s="78"/>
      <c r="R7" s="78"/>
      <c r="S7" s="78">
        <v>0</v>
      </c>
      <c r="T7" s="82">
        <v>0.25</v>
      </c>
      <c r="U7" s="150"/>
      <c r="V7" s="133"/>
      <c r="W7" s="150"/>
      <c r="X7" s="150"/>
      <c r="Y7" s="150"/>
      <c r="Z7" s="133"/>
      <c r="AA7" s="150"/>
    </row>
    <row r="8" spans="1:27" x14ac:dyDescent="0.35">
      <c r="A8" s="14" t="s">
        <v>171</v>
      </c>
      <c r="B8" s="31" t="s">
        <v>32</v>
      </c>
      <c r="C8" s="14" t="s">
        <v>88</v>
      </c>
      <c r="D8" s="74" t="s">
        <v>412</v>
      </c>
      <c r="E8" s="78"/>
      <c r="F8" s="78"/>
      <c r="G8" s="78"/>
      <c r="H8" s="78"/>
      <c r="I8" s="78"/>
      <c r="J8" s="78"/>
      <c r="K8" s="78"/>
      <c r="L8" s="78"/>
      <c r="M8" s="78"/>
      <c r="N8" s="78"/>
      <c r="O8" s="78"/>
      <c r="P8" s="78"/>
      <c r="Q8" s="78"/>
      <c r="R8" s="78"/>
      <c r="S8" s="78">
        <v>0</v>
      </c>
      <c r="T8" s="82">
        <v>0.25</v>
      </c>
      <c r="U8" s="150"/>
      <c r="V8" s="133"/>
      <c r="W8" s="150"/>
      <c r="X8" s="150"/>
      <c r="Y8" s="150"/>
      <c r="Z8" s="133"/>
      <c r="AA8" s="150"/>
    </row>
    <row r="9" spans="1:27" x14ac:dyDescent="0.35">
      <c r="A9" s="14" t="s">
        <v>171</v>
      </c>
      <c r="B9" s="31" t="s">
        <v>32</v>
      </c>
      <c r="C9" s="14" t="s">
        <v>88</v>
      </c>
      <c r="D9" s="74" t="s">
        <v>404</v>
      </c>
      <c r="E9" s="78"/>
      <c r="F9" s="78"/>
      <c r="G9" s="78"/>
      <c r="H9" s="78"/>
      <c r="I9" s="78"/>
      <c r="J9" s="78"/>
      <c r="K9" s="78"/>
      <c r="L9" s="78"/>
      <c r="M9" s="78"/>
      <c r="N9" s="78"/>
      <c r="O9" s="78"/>
      <c r="P9" s="78"/>
      <c r="Q9" s="78"/>
      <c r="R9" s="78"/>
      <c r="S9" s="78">
        <v>0</v>
      </c>
      <c r="T9" s="82">
        <v>0.25</v>
      </c>
      <c r="U9" s="150"/>
      <c r="V9" s="133"/>
      <c r="W9" s="150"/>
      <c r="X9" s="150"/>
      <c r="Y9" s="150"/>
      <c r="Z9" s="133"/>
      <c r="AA9" s="150"/>
    </row>
    <row r="10" spans="1:27" x14ac:dyDescent="0.35">
      <c r="A10" s="14" t="s">
        <v>171</v>
      </c>
      <c r="B10" s="14" t="s">
        <v>90</v>
      </c>
      <c r="C10" s="14" t="s">
        <v>394</v>
      </c>
      <c r="D10" s="73" t="s">
        <v>131</v>
      </c>
      <c r="E10" s="14">
        <f>ROUND('R Dataset'!C9/SUM('Demographics Data'!C21:D21),3)</f>
        <v>0.159</v>
      </c>
      <c r="F10" s="14">
        <f>ROUND('R Dataset'!D9/SUM('Demographics Data'!E21:F21),3)</f>
        <v>0.60099999999999998</v>
      </c>
      <c r="G10" s="14">
        <f>ROUND(AVERAGE(E10:F10),3)</f>
        <v>0.38</v>
      </c>
      <c r="H10" s="14">
        <f t="shared" ref="H10" si="9">ROUND(SQRT(E10*F10),3)</f>
        <v>0.309</v>
      </c>
      <c r="I10" s="14">
        <f>ROUND('R Dataset'!B9/'Demographics Data'!B21,3)</f>
        <v>0.224</v>
      </c>
      <c r="J10" s="14">
        <f t="shared" ref="J10" si="10">ROUND((ABS((F10-E10))/2)/G10,3)</f>
        <v>0.58199999999999996</v>
      </c>
      <c r="K10" s="14">
        <f t="shared" ref="K10" si="11">ROUND((ABS(((E10-F10)))/2)/H10,3)</f>
        <v>0.71499999999999997</v>
      </c>
      <c r="L10" s="14">
        <f t="shared" ref="L10" si="12">ROUND((ABS((E10-F10))/2)/I10,3)</f>
        <v>0.98699999999999999</v>
      </c>
      <c r="M10" s="14">
        <f t="shared" ref="M10" si="13">ROUND(SQRT(J10),3)</f>
        <v>0.76300000000000001</v>
      </c>
      <c r="N10" s="14">
        <f t="shared" ref="N10" si="14">ROUND(SQRT(K10),3)</f>
        <v>0.84599999999999997</v>
      </c>
      <c r="O10" s="14">
        <f t="shared" ref="O10" si="15">ROUND(SQRT(L10),3)</f>
        <v>0.99299999999999999</v>
      </c>
      <c r="P10" s="33">
        <f t="shared" ref="P10" si="16">100-(ROUND((M10)/(MAX(M$2:M$6,M$10,M$12,M$15,M$17:M$26,M$29:M$32,M$37:M$41,M$44:M$53)),3)*100)</f>
        <v>18.700000000000003</v>
      </c>
      <c r="Q10" s="33">
        <f t="shared" ref="Q10" si="17">100-(ROUND((N10)/(MAX(N$2:N$6,N$10,N$12,N$15,N$17:N$26,N$29:N$32,N$37:N$41,N$44:N$53)),3)*100)</f>
        <v>38.700000000000003</v>
      </c>
      <c r="R10" s="33">
        <f t="shared" ref="R10" si="18">100-(ROUND((O10)/(MAX(O$2:O$6,O$10,O$12,O$15,O$17:O$26,O$29:O$32,O$37:O$41,O$44:O$53)),3)*100)</f>
        <v>35.5</v>
      </c>
      <c r="S10" s="33">
        <v>1</v>
      </c>
      <c r="T10" s="71">
        <v>0.5</v>
      </c>
      <c r="U10" s="150">
        <f>P10*$S10</f>
        <v>18.700000000000003</v>
      </c>
      <c r="V10" s="133">
        <f>Q10*$S10</f>
        <v>38.700000000000003</v>
      </c>
      <c r="W10" s="150">
        <f>R10*$S10</f>
        <v>35.5</v>
      </c>
      <c r="X10" s="150">
        <v>0.4</v>
      </c>
      <c r="Y10" s="150">
        <f>100-ROUND(U10*$X10+U12*$X12+U14*$X14,1)</f>
        <v>75</v>
      </c>
      <c r="Z10" s="133">
        <f>ROUND(V10*$X10+V12*$X12+V14*$X14,1)</f>
        <v>33.799999999999997</v>
      </c>
      <c r="AA10" s="150">
        <f>100-ROUND(W10*$X10+W12*$X12+W14*$X14,1)</f>
        <v>67.3</v>
      </c>
    </row>
    <row r="11" spans="1:27" x14ac:dyDescent="0.35">
      <c r="A11" s="14" t="s">
        <v>171</v>
      </c>
      <c r="B11" s="14" t="s">
        <v>90</v>
      </c>
      <c r="C11" s="14" t="s">
        <v>394</v>
      </c>
      <c r="D11" s="75" t="s">
        <v>408</v>
      </c>
      <c r="E11" s="78"/>
      <c r="F11" s="78"/>
      <c r="G11" s="78"/>
      <c r="H11" s="78"/>
      <c r="I11" s="78"/>
      <c r="J11" s="78"/>
      <c r="K11" s="78"/>
      <c r="L11" s="78"/>
      <c r="M11" s="78"/>
      <c r="N11" s="78"/>
      <c r="O11" s="78"/>
      <c r="P11" s="78"/>
      <c r="Q11" s="78"/>
      <c r="R11" s="78"/>
      <c r="S11" s="78">
        <v>0</v>
      </c>
      <c r="T11" s="82">
        <v>0.5</v>
      </c>
      <c r="U11" s="150"/>
      <c r="V11" s="133"/>
      <c r="W11" s="150"/>
      <c r="X11" s="150"/>
      <c r="Y11" s="150"/>
      <c r="Z11" s="133"/>
      <c r="AA11" s="150"/>
    </row>
    <row r="12" spans="1:27" x14ac:dyDescent="0.35">
      <c r="A12" s="14" t="s">
        <v>171</v>
      </c>
      <c r="B12" s="14" t="s">
        <v>90</v>
      </c>
      <c r="C12" s="14" t="s">
        <v>95</v>
      </c>
      <c r="D12" s="73" t="s">
        <v>136</v>
      </c>
      <c r="E12" s="14">
        <f>ROUND('R Dataset'!C10/SUM('Demographics Data'!C21:D21),3)</f>
        <v>1.4E-2</v>
      </c>
      <c r="F12" s="14">
        <f>ROUND('R Dataset'!D10/SUM('Demographics Data'!E21:F21),3)</f>
        <v>0.22700000000000001</v>
      </c>
      <c r="G12" s="14">
        <f>ROUND(AVERAGE(E12:F12),3)</f>
        <v>0.121</v>
      </c>
      <c r="H12" s="14">
        <f t="shared" ref="H12" si="19">ROUND(SQRT(E12*F12),3)</f>
        <v>5.6000000000000001E-2</v>
      </c>
      <c r="I12" s="14">
        <f>ROUND('R Dataset'!B10/'Demographics Data'!B21,3)</f>
        <v>4.4999999999999998E-2</v>
      </c>
      <c r="J12" s="14">
        <f t="shared" ref="J12" si="20">ROUND((ABS((F12-E12))/2)/G12,3)</f>
        <v>0.88</v>
      </c>
      <c r="K12" s="14">
        <f t="shared" ref="K12" si="21">ROUND((ABS(((E12-F12)))/2)/H12,3)</f>
        <v>1.9019999999999999</v>
      </c>
      <c r="L12" s="14">
        <f t="shared" ref="L12" si="22">ROUND((ABS((E12-F12))/2)/I12,3)</f>
        <v>2.367</v>
      </c>
      <c r="M12" s="14">
        <f t="shared" ref="M12" si="23">ROUND(SQRT(J12),3)</f>
        <v>0.93799999999999994</v>
      </c>
      <c r="N12" s="14">
        <f t="shared" ref="N12" si="24">ROUND(SQRT(K12),3)</f>
        <v>1.379</v>
      </c>
      <c r="O12" s="14">
        <f t="shared" ref="O12" si="25">ROUND(SQRT(L12),3)</f>
        <v>1.5389999999999999</v>
      </c>
      <c r="P12" s="33">
        <f t="shared" ref="P12" si="26">100-(ROUND((M12)/(MAX(M$2:M$6,M$10,M$12,M$15,M$17:M$26,M$29:M$32,M$37:M$41,M$44:M$53)),3)*100)</f>
        <v>0</v>
      </c>
      <c r="Q12" s="33">
        <f t="shared" ref="Q12" si="27">100-(ROUND((N12)/(MAX(N$2:N$6,N$10,N$12,N$15,N$17:N$26,N$29:N$32,N$37:N$41,N$44:N$53)),3)*100)</f>
        <v>0</v>
      </c>
      <c r="R12" s="33">
        <f t="shared" ref="R12" si="28">100-(ROUND((O12)/(MAX(O$2:O$6,O$10,O$12,O$15,O$17:O$26,O$29:O$32,O$37:O$41,O$44:O$53)),3)*100)</f>
        <v>0</v>
      </c>
      <c r="S12" s="33">
        <v>1</v>
      </c>
      <c r="T12" s="71">
        <v>0.5</v>
      </c>
      <c r="U12" s="150">
        <f>P12*$S12</f>
        <v>0</v>
      </c>
      <c r="V12" s="133">
        <f>Q12*$S12</f>
        <v>0</v>
      </c>
      <c r="W12" s="150">
        <f>R12*$S12</f>
        <v>0</v>
      </c>
      <c r="X12" s="150">
        <v>0.4</v>
      </c>
      <c r="Y12" s="150"/>
      <c r="Z12" s="133"/>
      <c r="AA12" s="150"/>
    </row>
    <row r="13" spans="1:27" x14ac:dyDescent="0.35">
      <c r="A13" s="14" t="s">
        <v>171</v>
      </c>
      <c r="B13" s="14" t="s">
        <v>90</v>
      </c>
      <c r="C13" s="14" t="s">
        <v>95</v>
      </c>
      <c r="D13" s="75" t="s">
        <v>409</v>
      </c>
      <c r="E13" s="78"/>
      <c r="F13" s="78"/>
      <c r="G13" s="78"/>
      <c r="H13" s="78"/>
      <c r="I13" s="78"/>
      <c r="J13" s="78"/>
      <c r="K13" s="78"/>
      <c r="L13" s="78"/>
      <c r="M13" s="78"/>
      <c r="N13" s="78"/>
      <c r="O13" s="78"/>
      <c r="P13" s="78"/>
      <c r="Q13" s="78"/>
      <c r="R13" s="78"/>
      <c r="S13" s="78">
        <v>0</v>
      </c>
      <c r="T13" s="82">
        <v>0.5</v>
      </c>
      <c r="U13" s="150"/>
      <c r="V13" s="133"/>
      <c r="W13" s="150"/>
      <c r="X13" s="150"/>
      <c r="Y13" s="150"/>
      <c r="Z13" s="133"/>
      <c r="AA13" s="150"/>
    </row>
    <row r="14" spans="1:27" x14ac:dyDescent="0.35">
      <c r="A14" s="14" t="s">
        <v>171</v>
      </c>
      <c r="B14" s="14" t="s">
        <v>90</v>
      </c>
      <c r="C14" s="14" t="s">
        <v>88</v>
      </c>
      <c r="D14" s="75" t="s">
        <v>410</v>
      </c>
      <c r="E14" s="78"/>
      <c r="F14" s="78"/>
      <c r="G14" s="78"/>
      <c r="H14" s="78"/>
      <c r="I14" s="78"/>
      <c r="J14" s="78"/>
      <c r="K14" s="78"/>
      <c r="L14" s="78"/>
      <c r="M14" s="78"/>
      <c r="N14" s="78"/>
      <c r="O14" s="78"/>
      <c r="P14" s="78"/>
      <c r="Q14" s="78"/>
      <c r="R14" s="78"/>
      <c r="S14" s="78">
        <v>0</v>
      </c>
      <c r="T14" s="83">
        <v>0.33300000000000002</v>
      </c>
      <c r="U14" s="150">
        <f>P15*$S15</f>
        <v>87.8</v>
      </c>
      <c r="V14" s="133">
        <f>Q15*$S15</f>
        <v>91.7</v>
      </c>
      <c r="W14" s="150">
        <f>R15*$S15</f>
        <v>92.6</v>
      </c>
      <c r="X14" s="150">
        <v>0.2</v>
      </c>
      <c r="Y14" s="150"/>
      <c r="Z14" s="133"/>
      <c r="AA14" s="150"/>
    </row>
    <row r="15" spans="1:27" x14ac:dyDescent="0.35">
      <c r="A15" s="14" t="s">
        <v>171</v>
      </c>
      <c r="B15" s="14" t="s">
        <v>90</v>
      </c>
      <c r="C15" s="14" t="s">
        <v>88</v>
      </c>
      <c r="D15" s="73" t="s">
        <v>250</v>
      </c>
      <c r="E15" s="14">
        <f>ROUND('R Dataset'!C11/SUM('Demographics Data'!C9:D9),3)</f>
        <v>0.151</v>
      </c>
      <c r="F15" s="14">
        <f>ROUND('R Dataset'!D11/SUM('Demographics Data'!E9:F9),3)</f>
        <v>0.155</v>
      </c>
      <c r="G15" s="14">
        <f>ROUND(AVERAGE(E15:F15),3)</f>
        <v>0.153</v>
      </c>
      <c r="H15" s="14">
        <f t="shared" ref="H15" si="29">ROUND(SQRT(E15*F15),3)</f>
        <v>0.153</v>
      </c>
      <c r="I15" s="14">
        <f>ROUND('R Dataset'!B11/'Demographics Data'!B9,3)</f>
        <v>0.151</v>
      </c>
      <c r="J15" s="14">
        <f t="shared" ref="J15" si="30">ROUND((ABS((F15-E15))/2)/G15,3)</f>
        <v>1.2999999999999999E-2</v>
      </c>
      <c r="K15" s="14">
        <f t="shared" ref="K15" si="31">ROUND((ABS(((E15-F15)))/2)/H15,3)</f>
        <v>1.2999999999999999E-2</v>
      </c>
      <c r="L15" s="14">
        <f t="shared" ref="L15" si="32">ROUND((ABS((E15-F15))/2)/I15,3)</f>
        <v>1.2999999999999999E-2</v>
      </c>
      <c r="M15" s="14">
        <f t="shared" ref="M15" si="33">ROUND(SQRT(J15),3)</f>
        <v>0.114</v>
      </c>
      <c r="N15" s="14">
        <f t="shared" ref="N15" si="34">ROUND(SQRT(K15),3)</f>
        <v>0.114</v>
      </c>
      <c r="O15" s="14">
        <f t="shared" ref="O15" si="35">ROUND(SQRT(L15),3)</f>
        <v>0.114</v>
      </c>
      <c r="P15" s="33">
        <f t="shared" ref="P15" si="36">100-(ROUND((M15)/(MAX(M$2:M$6,M$10,M$12,M$15,M$17:M$26,M$29:M$32,M$37:M$41,M$44:M$53)),3)*100)</f>
        <v>87.8</v>
      </c>
      <c r="Q15" s="33">
        <f t="shared" ref="Q15" si="37">100-(ROUND((N15)/(MAX(N$2:N$6,N$10,N$12,N$15,N$17:N$26,N$29:N$32,N$37:N$41,N$44:N$53)),3)*100)</f>
        <v>91.7</v>
      </c>
      <c r="R15" s="33">
        <f t="shared" ref="R15" si="38">100-(ROUND((O15)/(MAX(O$2:O$6,O$10,O$12,O$15,O$17:O$26,O$29:O$32,O$37:O$41,O$44:O$53)),3)*100)</f>
        <v>92.6</v>
      </c>
      <c r="S15" s="33">
        <v>1</v>
      </c>
      <c r="T15" s="84">
        <v>0.33300000000000002</v>
      </c>
      <c r="U15" s="150"/>
      <c r="V15" s="133"/>
      <c r="W15" s="150"/>
      <c r="X15" s="150"/>
      <c r="Y15" s="150"/>
      <c r="Z15" s="133"/>
      <c r="AA15" s="150"/>
    </row>
    <row r="16" spans="1:27" x14ac:dyDescent="0.35">
      <c r="A16" s="14" t="s">
        <v>171</v>
      </c>
      <c r="B16" s="14" t="s">
        <v>90</v>
      </c>
      <c r="C16" s="14" t="s">
        <v>88</v>
      </c>
      <c r="D16" s="75" t="s">
        <v>411</v>
      </c>
      <c r="E16" s="78"/>
      <c r="F16" s="78"/>
      <c r="G16" s="78"/>
      <c r="H16" s="78"/>
      <c r="I16" s="78"/>
      <c r="J16" s="78"/>
      <c r="K16" s="78"/>
      <c r="L16" s="78"/>
      <c r="M16" s="78"/>
      <c r="N16" s="78"/>
      <c r="O16" s="78"/>
      <c r="P16" s="78"/>
      <c r="Q16" s="78"/>
      <c r="R16" s="78"/>
      <c r="S16" s="78">
        <v>0</v>
      </c>
      <c r="T16" s="83">
        <v>0.33300000000000002</v>
      </c>
      <c r="U16" s="150"/>
      <c r="V16" s="133"/>
      <c r="W16" s="150"/>
      <c r="X16" s="150"/>
      <c r="Y16" s="150"/>
      <c r="Z16" s="133"/>
      <c r="AA16" s="150"/>
    </row>
    <row r="17" spans="1:27" x14ac:dyDescent="0.35">
      <c r="A17" s="14" t="s">
        <v>171</v>
      </c>
      <c r="B17" s="14" t="s">
        <v>91</v>
      </c>
      <c r="C17" s="32" t="s">
        <v>394</v>
      </c>
      <c r="D17" s="72" t="s">
        <v>101</v>
      </c>
      <c r="E17" s="14">
        <f>ROUND('R Dataset'!C14/'R Dataset'!C13,3)</f>
        <v>0.20100000000000001</v>
      </c>
      <c r="F17" s="14">
        <f>ROUND('R Dataset'!D14/'R Dataset'!D13,3)</f>
        <v>0.27</v>
      </c>
      <c r="G17" s="14">
        <f t="shared" ref="G17:G24" si="39">ROUND(AVERAGE(E17:F17),3)</f>
        <v>0.23599999999999999</v>
      </c>
      <c r="H17" s="14">
        <f t="shared" ref="H17:H26" si="40">ROUND(SQRT(E17*F17),3)</f>
        <v>0.23300000000000001</v>
      </c>
      <c r="I17" s="14">
        <f>ROUND('R Dataset'!B14/'R Dataset'!B13,3)</f>
        <v>0.251</v>
      </c>
      <c r="J17" s="14">
        <f t="shared" ref="J17:J18" si="41">ROUND((ABS((F17-E17))/2)/G17,3)</f>
        <v>0.14599999999999999</v>
      </c>
      <c r="K17" s="14">
        <f t="shared" ref="K17:K18" si="42">ROUND((ABS(((E17-F17)))/2)/H17,3)</f>
        <v>0.14799999999999999</v>
      </c>
      <c r="L17" s="14">
        <f t="shared" ref="L17:L18" si="43">ROUND((ABS((E17-F17))/2)/I17,3)</f>
        <v>0.13700000000000001</v>
      </c>
      <c r="M17" s="14">
        <f t="shared" ref="M17" si="44">ROUND(SQRT(J17),3)</f>
        <v>0.38200000000000001</v>
      </c>
      <c r="N17" s="14">
        <f t="shared" ref="N17" si="45">ROUND(SQRT(K17),3)</f>
        <v>0.38500000000000001</v>
      </c>
      <c r="O17" s="14">
        <f t="shared" ref="O17" si="46">ROUND(SQRT(L17),3)</f>
        <v>0.37</v>
      </c>
      <c r="P17" s="33">
        <f t="shared" ref="P17:P26" si="47">100-(ROUND((M17)/(MAX(M$2:M$6,M$10,M$12,M$15,M$17:M$26,M$29:M$32,M$37:M$41,M$44:M$53)),3)*100)</f>
        <v>59.300000000000004</v>
      </c>
      <c r="Q17" s="33">
        <f t="shared" ref="Q17:Q26" si="48">100-(ROUND((N17)/(MAX(N$2:N$6,N$10,N$12,N$15,N$17:N$26,N$29:N$32,N$37:N$41,N$44:N$53)),3)*100)</f>
        <v>72.099999999999994</v>
      </c>
      <c r="R17" s="33">
        <f t="shared" ref="R17:R26" si="49">100-(ROUND((O17)/(MAX(O$2:O$6,O$10,O$12,O$15,O$17:O$26,O$29:O$32,O$37:O$41,O$44:O$53)),3)*100)</f>
        <v>76</v>
      </c>
      <c r="S17" s="33">
        <v>0.5</v>
      </c>
      <c r="T17" s="84">
        <v>0.5</v>
      </c>
      <c r="U17" s="150">
        <f>ROUND(SUMPRODUCT(P17:P18,$S17:$S18),1)</f>
        <v>56.5</v>
      </c>
      <c r="V17" s="133">
        <f>ROUND(SUMPRODUCT(Q17:Q18,$S17:$S18),1)</f>
        <v>70.2</v>
      </c>
      <c r="W17" s="150">
        <f>ROUND(SUMPRODUCT(R17:R18,$S17:$S18),1)</f>
        <v>74.3</v>
      </c>
      <c r="X17" s="150">
        <v>0.4</v>
      </c>
      <c r="Y17" s="150">
        <f>100-ROUND(U17*$X17+U19*$X19+U22*$X22,1)</f>
        <v>42.6</v>
      </c>
      <c r="Z17" s="133">
        <f>ROUND(V17*$X17+V19*$X19+V22*$X22,1)</f>
        <v>70.599999999999994</v>
      </c>
      <c r="AA17" s="150">
        <f>100-ROUND(W17*$X17+W19*$X19+W22*$X22,1)</f>
        <v>25</v>
      </c>
    </row>
    <row r="18" spans="1:27" x14ac:dyDescent="0.35">
      <c r="A18" s="14" t="s">
        <v>171</v>
      </c>
      <c r="B18" s="14" t="s">
        <v>91</v>
      </c>
      <c r="C18" s="32" t="s">
        <v>394</v>
      </c>
      <c r="D18" s="72" t="s">
        <v>102</v>
      </c>
      <c r="E18" s="14">
        <f>ROUND('R Dataset'!C14/SUM('Demographics Data'!C16:D16),3)</f>
        <v>3.5999999999999997E-2</v>
      </c>
      <c r="F18" s="14">
        <f>ROUND('R Dataset'!D14/SUM('Demographics Data'!E16:F16),3)</f>
        <v>5.2999999999999999E-2</v>
      </c>
      <c r="G18" s="14">
        <f t="shared" si="39"/>
        <v>4.4999999999999998E-2</v>
      </c>
      <c r="H18" s="14">
        <f t="shared" si="40"/>
        <v>4.3999999999999997E-2</v>
      </c>
      <c r="I18" s="14">
        <f>ROUND('R Dataset'!B14/SUM('Demographics Data'!B16),3)</f>
        <v>4.8000000000000001E-2</v>
      </c>
      <c r="J18" s="14">
        <f t="shared" si="41"/>
        <v>0.189</v>
      </c>
      <c r="K18" s="14">
        <f t="shared" si="42"/>
        <v>0.193</v>
      </c>
      <c r="L18" s="14">
        <f t="shared" si="43"/>
        <v>0.17699999999999999</v>
      </c>
      <c r="M18" s="14">
        <f t="shared" ref="M18:M25" si="50">ROUND(SQRT(J18),3)</f>
        <v>0.435</v>
      </c>
      <c r="N18" s="14">
        <f t="shared" ref="N18:N25" si="51">ROUND(SQRT(K18),3)</f>
        <v>0.439</v>
      </c>
      <c r="O18" s="14">
        <f t="shared" ref="O18:O25" si="52">ROUND(SQRT(L18),3)</f>
        <v>0.42099999999999999</v>
      </c>
      <c r="P18" s="33">
        <f t="shared" si="47"/>
        <v>53.599999999999994</v>
      </c>
      <c r="Q18" s="33">
        <f t="shared" si="48"/>
        <v>68.2</v>
      </c>
      <c r="R18" s="33">
        <f t="shared" si="49"/>
        <v>72.599999999999994</v>
      </c>
      <c r="S18" s="33">
        <v>0.5</v>
      </c>
      <c r="T18" s="84">
        <v>0.5</v>
      </c>
      <c r="U18" s="150"/>
      <c r="V18" s="133"/>
      <c r="W18" s="150"/>
      <c r="X18" s="150"/>
      <c r="Y18" s="150"/>
      <c r="Z18" s="133"/>
      <c r="AA18" s="150"/>
    </row>
    <row r="19" spans="1:27" x14ac:dyDescent="0.35">
      <c r="A19" s="14" t="s">
        <v>171</v>
      </c>
      <c r="B19" s="14" t="s">
        <v>91</v>
      </c>
      <c r="C19" s="32" t="s">
        <v>95</v>
      </c>
      <c r="D19" s="72" t="s">
        <v>104</v>
      </c>
      <c r="E19" s="14">
        <f>ROUND('R Dataset'!C38/SUM('R Dataset'!C40),3)</f>
        <v>0.04</v>
      </c>
      <c r="F19" s="14">
        <f>ROUND('R Dataset'!D38/SUM('R Dataset'!D40),3)</f>
        <v>8.3000000000000004E-2</v>
      </c>
      <c r="G19" s="14">
        <f t="shared" si="39"/>
        <v>6.2E-2</v>
      </c>
      <c r="H19" s="14">
        <f t="shared" si="40"/>
        <v>5.8000000000000003E-2</v>
      </c>
      <c r="I19" s="14">
        <f>ROUND('R Dataset'!B38/SUM('R Dataset'!B40),3)</f>
        <v>7.3999999999999996E-2</v>
      </c>
      <c r="J19" s="14">
        <f t="shared" ref="J19:J25" si="53">ROUND((ABS((F19-E19))/2)/G19,3)</f>
        <v>0.34699999999999998</v>
      </c>
      <c r="K19" s="14">
        <f t="shared" ref="K19:K25" si="54">ROUND((ABS(((E19-F19)))/2)/H19,3)</f>
        <v>0.371</v>
      </c>
      <c r="L19" s="14">
        <f t="shared" ref="L19:L25" si="55">ROUND((ABS((E19-F19))/2)/I19,3)</f>
        <v>0.29099999999999998</v>
      </c>
      <c r="M19" s="14">
        <f t="shared" si="50"/>
        <v>0.58899999999999997</v>
      </c>
      <c r="N19" s="14">
        <f t="shared" si="51"/>
        <v>0.60899999999999999</v>
      </c>
      <c r="O19" s="14">
        <f t="shared" si="52"/>
        <v>0.53900000000000003</v>
      </c>
      <c r="P19" s="33">
        <f t="shared" si="47"/>
        <v>37.200000000000003</v>
      </c>
      <c r="Q19" s="33">
        <f t="shared" si="48"/>
        <v>55.8</v>
      </c>
      <c r="R19" s="33">
        <f t="shared" si="49"/>
        <v>65</v>
      </c>
      <c r="S19" s="33">
        <v>0.33300000000000002</v>
      </c>
      <c r="T19" s="84">
        <v>0.33300000000000002</v>
      </c>
      <c r="U19" s="150">
        <f>ROUND(SUMPRODUCT(P19:P21,$S19:$S21),1)</f>
        <v>51.9</v>
      </c>
      <c r="V19" s="133">
        <f>ROUND(SUMPRODUCT(Q19:Q21,$S19:$S21),1)</f>
        <v>66</v>
      </c>
      <c r="W19" s="150">
        <f>ROUND(SUMPRODUCT(R19:R21,$S19:$S21),1)</f>
        <v>73.099999999999994</v>
      </c>
      <c r="X19" s="150">
        <v>0.2</v>
      </c>
      <c r="Y19" s="150"/>
      <c r="Z19" s="133"/>
      <c r="AA19" s="150"/>
    </row>
    <row r="20" spans="1:27" x14ac:dyDescent="0.35">
      <c r="A20" s="14" t="s">
        <v>171</v>
      </c>
      <c r="B20" s="14" t="s">
        <v>91</v>
      </c>
      <c r="C20" s="32" t="s">
        <v>95</v>
      </c>
      <c r="D20" s="72" t="s">
        <v>347</v>
      </c>
      <c r="E20" s="14">
        <f>ROUND('R Dataset'!C37/'R Dataset'!C39,3)</f>
        <v>3.6999999999999998E-2</v>
      </c>
      <c r="F20" s="14">
        <f>ROUND('R Dataset'!D37/'R Dataset'!D39,3)</f>
        <v>9.2999999999999999E-2</v>
      </c>
      <c r="G20" s="14">
        <f t="shared" si="39"/>
        <v>6.5000000000000002E-2</v>
      </c>
      <c r="H20" s="14">
        <f t="shared" si="40"/>
        <v>5.8999999999999997E-2</v>
      </c>
      <c r="I20" s="14">
        <f>ROUND('R Dataset'!B37/SUM('R Dataset'!B39),3)</f>
        <v>7.9000000000000001E-2</v>
      </c>
      <c r="J20" s="14">
        <f t="shared" si="53"/>
        <v>0.43099999999999999</v>
      </c>
      <c r="K20" s="14">
        <f t="shared" si="54"/>
        <v>0.47499999999999998</v>
      </c>
      <c r="L20" s="14">
        <f t="shared" si="55"/>
        <v>0.35399999999999998</v>
      </c>
      <c r="M20" s="14">
        <f t="shared" si="50"/>
        <v>0.65700000000000003</v>
      </c>
      <c r="N20" s="14">
        <f t="shared" si="51"/>
        <v>0.68899999999999995</v>
      </c>
      <c r="O20" s="14">
        <f t="shared" si="52"/>
        <v>0.59499999999999997</v>
      </c>
      <c r="P20" s="33">
        <f t="shared" si="47"/>
        <v>30</v>
      </c>
      <c r="Q20" s="33">
        <f t="shared" si="48"/>
        <v>50</v>
      </c>
      <c r="R20" s="33">
        <f t="shared" si="49"/>
        <v>61.3</v>
      </c>
      <c r="S20" s="33">
        <v>0.33300000000000002</v>
      </c>
      <c r="T20" s="84">
        <v>0.33300000000000002</v>
      </c>
      <c r="U20" s="150"/>
      <c r="V20" s="133"/>
      <c r="W20" s="150"/>
      <c r="X20" s="150"/>
      <c r="Y20" s="150"/>
      <c r="Z20" s="133"/>
      <c r="AA20" s="150"/>
    </row>
    <row r="21" spans="1:27" x14ac:dyDescent="0.35">
      <c r="A21" s="14" t="s">
        <v>171</v>
      </c>
      <c r="B21" s="14" t="s">
        <v>91</v>
      </c>
      <c r="C21" s="32" t="s">
        <v>95</v>
      </c>
      <c r="D21" s="72" t="s">
        <v>169</v>
      </c>
      <c r="E21" s="14">
        <f>ROUND('R Dataset'!C38/'R Dataset'!C37,3)</f>
        <v>0.221</v>
      </c>
      <c r="F21" s="14">
        <f>ROUND('R Dataset'!D38/'R Dataset'!D37,3)</f>
        <v>0.22600000000000001</v>
      </c>
      <c r="G21" s="14">
        <f t="shared" si="39"/>
        <v>0.224</v>
      </c>
      <c r="H21" s="14">
        <f t="shared" si="40"/>
        <v>0.223</v>
      </c>
      <c r="I21" s="14">
        <f>ROUND('R Dataset'!B38/SUM('R Dataset'!B37),3)</f>
        <v>0.22500000000000001</v>
      </c>
      <c r="J21" s="14">
        <f t="shared" si="53"/>
        <v>1.0999999999999999E-2</v>
      </c>
      <c r="K21" s="14">
        <f t="shared" si="54"/>
        <v>1.0999999999999999E-2</v>
      </c>
      <c r="L21" s="14">
        <f t="shared" si="55"/>
        <v>1.0999999999999999E-2</v>
      </c>
      <c r="M21" s="14">
        <f t="shared" si="50"/>
        <v>0.105</v>
      </c>
      <c r="N21" s="14">
        <f t="shared" si="51"/>
        <v>0.105</v>
      </c>
      <c r="O21" s="14">
        <f t="shared" si="52"/>
        <v>0.105</v>
      </c>
      <c r="P21" s="33">
        <f t="shared" si="47"/>
        <v>88.8</v>
      </c>
      <c r="Q21" s="33">
        <f t="shared" si="48"/>
        <v>92.4</v>
      </c>
      <c r="R21" s="33">
        <f t="shared" si="49"/>
        <v>93.2</v>
      </c>
      <c r="S21" s="33">
        <v>0.33300000000000002</v>
      </c>
      <c r="T21" s="84">
        <v>0.33300000000000002</v>
      </c>
      <c r="U21" s="150"/>
      <c r="V21" s="133"/>
      <c r="W21" s="150"/>
      <c r="X21" s="150"/>
      <c r="Y21" s="150"/>
      <c r="Z21" s="133"/>
      <c r="AA21" s="150"/>
    </row>
    <row r="22" spans="1:27" x14ac:dyDescent="0.35">
      <c r="A22" s="14" t="s">
        <v>171</v>
      </c>
      <c r="B22" s="14" t="s">
        <v>91</v>
      </c>
      <c r="C22" s="32" t="s">
        <v>88</v>
      </c>
      <c r="D22" s="72" t="s">
        <v>108</v>
      </c>
      <c r="E22" s="14">
        <f>ROUND('R Dataset'!C13/SUM('Demographics Data'!C14:D14),3)</f>
        <v>0.04</v>
      </c>
      <c r="F22" s="14">
        <f>ROUND('R Dataset'!D13/SUM('Demographics Data'!E14:F14),3)</f>
        <v>5.6000000000000001E-2</v>
      </c>
      <c r="G22" s="14">
        <f t="shared" si="39"/>
        <v>4.8000000000000001E-2</v>
      </c>
      <c r="H22" s="14">
        <f t="shared" si="40"/>
        <v>4.7E-2</v>
      </c>
      <c r="I22" s="14">
        <f>ROUND('R Dataset'!B13/SUM('Demographics Data'!B14),3)</f>
        <v>0.05</v>
      </c>
      <c r="J22" s="14">
        <f t="shared" si="53"/>
        <v>0.16700000000000001</v>
      </c>
      <c r="K22" s="14">
        <f t="shared" si="54"/>
        <v>0.17</v>
      </c>
      <c r="L22" s="14">
        <f t="shared" si="55"/>
        <v>0.16</v>
      </c>
      <c r="M22" s="14">
        <f t="shared" si="50"/>
        <v>0.40899999999999997</v>
      </c>
      <c r="N22" s="14">
        <f t="shared" si="51"/>
        <v>0.41199999999999998</v>
      </c>
      <c r="O22" s="14">
        <f t="shared" si="52"/>
        <v>0.4</v>
      </c>
      <c r="P22" s="33">
        <f t="shared" si="47"/>
        <v>56.4</v>
      </c>
      <c r="Q22" s="33">
        <f t="shared" si="48"/>
        <v>70.099999999999994</v>
      </c>
      <c r="R22" s="33">
        <f t="shared" si="49"/>
        <v>74</v>
      </c>
      <c r="S22" s="33">
        <v>0.5</v>
      </c>
      <c r="T22" s="84">
        <v>0.5</v>
      </c>
      <c r="U22" s="150">
        <f>SUMPRODUCT(P22:P23,$S22:$S23)</f>
        <v>61.05</v>
      </c>
      <c r="V22" s="133">
        <f>SUMPRODUCT(Q22:Q23,$S22:$S23)</f>
        <v>73.3</v>
      </c>
      <c r="W22" s="150">
        <f>SUMPRODUCT(R22:R23,$S22:$S23)</f>
        <v>76.650000000000006</v>
      </c>
      <c r="X22" s="150">
        <v>0.4</v>
      </c>
      <c r="Y22" s="150"/>
      <c r="Z22" s="133"/>
      <c r="AA22" s="150"/>
    </row>
    <row r="23" spans="1:27" x14ac:dyDescent="0.35">
      <c r="A23" s="14" t="s">
        <v>171</v>
      </c>
      <c r="B23" s="14" t="s">
        <v>91</v>
      </c>
      <c r="C23" s="32" t="s">
        <v>88</v>
      </c>
      <c r="D23" s="72" t="s">
        <v>482</v>
      </c>
      <c r="E23" s="14">
        <f>ROUND(SUM('Demographics Data'!C14:D14)/SUM('Demographics Data'!C18:D18),3)</f>
        <v>0.17699999999999999</v>
      </c>
      <c r="F23" s="14">
        <f>ROUND(SUM('Demographics Data'!E14:F14)/SUM('Demographics Data'!E18:F18),3)</f>
        <v>0.218</v>
      </c>
      <c r="G23" s="14">
        <f t="shared" si="39"/>
        <v>0.19800000000000001</v>
      </c>
      <c r="H23" s="14">
        <f t="shared" si="40"/>
        <v>0.19600000000000001</v>
      </c>
      <c r="I23" s="14">
        <f>ROUND('Demographics Data'!B14/'Demographics Data'!B18,3)</f>
        <v>0.20200000000000001</v>
      </c>
      <c r="J23" s="14">
        <f t="shared" si="53"/>
        <v>0.104</v>
      </c>
      <c r="K23" s="14">
        <f t="shared" si="54"/>
        <v>0.105</v>
      </c>
      <c r="L23" s="14">
        <f t="shared" si="55"/>
        <v>0.10100000000000001</v>
      </c>
      <c r="M23" s="14">
        <f t="shared" si="50"/>
        <v>0.32200000000000001</v>
      </c>
      <c r="N23" s="14">
        <f t="shared" si="51"/>
        <v>0.32400000000000001</v>
      </c>
      <c r="O23" s="14">
        <f t="shared" si="52"/>
        <v>0.318</v>
      </c>
      <c r="P23" s="33">
        <f t="shared" si="47"/>
        <v>65.699999999999989</v>
      </c>
      <c r="Q23" s="33">
        <f t="shared" si="48"/>
        <v>76.5</v>
      </c>
      <c r="R23" s="33">
        <f t="shared" si="49"/>
        <v>79.3</v>
      </c>
      <c r="S23" s="33">
        <v>0.5</v>
      </c>
      <c r="T23" s="84">
        <v>0.5</v>
      </c>
      <c r="U23" s="150"/>
      <c r="V23" s="133"/>
      <c r="W23" s="150"/>
      <c r="X23" s="150"/>
      <c r="Y23" s="150"/>
      <c r="Z23" s="133"/>
      <c r="AA23" s="150"/>
    </row>
    <row r="24" spans="1:27" x14ac:dyDescent="0.35">
      <c r="A24" s="14" t="s">
        <v>171</v>
      </c>
      <c r="B24" s="33" t="s">
        <v>92</v>
      </c>
      <c r="C24" s="32" t="s">
        <v>394</v>
      </c>
      <c r="D24" s="72" t="s">
        <v>246</v>
      </c>
      <c r="E24" s="14">
        <f>ROUND('R Dataset'!C16/SUM('Demographics Data'!C19:D19),4)</f>
        <v>8.3999999999999995E-3</v>
      </c>
      <c r="F24" s="14">
        <f>ROUND('R Dataset'!D16/SUM('Demographics Data'!E19:F19),4)</f>
        <v>3.1899999999999998E-2</v>
      </c>
      <c r="G24" s="14">
        <f t="shared" si="39"/>
        <v>0.02</v>
      </c>
      <c r="H24" s="14">
        <f t="shared" si="40"/>
        <v>1.6E-2</v>
      </c>
      <c r="I24" s="14">
        <f>ROUND('R Dataset'!B16/SUM('Demographics Data'!B19),3)</f>
        <v>2.3E-2</v>
      </c>
      <c r="J24" s="14">
        <f t="shared" si="53"/>
        <v>0.58799999999999997</v>
      </c>
      <c r="K24" s="14">
        <f t="shared" si="54"/>
        <v>0.73399999999999999</v>
      </c>
      <c r="L24" s="14">
        <f t="shared" si="55"/>
        <v>0.51100000000000001</v>
      </c>
      <c r="M24" s="14">
        <f t="shared" si="50"/>
        <v>0.76700000000000002</v>
      </c>
      <c r="N24" s="14">
        <f t="shared" si="51"/>
        <v>0.85699999999999998</v>
      </c>
      <c r="O24" s="14">
        <f t="shared" si="52"/>
        <v>0.71499999999999997</v>
      </c>
      <c r="P24" s="33">
        <f t="shared" si="47"/>
        <v>18.200000000000003</v>
      </c>
      <c r="Q24" s="33">
        <f t="shared" si="48"/>
        <v>37.9</v>
      </c>
      <c r="R24" s="33">
        <f t="shared" si="49"/>
        <v>53.5</v>
      </c>
      <c r="S24" s="33">
        <v>1</v>
      </c>
      <c r="T24" s="84">
        <v>1</v>
      </c>
      <c r="U24" s="88">
        <f t="shared" ref="U24:W25" si="56">P23*$S24</f>
        <v>65.699999999999989</v>
      </c>
      <c r="V24" s="67">
        <f t="shared" si="56"/>
        <v>76.5</v>
      </c>
      <c r="W24" s="88">
        <f t="shared" si="56"/>
        <v>79.3</v>
      </c>
      <c r="X24" s="88">
        <f>0.4</f>
        <v>0.4</v>
      </c>
      <c r="Y24" s="152">
        <f>100-ROUND(U24*$X24+U25*$X25+U26*$X26,1)</f>
        <v>56.4</v>
      </c>
      <c r="Z24" s="151">
        <f>ROUND(V24*$X24+V25*$X25+V26*$X26,1)</f>
        <v>58.9</v>
      </c>
      <c r="AA24" s="152">
        <f>100-ROUND(W24*$X24+W25*$X25+W26*$X26,1)</f>
        <v>33.299999999999997</v>
      </c>
    </row>
    <row r="25" spans="1:27" x14ac:dyDescent="0.35">
      <c r="A25" s="14" t="s">
        <v>171</v>
      </c>
      <c r="B25" s="33" t="s">
        <v>92</v>
      </c>
      <c r="C25" s="32" t="s">
        <v>95</v>
      </c>
      <c r="D25" s="72" t="s">
        <v>141</v>
      </c>
      <c r="E25" s="14">
        <f>ROUND('R Dataset'!C41/SUM('Demographics Data'!C19:D19),4)</f>
        <v>1.5E-3</v>
      </c>
      <c r="F25" s="14">
        <f>ROUND('R Dataset'!D41/SUM('Demographics Data'!E19:F19),4)</f>
        <v>5.5999999999999999E-3</v>
      </c>
      <c r="G25" s="14">
        <f>ROUND(AVERAGE(E25:F25),4)</f>
        <v>3.5999999999999999E-3</v>
      </c>
      <c r="H25" s="14">
        <f>ROUND(SQRT(E25*F25),4)</f>
        <v>2.8999999999999998E-3</v>
      </c>
      <c r="I25" s="14">
        <f>ROUND('R Dataset'!B41/SUM('Demographics Data'!B19),4)</f>
        <v>4.0000000000000001E-3</v>
      </c>
      <c r="J25" s="14">
        <f t="shared" si="53"/>
        <v>0.56899999999999995</v>
      </c>
      <c r="K25" s="14">
        <f t="shared" si="54"/>
        <v>0.70699999999999996</v>
      </c>
      <c r="L25" s="14">
        <f t="shared" si="55"/>
        <v>0.51300000000000001</v>
      </c>
      <c r="M25" s="14">
        <f t="shared" si="50"/>
        <v>0.754</v>
      </c>
      <c r="N25" s="14">
        <f t="shared" si="51"/>
        <v>0.84099999999999997</v>
      </c>
      <c r="O25" s="14">
        <f t="shared" si="52"/>
        <v>0.71599999999999997</v>
      </c>
      <c r="P25" s="33">
        <f t="shared" si="47"/>
        <v>19.599999999999994</v>
      </c>
      <c r="Q25" s="33">
        <f t="shared" si="48"/>
        <v>39</v>
      </c>
      <c r="R25" s="33">
        <f t="shared" si="49"/>
        <v>53.5</v>
      </c>
      <c r="S25" s="33">
        <v>1</v>
      </c>
      <c r="T25" s="84">
        <v>1</v>
      </c>
      <c r="U25" s="88">
        <f t="shared" si="56"/>
        <v>18.200000000000003</v>
      </c>
      <c r="V25" s="67">
        <f t="shared" si="56"/>
        <v>37.9</v>
      </c>
      <c r="W25" s="88">
        <f t="shared" si="56"/>
        <v>53.5</v>
      </c>
      <c r="X25" s="88">
        <f>0.4</f>
        <v>0.4</v>
      </c>
      <c r="Y25" s="152"/>
      <c r="Z25" s="151"/>
      <c r="AA25" s="152"/>
    </row>
    <row r="26" spans="1:27" x14ac:dyDescent="0.35">
      <c r="A26" s="14" t="s">
        <v>171</v>
      </c>
      <c r="B26" s="33" t="s">
        <v>92</v>
      </c>
      <c r="C26" s="32" t="s">
        <v>88</v>
      </c>
      <c r="D26" s="72" t="s">
        <v>483</v>
      </c>
      <c r="E26" s="14">
        <f>ROUND('R Dataset'!C17/'R Dataset'!C15,3)</f>
        <v>0.45100000000000001</v>
      </c>
      <c r="F26" s="14">
        <f>ROUND('R Dataset'!D17/'R Dataset'!D15,3)</f>
        <v>0.70199999999999996</v>
      </c>
      <c r="G26" s="14">
        <f>ROUND(AVERAGE(E26:F26),3)</f>
        <v>0.57699999999999996</v>
      </c>
      <c r="H26" s="14">
        <f t="shared" si="40"/>
        <v>0.56299999999999994</v>
      </c>
      <c r="I26" s="14">
        <f>ROUND('R Dataset'!B42/SUM('Demographics Data'!B20),3)</f>
        <v>0.51300000000000001</v>
      </c>
      <c r="J26" s="14">
        <f t="shared" ref="J26" si="57">ROUND((ABS((F26-E26))/2)/G26,3)</f>
        <v>0.218</v>
      </c>
      <c r="K26" s="14">
        <f t="shared" ref="K26" si="58">ROUND((ABS(((E26-F26)))/2)/H26,3)</f>
        <v>0.223</v>
      </c>
      <c r="L26" s="14">
        <f t="shared" ref="L26" si="59">ROUND((ABS((E26-F26))/2)/I26,3)</f>
        <v>0.245</v>
      </c>
      <c r="M26" s="14">
        <f t="shared" ref="M26" si="60">ROUND(SQRT(J26),3)</f>
        <v>0.46700000000000003</v>
      </c>
      <c r="N26" s="14">
        <f t="shared" ref="N26" si="61">ROUND(SQRT(K26),3)</f>
        <v>0.47199999999999998</v>
      </c>
      <c r="O26" s="14">
        <f t="shared" ref="O26" si="62">ROUND(SQRT(L26),3)</f>
        <v>0.495</v>
      </c>
      <c r="P26" s="33">
        <f t="shared" si="47"/>
        <v>50.2</v>
      </c>
      <c r="Q26" s="33">
        <f t="shared" si="48"/>
        <v>65.8</v>
      </c>
      <c r="R26" s="33">
        <f t="shared" si="49"/>
        <v>67.8</v>
      </c>
      <c r="S26" s="33">
        <v>1</v>
      </c>
      <c r="T26" s="84">
        <v>0.5</v>
      </c>
      <c r="U26" s="150">
        <f>P26*$S26</f>
        <v>50.2</v>
      </c>
      <c r="V26" s="133">
        <f>Q26*$S26</f>
        <v>65.8</v>
      </c>
      <c r="W26" s="150">
        <f>R26*$S26</f>
        <v>67.8</v>
      </c>
      <c r="X26" s="150">
        <f>0.2</f>
        <v>0.2</v>
      </c>
      <c r="Y26" s="152"/>
      <c r="Z26" s="151"/>
      <c r="AA26" s="152"/>
    </row>
    <row r="27" spans="1:27" x14ac:dyDescent="0.35">
      <c r="A27" s="14" t="s">
        <v>171</v>
      </c>
      <c r="B27" s="33" t="s">
        <v>92</v>
      </c>
      <c r="C27" s="32" t="s">
        <v>88</v>
      </c>
      <c r="D27" s="76" t="s">
        <v>142</v>
      </c>
      <c r="E27" s="79"/>
      <c r="F27" s="79"/>
      <c r="G27" s="79"/>
      <c r="H27" s="79"/>
      <c r="I27" s="79"/>
      <c r="J27" s="79"/>
      <c r="K27" s="79"/>
      <c r="L27" s="79"/>
      <c r="M27" s="79"/>
      <c r="N27" s="79"/>
      <c r="O27" s="79"/>
      <c r="P27" s="81"/>
      <c r="Q27" s="81"/>
      <c r="R27" s="81"/>
      <c r="S27" s="81"/>
      <c r="T27" s="85">
        <v>0.5</v>
      </c>
      <c r="U27" s="150"/>
      <c r="V27" s="133"/>
      <c r="W27" s="150"/>
      <c r="X27" s="150"/>
      <c r="Y27" s="152"/>
      <c r="Z27" s="151"/>
      <c r="AA27" s="152"/>
    </row>
    <row r="28" spans="1:27" x14ac:dyDescent="0.35">
      <c r="A28" s="61"/>
      <c r="B28" s="61"/>
      <c r="C28" s="61"/>
      <c r="D28" s="61"/>
      <c r="E28" s="80"/>
      <c r="F28" s="80"/>
      <c r="G28" s="80"/>
      <c r="H28" s="80"/>
      <c r="I28" s="80"/>
      <c r="J28" s="80"/>
      <c r="K28" s="80"/>
      <c r="L28" s="80"/>
      <c r="M28" s="80"/>
      <c r="N28" s="80"/>
      <c r="O28" s="80"/>
      <c r="P28" s="80"/>
      <c r="Q28" s="80"/>
      <c r="R28" s="80"/>
      <c r="S28" s="80"/>
      <c r="T28" s="86"/>
      <c r="U28" s="89"/>
      <c r="V28" s="89"/>
      <c r="W28" s="89"/>
      <c r="X28" s="80"/>
      <c r="Y28" s="80"/>
      <c r="Z28" s="80"/>
      <c r="AA28" s="80"/>
    </row>
    <row r="29" spans="1:27" x14ac:dyDescent="0.35">
      <c r="A29" s="14" t="s">
        <v>176</v>
      </c>
      <c r="B29" s="31" t="s">
        <v>32</v>
      </c>
      <c r="C29" s="14" t="s">
        <v>394</v>
      </c>
      <c r="D29" s="72" t="s">
        <v>407</v>
      </c>
      <c r="E29" s="14">
        <f>ROUND('R Dataset'!C18/SUM('Demographics Data'!C26:D26),3)</f>
        <v>0.27300000000000002</v>
      </c>
      <c r="F29" s="14">
        <f>ROUND('R Dataset'!D18/SUM('Demographics Data'!E26:F26),3)</f>
        <v>0.59299999999999997</v>
      </c>
      <c r="G29" s="14">
        <f>ROUND(AVERAGE(E29:F29),3)</f>
        <v>0.433</v>
      </c>
      <c r="H29" s="14">
        <f t="shared" ref="H29:H30" si="63">ROUND(SQRT(E29*F29),3)</f>
        <v>0.40200000000000002</v>
      </c>
      <c r="I29" s="14">
        <f>ROUND('R Dataset'!B18/SUM('Demographics Data'!B26),3)</f>
        <v>0.44400000000000001</v>
      </c>
      <c r="J29" s="14">
        <f t="shared" ref="J29" si="64">ROUND((ABS((F29-E29))/2)/G29,3)</f>
        <v>0.37</v>
      </c>
      <c r="K29" s="14">
        <f t="shared" ref="K29" si="65">ROUND((ABS(((E29-F29)))/2)/H29,3)</f>
        <v>0.39800000000000002</v>
      </c>
      <c r="L29" s="14">
        <f t="shared" ref="L29" si="66">ROUND((ABS((E29-F29))/2)/I29,3)</f>
        <v>0.36</v>
      </c>
      <c r="M29" s="14">
        <f t="shared" ref="M29" si="67">ROUND(SQRT(J29),3)</f>
        <v>0.60799999999999998</v>
      </c>
      <c r="N29" s="14">
        <f t="shared" ref="N29" si="68">ROUND(SQRT(K29),3)</f>
        <v>0.63100000000000001</v>
      </c>
      <c r="O29" s="14">
        <f t="shared" ref="O29" si="69">ROUND(SQRT(L29),3)</f>
        <v>0.6</v>
      </c>
      <c r="P29" s="33">
        <f t="shared" ref="P29:P32" si="70">100-(ROUND((M29)/(MAX(M$2:M$6,M$10,M$12,M$15,M$17:M$26,M$29:M$32,M$37:M$41,M$44:M$53)),3)*100)</f>
        <v>35.200000000000003</v>
      </c>
      <c r="Q29" s="33">
        <f t="shared" ref="Q29:Q32" si="71">100-(ROUND((N29)/(MAX(N$2:N$6,N$10,N$12,N$15,N$17:N$26,N$29:N$32,N$37:N$41,N$44:N$53)),3)*100)</f>
        <v>54.199999999999996</v>
      </c>
      <c r="R29" s="33">
        <f t="shared" ref="R29:R32" si="72">100-(ROUND((O29)/(MAX(O$2:O$6,O$10,O$12,O$15,O$17:O$26,O$29:O$32,O$37:O$41,O$44:O$53)),3)*100)</f>
        <v>61</v>
      </c>
      <c r="S29" s="33">
        <v>0.5</v>
      </c>
      <c r="T29" s="71">
        <v>0.5</v>
      </c>
      <c r="U29" s="150">
        <f>ROUND(P29*$S29+P30*$S30,1)</f>
        <v>31.5</v>
      </c>
      <c r="V29" s="133">
        <f>ROUND(Q29*$S29+Q30*$S30,1)</f>
        <v>51.1</v>
      </c>
      <c r="W29" s="150">
        <f>ROUND(R29*$S29+R30*$S30,1)</f>
        <v>58.9</v>
      </c>
      <c r="X29" s="150">
        <v>0.4</v>
      </c>
      <c r="Y29" s="150">
        <f>100-ROUND(U29*$X29 + U31*$X31 +U33*$X33,1)</f>
        <v>82.8</v>
      </c>
      <c r="Z29" s="133">
        <f>ROUND(V29*$X29 + V31*$X31 +V33*$X33,1)</f>
        <v>32.1</v>
      </c>
      <c r="AA29" s="150">
        <f>100-ROUND(W29*$X29 + W31*$X31 +W33*$X33,1)</f>
        <v>57.5</v>
      </c>
    </row>
    <row r="30" spans="1:27" x14ac:dyDescent="0.35">
      <c r="A30" s="14" t="s">
        <v>176</v>
      </c>
      <c r="B30" s="31" t="s">
        <v>32</v>
      </c>
      <c r="C30" s="14" t="s">
        <v>394</v>
      </c>
      <c r="D30" s="72" t="s">
        <v>488</v>
      </c>
      <c r="E30" s="14">
        <f>ROUND('R Dataset'!C20/SUM('Demographics Data'!C27:D27),3)</f>
        <v>0.16800000000000001</v>
      </c>
      <c r="F30" s="14">
        <f>ROUND('R Dataset'!D20/SUM('Demographics Data'!E27:F27),3)</f>
        <v>0.45300000000000001</v>
      </c>
      <c r="G30" s="14">
        <f>ROUND(AVERAGE(E30:F30),3)</f>
        <v>0.311</v>
      </c>
      <c r="H30" s="14">
        <f t="shared" si="63"/>
        <v>0.27600000000000002</v>
      </c>
      <c r="I30" s="14">
        <f>ROUND('R Dataset'!B20/SUM('Demographics Data'!B27),3)</f>
        <v>0.32200000000000001</v>
      </c>
      <c r="J30" s="14">
        <f t="shared" ref="J30:J32" si="73">ROUND((ABS((F30-E30))/2)/G30,3)</f>
        <v>0.45800000000000002</v>
      </c>
      <c r="K30" s="14">
        <f t="shared" ref="K30:K32" si="74">ROUND((ABS(((E30-F30)))/2)/H30,3)</f>
        <v>0.51600000000000001</v>
      </c>
      <c r="L30" s="14">
        <f t="shared" ref="L30:L32" si="75">ROUND((ABS((E30-F30))/2)/I30,3)</f>
        <v>0.443</v>
      </c>
      <c r="M30" s="14">
        <f t="shared" ref="M30:M32" si="76">ROUND(SQRT(J30),3)</f>
        <v>0.67700000000000005</v>
      </c>
      <c r="N30" s="14">
        <f t="shared" ref="N30:N32" si="77">ROUND(SQRT(K30),3)</f>
        <v>0.71799999999999997</v>
      </c>
      <c r="O30" s="14">
        <f t="shared" ref="O30:O32" si="78">ROUND(SQRT(L30),3)</f>
        <v>0.66600000000000004</v>
      </c>
      <c r="P30" s="33">
        <f t="shared" si="70"/>
        <v>27.799999999999997</v>
      </c>
      <c r="Q30" s="33">
        <f t="shared" si="71"/>
        <v>47.9</v>
      </c>
      <c r="R30" s="33">
        <f t="shared" si="72"/>
        <v>56.7</v>
      </c>
      <c r="S30" s="33">
        <v>0.5</v>
      </c>
      <c r="T30" s="71">
        <v>0.5</v>
      </c>
      <c r="U30" s="150"/>
      <c r="V30" s="133"/>
      <c r="W30" s="150"/>
      <c r="X30" s="150"/>
      <c r="Y30" s="150"/>
      <c r="Z30" s="133"/>
      <c r="AA30" s="150"/>
    </row>
    <row r="31" spans="1:27" x14ac:dyDescent="0.35">
      <c r="A31" s="14" t="s">
        <v>176</v>
      </c>
      <c r="B31" s="31" t="s">
        <v>32</v>
      </c>
      <c r="C31" s="14" t="s">
        <v>95</v>
      </c>
      <c r="D31" s="72" t="s">
        <v>178</v>
      </c>
      <c r="E31" s="14">
        <f>ROUND('R Dataset'!C19/SUM('Demographics Data'!C26:D26),3)</f>
        <v>2.9000000000000001E-2</v>
      </c>
      <c r="F31" s="14">
        <f>ROUND('R Dataset'!D19/SUM('Demographics Data'!E26:F26),3)</f>
        <v>0.151</v>
      </c>
      <c r="G31" s="14">
        <f>ROUND(AVERAGE(E31:F31),3)</f>
        <v>0.09</v>
      </c>
      <c r="H31" s="14">
        <f t="shared" ref="H31:H32" si="79">ROUND(SQRT(E31*F31),3)</f>
        <v>6.6000000000000003E-2</v>
      </c>
      <c r="I31" s="14">
        <f>ROUND('R Dataset'!B19/'Demographics Data'!B26,3)</f>
        <v>9.4E-2</v>
      </c>
      <c r="J31" s="14">
        <f t="shared" si="73"/>
        <v>0.67800000000000005</v>
      </c>
      <c r="K31" s="14">
        <f t="shared" si="74"/>
        <v>0.92400000000000004</v>
      </c>
      <c r="L31" s="14">
        <f t="shared" si="75"/>
        <v>0.64900000000000002</v>
      </c>
      <c r="M31" s="14">
        <f t="shared" si="76"/>
        <v>0.82299999999999995</v>
      </c>
      <c r="N31" s="14">
        <f t="shared" si="77"/>
        <v>0.96099999999999997</v>
      </c>
      <c r="O31" s="14">
        <f t="shared" si="78"/>
        <v>0.80600000000000005</v>
      </c>
      <c r="P31" s="33">
        <f t="shared" si="70"/>
        <v>12.299999999999997</v>
      </c>
      <c r="Q31" s="33">
        <f t="shared" si="71"/>
        <v>30.300000000000011</v>
      </c>
      <c r="R31" s="33">
        <f t="shared" si="72"/>
        <v>47.599999999999994</v>
      </c>
      <c r="S31" s="33">
        <v>0.5</v>
      </c>
      <c r="T31" s="71">
        <v>0.5</v>
      </c>
      <c r="U31" s="150">
        <f>P31*$S31+P32*$S32</f>
        <v>11.5</v>
      </c>
      <c r="V31" s="133">
        <f>(Q31*$S31+Q32*$S32)</f>
        <v>29.050000000000004</v>
      </c>
      <c r="W31" s="150">
        <f>R31*$S31+R32*$S32</f>
        <v>47.3</v>
      </c>
      <c r="X31" s="150">
        <v>0.4</v>
      </c>
      <c r="Y31" s="150"/>
      <c r="Z31" s="133"/>
      <c r="AA31" s="150"/>
    </row>
    <row r="32" spans="1:27" x14ac:dyDescent="0.35">
      <c r="A32" s="14" t="s">
        <v>176</v>
      </c>
      <c r="B32" s="31" t="s">
        <v>32</v>
      </c>
      <c r="C32" s="14" t="s">
        <v>95</v>
      </c>
      <c r="D32" s="72" t="s">
        <v>180</v>
      </c>
      <c r="E32" s="14">
        <f>ROUND('R Dataset'!C21/SUM('Demographics Data'!C27:D27),3)</f>
        <v>2.5999999999999999E-2</v>
      </c>
      <c r="F32" s="14">
        <f>ROUND('R Dataset'!D21/SUM('Demographics Data'!E27:F27),3)</f>
        <v>0.151</v>
      </c>
      <c r="G32" s="14">
        <f>ROUND(AVERAGE(E32:F32),3)</f>
        <v>8.8999999999999996E-2</v>
      </c>
      <c r="H32" s="14">
        <f t="shared" si="79"/>
        <v>6.3E-2</v>
      </c>
      <c r="I32">
        <f>ROUND('R Dataset'!B21/'Demographics Data'!B27,3)</f>
        <v>9.4E-2</v>
      </c>
      <c r="J32" s="14">
        <f t="shared" si="73"/>
        <v>0.70199999999999996</v>
      </c>
      <c r="K32" s="14">
        <f t="shared" si="74"/>
        <v>0.99199999999999999</v>
      </c>
      <c r="L32" s="14">
        <f t="shared" si="75"/>
        <v>0.66500000000000004</v>
      </c>
      <c r="M32" s="14">
        <f t="shared" si="76"/>
        <v>0.83799999999999997</v>
      </c>
      <c r="N32" s="14">
        <f t="shared" si="77"/>
        <v>0.996</v>
      </c>
      <c r="O32" s="14">
        <f t="shared" si="78"/>
        <v>0.81499999999999995</v>
      </c>
      <c r="P32" s="33">
        <f t="shared" si="70"/>
        <v>10.700000000000003</v>
      </c>
      <c r="Q32" s="33">
        <f t="shared" si="71"/>
        <v>27.799999999999997</v>
      </c>
      <c r="R32" s="33">
        <f t="shared" si="72"/>
        <v>47</v>
      </c>
      <c r="S32" s="33">
        <v>0.5</v>
      </c>
      <c r="T32" s="71">
        <v>0.5</v>
      </c>
      <c r="U32" s="150"/>
      <c r="V32" s="133"/>
      <c r="W32" s="150"/>
      <c r="X32" s="150"/>
      <c r="Y32" s="150"/>
      <c r="Z32" s="133"/>
      <c r="AA32" s="150"/>
    </row>
    <row r="33" spans="1:27" x14ac:dyDescent="0.35">
      <c r="A33" s="14" t="s">
        <v>176</v>
      </c>
      <c r="B33" s="31" t="s">
        <v>32</v>
      </c>
      <c r="C33" s="14" t="s">
        <v>88</v>
      </c>
      <c r="D33" s="75" t="s">
        <v>489</v>
      </c>
      <c r="E33" s="78"/>
      <c r="F33" s="78"/>
      <c r="G33" s="78"/>
      <c r="H33" s="78"/>
      <c r="I33" s="78"/>
      <c r="J33" s="78"/>
      <c r="K33" s="78"/>
      <c r="L33" s="78"/>
      <c r="M33" s="78"/>
      <c r="N33" s="78"/>
      <c r="O33" s="78"/>
      <c r="P33" s="78"/>
      <c r="Q33" s="78"/>
      <c r="R33" s="78"/>
      <c r="S33" s="78">
        <v>0</v>
      </c>
      <c r="T33" s="82">
        <v>0.25</v>
      </c>
      <c r="U33" s="150">
        <f>SUMPRODUCT(P33:P36,$S33:$S36)</f>
        <v>0</v>
      </c>
      <c r="V33" s="133">
        <f>SUMPRODUCT(Q33:Q36,$S33:$S36)</f>
        <v>0</v>
      </c>
      <c r="W33" s="150">
        <f>SUMPRODUCT(R33:R36,$S33:$S36)</f>
        <v>0</v>
      </c>
      <c r="X33" s="150">
        <v>0.2</v>
      </c>
      <c r="Y33" s="150"/>
      <c r="Z33" s="133"/>
      <c r="AA33" s="150"/>
    </row>
    <row r="34" spans="1:27" x14ac:dyDescent="0.35">
      <c r="A34" s="14" t="s">
        <v>176</v>
      </c>
      <c r="B34" s="31" t="s">
        <v>32</v>
      </c>
      <c r="C34" s="14" t="s">
        <v>88</v>
      </c>
      <c r="D34" s="74" t="s">
        <v>96</v>
      </c>
      <c r="E34" s="78"/>
      <c r="F34" s="78"/>
      <c r="G34" s="78"/>
      <c r="H34" s="78"/>
      <c r="I34" s="78"/>
      <c r="J34" s="78"/>
      <c r="K34" s="78"/>
      <c r="L34" s="78"/>
      <c r="M34" s="78"/>
      <c r="N34" s="78"/>
      <c r="O34" s="78"/>
      <c r="P34" s="78"/>
      <c r="Q34" s="78"/>
      <c r="R34" s="78"/>
      <c r="S34" s="78">
        <v>0</v>
      </c>
      <c r="T34" s="82">
        <v>0.25</v>
      </c>
      <c r="U34" s="150"/>
      <c r="V34" s="133"/>
      <c r="W34" s="150"/>
      <c r="X34" s="150"/>
      <c r="Y34" s="150"/>
      <c r="Z34" s="133"/>
      <c r="AA34" s="150"/>
    </row>
    <row r="35" spans="1:27" x14ac:dyDescent="0.35">
      <c r="A35" s="14" t="s">
        <v>176</v>
      </c>
      <c r="B35" s="31" t="s">
        <v>32</v>
      </c>
      <c r="C35" s="14" t="s">
        <v>88</v>
      </c>
      <c r="D35" s="74" t="s">
        <v>412</v>
      </c>
      <c r="E35" s="78"/>
      <c r="F35" s="78"/>
      <c r="G35" s="78"/>
      <c r="H35" s="78"/>
      <c r="I35" s="78"/>
      <c r="J35" s="78"/>
      <c r="K35" s="78"/>
      <c r="L35" s="78"/>
      <c r="M35" s="78"/>
      <c r="N35" s="78"/>
      <c r="O35" s="78"/>
      <c r="P35" s="78"/>
      <c r="Q35" s="78"/>
      <c r="R35" s="78"/>
      <c r="S35" s="78">
        <v>0</v>
      </c>
      <c r="T35" s="82">
        <v>0.25</v>
      </c>
      <c r="U35" s="150"/>
      <c r="V35" s="133"/>
      <c r="W35" s="150"/>
      <c r="X35" s="150"/>
      <c r="Y35" s="150"/>
      <c r="Z35" s="133"/>
      <c r="AA35" s="150"/>
    </row>
    <row r="36" spans="1:27" x14ac:dyDescent="0.35">
      <c r="A36" s="14" t="s">
        <v>176</v>
      </c>
      <c r="B36" s="31" t="s">
        <v>32</v>
      </c>
      <c r="C36" s="14" t="s">
        <v>88</v>
      </c>
      <c r="D36" s="74" t="s">
        <v>404</v>
      </c>
      <c r="E36" s="78"/>
      <c r="F36" s="78"/>
      <c r="G36" s="78"/>
      <c r="H36" s="78"/>
      <c r="I36" s="78"/>
      <c r="J36" s="78"/>
      <c r="K36" s="78"/>
      <c r="L36" s="78"/>
      <c r="M36" s="78"/>
      <c r="N36" s="78"/>
      <c r="O36" s="78"/>
      <c r="P36" s="78"/>
      <c r="Q36" s="78"/>
      <c r="R36" s="78"/>
      <c r="S36" s="78">
        <v>0</v>
      </c>
      <c r="T36" s="82">
        <v>0.25</v>
      </c>
      <c r="U36" s="150"/>
      <c r="V36" s="133"/>
      <c r="W36" s="150"/>
      <c r="X36" s="150"/>
      <c r="Y36" s="150"/>
      <c r="Z36" s="133"/>
      <c r="AA36" s="150"/>
    </row>
    <row r="37" spans="1:27" x14ac:dyDescent="0.35">
      <c r="A37" s="14" t="s">
        <v>176</v>
      </c>
      <c r="B37" s="14" t="s">
        <v>90</v>
      </c>
      <c r="C37" s="14" t="s">
        <v>394</v>
      </c>
      <c r="D37" s="73" t="s">
        <v>183</v>
      </c>
      <c r="E37" s="14">
        <f>ROUND('R Dataset'!C27/SUM('Demographics Data'!C20:D20),3)</f>
        <v>0.27700000000000002</v>
      </c>
      <c r="F37" s="14">
        <f>ROUND('R Dataset'!D27/SUM('Demographics Data'!E20:F20),3)</f>
        <v>0.64</v>
      </c>
      <c r="G37" s="14">
        <f>ROUND(AVERAGE(E37:F37),3)</f>
        <v>0.45900000000000002</v>
      </c>
      <c r="H37" s="14">
        <f t="shared" ref="H37" si="80">ROUND(SQRT(E37*F37),3)</f>
        <v>0.42099999999999999</v>
      </c>
      <c r="I37" s="14">
        <f>ROUND('R Dataset'!B27/'Demographics Data'!B20,3)</f>
        <v>0.498</v>
      </c>
      <c r="J37" s="14">
        <f t="shared" ref="J37" si="81">ROUND((ABS((F37-E37))/2)/G37,3)</f>
        <v>0.39500000000000002</v>
      </c>
      <c r="K37" s="14">
        <f t="shared" ref="K37" si="82">ROUND((ABS(((E37-F37)))/2)/H37,3)</f>
        <v>0.43099999999999999</v>
      </c>
      <c r="L37" s="14">
        <f t="shared" ref="L37" si="83">ROUND((ABS((E37-F37))/2)/I37,3)</f>
        <v>0.36399999999999999</v>
      </c>
      <c r="M37" s="14">
        <f t="shared" ref="M37" si="84">ROUND(SQRT(J37),3)</f>
        <v>0.628</v>
      </c>
      <c r="N37" s="14">
        <f t="shared" ref="N37" si="85">ROUND(SQRT(K37),3)</f>
        <v>0.65700000000000003</v>
      </c>
      <c r="O37" s="14">
        <f t="shared" ref="O37" si="86">ROUND(SQRT(L37),3)</f>
        <v>0.60299999999999998</v>
      </c>
      <c r="P37" s="33">
        <f t="shared" ref="P37:P41" si="87">100-(ROUND((M37)/(MAX(M$2:M$6,M$10,M$12,M$15,M$17:M$26,M$29:M$32,M$37:M$41,M$44:M$53)),3)*100)</f>
        <v>33</v>
      </c>
      <c r="Q37" s="33">
        <f t="shared" ref="Q37:Q41" si="88">100-(ROUND((N37)/(MAX(N$2:N$6,N$10,N$12,N$15,N$17:N$26,N$29:N$32,N$37:N$41,N$44:N$53)),3)*100)</f>
        <v>52.400000000000006</v>
      </c>
      <c r="R37" s="33">
        <f t="shared" ref="R37:R41" si="89">100-(ROUND((O37)/(MAX(O$2:O$6,O$10,O$12,O$15,O$17:O$26,O$29:O$32,O$37:O$41,O$44:O$53)),3)*100)</f>
        <v>60.8</v>
      </c>
      <c r="S37" s="33">
        <v>0.5</v>
      </c>
      <c r="T37" s="71">
        <v>0.5</v>
      </c>
      <c r="U37" s="150">
        <f>ROUND(SUMPRODUCT(P37:P38,$S37:$S38),1)</f>
        <v>46.3</v>
      </c>
      <c r="V37" s="133">
        <f>ROUND(SUMPRODUCT(Q37:Q38,$S37:$S38),1)</f>
        <v>62.4</v>
      </c>
      <c r="W37" s="150">
        <f>ROUND(SUMPRODUCT(R37:R38,$S37:$S38),1)</f>
        <v>67.900000000000006</v>
      </c>
      <c r="X37" s="150">
        <v>0.4</v>
      </c>
      <c r="Y37" s="150">
        <f>100-ROUND(U37*$X37+U39*$X39+U41*$X41,1)</f>
        <v>64.599999999999994</v>
      </c>
      <c r="Z37" s="133">
        <f>ROUND(V37*$X37+V39*$X39+V41*$X41,1)</f>
        <v>53.2</v>
      </c>
      <c r="AA37" s="150">
        <f>100-ROUND(W37*$X37+W39*$X39+W41*$X41,1)</f>
        <v>37.5</v>
      </c>
    </row>
    <row r="38" spans="1:27" x14ac:dyDescent="0.35">
      <c r="A38" s="14" t="s">
        <v>176</v>
      </c>
      <c r="B38" s="14" t="s">
        <v>90</v>
      </c>
      <c r="C38" s="14" t="s">
        <v>394</v>
      </c>
      <c r="D38" s="73" t="s">
        <v>500</v>
      </c>
      <c r="E38" s="14">
        <f>ROUND(SUM('R Dataset'!C59:C60)/'R Dataset'!C35,3)</f>
        <v>0.56200000000000006</v>
      </c>
      <c r="F38" s="14">
        <f>ROUND(SUM('R Dataset'!D59:D60)/'R Dataset'!D35,3)</f>
        <v>0.751</v>
      </c>
      <c r="G38" s="14">
        <f>ROUND(AVERAGE(E38:F38),3)</f>
        <v>0.65700000000000003</v>
      </c>
      <c r="H38" s="14">
        <f t="shared" ref="H38" si="90">ROUND(SQRT(E38*F38),3)</f>
        <v>0.65</v>
      </c>
      <c r="I38" s="14">
        <f>ROUND(SUM('R Dataset'!B59:B60)/'R Dataset'!B35,3)</f>
        <v>0.63600000000000001</v>
      </c>
      <c r="J38" s="14">
        <f t="shared" ref="J38:J41" si="91">ROUND((ABS((F38-E38))/2)/G38,3)</f>
        <v>0.14399999999999999</v>
      </c>
      <c r="K38" s="14">
        <f t="shared" ref="K38:K41" si="92">ROUND((ABS(((E38-F38)))/2)/H38,3)</f>
        <v>0.14499999999999999</v>
      </c>
      <c r="L38" s="14">
        <f t="shared" ref="L38:L41" si="93">ROUND((ABS((E38-F38))/2)/I38,3)</f>
        <v>0.14899999999999999</v>
      </c>
      <c r="M38" s="14">
        <f t="shared" ref="M38:M41" si="94">ROUND(SQRT(J38),3)</f>
        <v>0.379</v>
      </c>
      <c r="N38" s="14">
        <f t="shared" ref="N38:N41" si="95">ROUND(SQRT(K38),3)</f>
        <v>0.38100000000000001</v>
      </c>
      <c r="O38" s="14">
        <f t="shared" ref="O38:O41" si="96">ROUND(SQRT(L38),3)</f>
        <v>0.38600000000000001</v>
      </c>
      <c r="P38" s="33">
        <f t="shared" si="87"/>
        <v>59.599999999999994</v>
      </c>
      <c r="Q38" s="33">
        <f t="shared" si="88"/>
        <v>72.400000000000006</v>
      </c>
      <c r="R38" s="33">
        <f t="shared" si="89"/>
        <v>74.900000000000006</v>
      </c>
      <c r="S38" s="33">
        <v>0.5</v>
      </c>
      <c r="T38" s="71">
        <v>0.5</v>
      </c>
      <c r="U38" s="150"/>
      <c r="V38" s="133"/>
      <c r="W38" s="150"/>
      <c r="X38" s="150"/>
      <c r="Y38" s="150"/>
      <c r="Z38" s="133"/>
      <c r="AA38" s="150"/>
    </row>
    <row r="39" spans="1:27" x14ac:dyDescent="0.35">
      <c r="A39" s="14" t="s">
        <v>176</v>
      </c>
      <c r="B39" s="14" t="s">
        <v>90</v>
      </c>
      <c r="C39" s="14" t="s">
        <v>95</v>
      </c>
      <c r="D39" s="73" t="s">
        <v>184</v>
      </c>
      <c r="E39" s="33">
        <f>ROUND('R Dataset'!C34/SUM('Demographics Data'!C20:D20),3)</f>
        <v>6.4000000000000001E-2</v>
      </c>
      <c r="F39" s="33">
        <f>ROUND('R Dataset'!D34/SUM('Demographics Data'!E20:F20),3)</f>
        <v>0.22500000000000001</v>
      </c>
      <c r="G39" s="14">
        <f>ROUND(AVERAGE(E39:F39),3)</f>
        <v>0.14499999999999999</v>
      </c>
      <c r="H39" s="14">
        <f t="shared" ref="H39:H40" si="97">ROUND(SQRT(E39*F39),3)</f>
        <v>0.12</v>
      </c>
      <c r="I39" s="33">
        <f>ROUND('R Dataset'!B34/SUM('Demographics Data'!B20),3)</f>
        <v>0.17699999999999999</v>
      </c>
      <c r="J39" s="14">
        <f t="shared" si="91"/>
        <v>0.55500000000000005</v>
      </c>
      <c r="K39" s="14">
        <f t="shared" si="92"/>
        <v>0.67100000000000004</v>
      </c>
      <c r="L39" s="14">
        <f t="shared" si="93"/>
        <v>0.45500000000000002</v>
      </c>
      <c r="M39" s="14">
        <f t="shared" si="94"/>
        <v>0.745</v>
      </c>
      <c r="N39" s="14">
        <f t="shared" si="95"/>
        <v>0.81899999999999995</v>
      </c>
      <c r="O39" s="14">
        <f t="shared" si="96"/>
        <v>0.67500000000000004</v>
      </c>
      <c r="P39" s="33">
        <f t="shared" si="87"/>
        <v>20.599999999999994</v>
      </c>
      <c r="Q39" s="33">
        <f t="shared" si="88"/>
        <v>40.6</v>
      </c>
      <c r="R39" s="33">
        <f t="shared" si="89"/>
        <v>56.1</v>
      </c>
      <c r="S39" s="33">
        <v>0.5</v>
      </c>
      <c r="T39" s="71">
        <v>0.5</v>
      </c>
      <c r="U39" s="150">
        <f>ROUND(SUMPRODUCT(P39:P40,$S39:$S40),1)</f>
        <v>26.4</v>
      </c>
      <c r="V39" s="133">
        <f>ROUND(SUMPRODUCT(Q39:Q40,$S39:$S40),1)</f>
        <v>46.2</v>
      </c>
      <c r="W39" s="150">
        <f>ROUND(SUMPRODUCT(R39:R40,$S39:$S40),1)</f>
        <v>58.3</v>
      </c>
      <c r="X39" s="150">
        <v>0.4</v>
      </c>
      <c r="Y39" s="150"/>
      <c r="Z39" s="133"/>
      <c r="AA39" s="150"/>
    </row>
    <row r="40" spans="1:27" x14ac:dyDescent="0.35">
      <c r="A40" s="14" t="s">
        <v>176</v>
      </c>
      <c r="B40" s="14" t="s">
        <v>90</v>
      </c>
      <c r="C40" s="14" t="s">
        <v>95</v>
      </c>
      <c r="D40" s="73" t="s">
        <v>490</v>
      </c>
      <c r="E40" s="14">
        <f>ROUND('R Dataset'!C60/'R Dataset'!C35,3)</f>
        <v>7.8E-2</v>
      </c>
      <c r="F40" s="14">
        <f>ROUND('R Dataset'!D60/'R Dataset'!D35,3)</f>
        <v>0.184</v>
      </c>
      <c r="G40" s="14">
        <f>ROUND(AVERAGE(E40:F40),3)</f>
        <v>0.13100000000000001</v>
      </c>
      <c r="H40" s="14">
        <f t="shared" si="97"/>
        <v>0.12</v>
      </c>
      <c r="I40" s="14">
        <f>ROUND('R Dataset'!B60/'R Dataset'!B35,3)</f>
        <v>0.14299999999999999</v>
      </c>
      <c r="J40" s="14">
        <f t="shared" si="91"/>
        <v>0.40500000000000003</v>
      </c>
      <c r="K40" s="14">
        <f t="shared" si="92"/>
        <v>0.442</v>
      </c>
      <c r="L40" s="14">
        <f t="shared" si="93"/>
        <v>0.371</v>
      </c>
      <c r="M40" s="14">
        <f t="shared" si="94"/>
        <v>0.63600000000000001</v>
      </c>
      <c r="N40" s="14">
        <f t="shared" si="95"/>
        <v>0.66500000000000004</v>
      </c>
      <c r="O40" s="14">
        <f t="shared" si="96"/>
        <v>0.60899999999999999</v>
      </c>
      <c r="P40" s="33">
        <f t="shared" si="87"/>
        <v>32.199999999999989</v>
      </c>
      <c r="Q40" s="33">
        <f t="shared" si="88"/>
        <v>51.800000000000004</v>
      </c>
      <c r="R40" s="33">
        <f t="shared" si="89"/>
        <v>60.4</v>
      </c>
      <c r="S40" s="33">
        <v>0.5</v>
      </c>
      <c r="T40" s="71">
        <v>0.5</v>
      </c>
      <c r="U40" s="150"/>
      <c r="V40" s="133"/>
      <c r="W40" s="150"/>
      <c r="X40" s="150"/>
      <c r="Y40" s="150"/>
      <c r="Z40" s="133"/>
      <c r="AA40" s="150"/>
    </row>
    <row r="41" spans="1:27" x14ac:dyDescent="0.35">
      <c r="A41" s="14" t="s">
        <v>176</v>
      </c>
      <c r="B41" s="14" t="s">
        <v>90</v>
      </c>
      <c r="C41" s="14" t="s">
        <v>88</v>
      </c>
      <c r="D41" s="73" t="s">
        <v>186</v>
      </c>
      <c r="E41" s="14">
        <f>ROUND('R Dataset'!C35/('Demographics Data'!C28+'Demographics Data'!D28),3)</f>
        <v>6.0000000000000001E-3</v>
      </c>
      <c r="F41" s="14">
        <f>ROUND('R Dataset'!D35/('Demographics Data'!F28+'Demographics Data'!E28),3)</f>
        <v>1.4999999999999999E-2</v>
      </c>
      <c r="G41" s="14">
        <f>ROUND(AVERAGE(E41:F41),3)</f>
        <v>1.0999999999999999E-2</v>
      </c>
      <c r="H41" s="14">
        <f t="shared" ref="H41" si="98">ROUND(SQRT(E41*F41),3)</f>
        <v>8.9999999999999993E-3</v>
      </c>
      <c r="I41" s="14">
        <f>ROUND('R Dataset'!B35/'Demographics Data'!B28,3)</f>
        <v>1.2E-2</v>
      </c>
      <c r="J41" s="14">
        <f t="shared" si="91"/>
        <v>0.40899999999999997</v>
      </c>
      <c r="K41" s="14">
        <f t="shared" si="92"/>
        <v>0.5</v>
      </c>
      <c r="L41" s="14">
        <f t="shared" si="93"/>
        <v>0.375</v>
      </c>
      <c r="M41" s="14">
        <f t="shared" si="94"/>
        <v>0.64</v>
      </c>
      <c r="N41" s="14">
        <f t="shared" si="95"/>
        <v>0.70699999999999996</v>
      </c>
      <c r="O41" s="14">
        <f t="shared" si="96"/>
        <v>0.61199999999999999</v>
      </c>
      <c r="P41" s="33">
        <f t="shared" si="87"/>
        <v>31.799999999999997</v>
      </c>
      <c r="Q41" s="33">
        <f t="shared" si="88"/>
        <v>48.699999999999996</v>
      </c>
      <c r="R41" s="33">
        <f t="shared" si="89"/>
        <v>60.199999999999996</v>
      </c>
      <c r="S41" s="33">
        <v>1</v>
      </c>
      <c r="T41" s="84">
        <v>0.33300000000000002</v>
      </c>
      <c r="U41" s="150">
        <f>P41*$S41</f>
        <v>31.799999999999997</v>
      </c>
      <c r="V41" s="133">
        <f>Q41*$S41</f>
        <v>48.699999999999996</v>
      </c>
      <c r="W41" s="150">
        <f>R41*$S41</f>
        <v>60.199999999999996</v>
      </c>
      <c r="X41" s="150">
        <v>0.2</v>
      </c>
      <c r="Y41" s="150"/>
      <c r="Z41" s="133"/>
      <c r="AA41" s="150"/>
    </row>
    <row r="42" spans="1:27" x14ac:dyDescent="0.35">
      <c r="A42" s="14" t="s">
        <v>176</v>
      </c>
      <c r="B42" s="14" t="s">
        <v>90</v>
      </c>
      <c r="C42" s="14" t="s">
        <v>88</v>
      </c>
      <c r="D42" s="75" t="s">
        <v>491</v>
      </c>
      <c r="E42" s="78"/>
      <c r="F42" s="78"/>
      <c r="G42" s="78"/>
      <c r="H42" s="78"/>
      <c r="I42" s="78"/>
      <c r="J42" s="78"/>
      <c r="K42" s="78"/>
      <c r="L42" s="78"/>
      <c r="M42" s="78"/>
      <c r="N42" s="78"/>
      <c r="O42" s="78"/>
      <c r="P42" s="78"/>
      <c r="Q42" s="78"/>
      <c r="R42" s="78"/>
      <c r="S42" s="78">
        <v>0</v>
      </c>
      <c r="T42" s="83">
        <v>0.33300000000000002</v>
      </c>
      <c r="U42" s="150"/>
      <c r="V42" s="133"/>
      <c r="W42" s="150"/>
      <c r="X42" s="150"/>
      <c r="Y42" s="150"/>
      <c r="Z42" s="133"/>
      <c r="AA42" s="150"/>
    </row>
    <row r="43" spans="1:27" x14ac:dyDescent="0.35">
      <c r="A43" s="14" t="s">
        <v>176</v>
      </c>
      <c r="B43" s="14" t="s">
        <v>90</v>
      </c>
      <c r="C43" s="14" t="s">
        <v>88</v>
      </c>
      <c r="D43" s="75" t="s">
        <v>411</v>
      </c>
      <c r="E43" s="78"/>
      <c r="F43" s="78"/>
      <c r="G43" s="78"/>
      <c r="H43" s="78"/>
      <c r="I43" s="78"/>
      <c r="J43" s="78"/>
      <c r="K43" s="78"/>
      <c r="L43" s="78"/>
      <c r="M43" s="78"/>
      <c r="N43" s="78"/>
      <c r="O43" s="78"/>
      <c r="P43" s="78"/>
      <c r="Q43" s="78"/>
      <c r="R43" s="78"/>
      <c r="S43" s="78">
        <v>0</v>
      </c>
      <c r="T43" s="83">
        <v>0.33300000000000002</v>
      </c>
      <c r="U43" s="150"/>
      <c r="V43" s="133"/>
      <c r="W43" s="150"/>
      <c r="X43" s="150"/>
      <c r="Y43" s="150"/>
      <c r="Z43" s="133"/>
      <c r="AA43" s="150"/>
    </row>
    <row r="44" spans="1:27" x14ac:dyDescent="0.35">
      <c r="A44" s="14" t="s">
        <v>176</v>
      </c>
      <c r="B44" s="14" t="s">
        <v>91</v>
      </c>
      <c r="C44" s="32" t="s">
        <v>394</v>
      </c>
      <c r="D44" s="72" t="s">
        <v>188</v>
      </c>
      <c r="E44" s="14">
        <f>ROUND('R Dataset'!C22/'R Dataset'!C48,3)</f>
        <v>0.155</v>
      </c>
      <c r="F44" s="14">
        <f>ROUND('R Dataset'!D22/'R Dataset'!D48,3)</f>
        <v>0.13</v>
      </c>
      <c r="G44" s="14">
        <f t="shared" ref="G44:G51" si="99">ROUND(AVERAGE(E44:F44),3)</f>
        <v>0.14299999999999999</v>
      </c>
      <c r="H44" s="14">
        <f t="shared" ref="H44" si="100">ROUND(SQRT(E44*F44),3)</f>
        <v>0.14199999999999999</v>
      </c>
      <c r="I44" s="14">
        <f>ROUND('R Dataset'!B22/'R Dataset'!B48,3)</f>
        <v>0.154</v>
      </c>
      <c r="J44" s="14">
        <f t="shared" ref="J44" si="101">ROUND((ABS((F44-E44))/2)/G44,3)</f>
        <v>8.6999999999999994E-2</v>
      </c>
      <c r="K44" s="14">
        <f t="shared" ref="K44" si="102">ROUND((ABS(((E44-F44)))/2)/H44,3)</f>
        <v>8.7999999999999995E-2</v>
      </c>
      <c r="L44" s="14">
        <f t="shared" ref="L44" si="103">ROUND((ABS((E44-F44))/2)/I44,3)</f>
        <v>8.1000000000000003E-2</v>
      </c>
      <c r="M44" s="14">
        <f t="shared" ref="M44" si="104">ROUND(SQRT(J44),3)</f>
        <v>0.29499999999999998</v>
      </c>
      <c r="N44" s="14">
        <f t="shared" ref="N44" si="105">ROUND(SQRT(K44),3)</f>
        <v>0.29699999999999999</v>
      </c>
      <c r="O44" s="14">
        <f t="shared" ref="O44" si="106">ROUND(SQRT(L44),3)</f>
        <v>0.28499999999999998</v>
      </c>
      <c r="P44" s="33">
        <f t="shared" ref="P44:P53" si="107">100-(ROUND((M44)/(MAX(M$2:M$6,M$10,M$12,M$15,M$17:M$26,M$29:M$32,M$37:M$41,M$44:M$53)),3)*100)</f>
        <v>68.599999999999994</v>
      </c>
      <c r="Q44" s="33">
        <f t="shared" ref="Q44:Q53" si="108">100-(ROUND((N44)/(MAX(N$2:N$6,N$10,N$12,N$15,N$17:N$26,N$29:N$32,N$37:N$41,N$44:N$53)),3)*100)</f>
        <v>78.5</v>
      </c>
      <c r="R44" s="33">
        <f t="shared" ref="R44:R53" si="109">100-(ROUND((O44)/(MAX(O$2:O$6,O$10,O$12,O$15,O$17:O$26,O$29:O$32,O$37:O$41,O$44:O$53)),3)*100)</f>
        <v>81.5</v>
      </c>
      <c r="S44" s="33">
        <v>0.5</v>
      </c>
      <c r="T44" s="84">
        <v>0.5</v>
      </c>
      <c r="U44" s="150">
        <f>ROUND(SUMPRODUCT(P44:P45,$S44:$S45),1)</f>
        <v>64.900000000000006</v>
      </c>
      <c r="V44" s="133">
        <f>ROUND(SUMPRODUCT(Q44:Q45,$S44:$S45),1)</f>
        <v>76</v>
      </c>
      <c r="W44" s="150">
        <f>ROUND(SUMPRODUCT(R44:R45,$S44:$S45),1)</f>
        <v>79.400000000000006</v>
      </c>
      <c r="X44" s="150">
        <v>0.4</v>
      </c>
      <c r="Y44" s="150">
        <f>100-ROUND(U44*$X44+U46*$X46+U49*$X49,1)</f>
        <v>40.700000000000003</v>
      </c>
      <c r="Z44" s="133">
        <f>ROUND(V44*$X44+V46*$X46+V49*$X49,1)</f>
        <v>71.8</v>
      </c>
      <c r="AA44" s="150">
        <f>100-ROUND(W44*$X44+W46*$X46+W49*$X49,1)</f>
        <v>23.799999999999997</v>
      </c>
    </row>
    <row r="45" spans="1:27" x14ac:dyDescent="0.35">
      <c r="A45" s="14" t="s">
        <v>176</v>
      </c>
      <c r="B45" s="14" t="s">
        <v>91</v>
      </c>
      <c r="C45" s="32" t="s">
        <v>394</v>
      </c>
      <c r="D45" s="72" t="s">
        <v>189</v>
      </c>
      <c r="E45" s="14">
        <f>ROUND('R Dataset'!C22/'R Dataset'!C43,3)</f>
        <v>4.2000000000000003E-2</v>
      </c>
      <c r="F45" s="14">
        <f>ROUND('R Dataset'!D22/'R Dataset'!D43,3)</f>
        <v>5.5E-2</v>
      </c>
      <c r="G45" s="14">
        <f t="shared" si="99"/>
        <v>4.9000000000000002E-2</v>
      </c>
      <c r="H45" s="14">
        <f t="shared" ref="H45" si="110">ROUND(SQRT(E45*F45),3)</f>
        <v>4.8000000000000001E-2</v>
      </c>
      <c r="I45" s="14">
        <f>ROUND('R Dataset'!B22/'R Dataset'!B43,3)</f>
        <v>5.2999999999999999E-2</v>
      </c>
      <c r="J45" s="14">
        <f t="shared" ref="J45:J53" si="111">ROUND((ABS((F45-E45))/2)/G45,3)</f>
        <v>0.13300000000000001</v>
      </c>
      <c r="K45" s="14">
        <f t="shared" ref="K45:K53" si="112">ROUND((ABS(((E45-F45)))/2)/H45,3)</f>
        <v>0.13500000000000001</v>
      </c>
      <c r="L45" s="14">
        <f t="shared" ref="L45:L53" si="113">ROUND((ABS((E45-F45))/2)/I45,3)</f>
        <v>0.123</v>
      </c>
      <c r="M45" s="14">
        <f t="shared" ref="M45:M53" si="114">ROUND(SQRT(J45),3)</f>
        <v>0.36499999999999999</v>
      </c>
      <c r="N45" s="14">
        <f t="shared" ref="N45:N53" si="115">ROUND(SQRT(K45),3)</f>
        <v>0.36699999999999999</v>
      </c>
      <c r="O45" s="14">
        <f t="shared" ref="O45:O53" si="116">ROUND(SQRT(L45),3)</f>
        <v>0.35099999999999998</v>
      </c>
      <c r="P45" s="33">
        <f t="shared" si="107"/>
        <v>61.1</v>
      </c>
      <c r="Q45" s="33">
        <f t="shared" si="108"/>
        <v>73.400000000000006</v>
      </c>
      <c r="R45" s="33">
        <f t="shared" si="109"/>
        <v>77.2</v>
      </c>
      <c r="S45" s="33">
        <v>0.5</v>
      </c>
      <c r="T45" s="84">
        <v>0.5</v>
      </c>
      <c r="U45" s="150"/>
      <c r="V45" s="133"/>
      <c r="W45" s="150"/>
      <c r="X45" s="150"/>
      <c r="Y45" s="150"/>
      <c r="Z45" s="133"/>
      <c r="AA45" s="150"/>
    </row>
    <row r="46" spans="1:27" x14ac:dyDescent="0.35">
      <c r="A46" s="14" t="s">
        <v>176</v>
      </c>
      <c r="B46" s="14" t="s">
        <v>91</v>
      </c>
      <c r="C46" s="32" t="s">
        <v>95</v>
      </c>
      <c r="D46" s="72" t="s">
        <v>190</v>
      </c>
      <c r="E46" s="14">
        <f>ROUND('R Dataset'!C45/'R Dataset'!C47,3)</f>
        <v>0.21299999999999999</v>
      </c>
      <c r="F46" s="14">
        <f>ROUND('R Dataset'!D45/'R Dataset'!D47,3)</f>
        <v>0.32</v>
      </c>
      <c r="G46" s="14">
        <f t="shared" si="99"/>
        <v>0.26700000000000002</v>
      </c>
      <c r="H46" s="14">
        <f t="shared" ref="H46" si="117">ROUND(SQRT(E46*F46),3)</f>
        <v>0.26100000000000001</v>
      </c>
      <c r="I46" s="14">
        <f>ROUND('R Dataset'!B45/'R Dataset'!B47,3)</f>
        <v>0.29599999999999999</v>
      </c>
      <c r="J46" s="14">
        <f t="shared" si="111"/>
        <v>0.2</v>
      </c>
      <c r="K46" s="14">
        <f t="shared" si="112"/>
        <v>0.20499999999999999</v>
      </c>
      <c r="L46" s="14">
        <f t="shared" si="113"/>
        <v>0.18099999999999999</v>
      </c>
      <c r="M46" s="14">
        <f t="shared" si="114"/>
        <v>0.44700000000000001</v>
      </c>
      <c r="N46" s="14">
        <f t="shared" si="115"/>
        <v>0.45300000000000001</v>
      </c>
      <c r="O46" s="14">
        <f t="shared" si="116"/>
        <v>0.42499999999999999</v>
      </c>
      <c r="P46" s="33">
        <f t="shared" si="107"/>
        <v>52.300000000000004</v>
      </c>
      <c r="Q46" s="33">
        <f t="shared" si="108"/>
        <v>67.199999999999989</v>
      </c>
      <c r="R46" s="33">
        <f t="shared" si="109"/>
        <v>72.400000000000006</v>
      </c>
      <c r="S46" s="33">
        <v>0.33300000000000002</v>
      </c>
      <c r="T46" s="84">
        <v>0.33300000000000002</v>
      </c>
      <c r="U46" s="150">
        <f>ROUND(SUMPRODUCT(P46:P48,$S46:$S48),1)</f>
        <v>58</v>
      </c>
      <c r="V46" s="133">
        <f>ROUND(SUMPRODUCT(Q46:Q48,$S46:$S48),1)</f>
        <v>71.2</v>
      </c>
      <c r="W46" s="150">
        <f>ROUND(SUMPRODUCT(R46:R48,$S46:$S48),1)</f>
        <v>75.5</v>
      </c>
      <c r="X46" s="150">
        <v>0.2</v>
      </c>
      <c r="Y46" s="150"/>
      <c r="Z46" s="133"/>
      <c r="AA46" s="150"/>
    </row>
    <row r="47" spans="1:27" x14ac:dyDescent="0.35">
      <c r="A47" s="14" t="s">
        <v>176</v>
      </c>
      <c r="B47" s="14" t="s">
        <v>91</v>
      </c>
      <c r="C47" s="32" t="s">
        <v>95</v>
      </c>
      <c r="D47" s="72" t="s">
        <v>389</v>
      </c>
      <c r="E47" s="14">
        <f>ROUND(SUM('R Dataset'!C52:C54)/SUM('R Dataset'!C56:C58),3)</f>
        <v>0.126</v>
      </c>
      <c r="F47" s="14">
        <f>ROUND(SUM('R Dataset'!D52:D54)/SUM('R Dataset'!D56:D58),3)</f>
        <v>0.187</v>
      </c>
      <c r="G47" s="14">
        <f t="shared" si="99"/>
        <v>0.157</v>
      </c>
      <c r="H47" s="14">
        <f t="shared" ref="H47" si="118">ROUND(SQRT(E47*F47),3)</f>
        <v>0.153</v>
      </c>
      <c r="I47" s="14">
        <f>ROUND(SUM('R Dataset'!B52:B54)/SUM('R Dataset'!B56:B58),3)</f>
        <v>0.17100000000000001</v>
      </c>
      <c r="J47" s="14">
        <f t="shared" si="111"/>
        <v>0.19400000000000001</v>
      </c>
      <c r="K47" s="14">
        <f t="shared" si="112"/>
        <v>0.19900000000000001</v>
      </c>
      <c r="L47" s="14">
        <f t="shared" si="113"/>
        <v>0.17799999999999999</v>
      </c>
      <c r="M47" s="14">
        <f t="shared" si="114"/>
        <v>0.44</v>
      </c>
      <c r="N47" s="14">
        <f t="shared" si="115"/>
        <v>0.44600000000000001</v>
      </c>
      <c r="O47" s="14">
        <f t="shared" si="116"/>
        <v>0.42199999999999999</v>
      </c>
      <c r="P47" s="33">
        <f t="shared" si="107"/>
        <v>53.1</v>
      </c>
      <c r="Q47" s="33">
        <f t="shared" si="108"/>
        <v>67.699999999999989</v>
      </c>
      <c r="R47" s="33">
        <f t="shared" si="109"/>
        <v>72.599999999999994</v>
      </c>
      <c r="S47" s="33">
        <v>0.33300000000000002</v>
      </c>
      <c r="T47" s="84">
        <v>0.33300000000000002</v>
      </c>
      <c r="U47" s="150"/>
      <c r="V47" s="133"/>
      <c r="W47" s="150"/>
      <c r="X47" s="150"/>
      <c r="Y47" s="150"/>
      <c r="Z47" s="133"/>
      <c r="AA47" s="150"/>
    </row>
    <row r="48" spans="1:27" x14ac:dyDescent="0.35">
      <c r="A48" s="14" t="s">
        <v>176</v>
      </c>
      <c r="B48" s="14" t="s">
        <v>91</v>
      </c>
      <c r="C48" s="32" t="s">
        <v>95</v>
      </c>
      <c r="D48" s="72" t="s">
        <v>191</v>
      </c>
      <c r="E48" s="14">
        <f>ROUND('R Dataset'!C45/SUM('R Dataset'!C52:C54),3)</f>
        <v>0.35099999999999998</v>
      </c>
      <c r="F48" s="14">
        <f>ROUND('R Dataset'!D45/SUM('R Dataset'!D52:D54),3)</f>
        <v>0.41599999999999998</v>
      </c>
      <c r="G48" s="14">
        <f t="shared" si="99"/>
        <v>0.38400000000000001</v>
      </c>
      <c r="H48" s="14">
        <f t="shared" ref="H48" si="119">ROUND(SQRT(E48*F48),3)</f>
        <v>0.38200000000000001</v>
      </c>
      <c r="I48" s="14">
        <f>ROUND('R Dataset'!B45/'R Dataset'!B44,3)</f>
        <v>0.40400000000000003</v>
      </c>
      <c r="J48" s="14">
        <f t="shared" si="111"/>
        <v>8.5000000000000006E-2</v>
      </c>
      <c r="K48" s="14">
        <f t="shared" si="112"/>
        <v>8.5000000000000006E-2</v>
      </c>
      <c r="L48" s="14">
        <f t="shared" si="113"/>
        <v>0.08</v>
      </c>
      <c r="M48" s="14">
        <f t="shared" si="114"/>
        <v>0.29199999999999998</v>
      </c>
      <c r="N48" s="14">
        <f t="shared" si="115"/>
        <v>0.29199999999999998</v>
      </c>
      <c r="O48" s="14">
        <f t="shared" si="116"/>
        <v>0.28299999999999997</v>
      </c>
      <c r="P48" s="33">
        <f t="shared" si="107"/>
        <v>68.900000000000006</v>
      </c>
      <c r="Q48" s="33">
        <f t="shared" si="108"/>
        <v>78.8</v>
      </c>
      <c r="R48" s="33">
        <f t="shared" si="109"/>
        <v>81.599999999999994</v>
      </c>
      <c r="S48" s="33">
        <v>0.33300000000000002</v>
      </c>
      <c r="T48" s="84">
        <v>0.33300000000000002</v>
      </c>
      <c r="U48" s="150"/>
      <c r="V48" s="133"/>
      <c r="W48" s="150"/>
      <c r="X48" s="150"/>
      <c r="Y48" s="150"/>
      <c r="Z48" s="133"/>
      <c r="AA48" s="150"/>
    </row>
    <row r="49" spans="1:27" x14ac:dyDescent="0.35">
      <c r="A49" s="14" t="s">
        <v>176</v>
      </c>
      <c r="B49" s="14" t="s">
        <v>91</v>
      </c>
      <c r="C49" s="32" t="s">
        <v>88</v>
      </c>
      <c r="D49" s="72" t="s">
        <v>192</v>
      </c>
      <c r="E49" s="14">
        <f>ROUND('R Dataset'!C48/'R Dataset'!C49,3)</f>
        <v>2.5999999999999999E-2</v>
      </c>
      <c r="F49" s="14">
        <f>ROUND('R Dataset'!D48/'R Dataset'!D49,3)</f>
        <v>6.4000000000000001E-2</v>
      </c>
      <c r="G49" s="14">
        <f t="shared" si="99"/>
        <v>4.4999999999999998E-2</v>
      </c>
      <c r="H49" s="14">
        <f t="shared" ref="H49" si="120">ROUND(SQRT(E49*F49),3)</f>
        <v>4.1000000000000002E-2</v>
      </c>
      <c r="I49" s="14">
        <f>ROUND('R Dataset'!B48/'R Dataset'!B49,3)</f>
        <v>0.05</v>
      </c>
      <c r="J49" s="14">
        <f t="shared" si="111"/>
        <v>0.42199999999999999</v>
      </c>
      <c r="K49" s="14">
        <f t="shared" si="112"/>
        <v>0.46300000000000002</v>
      </c>
      <c r="L49" s="14">
        <f t="shared" si="113"/>
        <v>0.38</v>
      </c>
      <c r="M49" s="14">
        <f t="shared" si="114"/>
        <v>0.65</v>
      </c>
      <c r="N49" s="14">
        <f t="shared" si="115"/>
        <v>0.68</v>
      </c>
      <c r="O49" s="14">
        <f t="shared" si="116"/>
        <v>0.61599999999999999</v>
      </c>
      <c r="P49" s="33">
        <f t="shared" si="107"/>
        <v>30.700000000000003</v>
      </c>
      <c r="Q49" s="33">
        <f t="shared" si="108"/>
        <v>50.7</v>
      </c>
      <c r="R49" s="33">
        <f t="shared" si="109"/>
        <v>60</v>
      </c>
      <c r="S49" s="33">
        <v>0.5</v>
      </c>
      <c r="T49" s="84">
        <v>0.5</v>
      </c>
      <c r="U49" s="150">
        <f>SUMPRODUCT(P49:P50,$S49:$S50)</f>
        <v>54.300000000000004</v>
      </c>
      <c r="V49" s="133">
        <f>SUMPRODUCT(Q49:Q50,$S49:$S50)</f>
        <v>67.849999999999994</v>
      </c>
      <c r="W49" s="150">
        <f>SUMPRODUCT(R49:R50,$S49:$S50)</f>
        <v>73.349999999999994</v>
      </c>
      <c r="X49" s="150">
        <v>0.4</v>
      </c>
      <c r="Y49" s="150"/>
      <c r="Z49" s="133"/>
      <c r="AA49" s="150"/>
    </row>
    <row r="50" spans="1:27" x14ac:dyDescent="0.35">
      <c r="A50" s="14" t="s">
        <v>176</v>
      </c>
      <c r="B50" s="14" t="s">
        <v>91</v>
      </c>
      <c r="C50" s="32" t="s">
        <v>88</v>
      </c>
      <c r="D50" s="72" t="s">
        <v>492</v>
      </c>
      <c r="E50" s="14">
        <f>ROUND('R Dataset'!C49/SUM('Demographics Data'!C31:D31),3)</f>
        <v>0.46</v>
      </c>
      <c r="F50" s="14">
        <f>ROUND('R Dataset'!D49/SUM('Demographics Data'!E31:F31),3)</f>
        <v>0.501</v>
      </c>
      <c r="G50" s="14">
        <f t="shared" si="99"/>
        <v>0.48099999999999998</v>
      </c>
      <c r="H50" s="14">
        <f t="shared" ref="H50" si="121">ROUND(SQRT(E50*F50),3)</f>
        <v>0.48</v>
      </c>
      <c r="I50" s="14">
        <f>ROUND('R Dataset'!B49/'Demographics Data'!B31,3)</f>
        <v>0.48499999999999999</v>
      </c>
      <c r="J50" s="14">
        <f t="shared" si="111"/>
        <v>4.2999999999999997E-2</v>
      </c>
      <c r="K50" s="14">
        <f t="shared" si="112"/>
        <v>4.2999999999999997E-2</v>
      </c>
      <c r="L50" s="14">
        <f t="shared" si="113"/>
        <v>4.2000000000000003E-2</v>
      </c>
      <c r="M50" s="14">
        <f t="shared" si="114"/>
        <v>0.20699999999999999</v>
      </c>
      <c r="N50" s="14">
        <f t="shared" si="115"/>
        <v>0.20699999999999999</v>
      </c>
      <c r="O50" s="14">
        <f t="shared" si="116"/>
        <v>0.20499999999999999</v>
      </c>
      <c r="P50" s="33">
        <f t="shared" si="107"/>
        <v>77.900000000000006</v>
      </c>
      <c r="Q50" s="33">
        <f t="shared" si="108"/>
        <v>85</v>
      </c>
      <c r="R50" s="33">
        <f t="shared" si="109"/>
        <v>86.7</v>
      </c>
      <c r="S50" s="33">
        <v>0.5</v>
      </c>
      <c r="T50" s="84">
        <v>0.5</v>
      </c>
      <c r="U50" s="150"/>
      <c r="V50" s="133"/>
      <c r="W50" s="150"/>
      <c r="X50" s="150"/>
      <c r="Y50" s="150"/>
      <c r="Z50" s="133"/>
      <c r="AA50" s="150"/>
    </row>
    <row r="51" spans="1:27" x14ac:dyDescent="0.35">
      <c r="A51" s="14" t="s">
        <v>176</v>
      </c>
      <c r="B51" s="33" t="s">
        <v>92</v>
      </c>
      <c r="C51" s="32" t="s">
        <v>394</v>
      </c>
      <c r="D51" s="72" t="s">
        <v>494</v>
      </c>
      <c r="E51" s="14">
        <f>ROUND('R Dataset'!C25/SUM('Demographics Data'!C30:D30),3)</f>
        <v>1.2999999999999999E-2</v>
      </c>
      <c r="F51" s="14">
        <f>ROUND('R Dataset'!D25/SUM('Demographics Data'!E30:F30),3)</f>
        <v>3.4000000000000002E-2</v>
      </c>
      <c r="G51" s="14">
        <f t="shared" si="99"/>
        <v>2.4E-2</v>
      </c>
      <c r="H51" s="14">
        <f t="shared" ref="H51" si="122">ROUND(SQRT(E51*F51),3)</f>
        <v>2.1000000000000001E-2</v>
      </c>
      <c r="I51" s="14">
        <f>ROUND('R Dataset'!B25/'Demographics Data'!B30,3)</f>
        <v>2.7E-2</v>
      </c>
      <c r="J51" s="14">
        <f t="shared" si="111"/>
        <v>0.438</v>
      </c>
      <c r="K51" s="14">
        <f t="shared" si="112"/>
        <v>0.5</v>
      </c>
      <c r="L51" s="14">
        <f t="shared" si="113"/>
        <v>0.38900000000000001</v>
      </c>
      <c r="M51" s="14">
        <f t="shared" si="114"/>
        <v>0.66200000000000003</v>
      </c>
      <c r="N51" s="14">
        <f t="shared" si="115"/>
        <v>0.70699999999999996</v>
      </c>
      <c r="O51" s="14">
        <f t="shared" si="116"/>
        <v>0.624</v>
      </c>
      <c r="P51" s="33">
        <f t="shared" si="107"/>
        <v>29.400000000000006</v>
      </c>
      <c r="Q51" s="33">
        <f t="shared" si="108"/>
        <v>48.699999999999996</v>
      </c>
      <c r="R51" s="33">
        <f t="shared" si="109"/>
        <v>59.5</v>
      </c>
      <c r="S51" s="33">
        <v>1</v>
      </c>
      <c r="T51" s="84">
        <v>1</v>
      </c>
      <c r="U51" s="88">
        <f t="shared" ref="U51:W52" si="123">P50*$S51</f>
        <v>77.900000000000006</v>
      </c>
      <c r="V51" s="67">
        <f t="shared" si="123"/>
        <v>85</v>
      </c>
      <c r="W51" s="88">
        <f t="shared" si="123"/>
        <v>86.7</v>
      </c>
      <c r="X51" s="88">
        <f>0.4</f>
        <v>0.4</v>
      </c>
      <c r="Y51" s="152">
        <f>100-ROUND(U51*$X51+U52*$X52+U53*$X53,1)</f>
        <v>49.6</v>
      </c>
      <c r="Z51" s="151">
        <f>ROUND(V51*$X51+V52*$X52+V53*$X53,1)</f>
        <v>64.7</v>
      </c>
      <c r="AA51" s="152">
        <f>100-ROUND(W51*$X51+W52*$X52+W53*$X53,1)</f>
        <v>28.599999999999994</v>
      </c>
    </row>
    <row r="52" spans="1:27" x14ac:dyDescent="0.35">
      <c r="A52" s="14" t="s">
        <v>176</v>
      </c>
      <c r="B52" s="33" t="s">
        <v>92</v>
      </c>
      <c r="C52" s="32" t="s">
        <v>95</v>
      </c>
      <c r="D52" s="72" t="s">
        <v>493</v>
      </c>
      <c r="E52" s="14">
        <f>ROUND('R Dataset'!C42/SUM('Demographics Data'!C30:D30),4)</f>
        <v>1.6999999999999999E-3</v>
      </c>
      <c r="F52" s="14">
        <f>ROUND('R Dataset'!D42/SUM('Demographics Data'!E30:F30),4)</f>
        <v>4.5999999999999999E-3</v>
      </c>
      <c r="G52" s="14">
        <f>ROUND(AVERAGE(E52:F52),4)</f>
        <v>3.2000000000000002E-3</v>
      </c>
      <c r="H52" s="14">
        <f>ROUND(SQRT(E52*F52),4)</f>
        <v>2.8E-3</v>
      </c>
      <c r="I52" s="14">
        <f>ROUND('R Dataset'!B42/'Demographics Data'!B30,4)</f>
        <v>3.7000000000000002E-3</v>
      </c>
      <c r="J52" s="14">
        <f t="shared" si="111"/>
        <v>0.45300000000000001</v>
      </c>
      <c r="K52" s="14">
        <f t="shared" si="112"/>
        <v>0.51800000000000002</v>
      </c>
      <c r="L52" s="14">
        <f t="shared" si="113"/>
        <v>0.39200000000000002</v>
      </c>
      <c r="M52" s="14">
        <f t="shared" si="114"/>
        <v>0.67300000000000004</v>
      </c>
      <c r="N52" s="14">
        <f t="shared" si="115"/>
        <v>0.72</v>
      </c>
      <c r="O52" s="14">
        <f t="shared" si="116"/>
        <v>0.626</v>
      </c>
      <c r="P52" s="33">
        <f t="shared" si="107"/>
        <v>28.299999999999997</v>
      </c>
      <c r="Q52" s="33">
        <f t="shared" si="108"/>
        <v>47.8</v>
      </c>
      <c r="R52" s="33">
        <f t="shared" si="109"/>
        <v>59.300000000000004</v>
      </c>
      <c r="S52" s="33">
        <v>1</v>
      </c>
      <c r="T52" s="84">
        <v>1</v>
      </c>
      <c r="U52" s="88">
        <f t="shared" si="123"/>
        <v>29.400000000000006</v>
      </c>
      <c r="V52" s="67">
        <f t="shared" si="123"/>
        <v>48.699999999999996</v>
      </c>
      <c r="W52" s="88">
        <f t="shared" si="123"/>
        <v>59.5</v>
      </c>
      <c r="X52" s="88">
        <f>0.4</f>
        <v>0.4</v>
      </c>
      <c r="Y52" s="152"/>
      <c r="Z52" s="151"/>
      <c r="AA52" s="152"/>
    </row>
    <row r="53" spans="1:27" x14ac:dyDescent="0.35">
      <c r="A53" s="14" t="s">
        <v>176</v>
      </c>
      <c r="B53" s="33" t="s">
        <v>92</v>
      </c>
      <c r="C53" s="32" t="s">
        <v>88</v>
      </c>
      <c r="D53" s="72" t="s">
        <v>483</v>
      </c>
      <c r="E53" s="14">
        <f>ROUND('R Dataset'!C51/'R Dataset'!C55,3)</f>
        <v>0.32200000000000001</v>
      </c>
      <c r="F53" s="14">
        <f>ROUND('R Dataset'!D51/'R Dataset'!D55,3)</f>
        <v>0.66200000000000003</v>
      </c>
      <c r="G53" s="14">
        <f>ROUND(AVERAGE(E53:F53),4)</f>
        <v>0.49199999999999999</v>
      </c>
      <c r="H53" s="14">
        <f>ROUND(SQRT(E53*F53),4)</f>
        <v>0.4617</v>
      </c>
      <c r="I53" s="14">
        <f>ROUND('R Dataset'!B51/'R Dataset'!B55,3)</f>
        <v>0.57399999999999995</v>
      </c>
      <c r="J53" s="14">
        <f t="shared" si="111"/>
        <v>0.34599999999999997</v>
      </c>
      <c r="K53" s="14">
        <f t="shared" si="112"/>
        <v>0.36799999999999999</v>
      </c>
      <c r="L53" s="14">
        <f t="shared" si="113"/>
        <v>0.29599999999999999</v>
      </c>
      <c r="M53" s="14">
        <f t="shared" si="114"/>
        <v>0.58799999999999997</v>
      </c>
      <c r="N53" s="14">
        <f t="shared" si="115"/>
        <v>0.60699999999999998</v>
      </c>
      <c r="O53" s="14">
        <f t="shared" si="116"/>
        <v>0.54400000000000004</v>
      </c>
      <c r="P53" s="33">
        <f t="shared" si="107"/>
        <v>37.299999999999997</v>
      </c>
      <c r="Q53" s="33">
        <f t="shared" si="108"/>
        <v>56</v>
      </c>
      <c r="R53" s="33">
        <f t="shared" si="109"/>
        <v>64.7</v>
      </c>
      <c r="S53" s="33">
        <v>1</v>
      </c>
      <c r="T53" s="84">
        <v>0.5</v>
      </c>
      <c r="U53" s="150">
        <f>P53*$S53</f>
        <v>37.299999999999997</v>
      </c>
      <c r="V53" s="133">
        <f>Q53*$S53</f>
        <v>56</v>
      </c>
      <c r="W53" s="150">
        <f>R53*$S53</f>
        <v>64.7</v>
      </c>
      <c r="X53" s="150">
        <f>0.2</f>
        <v>0.2</v>
      </c>
      <c r="Y53" s="152"/>
      <c r="Z53" s="151"/>
      <c r="AA53" s="152"/>
    </row>
    <row r="54" spans="1:27" x14ac:dyDescent="0.35">
      <c r="A54" s="14" t="s">
        <v>176</v>
      </c>
      <c r="B54" s="33" t="s">
        <v>92</v>
      </c>
      <c r="C54" s="32" t="s">
        <v>88</v>
      </c>
      <c r="D54" s="76" t="s">
        <v>197</v>
      </c>
      <c r="E54" s="79"/>
      <c r="F54" s="79"/>
      <c r="G54" s="79"/>
      <c r="H54" s="79"/>
      <c r="I54" s="79"/>
      <c r="J54" s="79"/>
      <c r="K54" s="79"/>
      <c r="L54" s="79"/>
      <c r="M54" s="79"/>
      <c r="N54" s="79"/>
      <c r="O54" s="79"/>
      <c r="P54" s="79"/>
      <c r="Q54" s="79"/>
      <c r="R54" s="79"/>
      <c r="S54" s="79"/>
      <c r="T54" s="87">
        <v>0.5</v>
      </c>
      <c r="U54" s="150"/>
      <c r="V54" s="133"/>
      <c r="W54" s="150"/>
      <c r="X54" s="150"/>
      <c r="Y54" s="152"/>
      <c r="Z54" s="151"/>
      <c r="AA54" s="152"/>
    </row>
    <row r="55" spans="1:27" x14ac:dyDescent="0.35">
      <c r="U55" s="3"/>
      <c r="V55" s="91"/>
      <c r="W55" s="3"/>
      <c r="X55" s="3"/>
    </row>
  </sheetData>
  <mergeCells count="104">
    <mergeCell ref="U2:U3"/>
    <mergeCell ref="U4:U5"/>
    <mergeCell ref="U6:U9"/>
    <mergeCell ref="U10:U11"/>
    <mergeCell ref="U12:U13"/>
    <mergeCell ref="U14:U16"/>
    <mergeCell ref="U49:U50"/>
    <mergeCell ref="U53:U54"/>
    <mergeCell ref="U33:U36"/>
    <mergeCell ref="U37:U38"/>
    <mergeCell ref="U39:U40"/>
    <mergeCell ref="U41:U43"/>
    <mergeCell ref="U44:U45"/>
    <mergeCell ref="U46:U48"/>
    <mergeCell ref="U17:U18"/>
    <mergeCell ref="U19:U21"/>
    <mergeCell ref="U22:U23"/>
    <mergeCell ref="U26:U27"/>
    <mergeCell ref="U29:U30"/>
    <mergeCell ref="U31:U32"/>
    <mergeCell ref="V10:V11"/>
    <mergeCell ref="W10:W11"/>
    <mergeCell ref="V12:V13"/>
    <mergeCell ref="W12:W13"/>
    <mergeCell ref="V14:V16"/>
    <mergeCell ref="W14:W16"/>
    <mergeCell ref="V2:V3"/>
    <mergeCell ref="W2:W3"/>
    <mergeCell ref="V4:V5"/>
    <mergeCell ref="W4:W5"/>
    <mergeCell ref="V6:V9"/>
    <mergeCell ref="W6:W9"/>
    <mergeCell ref="V39:V40"/>
    <mergeCell ref="W39:W40"/>
    <mergeCell ref="V26:V27"/>
    <mergeCell ref="W26:W27"/>
    <mergeCell ref="V29:V30"/>
    <mergeCell ref="W29:W30"/>
    <mergeCell ref="V31:V32"/>
    <mergeCell ref="W31:W32"/>
    <mergeCell ref="V17:V18"/>
    <mergeCell ref="W17:W18"/>
    <mergeCell ref="V19:V21"/>
    <mergeCell ref="W19:W21"/>
    <mergeCell ref="V22:V23"/>
    <mergeCell ref="W22:W23"/>
    <mergeCell ref="X22:X23"/>
    <mergeCell ref="X26:X27"/>
    <mergeCell ref="X29:X30"/>
    <mergeCell ref="X31:X32"/>
    <mergeCell ref="V49:V50"/>
    <mergeCell ref="W49:W50"/>
    <mergeCell ref="V53:V54"/>
    <mergeCell ref="W53:W54"/>
    <mergeCell ref="X2:X3"/>
    <mergeCell ref="X4:X5"/>
    <mergeCell ref="X6:X9"/>
    <mergeCell ref="X10:X11"/>
    <mergeCell ref="X12:X13"/>
    <mergeCell ref="X14:X16"/>
    <mergeCell ref="V41:V43"/>
    <mergeCell ref="W41:W43"/>
    <mergeCell ref="V44:V45"/>
    <mergeCell ref="W44:W45"/>
    <mergeCell ref="V46:V48"/>
    <mergeCell ref="W46:W48"/>
    <mergeCell ref="V33:V36"/>
    <mergeCell ref="W33:W36"/>
    <mergeCell ref="V37:V38"/>
    <mergeCell ref="W37:W38"/>
    <mergeCell ref="Z2:Z9"/>
    <mergeCell ref="AA2:AA9"/>
    <mergeCell ref="Z10:Z16"/>
    <mergeCell ref="AA10:AA16"/>
    <mergeCell ref="Z17:Z23"/>
    <mergeCell ref="AA17:AA23"/>
    <mergeCell ref="X49:X50"/>
    <mergeCell ref="X53:X54"/>
    <mergeCell ref="Y2:Y9"/>
    <mergeCell ref="Y10:Y16"/>
    <mergeCell ref="Y17:Y23"/>
    <mergeCell ref="Y24:Y27"/>
    <mergeCell ref="Y29:Y36"/>
    <mergeCell ref="Y37:Y43"/>
    <mergeCell ref="Y44:Y50"/>
    <mergeCell ref="Y51:Y54"/>
    <mergeCell ref="X33:X36"/>
    <mergeCell ref="X37:X38"/>
    <mergeCell ref="X39:X40"/>
    <mergeCell ref="X41:X43"/>
    <mergeCell ref="X44:X45"/>
    <mergeCell ref="X46:X48"/>
    <mergeCell ref="X17:X18"/>
    <mergeCell ref="X19:X21"/>
    <mergeCell ref="Z44:Z50"/>
    <mergeCell ref="AA44:AA50"/>
    <mergeCell ref="Z51:Z54"/>
    <mergeCell ref="AA51:AA54"/>
    <mergeCell ref="Z24:Z27"/>
    <mergeCell ref="AA24:AA27"/>
    <mergeCell ref="Z29:Z36"/>
    <mergeCell ref="AA29:AA36"/>
    <mergeCell ref="Z37:Z43"/>
    <mergeCell ref="AA37:AA43"/>
  </mergeCells>
  <phoneticPr fontId="4" type="noConversion"/>
  <conditionalFormatting sqref="C3">
    <cfRule type="containsText" dxfId="20" priority="7" operator="containsText" text="Proficient">
      <formula>NOT(ISERROR(SEARCH("Proficient",C3)))</formula>
    </cfRule>
  </conditionalFormatting>
  <conditionalFormatting sqref="C1:C27 C29:C54">
    <cfRule type="containsText" dxfId="19" priority="3" operator="containsText" text="progress">
      <formula>NOT(ISERROR(SEARCH("progress",C1)))</formula>
    </cfRule>
    <cfRule type="containsText" dxfId="18" priority="4" operator="containsText" text="Access">
      <formula>NOT(ISERROR(SEARCH("Access",C1)))</formula>
    </cfRule>
    <cfRule type="containsText" dxfId="17" priority="5" operator="containsText" text="Excellence">
      <formula>NOT(ISERROR(SEARCH("Excellence",C1)))</formula>
    </cfRule>
    <cfRule type="containsText" dxfId="16" priority="6" operator="containsText" text="Proficient">
      <formula>NOT(ISERROR(SEARCH("Proficient",C1)))</formula>
    </cfRule>
  </conditionalFormatting>
  <conditionalFormatting sqref="C1:C1048576">
    <cfRule type="containsText" dxfId="15" priority="2" operator="containsText" text="Proficiency">
      <formula>NOT(ISERROR(SEARCH("Proficiency",C1)))</formula>
    </cfRule>
  </conditionalFormatting>
  <conditionalFormatting sqref="C30">
    <cfRule type="containsText" dxfId="14" priority="1" operator="containsText" text="Proficient">
      <formula>NOT(ISERROR(SEARCH("Proficient",C30)))</formula>
    </cfRule>
  </conditionalFormatting>
  <pageMargins left="0.7" right="0.7" top="0.75" bottom="0.75" header="0.3" footer="0.3"/>
  <pageSetup orientation="portrait" horizontalDpi="1200" verticalDpi="1200" r:id="rId1"/>
  <ignoredErrors>
    <ignoredError sqref="E2:E5 F3:F5 E10:F10 E12:F12 E18:F18 E22:E23 F23 E25 F25 E24:F24 E29:F29 E30:F30 E31:F32 E50:F50 U23 U20:U21 U18 U17 U19 U22 U33 U37:U40 U44:U50 V34:V36 V18:W18 W33:W49 W17 V20:W21 W19 V23:W23 W22 V38 V40 V42:V43 V45 V47:V48 V50" formulaRange="1"/>
    <ignoredError sqref="G25:H25" formula="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D318D-D1AD-423C-A4FC-E368777A1882}">
  <dimension ref="A1:BA54"/>
  <sheetViews>
    <sheetView tabSelected="1" zoomScale="64" zoomScaleNormal="85" workbookViewId="0">
      <selection activeCell="C12" sqref="C12"/>
    </sheetView>
  </sheetViews>
  <sheetFormatPr defaultRowHeight="14.5" x14ac:dyDescent="0.35"/>
  <cols>
    <col min="1" max="1" width="13.54296875" bestFit="1" customWidth="1"/>
    <col min="2" max="2" width="8.453125" bestFit="1" customWidth="1"/>
    <col min="3" max="3" width="10.26953125" bestFit="1" customWidth="1"/>
    <col min="4" max="4" width="125.54296875" bestFit="1" customWidth="1"/>
    <col min="5" max="5" width="14.6328125" bestFit="1" customWidth="1"/>
    <col min="6" max="6" width="17.453125" bestFit="1" customWidth="1"/>
    <col min="7" max="7" width="15.36328125" bestFit="1" customWidth="1"/>
    <col min="8" max="8" width="14.90625" bestFit="1" customWidth="1"/>
    <col min="9" max="9" width="14.6328125" bestFit="1" customWidth="1"/>
    <col min="10" max="10" width="17.453125" bestFit="1" customWidth="1"/>
    <col min="11" max="11" width="15.36328125" bestFit="1" customWidth="1"/>
    <col min="12" max="12" width="14.90625" bestFit="1" customWidth="1"/>
    <col min="13" max="13" width="19.81640625" bestFit="1" customWidth="1"/>
    <col min="14" max="14" width="21.6328125" bestFit="1" customWidth="1"/>
    <col min="15" max="17" width="19.81640625" customWidth="1"/>
    <col min="18" max="18" width="14.81640625" bestFit="1" customWidth="1"/>
    <col min="19" max="19" width="8.08984375" bestFit="1" customWidth="1"/>
    <col min="20" max="20" width="11.81640625" bestFit="1" customWidth="1"/>
    <col min="21" max="21" width="10.7265625" bestFit="1" customWidth="1"/>
    <col min="22" max="22" width="10.26953125" bestFit="1" customWidth="1"/>
    <col min="23" max="23" width="13.453125" bestFit="1" customWidth="1"/>
    <col min="24" max="24" width="18.6328125" bestFit="1" customWidth="1"/>
    <col min="25" max="26" width="38.7265625" bestFit="1" customWidth="1"/>
    <col min="27" max="27" width="38.7265625" customWidth="1"/>
    <col min="28" max="28" width="27.54296875" bestFit="1" customWidth="1"/>
    <col min="29" max="30" width="26.90625" customWidth="1"/>
    <col min="31" max="32" width="29.7265625" bestFit="1" customWidth="1"/>
    <col min="33" max="34" width="9.453125" bestFit="1" customWidth="1"/>
  </cols>
  <sheetData>
    <row r="1" spans="1:32" x14ac:dyDescent="0.35">
      <c r="A1" s="14" t="s">
        <v>170</v>
      </c>
      <c r="B1" s="14" t="s">
        <v>159</v>
      </c>
      <c r="C1" s="14" t="s">
        <v>85</v>
      </c>
      <c r="D1" s="71" t="s">
        <v>6</v>
      </c>
      <c r="E1" s="33" t="s">
        <v>1979</v>
      </c>
      <c r="F1" s="33" t="s">
        <v>1981</v>
      </c>
      <c r="G1" s="33" t="s">
        <v>1980</v>
      </c>
      <c r="H1" s="33" t="s">
        <v>1982</v>
      </c>
      <c r="I1" s="33" t="s">
        <v>1975</v>
      </c>
      <c r="J1" s="33" t="s">
        <v>1976</v>
      </c>
      <c r="K1" s="33" t="s">
        <v>1977</v>
      </c>
      <c r="L1" s="33" t="s">
        <v>1978</v>
      </c>
      <c r="M1" s="33" t="s">
        <v>1974</v>
      </c>
      <c r="N1" s="33" t="s">
        <v>1983</v>
      </c>
      <c r="O1" s="33" t="s">
        <v>1984</v>
      </c>
      <c r="P1" s="33" t="s">
        <v>1986</v>
      </c>
      <c r="Q1" s="33" t="s">
        <v>1985</v>
      </c>
      <c r="R1" s="33" t="s">
        <v>510</v>
      </c>
      <c r="S1" s="33" t="s">
        <v>511</v>
      </c>
      <c r="T1" s="33" t="s">
        <v>512</v>
      </c>
      <c r="U1" s="33" t="s">
        <v>513</v>
      </c>
      <c r="V1" s="14" t="s">
        <v>85</v>
      </c>
      <c r="W1" s="33" t="s">
        <v>514</v>
      </c>
      <c r="X1" s="33" t="s">
        <v>515</v>
      </c>
      <c r="Y1" s="97" t="s">
        <v>516</v>
      </c>
      <c r="Z1" s="33" t="s">
        <v>517</v>
      </c>
      <c r="AA1" s="33" t="s">
        <v>506</v>
      </c>
      <c r="AB1" s="33" t="s">
        <v>518</v>
      </c>
      <c r="AC1" s="33" t="s">
        <v>519</v>
      </c>
      <c r="AD1" s="33" t="s">
        <v>522</v>
      </c>
      <c r="AE1" s="33" t="s">
        <v>520</v>
      </c>
      <c r="AF1" s="33" t="s">
        <v>521</v>
      </c>
    </row>
    <row r="2" spans="1:32" x14ac:dyDescent="0.35">
      <c r="A2" s="14" t="s">
        <v>171</v>
      </c>
      <c r="B2" s="31" t="s">
        <v>32</v>
      </c>
      <c r="C2" s="14" t="s">
        <v>394</v>
      </c>
      <c r="D2" s="72" t="s">
        <v>405</v>
      </c>
      <c r="E2" s="14">
        <f>'Demographics Data'!C2</f>
        <v>8275</v>
      </c>
      <c r="F2" s="14">
        <f>'Demographics Data'!D2</f>
        <v>10392</v>
      </c>
      <c r="G2" s="14">
        <f>'Demographics Data'!E2</f>
        <v>2501</v>
      </c>
      <c r="H2" s="14">
        <f>'Demographics Data'!F2</f>
        <v>1084</v>
      </c>
      <c r="I2" s="14">
        <f>SUM('Raw Data'!C2:C3)</f>
        <v>0.18</v>
      </c>
      <c r="J2" s="14">
        <f>SUM('Raw Data'!D2:D3)</f>
        <v>0.28999999999999998</v>
      </c>
      <c r="K2" s="14">
        <f>SUM('Raw Data'!E2:E3)</f>
        <v>0.65</v>
      </c>
      <c r="L2" s="14">
        <f>SUM('Raw Data'!F2:F3)</f>
        <v>0.72</v>
      </c>
      <c r="M2" s="14">
        <f>ROUND(('R Dataset'!D2+'R Dataset'!D3)/(SUM('Demographics Data'!E2:F2)),3)</f>
        <v>0.67100000000000004</v>
      </c>
      <c r="N2" s="101">
        <f>I2*E2</f>
        <v>1489.5</v>
      </c>
      <c r="O2" s="101">
        <f>M2*E2</f>
        <v>5552.5250000000005</v>
      </c>
      <c r="P2" s="101">
        <f>J2*F2</f>
        <v>3013.68</v>
      </c>
      <c r="Q2" s="101">
        <f>M2*F2</f>
        <v>6973.0320000000002</v>
      </c>
      <c r="R2" s="14">
        <f>ROUND((PRODUCT(I2:L2))^(1/COUNT(I2:L2)),3)</f>
        <v>0.39500000000000002</v>
      </c>
      <c r="S2" s="14">
        <f>ROUND(100*(((ABS(I2-R2)+ABS(J2-R2)+ABS(K2-R2)+ABS(L2-R2))/(R2*COUNT(I2:L2)))),1)</f>
        <v>57</v>
      </c>
      <c r="T2" s="14">
        <f>SQRT(S2)</f>
        <v>7.5498344352707498</v>
      </c>
      <c r="U2" s="14">
        <f>100-ROUND(100*((T2)/(MAX(T$2:T$54))),1)</f>
        <v>48.2</v>
      </c>
      <c r="V2" s="14" t="s">
        <v>394</v>
      </c>
      <c r="W2" s="14">
        <v>0.5</v>
      </c>
      <c r="X2" s="14">
        <v>0.5</v>
      </c>
      <c r="Y2" s="150">
        <f>SUMPRODUCT(U2:U3,X2:X3)</f>
        <v>47.6</v>
      </c>
      <c r="Z2" s="150" cm="1">
        <f t="array" ref="Z2">ROUND(PRODUCT(U2:U3^(X2:X3/SUM(X2:X3))),1)</f>
        <v>47.6</v>
      </c>
      <c r="AA2" s="150">
        <v>0.4</v>
      </c>
      <c r="AB2" s="150">
        <f>SUMPRODUCT(Y2:Y9,AA2:AA9)</f>
        <v>39.1</v>
      </c>
      <c r="AC2" s="150">
        <f>ROUND(Z2^AA2*Z4^AA4*Z6^AA6,1)</f>
        <v>35.799999999999997</v>
      </c>
      <c r="AD2" s="150">
        <v>0.4</v>
      </c>
      <c r="AE2" s="150">
        <f>ROUND(SUMPRODUCT(AC2:AC27,AD2:AD27),1)</f>
        <v>35</v>
      </c>
      <c r="AF2" s="150">
        <f>ROUND(AC2^AD2*AC10^AD10*AC17^AD17*AC24^AD24,1)</f>
        <v>30.4</v>
      </c>
    </row>
    <row r="3" spans="1:32" x14ac:dyDescent="0.35">
      <c r="A3" s="14" t="s">
        <v>171</v>
      </c>
      <c r="B3" s="31" t="s">
        <v>32</v>
      </c>
      <c r="C3" s="14" t="s">
        <v>394</v>
      </c>
      <c r="D3" s="72" t="s">
        <v>406</v>
      </c>
      <c r="E3" s="14">
        <f>'Demographics Data'!C3</f>
        <v>9376</v>
      </c>
      <c r="F3" s="14">
        <f>'Demographics Data'!D3</f>
        <v>12500</v>
      </c>
      <c r="G3" s="14">
        <f>'Demographics Data'!E3</f>
        <v>2566</v>
      </c>
      <c r="H3" s="14">
        <f>'Demographics Data'!F3</f>
        <v>1023</v>
      </c>
      <c r="I3" s="14">
        <f>SUM('Raw Data'!C4:C5)</f>
        <v>0.15</v>
      </c>
      <c r="J3" s="14">
        <f>SUM('Raw Data'!D4:D5)</f>
        <v>0.27</v>
      </c>
      <c r="K3" s="14">
        <f>SUM('Raw Data'!E4:E5)</f>
        <v>0.56000000000000005</v>
      </c>
      <c r="L3" s="14">
        <f>SUM('Raw Data'!F4:F5)</f>
        <v>0.71</v>
      </c>
      <c r="M3" s="14">
        <f>ROUND(('R Dataset'!D5+'R Dataset'!D4)/(SUM('Demographics Data'!E3:F3)),3)</f>
        <v>0.60299999999999998</v>
      </c>
      <c r="N3" s="101">
        <f t="shared" ref="N3:N26" si="0">I3*E3</f>
        <v>1406.3999999999999</v>
      </c>
      <c r="O3" s="101">
        <f t="shared" ref="O3:O26" si="1">M3*E3</f>
        <v>5653.7280000000001</v>
      </c>
      <c r="P3" s="101">
        <f t="shared" ref="P3:P26" si="2">J3*F3</f>
        <v>3375</v>
      </c>
      <c r="Q3" s="101">
        <f t="shared" ref="Q3:Q26" si="3">M3*F3</f>
        <v>7537.5</v>
      </c>
      <c r="R3" s="14">
        <f t="shared" ref="R3:R6" si="4">ROUND((PRODUCT(I3:L3))^(1/COUNT(I3:L3)),3)</f>
        <v>0.35599999999999998</v>
      </c>
      <c r="S3" s="14">
        <f t="shared" ref="S3:S6" si="5">ROUND(100*(((ABS(I3-R3)+ABS(J3-R3)+ABS(K3-R3)+ABS(L3-R3))/(R3*COUNT(I3:L3)))),1)</f>
        <v>59.7</v>
      </c>
      <c r="T3" s="14">
        <f>SQRT(S3)</f>
        <v>7.7265775088327437</v>
      </c>
      <c r="U3" s="14">
        <f t="shared" ref="U3:U5" si="6">100-ROUND(100*((T3)/(MAX(T$2:T$54))),1)</f>
        <v>47</v>
      </c>
      <c r="V3" s="14" t="s">
        <v>394</v>
      </c>
      <c r="W3" s="14">
        <v>0.5</v>
      </c>
      <c r="X3" s="14">
        <v>0.5</v>
      </c>
      <c r="Y3" s="150"/>
      <c r="Z3" s="150"/>
      <c r="AA3" s="150"/>
      <c r="AB3" s="150"/>
      <c r="AC3" s="150"/>
      <c r="AD3" s="150"/>
      <c r="AE3" s="150"/>
      <c r="AF3" s="150"/>
    </row>
    <row r="4" spans="1:32" x14ac:dyDescent="0.35">
      <c r="A4" s="14" t="s">
        <v>171</v>
      </c>
      <c r="B4" s="31" t="s">
        <v>32</v>
      </c>
      <c r="C4" s="14" t="s">
        <v>95</v>
      </c>
      <c r="D4" s="72" t="s">
        <v>116</v>
      </c>
      <c r="E4" s="14">
        <f>'Demographics Data'!C2</f>
        <v>8275</v>
      </c>
      <c r="F4" s="14">
        <f>'Demographics Data'!D2</f>
        <v>10392</v>
      </c>
      <c r="G4" s="14">
        <f>'Demographics Data'!E2</f>
        <v>2501</v>
      </c>
      <c r="H4" s="14">
        <f>'Demographics Data'!F2</f>
        <v>1084</v>
      </c>
      <c r="I4" s="14">
        <f>'Raw Data'!C3</f>
        <v>0.02</v>
      </c>
      <c r="J4" s="14">
        <f>'Raw Data'!D3</f>
        <v>0.04</v>
      </c>
      <c r="K4" s="14">
        <f>'Raw Data'!E3</f>
        <v>0.2</v>
      </c>
      <c r="L4" s="14">
        <f>'Raw Data'!F3</f>
        <v>0.32</v>
      </c>
      <c r="M4" s="14">
        <f>ROUND(('R Dataset'!D3)/(SUM('Demographics Data'!E2:F2)),3)</f>
        <v>0.23599999999999999</v>
      </c>
      <c r="N4" s="101">
        <f t="shared" si="0"/>
        <v>165.5</v>
      </c>
      <c r="O4" s="101">
        <f t="shared" si="1"/>
        <v>1952.8999999999999</v>
      </c>
      <c r="P4" s="101">
        <f t="shared" si="2"/>
        <v>415.68</v>
      </c>
      <c r="Q4" s="101">
        <f t="shared" si="3"/>
        <v>2452.5119999999997</v>
      </c>
      <c r="R4" s="14">
        <f t="shared" si="4"/>
        <v>8.5000000000000006E-2</v>
      </c>
      <c r="S4" s="14">
        <f t="shared" si="5"/>
        <v>135.30000000000001</v>
      </c>
      <c r="T4" s="14">
        <f>SQRT(S4)</f>
        <v>11.631852818876277</v>
      </c>
      <c r="U4" s="14">
        <f t="shared" si="6"/>
        <v>20.200000000000003</v>
      </c>
      <c r="V4" s="14" t="s">
        <v>95</v>
      </c>
      <c r="W4" s="14">
        <v>0.5</v>
      </c>
      <c r="X4" s="14">
        <v>0.5</v>
      </c>
      <c r="Y4" s="150">
        <f>SUMPRODUCT(U4:U5,X4:X5)</f>
        <v>21.15</v>
      </c>
      <c r="Z4" s="150" cm="1">
        <f t="array" ref="Z4">ROUND(PRODUCT(U4:U5^(X4:X5/SUM(X4:X5))),1)</f>
        <v>21.1</v>
      </c>
      <c r="AA4" s="150">
        <v>0.4</v>
      </c>
      <c r="AB4" s="150"/>
      <c r="AC4" s="150"/>
      <c r="AD4" s="150"/>
      <c r="AE4" s="150"/>
      <c r="AF4" s="150"/>
    </row>
    <row r="5" spans="1:32" x14ac:dyDescent="0.35">
      <c r="A5" s="14" t="s">
        <v>171</v>
      </c>
      <c r="B5" s="31" t="s">
        <v>32</v>
      </c>
      <c r="C5" s="14" t="s">
        <v>95</v>
      </c>
      <c r="D5" s="72" t="s">
        <v>117</v>
      </c>
      <c r="E5" s="14">
        <f>'Demographics Data'!C3</f>
        <v>9376</v>
      </c>
      <c r="F5" s="14">
        <f>'Demographics Data'!D3</f>
        <v>12500</v>
      </c>
      <c r="G5" s="14">
        <f>'Demographics Data'!E3</f>
        <v>2566</v>
      </c>
      <c r="H5" s="14">
        <f>'Demographics Data'!F3</f>
        <v>1023</v>
      </c>
      <c r="I5" s="14">
        <f>'Raw Data'!C5</f>
        <v>0.02</v>
      </c>
      <c r="J5" s="14">
        <f>'Raw Data'!D5</f>
        <v>0.06</v>
      </c>
      <c r="K5" s="14">
        <f>'Raw Data'!E5</f>
        <v>0.22</v>
      </c>
      <c r="L5" s="14">
        <f>'Raw Data'!F5</f>
        <v>0.37</v>
      </c>
      <c r="M5" s="14">
        <f>ROUND(('R Dataset'!D5)/(SUM('Demographics Data'!E3:F3)),3)</f>
        <v>0.26300000000000001</v>
      </c>
      <c r="N5" s="101">
        <f t="shared" si="0"/>
        <v>187.52</v>
      </c>
      <c r="O5" s="101">
        <f t="shared" si="1"/>
        <v>2465.8879999999999</v>
      </c>
      <c r="P5" s="101">
        <f t="shared" si="2"/>
        <v>750</v>
      </c>
      <c r="Q5" s="101">
        <f t="shared" si="3"/>
        <v>3287.5</v>
      </c>
      <c r="R5" s="14">
        <f t="shared" si="4"/>
        <v>9.9000000000000005E-2</v>
      </c>
      <c r="S5" s="14">
        <f t="shared" si="5"/>
        <v>128.80000000000001</v>
      </c>
      <c r="T5" s="14">
        <f>SQRT(S5)</f>
        <v>11.349008767288886</v>
      </c>
      <c r="U5" s="14">
        <f t="shared" si="6"/>
        <v>22.099999999999994</v>
      </c>
      <c r="V5" s="14" t="s">
        <v>95</v>
      </c>
      <c r="W5" s="14">
        <v>0.5</v>
      </c>
      <c r="X5" s="14">
        <v>0.5</v>
      </c>
      <c r="Y5" s="150"/>
      <c r="Z5" s="150"/>
      <c r="AA5" s="150"/>
      <c r="AB5" s="150"/>
      <c r="AC5" s="150"/>
      <c r="AD5" s="150"/>
      <c r="AE5" s="150"/>
      <c r="AF5" s="150"/>
    </row>
    <row r="6" spans="1:32" x14ac:dyDescent="0.35">
      <c r="A6" s="14" t="s">
        <v>171</v>
      </c>
      <c r="B6" s="31" t="s">
        <v>32</v>
      </c>
      <c r="C6" s="14" t="s">
        <v>88</v>
      </c>
      <c r="D6" s="73" t="s">
        <v>251</v>
      </c>
      <c r="E6" s="14" cm="1">
        <f t="array" ref="E6:H6">'Demographics Data'!C4:F4</f>
        <v>76478</v>
      </c>
      <c r="F6" s="14">
        <v>95809</v>
      </c>
      <c r="G6" s="14">
        <v>23965</v>
      </c>
      <c r="H6" s="14">
        <v>9402</v>
      </c>
      <c r="I6" s="14">
        <f>ROUND('Raw Data'!C6/'Demographics Data'!C4,3)</f>
        <v>0.13200000000000001</v>
      </c>
      <c r="J6" s="14">
        <f>ROUND('Raw Data'!D6/'Demographics Data'!D4,3)</f>
        <v>7.9000000000000001E-2</v>
      </c>
      <c r="K6" s="14">
        <f>ROUND('Raw Data'!E6/'Demographics Data'!E4,3)</f>
        <v>5.5E-2</v>
      </c>
      <c r="L6" s="14">
        <f>ROUND('Raw Data'!F6/'Demographics Data'!F4,3)</f>
        <v>0.14399999999999999</v>
      </c>
      <c r="M6" s="14">
        <f>ROUND('R Dataset'!D6/('Demographics Data'!F4+'Demographics Data'!E4),3)</f>
        <v>0.08</v>
      </c>
      <c r="N6" s="103">
        <f t="shared" si="0"/>
        <v>10095.096000000001</v>
      </c>
      <c r="O6" s="101">
        <f t="shared" si="1"/>
        <v>6118.24</v>
      </c>
      <c r="P6" s="103">
        <f t="shared" si="2"/>
        <v>7568.9110000000001</v>
      </c>
      <c r="Q6" s="103">
        <f t="shared" si="3"/>
        <v>7664.72</v>
      </c>
      <c r="R6" s="14">
        <f t="shared" si="4"/>
        <v>9.5000000000000001E-2</v>
      </c>
      <c r="S6" s="14">
        <f t="shared" si="5"/>
        <v>37.4</v>
      </c>
      <c r="T6" s="14">
        <f>SQRT(S6)</f>
        <v>6.1155539405682617</v>
      </c>
      <c r="U6" s="14">
        <f>100-ROUND(100*((T6)/(MAX(T$2:T$54))),1)</f>
        <v>58</v>
      </c>
      <c r="V6" s="14" t="s">
        <v>88</v>
      </c>
      <c r="W6" s="14">
        <v>0.25</v>
      </c>
      <c r="X6" s="14">
        <v>1</v>
      </c>
      <c r="Y6" s="150">
        <f>U6*X6</f>
        <v>58</v>
      </c>
      <c r="Z6" s="150">
        <f>ROUND(PRODUCT(U6^(X6/X6)),1)</f>
        <v>58</v>
      </c>
      <c r="AA6" s="150">
        <v>0.2</v>
      </c>
      <c r="AB6" s="150"/>
      <c r="AC6" s="150"/>
      <c r="AD6" s="150"/>
      <c r="AE6" s="150"/>
      <c r="AF6" s="150"/>
    </row>
    <row r="7" spans="1:32" x14ac:dyDescent="0.35">
      <c r="A7" s="14" t="s">
        <v>171</v>
      </c>
      <c r="B7" s="31" t="s">
        <v>32</v>
      </c>
      <c r="C7" s="14" t="s">
        <v>88</v>
      </c>
      <c r="D7" s="74" t="s">
        <v>96</v>
      </c>
      <c r="E7" s="78"/>
      <c r="F7" s="78"/>
      <c r="G7" s="78"/>
      <c r="H7" s="78"/>
      <c r="I7" s="78"/>
      <c r="J7" s="78"/>
      <c r="K7" s="78"/>
      <c r="L7" s="78"/>
      <c r="M7" s="78"/>
      <c r="N7" s="102"/>
      <c r="O7" s="102"/>
      <c r="P7" s="102"/>
      <c r="Q7" s="102"/>
      <c r="R7" s="78"/>
      <c r="S7" s="78"/>
      <c r="T7" s="78"/>
      <c r="U7" s="78"/>
      <c r="V7" s="14" t="s">
        <v>88</v>
      </c>
      <c r="W7" s="14">
        <v>0.25</v>
      </c>
      <c r="X7" s="14">
        <v>0</v>
      </c>
      <c r="Y7" s="150"/>
      <c r="Z7" s="150"/>
      <c r="AA7" s="150"/>
      <c r="AB7" s="150"/>
      <c r="AC7" s="150"/>
      <c r="AD7" s="150"/>
      <c r="AE7" s="150"/>
      <c r="AF7" s="150"/>
    </row>
    <row r="8" spans="1:32" x14ac:dyDescent="0.35">
      <c r="A8" s="14" t="s">
        <v>171</v>
      </c>
      <c r="B8" s="31" t="s">
        <v>32</v>
      </c>
      <c r="C8" s="14" t="s">
        <v>88</v>
      </c>
      <c r="D8" s="74" t="s">
        <v>412</v>
      </c>
      <c r="E8" s="78"/>
      <c r="F8" s="78"/>
      <c r="G8" s="78"/>
      <c r="H8" s="78"/>
      <c r="I8" s="78"/>
      <c r="J8" s="78"/>
      <c r="K8" s="78"/>
      <c r="L8" s="78"/>
      <c r="M8" s="78"/>
      <c r="N8" s="102"/>
      <c r="O8" s="102"/>
      <c r="P8" s="102"/>
      <c r="Q8" s="102"/>
      <c r="R8" s="78"/>
      <c r="S8" s="78"/>
      <c r="T8" s="78"/>
      <c r="U8" s="78"/>
      <c r="V8" s="14" t="s">
        <v>88</v>
      </c>
      <c r="W8" s="14">
        <v>0.25</v>
      </c>
      <c r="X8" s="14">
        <v>0</v>
      </c>
      <c r="Y8" s="150"/>
      <c r="Z8" s="150"/>
      <c r="AA8" s="150"/>
      <c r="AB8" s="150"/>
      <c r="AC8" s="150"/>
      <c r="AD8" s="150"/>
      <c r="AE8" s="150"/>
      <c r="AF8" s="150"/>
    </row>
    <row r="9" spans="1:32" x14ac:dyDescent="0.35">
      <c r="A9" s="14" t="s">
        <v>171</v>
      </c>
      <c r="B9" s="31" t="s">
        <v>32</v>
      </c>
      <c r="C9" s="14" t="s">
        <v>88</v>
      </c>
      <c r="D9" s="74" t="s">
        <v>404</v>
      </c>
      <c r="E9" s="78"/>
      <c r="F9" s="78"/>
      <c r="G9" s="78"/>
      <c r="H9" s="78"/>
      <c r="I9" s="78"/>
      <c r="J9" s="78"/>
      <c r="K9" s="78"/>
      <c r="L9" s="78"/>
      <c r="M9" s="78"/>
      <c r="N9" s="102"/>
      <c r="O9" s="102"/>
      <c r="P9" s="102"/>
      <c r="Q9" s="102"/>
      <c r="R9" s="78"/>
      <c r="S9" s="78"/>
      <c r="T9" s="78"/>
      <c r="U9" s="78"/>
      <c r="V9" s="14" t="s">
        <v>88</v>
      </c>
      <c r="W9" s="14">
        <v>0.25</v>
      </c>
      <c r="X9" s="14">
        <v>0</v>
      </c>
      <c r="Y9" s="150"/>
      <c r="Z9" s="150"/>
      <c r="AA9" s="150"/>
      <c r="AB9" s="150"/>
      <c r="AC9" s="150"/>
      <c r="AD9" s="150"/>
      <c r="AE9" s="150"/>
      <c r="AF9" s="150"/>
    </row>
    <row r="10" spans="1:32" x14ac:dyDescent="0.35">
      <c r="A10" s="14" t="s">
        <v>171</v>
      </c>
      <c r="B10" s="14" t="s">
        <v>90</v>
      </c>
      <c r="C10" s="14" t="s">
        <v>394</v>
      </c>
      <c r="D10" s="73" t="s">
        <v>131</v>
      </c>
      <c r="E10" s="14" cm="1">
        <f t="array" ref="E10:H10">'Demographics Data'!C21:F21</f>
        <v>7850</v>
      </c>
      <c r="F10" s="14">
        <v>11418</v>
      </c>
      <c r="G10" s="14">
        <v>2278</v>
      </c>
      <c r="H10" s="14">
        <v>1090</v>
      </c>
      <c r="I10" s="14">
        <f>'Raw Data'!C9</f>
        <v>0.113</v>
      </c>
      <c r="J10" s="14">
        <f>'Raw Data'!D9</f>
        <v>0.19</v>
      </c>
      <c r="K10" s="14">
        <f>'Raw Data'!E9</f>
        <v>0.63600000000000001</v>
      </c>
      <c r="L10" s="14">
        <f>'Raw Data'!F9</f>
        <v>0.52700000000000002</v>
      </c>
      <c r="M10" s="14">
        <f>ROUND('R Dataset'!D9/SUM('Demographics Data'!E21:F21),3)</f>
        <v>0.60099999999999998</v>
      </c>
      <c r="N10" s="105">
        <f t="shared" si="0"/>
        <v>887.05000000000007</v>
      </c>
      <c r="O10" s="101">
        <f t="shared" si="1"/>
        <v>4717.8499999999995</v>
      </c>
      <c r="P10" s="105">
        <f t="shared" si="2"/>
        <v>2169.42</v>
      </c>
      <c r="Q10" s="105">
        <f t="shared" si="3"/>
        <v>6862.2179999999998</v>
      </c>
      <c r="R10" s="14">
        <f t="shared" ref="R10" si="7">ROUND((PRODUCT(I10:L10))^(1/COUNT(I10:L10)),3)</f>
        <v>0.29099999999999998</v>
      </c>
      <c r="S10" s="14">
        <f t="shared" ref="S10" si="8">ROUND(100*(((ABS(I10-R10)+ABS(J10-R10)+ABS(K10-R10)+ABS(L10-R10))/(R10*COUNT(I10:L10)))),1)</f>
        <v>73.900000000000006</v>
      </c>
      <c r="T10" s="14">
        <f>SQRT(S10)</f>
        <v>8.5965109201349819</v>
      </c>
      <c r="U10" s="14">
        <f>100-ROUND(100*((T10)/(MAX(T$2:T$54))),1)</f>
        <v>41</v>
      </c>
      <c r="V10" s="14" t="s">
        <v>394</v>
      </c>
      <c r="W10" s="14">
        <v>0.5</v>
      </c>
      <c r="X10" s="14">
        <v>1</v>
      </c>
      <c r="Y10" s="150">
        <f>U10*X10</f>
        <v>41</v>
      </c>
      <c r="Z10" s="150">
        <f>ROUND(PRODUCT(U10^(X10/X10)),1)</f>
        <v>41</v>
      </c>
      <c r="AA10" s="150">
        <v>0.4</v>
      </c>
      <c r="AB10" s="150">
        <f>SUMPRODUCT(Y10:Y16,AA10:AA16)</f>
        <v>29.400000000000002</v>
      </c>
      <c r="AC10" s="150">
        <f>ROUND(Z10^AA10*(Z12+1)^AA12*Z14^AA14,1)</f>
        <v>13.3</v>
      </c>
      <c r="AD10" s="150">
        <v>0.3</v>
      </c>
      <c r="AE10" s="150"/>
      <c r="AF10" s="150"/>
    </row>
    <row r="11" spans="1:32" x14ac:dyDescent="0.35">
      <c r="A11" s="14" t="s">
        <v>171</v>
      </c>
      <c r="B11" s="14" t="s">
        <v>90</v>
      </c>
      <c r="C11" s="14" t="s">
        <v>394</v>
      </c>
      <c r="D11" s="75" t="s">
        <v>408</v>
      </c>
      <c r="E11" s="78"/>
      <c r="F11" s="78"/>
      <c r="G11" s="78"/>
      <c r="H11" s="78"/>
      <c r="I11" s="78"/>
      <c r="J11" s="78"/>
      <c r="K11" s="78"/>
      <c r="L11" s="78"/>
      <c r="M11" s="78"/>
      <c r="N11" s="102"/>
      <c r="O11" s="102"/>
      <c r="P11" s="102"/>
      <c r="Q11" s="102"/>
      <c r="R11" s="78"/>
      <c r="S11" s="78"/>
      <c r="T11" s="78"/>
      <c r="U11" s="78"/>
      <c r="V11" s="14" t="s">
        <v>394</v>
      </c>
      <c r="W11" s="14">
        <v>0.5</v>
      </c>
      <c r="X11" s="14">
        <v>0</v>
      </c>
      <c r="Y11" s="150"/>
      <c r="Z11" s="150"/>
      <c r="AA11" s="150"/>
      <c r="AB11" s="150"/>
      <c r="AC11" s="150"/>
      <c r="AD11" s="150"/>
      <c r="AE11" s="150"/>
      <c r="AF11" s="150"/>
    </row>
    <row r="12" spans="1:32" x14ac:dyDescent="0.35">
      <c r="A12" s="14" t="s">
        <v>171</v>
      </c>
      <c r="B12" s="14" t="s">
        <v>90</v>
      </c>
      <c r="C12" s="14" t="s">
        <v>95</v>
      </c>
      <c r="D12" s="73" t="s">
        <v>136</v>
      </c>
      <c r="E12" s="14" cm="1">
        <f t="array" ref="E12:H12">'Demographics Data'!C21:F21</f>
        <v>7850</v>
      </c>
      <c r="F12" s="14">
        <v>11418</v>
      </c>
      <c r="G12" s="14">
        <v>2278</v>
      </c>
      <c r="H12" s="14">
        <v>1090</v>
      </c>
      <c r="I12" s="14">
        <f>'Raw Data'!C10</f>
        <v>7.0000000000000001E-3</v>
      </c>
      <c r="J12" s="14">
        <f>'Raw Data'!D10</f>
        <v>1.7999999999999999E-2</v>
      </c>
      <c r="K12" s="14">
        <f>'Raw Data'!E10</f>
        <v>0.223</v>
      </c>
      <c r="L12" s="14">
        <f>'Raw Data'!F10</f>
        <v>0.23499999999999999</v>
      </c>
      <c r="M12" s="14">
        <f>ROUND('R Dataset'!D10/SUM('Demographics Data'!E21:F21),3)</f>
        <v>0.22700000000000001</v>
      </c>
      <c r="N12" s="105">
        <f t="shared" si="0"/>
        <v>54.95</v>
      </c>
      <c r="O12" s="101">
        <f t="shared" si="1"/>
        <v>1781.95</v>
      </c>
      <c r="P12" s="104">
        <f t="shared" si="2"/>
        <v>205.52399999999997</v>
      </c>
      <c r="Q12" s="104">
        <f t="shared" si="3"/>
        <v>2591.886</v>
      </c>
      <c r="R12" s="14">
        <f t="shared" ref="R12" si="9">ROUND((PRODUCT(I12:L12))^(1/COUNT(I12:L12)),3)</f>
        <v>5.0999999999999997E-2</v>
      </c>
      <c r="S12" s="14">
        <f t="shared" ref="S12" si="10">ROUND(100*(((ABS(I12-R12)+ABS(J12-R12)+ABS(K12-R12)+ABS(L12-R12))/(R12*COUNT(I12:L12)))),1)</f>
        <v>212.3</v>
      </c>
      <c r="T12" s="14">
        <f>SQRT(S12)</f>
        <v>14.570518178843194</v>
      </c>
      <c r="U12" s="14">
        <f>101-ROUND(100*((T12)/(MAX(T$2:T$54))),1)</f>
        <v>1</v>
      </c>
      <c r="V12" s="14" t="s">
        <v>95</v>
      </c>
      <c r="W12" s="14">
        <v>0.5</v>
      </c>
      <c r="X12" s="14">
        <v>1</v>
      </c>
      <c r="Y12" s="150">
        <f>U12*X12</f>
        <v>1</v>
      </c>
      <c r="Z12" s="150">
        <f>ROUND(PRODUCT(U12^(X12/X12)),1)</f>
        <v>1</v>
      </c>
      <c r="AA12" s="150">
        <v>0.4</v>
      </c>
      <c r="AB12" s="150"/>
      <c r="AC12" s="150"/>
      <c r="AD12" s="150"/>
      <c r="AE12" s="150"/>
      <c r="AF12" s="150"/>
    </row>
    <row r="13" spans="1:32" x14ac:dyDescent="0.35">
      <c r="A13" s="14" t="s">
        <v>171</v>
      </c>
      <c r="B13" s="14" t="s">
        <v>90</v>
      </c>
      <c r="C13" s="14" t="s">
        <v>95</v>
      </c>
      <c r="D13" s="75" t="s">
        <v>409</v>
      </c>
      <c r="E13" s="78"/>
      <c r="F13" s="78"/>
      <c r="G13" s="78"/>
      <c r="H13" s="78"/>
      <c r="I13" s="78"/>
      <c r="J13" s="78"/>
      <c r="K13" s="78"/>
      <c r="L13" s="78"/>
      <c r="M13" s="78"/>
      <c r="N13" s="102"/>
      <c r="O13" s="102"/>
      <c r="P13" s="102"/>
      <c r="Q13" s="102"/>
      <c r="R13" s="78"/>
      <c r="S13" s="78"/>
      <c r="T13" s="78"/>
      <c r="U13" s="78"/>
      <c r="V13" s="14" t="s">
        <v>95</v>
      </c>
      <c r="W13" s="14">
        <v>0.5</v>
      </c>
      <c r="X13" s="14">
        <v>0</v>
      </c>
      <c r="Y13" s="150"/>
      <c r="Z13" s="150"/>
      <c r="AA13" s="150"/>
      <c r="AB13" s="150"/>
      <c r="AC13" s="150"/>
      <c r="AD13" s="150"/>
      <c r="AE13" s="150"/>
      <c r="AF13" s="150"/>
    </row>
    <row r="14" spans="1:32" x14ac:dyDescent="0.35">
      <c r="A14" s="14" t="s">
        <v>171</v>
      </c>
      <c r="B14" s="14" t="s">
        <v>90</v>
      </c>
      <c r="C14" s="14" t="s">
        <v>88</v>
      </c>
      <c r="D14" s="75" t="s">
        <v>410</v>
      </c>
      <c r="E14" s="78"/>
      <c r="F14" s="78"/>
      <c r="G14" s="78"/>
      <c r="H14" s="78"/>
      <c r="I14" s="78"/>
      <c r="J14" s="78"/>
      <c r="K14" s="78"/>
      <c r="L14" s="78"/>
      <c r="M14" s="78"/>
      <c r="N14" s="102"/>
      <c r="O14" s="102"/>
      <c r="P14" s="102"/>
      <c r="Q14" s="102"/>
      <c r="R14" s="78"/>
      <c r="S14" s="78"/>
      <c r="T14" s="78"/>
      <c r="U14" s="78"/>
      <c r="V14" s="14" t="s">
        <v>88</v>
      </c>
      <c r="W14" s="98">
        <f>1/3</f>
        <v>0.33333333333333331</v>
      </c>
      <c r="X14" s="98">
        <v>0</v>
      </c>
      <c r="Y14" s="150">
        <f>U15*X15</f>
        <v>63</v>
      </c>
      <c r="Z14" s="150">
        <f>ROUND(PRODUCT(U15^(X15/X15)),1)</f>
        <v>63</v>
      </c>
      <c r="AA14" s="150">
        <v>0.2</v>
      </c>
      <c r="AB14" s="150"/>
      <c r="AC14" s="150"/>
      <c r="AD14" s="150"/>
      <c r="AE14" s="150"/>
      <c r="AF14" s="150"/>
    </row>
    <row r="15" spans="1:32" x14ac:dyDescent="0.35">
      <c r="A15" s="14" t="s">
        <v>171</v>
      </c>
      <c r="B15" s="14" t="s">
        <v>90</v>
      </c>
      <c r="C15" s="14" t="s">
        <v>88</v>
      </c>
      <c r="D15" s="73" t="s">
        <v>250</v>
      </c>
      <c r="E15" s="14" cm="1">
        <f t="array" ref="E15:H15">'Demographics Data'!C9:F9</f>
        <v>37203</v>
      </c>
      <c r="F15" s="14">
        <v>51228</v>
      </c>
      <c r="G15" s="14">
        <v>9724</v>
      </c>
      <c r="H15" s="14">
        <v>4262</v>
      </c>
      <c r="I15" s="14">
        <f>ROUND('Raw Data'!C11/'Demographics Data'!C9,3)</f>
        <v>8.7999999999999995E-2</v>
      </c>
      <c r="J15" s="14">
        <f>ROUND('Raw Data'!D11/'Demographics Data'!D9,3)</f>
        <v>0.19700000000000001</v>
      </c>
      <c r="K15" s="14">
        <f>ROUND('Raw Data'!E11/'Demographics Data'!E9,3)</f>
        <v>0.13600000000000001</v>
      </c>
      <c r="L15" s="14">
        <f>ROUND('Raw Data'!F11/'Demographics Data'!F9,3)</f>
        <v>0.19800000000000001</v>
      </c>
      <c r="M15" s="14">
        <f>ROUND('R Dataset'!D11/SUM('Demographics Data'!E9:F9),3)</f>
        <v>0.155</v>
      </c>
      <c r="N15" s="101">
        <f t="shared" si="0"/>
        <v>3273.864</v>
      </c>
      <c r="O15" s="101">
        <f t="shared" si="1"/>
        <v>5766.4650000000001</v>
      </c>
      <c r="P15" s="101">
        <f t="shared" si="2"/>
        <v>10091.916000000001</v>
      </c>
      <c r="Q15" s="101">
        <f t="shared" si="3"/>
        <v>7940.34</v>
      </c>
      <c r="R15" s="14">
        <f t="shared" ref="R15" si="11">ROUND((PRODUCT(I15:L15))^(1/COUNT(I15:L15)),3)</f>
        <v>0.14699999999999999</v>
      </c>
      <c r="S15" s="14">
        <f t="shared" ref="S15" si="12">ROUND(100*(((ABS(I15-R15)+ABS(J15-R15)+ABS(K15-R15)+ABS(L15-R15))/(R15*COUNT(I15:L15)))),1)</f>
        <v>29.1</v>
      </c>
      <c r="T15" s="14">
        <f>SQRT(S15)</f>
        <v>5.394441583704471</v>
      </c>
      <c r="U15" s="14">
        <f>100-ROUND(100*((T15)/(MAX(T$2:T$54))),1)</f>
        <v>63</v>
      </c>
      <c r="V15" s="14" t="s">
        <v>88</v>
      </c>
      <c r="W15" s="98">
        <f t="shared" ref="W15:W16" si="13">1/3</f>
        <v>0.33333333333333331</v>
      </c>
      <c r="X15" s="98">
        <v>1</v>
      </c>
      <c r="Y15" s="150"/>
      <c r="Z15" s="150"/>
      <c r="AA15" s="150"/>
      <c r="AB15" s="150"/>
      <c r="AC15" s="150"/>
      <c r="AD15" s="150"/>
      <c r="AE15" s="150"/>
      <c r="AF15" s="150"/>
    </row>
    <row r="16" spans="1:32" x14ac:dyDescent="0.35">
      <c r="A16" s="14" t="s">
        <v>171</v>
      </c>
      <c r="B16" s="14" t="s">
        <v>90</v>
      </c>
      <c r="C16" s="14" t="s">
        <v>88</v>
      </c>
      <c r="D16" s="75" t="s">
        <v>411</v>
      </c>
      <c r="E16" s="78"/>
      <c r="F16" s="78"/>
      <c r="G16" s="78"/>
      <c r="H16" s="78"/>
      <c r="I16" s="78"/>
      <c r="J16" s="78"/>
      <c r="K16" s="78"/>
      <c r="L16" s="78"/>
      <c r="M16" s="78"/>
      <c r="N16" s="102"/>
      <c r="O16" s="102"/>
      <c r="P16" s="102"/>
      <c r="Q16" s="102"/>
      <c r="R16" s="78"/>
      <c r="S16" s="78"/>
      <c r="T16" s="78"/>
      <c r="U16" s="78"/>
      <c r="V16" s="14" t="s">
        <v>88</v>
      </c>
      <c r="W16" s="98">
        <f t="shared" si="13"/>
        <v>0.33333333333333331</v>
      </c>
      <c r="X16" s="98">
        <v>0</v>
      </c>
      <c r="Y16" s="150"/>
      <c r="Z16" s="150"/>
      <c r="AA16" s="150"/>
      <c r="AB16" s="150"/>
      <c r="AC16" s="150"/>
      <c r="AD16" s="150"/>
      <c r="AE16" s="150"/>
      <c r="AF16" s="150"/>
    </row>
    <row r="17" spans="1:53" x14ac:dyDescent="0.35">
      <c r="A17" s="14" t="s">
        <v>171</v>
      </c>
      <c r="B17" s="14" t="s">
        <v>91</v>
      </c>
      <c r="C17" s="32" t="s">
        <v>394</v>
      </c>
      <c r="D17" s="72" t="s">
        <v>101</v>
      </c>
      <c r="E17" s="14" cm="1">
        <f t="array" ref="E17:H17">'Raw Data'!C13:F13</f>
        <v>1066</v>
      </c>
      <c r="F17" s="14">
        <v>2134</v>
      </c>
      <c r="G17" s="14">
        <v>5264</v>
      </c>
      <c r="H17" s="14">
        <v>3295</v>
      </c>
      <c r="I17" s="14">
        <f>ROUND('Raw Data'!C14/'Raw Data'!C13,3)</f>
        <v>0.18099999999999999</v>
      </c>
      <c r="J17" s="14">
        <f>ROUND('Raw Data'!D14/'Raw Data'!D13,3)</f>
        <v>0.21</v>
      </c>
      <c r="K17" s="14">
        <f>ROUND('Raw Data'!E14/'Raw Data'!E13,3)</f>
        <v>0.27300000000000002</v>
      </c>
      <c r="L17" s="14">
        <f>ROUND('Raw Data'!F14/'Raw Data'!F13,3)</f>
        <v>0.26500000000000001</v>
      </c>
      <c r="M17" s="14">
        <f>ROUND('R Dataset'!D14/'R Dataset'!D13,3)</f>
        <v>0.27</v>
      </c>
      <c r="N17" s="101">
        <f t="shared" si="0"/>
        <v>192.946</v>
      </c>
      <c r="O17" s="101">
        <f t="shared" si="1"/>
        <v>287.82</v>
      </c>
      <c r="P17" s="101">
        <f t="shared" si="2"/>
        <v>448.14</v>
      </c>
      <c r="Q17" s="101">
        <f t="shared" si="3"/>
        <v>576.18000000000006</v>
      </c>
      <c r="R17" s="14">
        <f t="shared" ref="R17:R26" si="14">ROUND((PRODUCT(I17:L17))^(1/COUNT(I17:L17)),3)</f>
        <v>0.22900000000000001</v>
      </c>
      <c r="S17" s="14">
        <f t="shared" ref="S17:S26" si="15">ROUND(100*(((ABS(I17-R17)+ABS(J17-R17)+ABS(K17-R17)+ABS(L17-R17))/(R17*COUNT(I17:L17)))),1)</f>
        <v>16</v>
      </c>
      <c r="T17" s="14">
        <f t="shared" ref="T17:T26" si="16">SQRT(S17)</f>
        <v>4</v>
      </c>
      <c r="U17" s="14">
        <f>100-ROUND(100*((T17)/(MAX(T$2:T$54))),1)</f>
        <v>72.5</v>
      </c>
      <c r="V17" s="32" t="s">
        <v>394</v>
      </c>
      <c r="W17" s="14">
        <v>0.5</v>
      </c>
      <c r="X17" s="98">
        <v>0.5</v>
      </c>
      <c r="Y17" s="150">
        <f>SUMPRODUCT(U17:U18,X17:X18)</f>
        <v>59.65</v>
      </c>
      <c r="Z17" s="150" cm="1">
        <f t="array" ref="Z17">ROUND(PRODUCT(U17:U18^(X17:X18/SUM(X17:X18))),1)</f>
        <v>58.2</v>
      </c>
      <c r="AA17" s="150">
        <v>0.4</v>
      </c>
      <c r="AB17" s="150">
        <f>ROUND(SUMPRODUCT(Y17:Y23,AA17:AA23),1)</f>
        <v>57</v>
      </c>
      <c r="AC17" s="150">
        <f>ROUND(Z17^AA17*(Z19)^AA19*Z22^AA22,1)</f>
        <v>55.3</v>
      </c>
      <c r="AD17" s="150">
        <v>0.2</v>
      </c>
      <c r="AE17" s="150"/>
      <c r="AF17" s="150"/>
    </row>
    <row r="18" spans="1:53" x14ac:dyDescent="0.35">
      <c r="A18" s="14" t="s">
        <v>171</v>
      </c>
      <c r="B18" s="14" t="s">
        <v>91</v>
      </c>
      <c r="C18" s="32" t="s">
        <v>394</v>
      </c>
      <c r="D18" s="72" t="s">
        <v>102</v>
      </c>
      <c r="E18" s="14" cm="1">
        <f t="array" ref="E18:H18">'Demographics Data'!C16:F16</f>
        <v>6102</v>
      </c>
      <c r="F18" s="14">
        <v>11594</v>
      </c>
      <c r="G18" s="14">
        <v>37224</v>
      </c>
      <c r="H18" s="14">
        <v>6713</v>
      </c>
      <c r="I18" s="14">
        <f>ROUND('Raw Data'!C14/'Demographics Data'!C16,3)</f>
        <v>3.2000000000000001E-2</v>
      </c>
      <c r="J18" s="14">
        <f>ROUND('Raw Data'!D14/'Demographics Data'!D16,3)</f>
        <v>3.9E-2</v>
      </c>
      <c r="K18" s="14">
        <f>ROUND('Raw Data'!E14/'Demographics Data'!E16,3)</f>
        <v>3.9E-2</v>
      </c>
      <c r="L18" s="14">
        <f>ROUND('Raw Data'!F14/'Demographics Data'!F16,3)</f>
        <v>0.13</v>
      </c>
      <c r="M18" s="14">
        <f>ROUND('R Dataset'!D14/SUM('Demographics Data'!E16:F16),3)</f>
        <v>5.2999999999999999E-2</v>
      </c>
      <c r="N18" s="104">
        <f t="shared" si="0"/>
        <v>195.26400000000001</v>
      </c>
      <c r="O18" s="101">
        <f t="shared" si="1"/>
        <v>323.40600000000001</v>
      </c>
      <c r="P18" s="101">
        <f t="shared" si="2"/>
        <v>452.166</v>
      </c>
      <c r="Q18" s="101">
        <f t="shared" si="3"/>
        <v>614.48199999999997</v>
      </c>
      <c r="R18" s="14">
        <f t="shared" si="14"/>
        <v>0.05</v>
      </c>
      <c r="S18" s="14">
        <f t="shared" si="15"/>
        <v>60</v>
      </c>
      <c r="T18" s="14">
        <f t="shared" si="16"/>
        <v>7.745966692414834</v>
      </c>
      <c r="U18" s="14">
        <f t="shared" ref="U18:U27" si="17">100-ROUND(100*((T18)/(MAX(T$2:T$54))),1)</f>
        <v>46.8</v>
      </c>
      <c r="V18" s="32" t="s">
        <v>394</v>
      </c>
      <c r="W18" s="14">
        <v>0.5</v>
      </c>
      <c r="X18" s="98">
        <v>0.5</v>
      </c>
      <c r="Y18" s="150"/>
      <c r="Z18" s="150"/>
      <c r="AA18" s="150"/>
      <c r="AB18" s="150"/>
      <c r="AC18" s="150"/>
      <c r="AD18" s="150"/>
      <c r="AE18" s="150"/>
      <c r="AF18" s="150"/>
    </row>
    <row r="19" spans="1:53" x14ac:dyDescent="0.35">
      <c r="A19" s="14" t="s">
        <v>171</v>
      </c>
      <c r="B19" s="14" t="s">
        <v>91</v>
      </c>
      <c r="C19" s="32" t="s">
        <v>95</v>
      </c>
      <c r="D19" s="72" t="s">
        <v>104</v>
      </c>
      <c r="E19" s="14" cm="1">
        <f t="array" ref="E19:H19">'Raw Data'!C33:F33</f>
        <v>1457</v>
      </c>
      <c r="F19" s="14">
        <v>1659</v>
      </c>
      <c r="G19" s="14">
        <v>14664</v>
      </c>
      <c r="H19" s="14">
        <v>4078</v>
      </c>
      <c r="I19" s="14">
        <f>ROUND('Raw Data'!C30/'Raw Data'!C32,3)</f>
        <v>2.8000000000000001E-2</v>
      </c>
      <c r="J19" s="14">
        <f>ROUND('Raw Data'!D30/'Raw Data'!D32,3)</f>
        <v>4.4999999999999998E-2</v>
      </c>
      <c r="K19" s="14">
        <f>ROUND('Raw Data'!E30/'Raw Data'!E32,3)</f>
        <v>4.9000000000000002E-2</v>
      </c>
      <c r="L19" s="14">
        <f>ROUND('Raw Data'!F30/'Raw Data'!F32,3)</f>
        <v>0.16</v>
      </c>
      <c r="M19" s="14">
        <f>ROUND('R Dataset'!D38/SUM('R Dataset'!D40),3)</f>
        <v>8.3000000000000004E-2</v>
      </c>
      <c r="N19" s="101">
        <f t="shared" si="0"/>
        <v>40.795999999999999</v>
      </c>
      <c r="O19" s="101">
        <f t="shared" si="1"/>
        <v>120.93100000000001</v>
      </c>
      <c r="P19" s="101">
        <f t="shared" si="2"/>
        <v>74.655000000000001</v>
      </c>
      <c r="Q19" s="101">
        <f t="shared" si="3"/>
        <v>137.697</v>
      </c>
      <c r="R19" s="14">
        <f t="shared" si="14"/>
        <v>5.6000000000000001E-2</v>
      </c>
      <c r="S19" s="14">
        <f t="shared" si="15"/>
        <v>67</v>
      </c>
      <c r="T19" s="14">
        <f t="shared" si="16"/>
        <v>8.1853527718724504</v>
      </c>
      <c r="U19" s="14">
        <f t="shared" si="17"/>
        <v>43.8</v>
      </c>
      <c r="V19" s="32" t="s">
        <v>95</v>
      </c>
      <c r="W19" s="98">
        <f>1/3</f>
        <v>0.33333333333333331</v>
      </c>
      <c r="X19" s="98">
        <f>1/3</f>
        <v>0.33333333333333331</v>
      </c>
      <c r="Y19" s="150">
        <f>SUMPRODUCT(U19:U21,X19:X21)</f>
        <v>54.333333333333329</v>
      </c>
      <c r="Z19" s="150" cm="1">
        <f t="array" ref="Z19">ROUND(PRODUCT(U19:U21^(X19:X21/SUM(X19:X21))),1)</f>
        <v>52.1</v>
      </c>
      <c r="AA19" s="150">
        <v>0.4</v>
      </c>
      <c r="AB19" s="150"/>
      <c r="AC19" s="150"/>
      <c r="AD19" s="150"/>
      <c r="AE19" s="150"/>
      <c r="AF19" s="150"/>
    </row>
    <row r="20" spans="1:53" x14ac:dyDescent="0.35">
      <c r="A20" s="14" t="s">
        <v>171</v>
      </c>
      <c r="B20" s="14" t="s">
        <v>91</v>
      </c>
      <c r="C20" s="32" t="s">
        <v>95</v>
      </c>
      <c r="D20" s="72" t="s">
        <v>347</v>
      </c>
      <c r="E20" s="14" cm="1">
        <f t="array" ref="E20:H20">'Raw Data'!C31:F31</f>
        <v>3059</v>
      </c>
      <c r="F20" s="14">
        <v>7078</v>
      </c>
      <c r="G20" s="14">
        <v>19643</v>
      </c>
      <c r="H20" s="14">
        <v>10623</v>
      </c>
      <c r="I20" s="14">
        <f>ROUND('Raw Data'!C29/'Raw Data'!C31,3)</f>
        <v>3.2000000000000001E-2</v>
      </c>
      <c r="J20" s="14">
        <f>ROUND('Raw Data'!D29/'Raw Data'!D31,3)</f>
        <v>0.04</v>
      </c>
      <c r="K20" s="14">
        <f>ROUND('Raw Data'!E29/'Raw Data'!E31,3)</f>
        <v>0.05</v>
      </c>
      <c r="L20" s="14">
        <f>ROUND('Raw Data'!F29/'Raw Data'!F31,3)</f>
        <v>0.17299999999999999</v>
      </c>
      <c r="M20" s="14">
        <f>ROUND('R Dataset'!D37/'R Dataset'!D39,3)</f>
        <v>9.2999999999999999E-2</v>
      </c>
      <c r="N20" s="101">
        <f t="shared" si="0"/>
        <v>97.888000000000005</v>
      </c>
      <c r="O20" s="101">
        <f t="shared" si="1"/>
        <v>284.48700000000002</v>
      </c>
      <c r="P20" s="101">
        <f t="shared" si="2"/>
        <v>283.12</v>
      </c>
      <c r="Q20" s="101">
        <f t="shared" si="3"/>
        <v>658.25400000000002</v>
      </c>
      <c r="R20" s="14">
        <f t="shared" si="14"/>
        <v>5.8000000000000003E-2</v>
      </c>
      <c r="S20" s="14">
        <f t="shared" si="15"/>
        <v>72</v>
      </c>
      <c r="T20" s="14">
        <f t="shared" si="16"/>
        <v>8.4852813742385695</v>
      </c>
      <c r="U20" s="14">
        <f t="shared" si="17"/>
        <v>41.8</v>
      </c>
      <c r="V20" s="32" t="s">
        <v>95</v>
      </c>
      <c r="W20" s="98">
        <f t="shared" ref="W20:X21" si="18">1/3</f>
        <v>0.33333333333333331</v>
      </c>
      <c r="X20" s="98">
        <f t="shared" si="18"/>
        <v>0.33333333333333331</v>
      </c>
      <c r="Y20" s="150"/>
      <c r="Z20" s="150"/>
      <c r="AA20" s="150"/>
      <c r="AB20" s="150"/>
      <c r="AC20" s="150"/>
      <c r="AD20" s="150"/>
      <c r="AE20" s="150"/>
      <c r="AF20" s="150"/>
    </row>
    <row r="21" spans="1:53" x14ac:dyDescent="0.35">
      <c r="A21" s="14" t="s">
        <v>171</v>
      </c>
      <c r="B21" s="14" t="s">
        <v>91</v>
      </c>
      <c r="C21" s="32" t="s">
        <v>95</v>
      </c>
      <c r="D21" s="72" t="s">
        <v>169</v>
      </c>
      <c r="E21" s="14" cm="1">
        <f t="array" ref="E21:H21">'Raw Data'!C29:F29</f>
        <v>97</v>
      </c>
      <c r="F21" s="14">
        <v>283</v>
      </c>
      <c r="G21" s="14">
        <v>983</v>
      </c>
      <c r="H21" s="14">
        <v>1841</v>
      </c>
      <c r="I21" s="14">
        <f>ROUND('Raw Data'!C30/'Raw Data'!C29,3)</f>
        <v>0.19600000000000001</v>
      </c>
      <c r="J21" s="14">
        <f>ROUND('Raw Data'!D30/'Raw Data'!D29,3)</f>
        <v>0.23</v>
      </c>
      <c r="K21" s="14">
        <f>ROUND('Raw Data'!E30/'Raw Data'!E29,3)</f>
        <v>0.26600000000000001</v>
      </c>
      <c r="L21" s="14">
        <f>ROUND('Raw Data'!F30/'Raw Data'!F29,3)</f>
        <v>0.20399999999999999</v>
      </c>
      <c r="M21" s="14">
        <f>ROUND('R Dataset'!D38/'R Dataset'!D37,3)</f>
        <v>0.22600000000000001</v>
      </c>
      <c r="N21" s="101">
        <f t="shared" si="0"/>
        <v>19.012</v>
      </c>
      <c r="O21" s="101">
        <f t="shared" si="1"/>
        <v>21.922000000000001</v>
      </c>
      <c r="P21" s="101">
        <f t="shared" si="2"/>
        <v>65.09</v>
      </c>
      <c r="Q21" s="101">
        <f t="shared" si="3"/>
        <v>63.957999999999998</v>
      </c>
      <c r="R21" s="14">
        <f t="shared" si="14"/>
        <v>0.222</v>
      </c>
      <c r="S21" s="14">
        <f t="shared" si="15"/>
        <v>10.8</v>
      </c>
      <c r="T21" s="14">
        <f t="shared" si="16"/>
        <v>3.2863353450309969</v>
      </c>
      <c r="U21" s="14">
        <f t="shared" si="17"/>
        <v>77.400000000000006</v>
      </c>
      <c r="V21" s="32" t="s">
        <v>95</v>
      </c>
      <c r="W21" s="98">
        <f t="shared" si="18"/>
        <v>0.33333333333333331</v>
      </c>
      <c r="X21" s="98">
        <f t="shared" si="18"/>
        <v>0.33333333333333331</v>
      </c>
      <c r="Y21" s="150"/>
      <c r="Z21" s="150"/>
      <c r="AA21" s="150"/>
      <c r="AB21" s="150"/>
      <c r="AC21" s="150"/>
      <c r="AD21" s="150"/>
      <c r="AE21" s="150"/>
      <c r="AF21" s="150"/>
    </row>
    <row r="22" spans="1:53" x14ac:dyDescent="0.35">
      <c r="A22" s="14" t="s">
        <v>171</v>
      </c>
      <c r="B22" s="14" t="s">
        <v>91</v>
      </c>
      <c r="C22" s="32" t="s">
        <v>88</v>
      </c>
      <c r="D22" s="72" t="s">
        <v>108</v>
      </c>
      <c r="E22" s="14" cm="1">
        <f t="array" ref="E22:H22">'Demographics Data'!C14:F14</f>
        <v>27966</v>
      </c>
      <c r="F22" s="14">
        <v>51271</v>
      </c>
      <c r="G22" s="14">
        <v>130509</v>
      </c>
      <c r="H22" s="14">
        <v>23305</v>
      </c>
      <c r="I22" s="14">
        <f>ROUND('Raw Data'!C13/'Demographics Data'!C14,3)</f>
        <v>3.7999999999999999E-2</v>
      </c>
      <c r="J22" s="14">
        <f>ROUND('Raw Data'!D13/'Demographics Data'!D14,3)</f>
        <v>4.2000000000000003E-2</v>
      </c>
      <c r="K22" s="14">
        <f>ROUND('Raw Data'!E13/'Demographics Data'!E14,3)</f>
        <v>0.04</v>
      </c>
      <c r="L22" s="14">
        <f>ROUND('Raw Data'!F13/'Demographics Data'!F14,3)</f>
        <v>0.14099999999999999</v>
      </c>
      <c r="M22" s="14">
        <f>ROUND('R Dataset'!D13/SUM('Demographics Data'!E14:F14),3)</f>
        <v>5.6000000000000001E-2</v>
      </c>
      <c r="N22" s="101">
        <f t="shared" si="0"/>
        <v>1062.7080000000001</v>
      </c>
      <c r="O22" s="101">
        <f t="shared" si="1"/>
        <v>1566.096</v>
      </c>
      <c r="P22" s="101">
        <f t="shared" si="2"/>
        <v>2153.3820000000001</v>
      </c>
      <c r="Q22" s="101">
        <f t="shared" si="3"/>
        <v>2871.1759999999999</v>
      </c>
      <c r="R22" s="14">
        <f t="shared" si="14"/>
        <v>5.5E-2</v>
      </c>
      <c r="S22" s="14">
        <f t="shared" si="15"/>
        <v>59.5</v>
      </c>
      <c r="T22" s="14">
        <f t="shared" si="16"/>
        <v>7.713624310270756</v>
      </c>
      <c r="U22" s="14">
        <f t="shared" si="17"/>
        <v>47.1</v>
      </c>
      <c r="V22" s="32" t="s">
        <v>88</v>
      </c>
      <c r="W22" s="14">
        <v>0.5</v>
      </c>
      <c r="X22" s="14">
        <v>0.5</v>
      </c>
      <c r="Y22" s="150">
        <f>SUMPRODUCT(U22:U23,X22:X23)</f>
        <v>56.900000000000006</v>
      </c>
      <c r="Z22" s="150" cm="1">
        <f t="array" ref="Z22">ROUND(PRODUCT(U22:U23^(X22:X23/SUM(X22:X23))),1)</f>
        <v>56</v>
      </c>
      <c r="AA22" s="150">
        <v>0.2</v>
      </c>
      <c r="AB22" s="150"/>
      <c r="AC22" s="150"/>
      <c r="AD22" s="150"/>
      <c r="AE22" s="150"/>
      <c r="AF22" s="150"/>
      <c r="AH22" s="46"/>
      <c r="AI22" s="46"/>
      <c r="AJ22" s="46"/>
      <c r="AK22" s="46"/>
      <c r="AL22" s="46"/>
      <c r="AM22" s="46"/>
      <c r="AN22" s="46"/>
      <c r="AO22" s="46"/>
      <c r="AP22" s="46"/>
      <c r="AQ22" s="46"/>
      <c r="AR22" s="46"/>
      <c r="AS22" s="46"/>
      <c r="AT22" s="46"/>
      <c r="AU22" s="46"/>
      <c r="AV22" s="46"/>
      <c r="AW22" s="46"/>
      <c r="AX22" s="46"/>
      <c r="AY22" s="46"/>
      <c r="AZ22" s="46"/>
      <c r="BA22" s="46"/>
    </row>
    <row r="23" spans="1:53" x14ac:dyDescent="0.35">
      <c r="A23" s="14" t="s">
        <v>171</v>
      </c>
      <c r="B23" s="14" t="s">
        <v>91</v>
      </c>
      <c r="C23" s="32" t="s">
        <v>88</v>
      </c>
      <c r="D23" s="72" t="s">
        <v>482</v>
      </c>
      <c r="E23" s="14" cm="1">
        <f t="array" ref="E23:H23">'Demographics Data'!C18:F18</f>
        <v>185882</v>
      </c>
      <c r="F23" s="14">
        <v>261730</v>
      </c>
      <c r="G23" s="14">
        <v>633474</v>
      </c>
      <c r="H23" s="14">
        <v>70885</v>
      </c>
      <c r="I23" s="14">
        <f>ROUND('Demographics Data'!C14/'Demographics Data'!C18,3)</f>
        <v>0.15</v>
      </c>
      <c r="J23" s="14">
        <f>ROUND('Demographics Data'!D14/'Demographics Data'!D18,3)</f>
        <v>0.19600000000000001</v>
      </c>
      <c r="K23" s="14">
        <f>ROUND('Demographics Data'!E14/'Demographics Data'!E18,3)</f>
        <v>0.20599999999999999</v>
      </c>
      <c r="L23" s="14">
        <f>ROUND('Demographics Data'!F14/'Demographics Data'!F18,3)</f>
        <v>0.32900000000000001</v>
      </c>
      <c r="M23" s="14">
        <f>ROUND(SUM('Demographics Data'!E14:F14)/SUM('Demographics Data'!E18:F18),3)</f>
        <v>0.218</v>
      </c>
      <c r="N23" s="101">
        <f t="shared" si="0"/>
        <v>27882.3</v>
      </c>
      <c r="O23" s="101">
        <f t="shared" si="1"/>
        <v>40522.275999999998</v>
      </c>
      <c r="P23" s="101">
        <f t="shared" si="2"/>
        <v>51299.08</v>
      </c>
      <c r="Q23" s="101">
        <f t="shared" si="3"/>
        <v>57057.14</v>
      </c>
      <c r="R23" s="14">
        <f t="shared" si="14"/>
        <v>0.21099999999999999</v>
      </c>
      <c r="S23" s="14">
        <f t="shared" si="15"/>
        <v>23.6</v>
      </c>
      <c r="T23" s="14">
        <f t="shared" si="16"/>
        <v>4.8579831205964474</v>
      </c>
      <c r="U23" s="14">
        <f t="shared" si="17"/>
        <v>66.7</v>
      </c>
      <c r="V23" s="32" t="s">
        <v>88</v>
      </c>
      <c r="W23" s="14">
        <v>0.5</v>
      </c>
      <c r="X23" s="14">
        <v>0.5</v>
      </c>
      <c r="Y23" s="150"/>
      <c r="Z23" s="150"/>
      <c r="AA23" s="150"/>
      <c r="AB23" s="150"/>
      <c r="AC23" s="150"/>
      <c r="AD23" s="150"/>
      <c r="AE23" s="150"/>
      <c r="AF23" s="150"/>
      <c r="AH23" s="46"/>
      <c r="AI23" s="46"/>
      <c r="AJ23" s="46"/>
      <c r="AK23" s="46"/>
      <c r="AL23" s="46"/>
      <c r="AM23" s="46"/>
      <c r="AN23" s="46"/>
      <c r="AO23" s="46"/>
      <c r="AP23" s="46"/>
      <c r="AQ23" s="46"/>
      <c r="AR23" s="46"/>
      <c r="AS23" s="46"/>
      <c r="AT23" s="46"/>
      <c r="AU23" s="46"/>
      <c r="AV23" s="46"/>
      <c r="AW23" s="46"/>
      <c r="AX23" s="46"/>
      <c r="AY23" s="46"/>
      <c r="AZ23" s="46"/>
      <c r="BA23" s="46"/>
    </row>
    <row r="24" spans="1:53" x14ac:dyDescent="0.35">
      <c r="A24" s="14" t="s">
        <v>171</v>
      </c>
      <c r="B24" s="33" t="s">
        <v>92</v>
      </c>
      <c r="C24" s="32" t="s">
        <v>394</v>
      </c>
      <c r="D24" s="72" t="s">
        <v>246</v>
      </c>
      <c r="E24" s="14" cm="1">
        <f t="array" ref="E24:H24">'Demographics Data'!C33:F33</f>
        <v>350308</v>
      </c>
      <c r="F24" s="14">
        <v>255494</v>
      </c>
      <c r="G24" s="14">
        <v>2007922</v>
      </c>
      <c r="H24" s="14">
        <v>340436</v>
      </c>
      <c r="I24" s="14">
        <f>ROUND('Raw Data'!C16/'Demographics Data'!C33,4)</f>
        <v>2.46E-2</v>
      </c>
      <c r="J24" s="14">
        <f>ROUND('Raw Data'!D16/'Demographics Data'!D33,4)</f>
        <v>3.61E-2</v>
      </c>
      <c r="K24" s="14">
        <f>ROUND('Raw Data'!E16/'Demographics Data'!E33,4)</f>
        <v>3.5999999999999997E-2</v>
      </c>
      <c r="L24" s="14">
        <f>ROUND('Raw Data'!F16/'Demographics Data'!F33,4)</f>
        <v>9.8299999999999998E-2</v>
      </c>
      <c r="M24" s="14">
        <f>ROUND('R Dataset'!D16/SUM('Demographics Data'!E33:F33),4)</f>
        <v>4.5100000000000001E-2</v>
      </c>
      <c r="N24" s="101">
        <f t="shared" si="0"/>
        <v>8617.5768000000007</v>
      </c>
      <c r="O24" s="101">
        <f t="shared" si="1"/>
        <v>15798.890800000001</v>
      </c>
      <c r="P24" s="101">
        <f t="shared" si="2"/>
        <v>9223.3333999999995</v>
      </c>
      <c r="Q24" s="101">
        <f t="shared" si="3"/>
        <v>11522.779399999999</v>
      </c>
      <c r="R24" s="14">
        <f t="shared" si="14"/>
        <v>4.2000000000000003E-2</v>
      </c>
      <c r="S24" s="14">
        <f t="shared" si="15"/>
        <v>51</v>
      </c>
      <c r="T24" s="14">
        <f t="shared" si="16"/>
        <v>7.1414284285428504</v>
      </c>
      <c r="U24" s="14">
        <f t="shared" si="17"/>
        <v>51</v>
      </c>
      <c r="V24" s="32" t="s">
        <v>394</v>
      </c>
      <c r="W24" s="14">
        <v>1</v>
      </c>
      <c r="X24" s="14">
        <v>1</v>
      </c>
      <c r="Y24" s="92">
        <f>U24*X24</f>
        <v>51</v>
      </c>
      <c r="Z24" s="92">
        <f>ROUND(PRODUCT(U24^(X24/X24)),2)</f>
        <v>51</v>
      </c>
      <c r="AA24" s="92">
        <v>0.5</v>
      </c>
      <c r="AB24" s="150">
        <f>ROUND(SUMPRODUCT(Y24:Y27,AA24:AA27),1)</f>
        <v>73</v>
      </c>
      <c r="AC24" s="150">
        <f>ROUND(Z24^AA24*(Z25)^AA25,1)</f>
        <v>56.2</v>
      </c>
      <c r="AD24" s="150">
        <v>0.1</v>
      </c>
      <c r="AE24" s="150"/>
      <c r="AF24" s="150"/>
      <c r="AH24" s="46"/>
      <c r="AI24" s="46"/>
      <c r="AJ24" s="46"/>
      <c r="AK24" s="46"/>
      <c r="AL24" s="46"/>
      <c r="AM24" s="46"/>
      <c r="AN24" s="46"/>
      <c r="AO24" s="46"/>
      <c r="AP24" s="46"/>
      <c r="AQ24" s="46"/>
      <c r="AR24" s="46"/>
      <c r="AS24" s="46"/>
      <c r="AT24" s="46"/>
      <c r="AU24" s="46"/>
      <c r="AV24" s="46"/>
      <c r="AW24" s="46"/>
      <c r="AX24" s="46"/>
      <c r="AY24" s="46"/>
      <c r="AZ24" s="46"/>
      <c r="BA24" s="46"/>
    </row>
    <row r="25" spans="1:53" x14ac:dyDescent="0.35">
      <c r="A25" s="14" t="s">
        <v>171</v>
      </c>
      <c r="B25" s="33" t="s">
        <v>92</v>
      </c>
      <c r="C25" s="32" t="s">
        <v>95</v>
      </c>
      <c r="D25" s="72" t="s">
        <v>141</v>
      </c>
      <c r="E25" s="14">
        <f>E24</f>
        <v>350308</v>
      </c>
      <c r="F25" s="14" cm="1">
        <f t="array" ref="F25:H25">F24:H24</f>
        <v>255494</v>
      </c>
      <c r="G25" s="14">
        <v>2007922</v>
      </c>
      <c r="H25" s="14">
        <v>340436</v>
      </c>
      <c r="I25" s="14">
        <f>ROUND('Raw Data'!C33/'Demographics Data'!C33,4)</f>
        <v>4.1999999999999997E-3</v>
      </c>
      <c r="J25" s="14">
        <f>ROUND('Raw Data'!D33/'Demographics Data'!D33,4)</f>
        <v>6.4999999999999997E-3</v>
      </c>
      <c r="K25" s="14">
        <f>ROUND('Raw Data'!E33/'Demographics Data'!E33,4)</f>
        <v>7.3000000000000001E-3</v>
      </c>
      <c r="L25" s="14">
        <f>ROUND('Raw Data'!F33/'Demographics Data'!F33,4)</f>
        <v>1.2E-2</v>
      </c>
      <c r="M25" s="14">
        <f>ROUND('R Dataset'!D41/SUM('Demographics Data'!E33:F33),4)</f>
        <v>8.0000000000000002E-3</v>
      </c>
      <c r="N25" s="101">
        <f t="shared" si="0"/>
        <v>1471.2936</v>
      </c>
      <c r="O25" s="101">
        <f t="shared" si="1"/>
        <v>2802.4639999999999</v>
      </c>
      <c r="P25" s="101">
        <f t="shared" si="2"/>
        <v>1660.711</v>
      </c>
      <c r="Q25" s="101">
        <f t="shared" si="3"/>
        <v>2043.952</v>
      </c>
      <c r="R25" s="14">
        <f t="shared" si="14"/>
        <v>7.0000000000000001E-3</v>
      </c>
      <c r="S25" s="14">
        <f t="shared" si="15"/>
        <v>30.7</v>
      </c>
      <c r="T25" s="14">
        <f t="shared" si="16"/>
        <v>5.5407580708780273</v>
      </c>
      <c r="U25" s="14">
        <f t="shared" si="17"/>
        <v>62</v>
      </c>
      <c r="V25" s="32" t="s">
        <v>95</v>
      </c>
      <c r="W25" s="14">
        <v>1</v>
      </c>
      <c r="X25" s="14">
        <v>1</v>
      </c>
      <c r="Y25" s="92">
        <f>U25*X25</f>
        <v>62</v>
      </c>
      <c r="Z25" s="92">
        <f>ROUND(PRODUCT(U25^(X25/X25)),1)</f>
        <v>62</v>
      </c>
      <c r="AA25" s="92">
        <v>0.5</v>
      </c>
      <c r="AB25" s="150"/>
      <c r="AC25" s="150"/>
      <c r="AD25" s="150"/>
      <c r="AE25" s="150"/>
      <c r="AF25" s="150"/>
      <c r="AH25" s="46"/>
      <c r="AI25" s="46"/>
      <c r="AJ25" s="46"/>
      <c r="AK25" s="46"/>
      <c r="AL25" s="46"/>
      <c r="AM25" s="46"/>
      <c r="AN25" s="46"/>
      <c r="AO25" s="46"/>
      <c r="AP25" s="46"/>
      <c r="AQ25" s="46"/>
      <c r="AR25" s="46"/>
      <c r="AS25" s="46"/>
      <c r="AT25" s="46"/>
      <c r="AU25" s="46"/>
      <c r="AV25" s="46"/>
      <c r="AW25" s="46"/>
      <c r="AX25" s="46"/>
      <c r="AY25" s="46"/>
      <c r="AZ25" s="46"/>
      <c r="BA25" s="46"/>
    </row>
    <row r="26" spans="1:53" s="15" customFormat="1" x14ac:dyDescent="0.35">
      <c r="A26" s="79" t="s">
        <v>171</v>
      </c>
      <c r="B26" s="79" t="s">
        <v>92</v>
      </c>
      <c r="C26" s="34" t="s">
        <v>88</v>
      </c>
      <c r="D26" s="76" t="s">
        <v>483</v>
      </c>
      <c r="E26" s="79" cm="1">
        <f t="array" ref="E26:H26">'Raw Data'!C15:F15</f>
        <v>539</v>
      </c>
      <c r="F26" s="79">
        <v>1227</v>
      </c>
      <c r="G26" s="79">
        <v>4478</v>
      </c>
      <c r="H26" s="79">
        <v>2246</v>
      </c>
      <c r="I26" s="79">
        <f>ROUND('Raw Data'!C17/'Raw Data'!C15,3)</f>
        <v>0.71399999999999997</v>
      </c>
      <c r="J26" s="79">
        <f>ROUND('Raw Data'!D17/'Raw Data'!D15,3)</f>
        <v>0.33600000000000002</v>
      </c>
      <c r="K26" s="79">
        <f>ROUND('Raw Data'!E17/'Raw Data'!E15,3)</f>
        <v>0.72099999999999997</v>
      </c>
      <c r="L26" s="79">
        <f>ROUND('Raw Data'!F17/'Raw Data'!F15,3)</f>
        <v>0.66500000000000004</v>
      </c>
      <c r="M26" s="79">
        <f>ROUND('R Dataset'!D17/'R Dataset'!D15,3)</f>
        <v>0.70199999999999996</v>
      </c>
      <c r="N26" s="107">
        <f t="shared" si="0"/>
        <v>384.846</v>
      </c>
      <c r="O26" s="107">
        <f t="shared" si="1"/>
        <v>378.37799999999999</v>
      </c>
      <c r="P26" s="107">
        <f t="shared" si="2"/>
        <v>412.27200000000005</v>
      </c>
      <c r="Q26" s="107">
        <f t="shared" si="3"/>
        <v>861.35399999999993</v>
      </c>
      <c r="R26" s="79">
        <f t="shared" si="14"/>
        <v>0.58199999999999996</v>
      </c>
      <c r="S26" s="79">
        <f t="shared" si="15"/>
        <v>25.8</v>
      </c>
      <c r="T26" s="79">
        <f t="shared" si="16"/>
        <v>5.0793700396801178</v>
      </c>
      <c r="U26" s="79">
        <f t="shared" si="17"/>
        <v>65.099999999999994</v>
      </c>
      <c r="V26" s="34" t="s">
        <v>88</v>
      </c>
      <c r="W26" s="79">
        <v>0.5</v>
      </c>
      <c r="X26" s="79">
        <v>0.5</v>
      </c>
      <c r="Y26" s="153">
        <f>SUMPRODUCT(U26:U27,X26:X27)</f>
        <v>82.55</v>
      </c>
      <c r="Z26" s="153" cm="1">
        <f t="array" ref="Z26">ROUND(PRODUCT(U26:U27^(X26:X27/SUM(X26:X27))),1)</f>
        <v>80.7</v>
      </c>
      <c r="AA26" s="153">
        <v>0.2</v>
      </c>
      <c r="AB26" s="150"/>
      <c r="AC26" s="150"/>
      <c r="AD26" s="150"/>
      <c r="AE26" s="150"/>
      <c r="AF26" s="150"/>
      <c r="AH26" s="108"/>
      <c r="AI26" s="108"/>
      <c r="AJ26" s="108"/>
      <c r="AK26" s="108"/>
      <c r="AL26" s="108"/>
      <c r="AM26" s="108"/>
      <c r="AN26" s="108"/>
      <c r="AO26" s="108"/>
      <c r="AP26" s="108"/>
      <c r="AQ26" s="108"/>
      <c r="AR26" s="108"/>
      <c r="AS26" s="108"/>
      <c r="AT26" s="108"/>
      <c r="AU26" s="108"/>
      <c r="AV26" s="108"/>
      <c r="AW26" s="108"/>
      <c r="AX26" s="108"/>
      <c r="AY26" s="108"/>
      <c r="AZ26" s="108"/>
      <c r="BA26" s="108"/>
    </row>
    <row r="27" spans="1:53" s="15" customFormat="1" x14ac:dyDescent="0.35">
      <c r="A27" s="79" t="s">
        <v>171</v>
      </c>
      <c r="B27" s="79" t="s">
        <v>92</v>
      </c>
      <c r="C27" s="34" t="s">
        <v>88</v>
      </c>
      <c r="D27" s="76" t="s">
        <v>142</v>
      </c>
      <c r="E27" s="109"/>
      <c r="F27" s="109"/>
      <c r="G27" s="109"/>
      <c r="H27" s="109"/>
      <c r="I27" s="109"/>
      <c r="J27" s="109"/>
      <c r="K27" s="109"/>
      <c r="L27" s="109"/>
      <c r="M27" s="79"/>
      <c r="N27" s="107"/>
      <c r="O27" s="107"/>
      <c r="P27" s="107"/>
      <c r="Q27" s="107"/>
      <c r="R27" s="79"/>
      <c r="S27" s="79"/>
      <c r="T27" s="79"/>
      <c r="U27" s="79">
        <f t="shared" si="17"/>
        <v>100</v>
      </c>
      <c r="V27" s="34" t="s">
        <v>88</v>
      </c>
      <c r="W27" s="79">
        <v>0.5</v>
      </c>
      <c r="X27" s="79">
        <v>0.5</v>
      </c>
      <c r="Y27" s="153"/>
      <c r="Z27" s="153"/>
      <c r="AA27" s="153"/>
      <c r="AB27" s="150"/>
      <c r="AC27" s="150"/>
      <c r="AD27" s="150"/>
      <c r="AE27" s="150"/>
      <c r="AF27" s="150"/>
      <c r="AH27" s="108"/>
      <c r="AI27" s="108"/>
      <c r="AJ27" s="108"/>
      <c r="AK27" s="108"/>
      <c r="AL27" s="108"/>
      <c r="AM27" s="108"/>
      <c r="AN27" s="108"/>
      <c r="AO27" s="108"/>
      <c r="AP27" s="108"/>
      <c r="AQ27" s="108"/>
      <c r="AR27" s="108"/>
      <c r="AS27" s="108"/>
      <c r="AT27" s="108"/>
      <c r="AU27" s="108"/>
      <c r="AV27" s="108"/>
      <c r="AW27" s="108"/>
      <c r="AX27" s="108"/>
      <c r="AY27" s="108"/>
      <c r="AZ27" s="108"/>
      <c r="BA27" s="108"/>
    </row>
    <row r="28" spans="1:53" x14ac:dyDescent="0.35">
      <c r="A28" s="61"/>
      <c r="B28" s="61"/>
      <c r="C28" s="61"/>
      <c r="D28" s="61"/>
      <c r="E28" s="80"/>
      <c r="F28" s="80"/>
      <c r="G28" s="80"/>
      <c r="H28" s="80"/>
      <c r="I28" s="80"/>
      <c r="J28" s="80"/>
      <c r="K28" s="80"/>
      <c r="L28" s="80"/>
      <c r="M28" s="80"/>
      <c r="N28" s="80"/>
      <c r="O28" s="80"/>
      <c r="P28" s="80"/>
      <c r="Q28" s="80"/>
      <c r="R28" s="80"/>
      <c r="S28" s="80"/>
      <c r="T28" s="80"/>
      <c r="U28" s="80"/>
      <c r="V28" s="80"/>
      <c r="W28" s="80"/>
      <c r="X28" s="80"/>
      <c r="Y28" s="99"/>
      <c r="Z28" s="99"/>
      <c r="AA28" s="80"/>
      <c r="AB28" s="80"/>
      <c r="AC28" s="80"/>
      <c r="AD28" s="80"/>
      <c r="AE28" s="80"/>
      <c r="AF28" s="80"/>
      <c r="AH28" s="46"/>
      <c r="AI28" s="46"/>
      <c r="AJ28" s="46"/>
      <c r="AK28" s="46"/>
      <c r="AL28" s="46"/>
      <c r="AM28" s="46"/>
      <c r="AN28" s="46"/>
      <c r="AO28" s="46"/>
      <c r="AP28" s="46"/>
      <c r="AQ28" s="46"/>
      <c r="AR28" s="46"/>
      <c r="AS28" s="46"/>
      <c r="AT28" s="46"/>
      <c r="AU28" s="46"/>
      <c r="AV28" s="46"/>
      <c r="AW28" s="46"/>
      <c r="AX28" s="46"/>
      <c r="AY28" s="46"/>
      <c r="AZ28" s="46"/>
      <c r="BA28" s="46"/>
    </row>
    <row r="29" spans="1:53" x14ac:dyDescent="0.35">
      <c r="A29" s="14" t="s">
        <v>176</v>
      </c>
      <c r="B29" s="31" t="s">
        <v>32</v>
      </c>
      <c r="C29" s="14" t="s">
        <v>394</v>
      </c>
      <c r="D29" s="72" t="s">
        <v>407</v>
      </c>
      <c r="E29" s="14"/>
      <c r="F29" s="14"/>
      <c r="G29" s="14"/>
      <c r="H29" s="14"/>
      <c r="I29" s="14">
        <f>'Raw Data'!C18</f>
        <v>0.2</v>
      </c>
      <c r="J29" s="14">
        <f>'Raw Data'!D18</f>
        <v>0.28000000000000003</v>
      </c>
      <c r="K29" s="14">
        <f>'Raw Data'!E18</f>
        <v>0.52</v>
      </c>
      <c r="L29" s="14">
        <f>'Raw Data'!F18</f>
        <v>0.7</v>
      </c>
      <c r="M29" s="14">
        <f>ROUND('R Dataset'!D18/SUM('Demographics Data'!E26:F26),3)</f>
        <v>0.59299999999999997</v>
      </c>
      <c r="N29" s="14"/>
      <c r="O29" s="14"/>
      <c r="P29" s="14"/>
      <c r="Q29" s="14"/>
      <c r="R29" s="14">
        <f>ROUND((PRODUCT(G29:L29))^(1/COUNT(G29:L29)),3)</f>
        <v>0.378</v>
      </c>
      <c r="S29" s="14">
        <f>ROUND(100*(((ABS(I29-R29)+ABS(J29-R29)+ABS(K29-R29)+ABS(L29-R29))/(R29*COUNT(G29:L29)))),1)</f>
        <v>48.9</v>
      </c>
      <c r="T29" s="14">
        <f>SQRT(S29)</f>
        <v>6.992853494818835</v>
      </c>
      <c r="U29" s="14">
        <f>100-ROUND(100*((T29)/(MAX(T$2:T$54))),1)</f>
        <v>52</v>
      </c>
      <c r="V29" s="14" t="s">
        <v>394</v>
      </c>
      <c r="W29" s="14">
        <v>0.5</v>
      </c>
      <c r="X29" s="14">
        <v>0.5</v>
      </c>
      <c r="Y29" s="152">
        <f>SUMPRODUCT(U29:U30,X29:X30)</f>
        <v>48.3</v>
      </c>
      <c r="Z29" s="150" cm="1">
        <f t="array" ref="Z29">ROUND(PRODUCT(U29:U30^(X29:X30/SUM(X29:X30))),1)</f>
        <v>48.2</v>
      </c>
      <c r="AA29" s="150">
        <v>0.4</v>
      </c>
      <c r="AB29" s="150">
        <f>(SUMPRODUCT(Y29:Y36,AA29:AA36))</f>
        <v>45.406400000000005</v>
      </c>
      <c r="AC29" s="150">
        <f>ROUND(Z29^AA29*Z31^AA31*Z33^AA33,1)</f>
        <v>41.3</v>
      </c>
      <c r="AD29" s="150">
        <v>0.4</v>
      </c>
      <c r="AE29" s="150">
        <f>ROUND(SUMPRODUCT(AC29:AC54,AD29:AD54),1)</f>
        <v>49.7</v>
      </c>
      <c r="AF29" s="150">
        <f>ROUND(AC29^AD29*AC37^AD37*AC44^AD44*AC51^AD51,1)</f>
        <v>49.1</v>
      </c>
    </row>
    <row r="30" spans="1:53" x14ac:dyDescent="0.35">
      <c r="A30" s="14" t="s">
        <v>176</v>
      </c>
      <c r="B30" s="31" t="s">
        <v>32</v>
      </c>
      <c r="C30" s="14" t="s">
        <v>394</v>
      </c>
      <c r="D30" s="72" t="s">
        <v>488</v>
      </c>
      <c r="E30" s="14">
        <f>E24*I24</f>
        <v>8617.5768000000007</v>
      </c>
      <c r="F30" s="14">
        <f t="shared" ref="F30:H30" si="19">F24*J24</f>
        <v>9223.3333999999995</v>
      </c>
      <c r="G30" s="14">
        <f t="shared" si="19"/>
        <v>72285.191999999995</v>
      </c>
      <c r="H30" s="14">
        <f t="shared" si="19"/>
        <v>33464.858800000002</v>
      </c>
      <c r="I30" s="14">
        <f>'Raw Data'!C20</f>
        <v>0.13</v>
      </c>
      <c r="J30" s="14">
        <f>'Raw Data'!D20</f>
        <v>0.19</v>
      </c>
      <c r="K30" s="14">
        <f>'Raw Data'!E20</f>
        <v>0.43</v>
      </c>
      <c r="L30" s="14">
        <f>'Raw Data'!F20</f>
        <v>0.64</v>
      </c>
      <c r="M30" s="14">
        <f>ROUND('R Dataset'!D20/SUM('Demographics Data'!E27:F27),3)</f>
        <v>0.45300000000000001</v>
      </c>
      <c r="N30" s="14"/>
      <c r="O30" s="14"/>
      <c r="P30" s="14"/>
      <c r="Q30" s="14"/>
      <c r="R30" s="14">
        <f>ROUND((PRODUCT(G30:L30))^(1/COUNT(G30:L30)),3)</f>
        <v>15.946</v>
      </c>
      <c r="S30" s="14">
        <f>ROUND(100*(((ABS(I30-R30)+ABS(J30-R30)+ABS(K30-R30)+ABS(L30-R30))/(R30*COUNT(G30:L30)))),1)</f>
        <v>65.2</v>
      </c>
      <c r="T30" s="14">
        <f>SQRT(S30)</f>
        <v>8.0746516952745395</v>
      </c>
      <c r="U30" s="14">
        <f t="shared" ref="U30:U32" si="20">100-ROUND(100*((T30)/(MAX(T$2:T$54))),1)</f>
        <v>44.6</v>
      </c>
      <c r="V30" s="14" t="s">
        <v>394</v>
      </c>
      <c r="W30" s="14">
        <v>0.5</v>
      </c>
      <c r="X30" s="14">
        <v>0.5</v>
      </c>
      <c r="Y30" s="152"/>
      <c r="Z30" s="150"/>
      <c r="AA30" s="150"/>
      <c r="AB30" s="150"/>
      <c r="AC30" s="150"/>
      <c r="AD30" s="150"/>
      <c r="AE30" s="150"/>
      <c r="AF30" s="150"/>
    </row>
    <row r="31" spans="1:53" x14ac:dyDescent="0.35">
      <c r="A31" s="14" t="s">
        <v>176</v>
      </c>
      <c r="B31" s="31" t="s">
        <v>32</v>
      </c>
      <c r="C31" s="14" t="s">
        <v>95</v>
      </c>
      <c r="D31" s="72" t="s">
        <v>178</v>
      </c>
      <c r="E31" s="14">
        <f>E25*I25</f>
        <v>1471.2936</v>
      </c>
      <c r="F31" s="14">
        <f t="shared" ref="F31" si="21">F25*J25</f>
        <v>1660.711</v>
      </c>
      <c r="G31" s="14">
        <f t="shared" ref="G31" si="22">G25*K25</f>
        <v>14657.830599999999</v>
      </c>
      <c r="H31" s="14">
        <f t="shared" ref="H31" si="23">H25*L25</f>
        <v>4085.232</v>
      </c>
      <c r="I31" s="14">
        <f>'Raw Data'!C19</f>
        <v>0.02</v>
      </c>
      <c r="J31" s="14">
        <f>'Raw Data'!D19</f>
        <v>0.03</v>
      </c>
      <c r="K31" s="14">
        <f>'Raw Data'!E19</f>
        <v>0.12</v>
      </c>
      <c r="L31" s="14">
        <f>'Raw Data'!F19</f>
        <v>0.28999999999999998</v>
      </c>
      <c r="M31" s="14">
        <f>ROUND('R Dataset'!D19/SUM('Demographics Data'!E26:F26),3)</f>
        <v>0.151</v>
      </c>
      <c r="N31" s="14"/>
      <c r="O31" s="14"/>
      <c r="P31" s="14"/>
      <c r="Q31" s="14"/>
      <c r="R31" s="14">
        <f>ROUND((PRODUCT(G31:L31))^(1/COUNT(G31:L31)),3)</f>
        <v>3.282</v>
      </c>
      <c r="S31" s="14">
        <f>ROUND(100*(((ABS(I31-R31)+ABS(J31-R31)+ABS(K31-R31)+ABS(L31-R31))/(R31*COUNT(G31:L31)))),1)</f>
        <v>64.3</v>
      </c>
      <c r="T31" s="14">
        <f>SQRT(S31)</f>
        <v>8.0187280786917814</v>
      </c>
      <c r="U31" s="14">
        <f t="shared" si="20"/>
        <v>45</v>
      </c>
      <c r="V31" s="14" t="s">
        <v>95</v>
      </c>
      <c r="W31" s="14">
        <v>0.5</v>
      </c>
      <c r="X31" s="14">
        <v>0.5</v>
      </c>
      <c r="Y31" s="152">
        <f>SUMPRODUCT(U31:U32,X31:X32)</f>
        <v>31.25</v>
      </c>
      <c r="Z31" s="150" cm="1">
        <f t="array" ref="Z31">ROUND(PRODUCT(U31:U32^(X31:X32/SUM(X31:X32))),1)</f>
        <v>28.1</v>
      </c>
      <c r="AA31" s="150">
        <v>0.4</v>
      </c>
      <c r="AB31" s="150"/>
      <c r="AC31" s="150"/>
      <c r="AD31" s="150"/>
      <c r="AE31" s="150"/>
      <c r="AF31" s="150"/>
    </row>
    <row r="32" spans="1:53" x14ac:dyDescent="0.35">
      <c r="A32" s="14" t="s">
        <v>176</v>
      </c>
      <c r="B32" s="31" t="s">
        <v>32</v>
      </c>
      <c r="C32" s="14" t="s">
        <v>95</v>
      </c>
      <c r="D32" s="72" t="s">
        <v>180</v>
      </c>
      <c r="E32" s="14"/>
      <c r="F32" s="14"/>
      <c r="G32" s="14"/>
      <c r="H32" s="14"/>
      <c r="I32" s="14">
        <f>'Raw Data'!C21</f>
        <v>0.02</v>
      </c>
      <c r="J32" s="14">
        <f>'Raw Data'!D21</f>
        <v>0.03</v>
      </c>
      <c r="K32" s="14">
        <f>'Raw Data'!E21</f>
        <v>0.13</v>
      </c>
      <c r="L32" s="14">
        <f>'Raw Data'!F21</f>
        <v>0.33</v>
      </c>
      <c r="M32" s="14">
        <f>ROUND('R Dataset'!D21/SUM('Demographics Data'!E27:F27),3)</f>
        <v>0.151</v>
      </c>
      <c r="N32" s="14"/>
      <c r="O32" s="14"/>
      <c r="P32" s="14"/>
      <c r="Q32" s="14"/>
      <c r="R32" s="14">
        <f>ROUND((PRODUCT(G32:L32))^(1/COUNT(G32:L32)),3)</f>
        <v>7.0999999999999994E-2</v>
      </c>
      <c r="S32" s="14">
        <f>ROUND(100*(((ABS(I32-R32)+ABS(J32-R32)+ABS(K32-R32)+ABS(L32-R32))/(R32*COUNT(G32:L32)))),1)</f>
        <v>144.4</v>
      </c>
      <c r="T32" s="14">
        <f>SQRT(S32)</f>
        <v>12.016655108639842</v>
      </c>
      <c r="U32" s="14">
        <f t="shared" si="20"/>
        <v>17.5</v>
      </c>
      <c r="V32" s="14" t="s">
        <v>95</v>
      </c>
      <c r="W32" s="14">
        <v>0.5</v>
      </c>
      <c r="X32" s="14">
        <v>0.5</v>
      </c>
      <c r="Y32" s="152"/>
      <c r="Z32" s="150"/>
      <c r="AA32" s="150"/>
      <c r="AB32" s="150"/>
      <c r="AC32" s="150"/>
      <c r="AD32" s="150"/>
      <c r="AE32" s="150"/>
      <c r="AF32" s="150"/>
    </row>
    <row r="33" spans="1:32" x14ac:dyDescent="0.35">
      <c r="A33" s="14" t="s">
        <v>176</v>
      </c>
      <c r="B33" s="31" t="s">
        <v>32</v>
      </c>
      <c r="C33" s="14" t="s">
        <v>88</v>
      </c>
      <c r="D33" s="73" t="s">
        <v>524</v>
      </c>
      <c r="E33" s="33"/>
      <c r="F33" s="33"/>
      <c r="G33" s="33"/>
      <c r="H33" s="33"/>
      <c r="I33" s="33">
        <f>'Raw Data'!C53</f>
        <v>0.26</v>
      </c>
      <c r="J33" s="33">
        <f>'Raw Data'!D53</f>
        <v>0.35</v>
      </c>
      <c r="K33" s="33">
        <f>'Raw Data'!E53</f>
        <v>0.36</v>
      </c>
      <c r="L33" s="33">
        <f>'Raw Data'!F53</f>
        <v>0.43</v>
      </c>
      <c r="M33" s="33"/>
      <c r="N33" s="33"/>
      <c r="O33" s="33"/>
      <c r="P33" s="33"/>
      <c r="Q33" s="33"/>
      <c r="R33" s="14">
        <f>ROUND((PRODUCT(G33:L33))^(1/COUNT(G33:L33)),3)</f>
        <v>0.34499999999999997</v>
      </c>
      <c r="S33" s="14">
        <f>ROUND(100*(((ABS(I33-R33)+ABS(J33-R33)+ABS(K33-R33)+ABS(L33-R33))/(R33*COUNT(G33:L33)))),1)</f>
        <v>13.8</v>
      </c>
      <c r="T33" s="14">
        <f>SQRT(S33)</f>
        <v>3.714835124201342</v>
      </c>
      <c r="U33" s="14">
        <f t="shared" ref="U33" si="24">100-ROUND(100*((T33)/(MAX(T$2:T$54))),1)</f>
        <v>74.5</v>
      </c>
      <c r="V33" s="14" t="s">
        <v>88</v>
      </c>
      <c r="W33" s="14">
        <v>0.25</v>
      </c>
      <c r="X33" s="14">
        <v>0.33300000000000002</v>
      </c>
      <c r="Y33" s="150">
        <f>SUMPRODUCT(U33:U36,X33:X36)</f>
        <v>67.932000000000002</v>
      </c>
      <c r="Z33" s="150">
        <f>ROUND(U33^X33*U35^X35*U36^X36,1)</f>
        <v>65.5</v>
      </c>
      <c r="AA33" s="150">
        <v>0.2</v>
      </c>
      <c r="AB33" s="150"/>
      <c r="AC33" s="150"/>
      <c r="AD33" s="150"/>
      <c r="AE33" s="150"/>
      <c r="AF33" s="150"/>
    </row>
    <row r="34" spans="1:32" x14ac:dyDescent="0.35">
      <c r="A34" s="14" t="s">
        <v>176</v>
      </c>
      <c r="B34" s="31" t="s">
        <v>32</v>
      </c>
      <c r="C34" s="14" t="s">
        <v>88</v>
      </c>
      <c r="D34" s="74" t="s">
        <v>96</v>
      </c>
      <c r="E34" s="78"/>
      <c r="F34" s="78"/>
      <c r="G34" s="78"/>
      <c r="H34" s="78"/>
      <c r="I34" s="78"/>
      <c r="J34" s="78"/>
      <c r="K34" s="78"/>
      <c r="L34" s="78"/>
      <c r="M34" s="78"/>
      <c r="N34" s="78"/>
      <c r="O34" s="78"/>
      <c r="P34" s="78"/>
      <c r="Q34" s="78"/>
      <c r="R34" s="78"/>
      <c r="S34" s="78"/>
      <c r="T34" s="78"/>
      <c r="U34" s="78"/>
      <c r="V34" s="14" t="s">
        <v>88</v>
      </c>
      <c r="W34" s="14">
        <v>0.25</v>
      </c>
      <c r="X34" s="14">
        <v>0</v>
      </c>
      <c r="Y34" s="150"/>
      <c r="Z34" s="150"/>
      <c r="AA34" s="150"/>
      <c r="AB34" s="150"/>
      <c r="AC34" s="150"/>
      <c r="AD34" s="150"/>
      <c r="AE34" s="150"/>
      <c r="AF34" s="150"/>
    </row>
    <row r="35" spans="1:32" x14ac:dyDescent="0.35">
      <c r="A35" s="14" t="s">
        <v>176</v>
      </c>
      <c r="B35" s="31" t="s">
        <v>32</v>
      </c>
      <c r="C35" s="14" t="s">
        <v>88</v>
      </c>
      <c r="D35" s="72" t="s">
        <v>525</v>
      </c>
      <c r="E35" s="33"/>
      <c r="F35" s="33"/>
      <c r="G35" s="33"/>
      <c r="H35" s="33"/>
      <c r="I35" s="33">
        <f>'Raw Data'!C54</f>
        <v>0.67</v>
      </c>
      <c r="J35" s="33">
        <f>'Raw Data'!D54</f>
        <v>0.68</v>
      </c>
      <c r="K35" s="33">
        <f>'Raw Data'!E54</f>
        <v>0.7</v>
      </c>
      <c r="L35" s="33">
        <f>'Raw Data'!F54</f>
        <v>0.79</v>
      </c>
      <c r="M35" s="33"/>
      <c r="N35" s="33"/>
      <c r="O35" s="33"/>
      <c r="P35" s="33"/>
      <c r="Q35" s="33"/>
      <c r="R35" s="14">
        <f t="shared" ref="R35:R53" si="25">ROUND((PRODUCT(G35:L35))^(1/COUNT(G35:L35)),3)</f>
        <v>0.70799999999999996</v>
      </c>
      <c r="S35" s="14">
        <f t="shared" ref="S35:S53" si="26">ROUND(100*(((ABS(I35-R35)+ABS(J35-R35)+ABS(K35-R35)+ABS(L35-R35))/(R35*COUNT(G35:L35)))),1)</f>
        <v>5.5</v>
      </c>
      <c r="T35" s="14">
        <f t="shared" ref="T35:T42" si="27">SQRT(S35)</f>
        <v>2.3452078799117149</v>
      </c>
      <c r="U35" s="14">
        <f>100-ROUND(100*((T35)/(MAX(T$2:T$54))),1)</f>
        <v>83.9</v>
      </c>
      <c r="V35" s="14" t="s">
        <v>88</v>
      </c>
      <c r="W35" s="14">
        <v>0.25</v>
      </c>
      <c r="X35" s="14">
        <v>0.33300000000000002</v>
      </c>
      <c r="Y35" s="150"/>
      <c r="Z35" s="150"/>
      <c r="AA35" s="150"/>
      <c r="AB35" s="150"/>
      <c r="AC35" s="150"/>
      <c r="AD35" s="150"/>
      <c r="AE35" s="150"/>
      <c r="AF35" s="150"/>
    </row>
    <row r="36" spans="1:32" x14ac:dyDescent="0.35">
      <c r="A36" s="14" t="s">
        <v>176</v>
      </c>
      <c r="B36" s="31" t="s">
        <v>32</v>
      </c>
      <c r="C36" s="14" t="s">
        <v>88</v>
      </c>
      <c r="D36" s="72" t="s">
        <v>523</v>
      </c>
      <c r="E36" s="33"/>
      <c r="F36" s="33"/>
      <c r="G36" s="33"/>
      <c r="H36" s="33"/>
      <c r="I36" s="33">
        <f>'Raw Data'!C59</f>
        <v>7.4999999999999997E-2</v>
      </c>
      <c r="J36" s="33">
        <f>'Raw Data'!D59</f>
        <v>6.9000000000000006E-2</v>
      </c>
      <c r="K36" s="33">
        <f>'Raw Data'!E59</f>
        <v>3.2000000000000001E-2</v>
      </c>
      <c r="L36" s="33">
        <f>'Raw Data'!F59</f>
        <v>1.4E-2</v>
      </c>
      <c r="M36" s="95">
        <f>('Raw Data'!E57+'Raw Data'!F57)/(25946000+2526000)</f>
        <v>3.0403062658050015E-2</v>
      </c>
      <c r="N36" s="95"/>
      <c r="O36" s="95"/>
      <c r="P36" s="95"/>
      <c r="Q36" s="95"/>
      <c r="R36" s="14">
        <f t="shared" si="25"/>
        <v>3.9E-2</v>
      </c>
      <c r="S36" s="14">
        <f t="shared" si="26"/>
        <v>62.8</v>
      </c>
      <c r="T36" s="14">
        <f t="shared" si="27"/>
        <v>7.9246451024635798</v>
      </c>
      <c r="U36" s="14">
        <f>100-ROUND(100*((T36)/(MAX(T$2:T$54))),1)</f>
        <v>45.6</v>
      </c>
      <c r="V36" s="14" t="s">
        <v>88</v>
      </c>
      <c r="W36" s="14">
        <v>0.25</v>
      </c>
      <c r="X36" s="14">
        <v>0.33300000000000002</v>
      </c>
      <c r="Y36" s="150"/>
      <c r="Z36" s="150"/>
      <c r="AA36" s="150"/>
      <c r="AB36" s="150"/>
      <c r="AC36" s="150"/>
      <c r="AD36" s="150"/>
      <c r="AE36" s="150"/>
      <c r="AF36" s="150"/>
    </row>
    <row r="37" spans="1:32" x14ac:dyDescent="0.35">
      <c r="A37" s="14" t="s">
        <v>176</v>
      </c>
      <c r="B37" s="14" t="s">
        <v>90</v>
      </c>
      <c r="C37" s="14" t="s">
        <v>394</v>
      </c>
      <c r="D37" s="73" t="s">
        <v>183</v>
      </c>
      <c r="E37" s="14"/>
      <c r="F37" s="14"/>
      <c r="G37" s="14"/>
      <c r="H37" s="14"/>
      <c r="I37" s="14">
        <f>ROUND('Raw Data'!C25/'Demographics Data'!C20,3)</f>
        <v>0.23</v>
      </c>
      <c r="J37" s="14">
        <f>ROUND('Raw Data'!D25/'Demographics Data'!D20,3)</f>
        <v>0.3</v>
      </c>
      <c r="K37" s="14">
        <f>ROUND('Raw Data'!E25/'Demographics Data'!E20,3)</f>
        <v>0.59</v>
      </c>
      <c r="L37" s="14">
        <f>ROUND('Raw Data'!F25/'Demographics Data'!F20,3)</f>
        <v>0.83</v>
      </c>
      <c r="M37" s="14">
        <f>ROUND('R Dataset'!D27/SUM('Demographics Data'!E20:F20),3)</f>
        <v>0.64</v>
      </c>
      <c r="N37" s="14"/>
      <c r="O37" s="14"/>
      <c r="P37" s="14"/>
      <c r="Q37" s="14"/>
      <c r="R37" s="14">
        <f t="shared" si="25"/>
        <v>0.42899999999999999</v>
      </c>
      <c r="S37" s="14">
        <f t="shared" si="26"/>
        <v>51.9</v>
      </c>
      <c r="T37" s="14">
        <f t="shared" si="27"/>
        <v>7.2041654617311499</v>
      </c>
      <c r="U37" s="14">
        <f>100-ROUND(100*((T37)/(MAX(T$2:T$54))),1)</f>
        <v>50.6</v>
      </c>
      <c r="V37" s="14" t="s">
        <v>394</v>
      </c>
      <c r="W37" s="14">
        <v>0.5</v>
      </c>
      <c r="X37" s="14">
        <v>0.5</v>
      </c>
      <c r="Y37" s="152">
        <f>SUMPRODUCT(U37:U38,X37:X38)</f>
        <v>50.05</v>
      </c>
      <c r="Z37" s="150" cm="1">
        <f t="array" ref="Z37">ROUND(PRODUCT(U37:U38^(X37:X38/SUM(X37:X38))),1)</f>
        <v>50</v>
      </c>
      <c r="AA37" s="150">
        <v>0.4</v>
      </c>
      <c r="AB37" s="150">
        <f>SUMPRODUCT(Y37:Y43,AA37:AA43)</f>
        <v>55.22</v>
      </c>
      <c r="AC37" s="150">
        <f>ROUND(Z37^AA37*(Z39+1)^AA39*Z41^AA41,1)</f>
        <v>51.7</v>
      </c>
      <c r="AD37" s="150">
        <v>0.3</v>
      </c>
      <c r="AE37" s="150"/>
      <c r="AF37" s="150"/>
    </row>
    <row r="38" spans="1:32" x14ac:dyDescent="0.35">
      <c r="A38" s="14" t="s">
        <v>176</v>
      </c>
      <c r="B38" s="14" t="s">
        <v>90</v>
      </c>
      <c r="C38" s="14" t="s">
        <v>394</v>
      </c>
      <c r="D38" s="73" t="s">
        <v>500</v>
      </c>
      <c r="E38" s="14"/>
      <c r="F38" s="14"/>
      <c r="G38" s="14"/>
      <c r="H38" s="14"/>
      <c r="I38" s="14">
        <f>ROUND('Raw Data'!C52/'Raw Data'!C27,3)</f>
        <v>5.5E-2</v>
      </c>
      <c r="J38" s="14">
        <f>ROUND('Raw Data'!D52/'Raw Data'!D27,3)</f>
        <v>8.6999999999999994E-2</v>
      </c>
      <c r="K38" s="14">
        <f>ROUND('Raw Data'!E52/'Raw Data'!E27,3)</f>
        <v>0.15</v>
      </c>
      <c r="L38" s="14">
        <f>ROUND('Raw Data'!F52/'Raw Data'!F27,3)</f>
        <v>0.23899999999999999</v>
      </c>
      <c r="M38" s="14">
        <f>ROUND(SUM('R Dataset'!D59:D60)/'R Dataset'!D35,3)</f>
        <v>0.751</v>
      </c>
      <c r="N38" s="14"/>
      <c r="O38" s="14"/>
      <c r="P38" s="14"/>
      <c r="Q38" s="14"/>
      <c r="R38" s="14">
        <f t="shared" si="25"/>
        <v>0.114</v>
      </c>
      <c r="S38" s="14">
        <f t="shared" si="26"/>
        <v>54.2</v>
      </c>
      <c r="T38" s="14">
        <f t="shared" si="27"/>
        <v>7.3620649277223844</v>
      </c>
      <c r="U38" s="14">
        <f t="shared" ref="U38:U41" si="28">100-ROUND(100*((T38)/(MAX(T$2:T$54))),1)</f>
        <v>49.5</v>
      </c>
      <c r="V38" s="14" t="s">
        <v>394</v>
      </c>
      <c r="W38" s="14">
        <v>0.5</v>
      </c>
      <c r="X38" s="14">
        <v>0.5</v>
      </c>
      <c r="Y38" s="152"/>
      <c r="Z38" s="150"/>
      <c r="AA38" s="150"/>
      <c r="AB38" s="150"/>
      <c r="AC38" s="150"/>
      <c r="AD38" s="150"/>
      <c r="AE38" s="150"/>
      <c r="AF38" s="150"/>
    </row>
    <row r="39" spans="1:32" x14ac:dyDescent="0.35">
      <c r="A39" s="14" t="s">
        <v>176</v>
      </c>
      <c r="B39" s="14" t="s">
        <v>90</v>
      </c>
      <c r="C39" s="14" t="s">
        <v>95</v>
      </c>
      <c r="D39" s="73" t="s">
        <v>184</v>
      </c>
      <c r="E39" s="14"/>
      <c r="F39" s="14"/>
      <c r="G39" s="14"/>
      <c r="H39" s="14"/>
      <c r="I39" s="14">
        <f>ROUND(('Raw Data'!C26/'Demographics Data'!C20),3)</f>
        <v>0.05</v>
      </c>
      <c r="J39" s="14">
        <f>ROUND(('Raw Data'!D26/'Demographics Data'!D20),3)</f>
        <v>7.0000000000000007E-2</v>
      </c>
      <c r="K39" s="14">
        <f>ROUND(('Raw Data'!E26/'Demographics Data'!E20),3)</f>
        <v>0.16</v>
      </c>
      <c r="L39" s="14">
        <f>ROUND(('Raw Data'!F26/'Demographics Data'!F20),3)</f>
        <v>0.47</v>
      </c>
      <c r="M39" s="33">
        <f>ROUND('R Dataset'!D34/SUM('Demographics Data'!E20:F20),3)</f>
        <v>0.22500000000000001</v>
      </c>
      <c r="N39" s="33"/>
      <c r="O39" s="33"/>
      <c r="P39" s="33"/>
      <c r="Q39" s="33"/>
      <c r="R39" s="14">
        <f t="shared" si="25"/>
        <v>0.127</v>
      </c>
      <c r="S39" s="14">
        <f t="shared" si="26"/>
        <v>100.4</v>
      </c>
      <c r="T39" s="14">
        <f t="shared" si="27"/>
        <v>10.019980039900279</v>
      </c>
      <c r="U39" s="14">
        <f t="shared" si="28"/>
        <v>31.200000000000003</v>
      </c>
      <c r="V39" s="14" t="s">
        <v>95</v>
      </c>
      <c r="W39" s="14">
        <v>0.5</v>
      </c>
      <c r="X39" s="14">
        <v>0.5</v>
      </c>
      <c r="Y39" s="152">
        <f>SUMPRODUCT(U39:U40,X39:X40)</f>
        <v>55</v>
      </c>
      <c r="Z39" s="150" cm="1">
        <f t="array" ref="Z39">ROUND(PRODUCT(U39:U40^(X39:X40/SUM(X39:X40))),1)</f>
        <v>49.6</v>
      </c>
      <c r="AA39" s="150">
        <v>0.4</v>
      </c>
      <c r="AB39" s="150"/>
      <c r="AC39" s="150"/>
      <c r="AD39" s="150"/>
      <c r="AE39" s="150"/>
      <c r="AF39" s="150"/>
    </row>
    <row r="40" spans="1:32" x14ac:dyDescent="0.35">
      <c r="A40" s="14" t="s">
        <v>176</v>
      </c>
      <c r="B40" s="14" t="s">
        <v>90</v>
      </c>
      <c r="C40" s="14" t="s">
        <v>95</v>
      </c>
      <c r="D40" s="73" t="s">
        <v>490</v>
      </c>
      <c r="E40" s="14"/>
      <c r="F40" s="14"/>
      <c r="G40" s="14"/>
      <c r="H40" s="14"/>
      <c r="I40" s="14">
        <f>ROUND('Raw Data'!C51/'Raw Data'!C27,3)</f>
        <v>0.442</v>
      </c>
      <c r="J40" s="14">
        <f>ROUND('Raw Data'!D51/'Raw Data'!D27,3)</f>
        <v>0.498</v>
      </c>
      <c r="K40" s="14">
        <f>ROUND('Raw Data'!E51/'Raw Data'!E27,3)</f>
        <v>0.56499999999999995</v>
      </c>
      <c r="L40" s="14">
        <f>ROUND('Raw Data'!F51/'Raw Data'!F27,3)</f>
        <v>0.57099999999999995</v>
      </c>
      <c r="M40" s="14">
        <f>ROUND('R Dataset'!D60/'R Dataset'!D35,3)</f>
        <v>0.184</v>
      </c>
      <c r="N40" s="14"/>
      <c r="O40" s="14"/>
      <c r="P40" s="14"/>
      <c r="Q40" s="14"/>
      <c r="R40" s="14">
        <f t="shared" si="25"/>
        <v>0.51600000000000001</v>
      </c>
      <c r="S40" s="14">
        <f t="shared" si="26"/>
        <v>9.5</v>
      </c>
      <c r="T40" s="14">
        <f t="shared" si="27"/>
        <v>3.082207001484488</v>
      </c>
      <c r="U40" s="14">
        <f t="shared" si="28"/>
        <v>78.8</v>
      </c>
      <c r="V40" s="14" t="s">
        <v>95</v>
      </c>
      <c r="W40" s="14">
        <v>0.5</v>
      </c>
      <c r="X40" s="14">
        <v>0.5</v>
      </c>
      <c r="Y40" s="152"/>
      <c r="Z40" s="150"/>
      <c r="AA40" s="150"/>
      <c r="AB40" s="150"/>
      <c r="AC40" s="150"/>
      <c r="AD40" s="150"/>
      <c r="AE40" s="150"/>
      <c r="AF40" s="150"/>
    </row>
    <row r="41" spans="1:32" x14ac:dyDescent="0.35">
      <c r="A41" s="14" t="s">
        <v>176</v>
      </c>
      <c r="B41" s="14" t="s">
        <v>90</v>
      </c>
      <c r="C41" s="14" t="s">
        <v>88</v>
      </c>
      <c r="D41" s="73" t="s">
        <v>186</v>
      </c>
      <c r="E41" s="14"/>
      <c r="F41" s="14"/>
      <c r="G41" s="14"/>
      <c r="H41" s="14"/>
      <c r="I41" s="14">
        <f>ROUND('Raw Data'!C27/'Demographics Data'!C28,3)</f>
        <v>5.0000000000000001E-3</v>
      </c>
      <c r="J41" s="14">
        <f>ROUND('Raw Data'!D27/'Demographics Data'!D28,3)</f>
        <v>7.0000000000000001E-3</v>
      </c>
      <c r="K41" s="14">
        <f>ROUND('Raw Data'!E27/'Demographics Data'!E28,3)</f>
        <v>1.0999999999999999E-2</v>
      </c>
      <c r="L41" s="14">
        <f>ROUND('Raw Data'!F27/'Demographics Data'!F28,3)</f>
        <v>5.5E-2</v>
      </c>
      <c r="M41" s="14">
        <f>ROUND('R Dataset'!D35/('Demographics Data'!F28+'Demographics Data'!E28),3)</f>
        <v>1.4999999999999999E-2</v>
      </c>
      <c r="N41" s="14"/>
      <c r="O41" s="14"/>
      <c r="P41" s="14"/>
      <c r="Q41" s="14"/>
      <c r="R41" s="14">
        <f t="shared" si="25"/>
        <v>1.2E-2</v>
      </c>
      <c r="S41" s="14">
        <f t="shared" si="26"/>
        <v>116.7</v>
      </c>
      <c r="T41" s="14">
        <f t="shared" si="27"/>
        <v>10.802777420645119</v>
      </c>
      <c r="U41" s="14">
        <f t="shared" si="28"/>
        <v>25.900000000000006</v>
      </c>
      <c r="V41" s="14" t="s">
        <v>88</v>
      </c>
      <c r="W41" s="14">
        <f>1/3</f>
        <v>0.33333333333333331</v>
      </c>
      <c r="X41" s="14">
        <f>1/3</f>
        <v>0.33333333333333331</v>
      </c>
      <c r="Y41" s="150">
        <f>ROUND(SUMPRODUCT(U41:U43,W41:W43),1)</f>
        <v>66</v>
      </c>
      <c r="Z41" s="150" cm="1">
        <f t="array" ref="Z41">ROUND(PRODUCT(U41:U43^(X41:X43/SUM(X41:X43))),1)</f>
        <v>57.7</v>
      </c>
      <c r="AA41" s="150">
        <v>0.2</v>
      </c>
      <c r="AB41" s="150"/>
      <c r="AC41" s="150"/>
      <c r="AD41" s="150"/>
      <c r="AE41" s="150"/>
      <c r="AF41" s="150"/>
    </row>
    <row r="42" spans="1:32" x14ac:dyDescent="0.35">
      <c r="A42" s="14" t="s">
        <v>176</v>
      </c>
      <c r="B42" s="14" t="s">
        <v>90</v>
      </c>
      <c r="C42" s="14" t="s">
        <v>88</v>
      </c>
      <c r="D42" s="96" t="s">
        <v>1972</v>
      </c>
      <c r="E42" s="33"/>
      <c r="F42" s="33"/>
      <c r="G42" s="33"/>
      <c r="H42" s="33"/>
      <c r="I42" s="33">
        <f>'Raw Data'!B56</f>
        <v>0.78</v>
      </c>
      <c r="J42" s="33">
        <f>'Raw Data'!C56</f>
        <v>0.73</v>
      </c>
      <c r="K42" s="33">
        <f>'Raw Data'!D56</f>
        <v>0.76</v>
      </c>
      <c r="L42" s="33">
        <f>'Raw Data'!E56</f>
        <v>0.79</v>
      </c>
      <c r="M42" s="33"/>
      <c r="N42" s="33"/>
      <c r="O42" s="33"/>
      <c r="P42" s="33"/>
      <c r="Q42" s="33"/>
      <c r="R42" s="14">
        <f t="shared" si="25"/>
        <v>0.76500000000000001</v>
      </c>
      <c r="S42" s="14">
        <f t="shared" si="26"/>
        <v>2.6</v>
      </c>
      <c r="T42" s="14">
        <f t="shared" si="27"/>
        <v>1.61245154965971</v>
      </c>
      <c r="U42" s="14">
        <f t="shared" ref="U42" si="29">100-ROUND(100*((T42)/(MAX(T$2:T$54))),1)</f>
        <v>88.9</v>
      </c>
      <c r="V42" s="14" t="s">
        <v>88</v>
      </c>
      <c r="W42" s="14">
        <f t="shared" ref="W42:X43" si="30">1/3</f>
        <v>0.33333333333333331</v>
      </c>
      <c r="X42" s="14">
        <f t="shared" si="30"/>
        <v>0.33333333333333331</v>
      </c>
      <c r="Y42" s="150"/>
      <c r="Z42" s="150"/>
      <c r="AA42" s="150"/>
      <c r="AB42" s="150"/>
      <c r="AC42" s="150"/>
      <c r="AD42" s="150"/>
      <c r="AE42" s="150"/>
      <c r="AF42" s="150"/>
    </row>
    <row r="43" spans="1:32" x14ac:dyDescent="0.35">
      <c r="A43" s="14" t="s">
        <v>176</v>
      </c>
      <c r="B43" s="14" t="s">
        <v>90</v>
      </c>
      <c r="C43" s="14" t="s">
        <v>88</v>
      </c>
      <c r="D43" s="73" t="s">
        <v>1973</v>
      </c>
      <c r="E43" s="33"/>
      <c r="F43" s="33"/>
      <c r="G43" s="33"/>
      <c r="H43" s="33"/>
      <c r="I43" s="33">
        <f>'Raw Data'!C55</f>
        <v>0.51</v>
      </c>
      <c r="J43" s="33">
        <f>'Raw Data'!D55</f>
        <v>0.52</v>
      </c>
      <c r="K43" s="33">
        <f>'Raw Data'!E55</f>
        <v>0.54</v>
      </c>
      <c r="L43" s="33">
        <f>'Raw Data'!F55</f>
        <v>0.61</v>
      </c>
      <c r="M43" s="33"/>
      <c r="N43" s="33"/>
      <c r="O43" s="33"/>
      <c r="P43" s="33"/>
      <c r="Q43" s="33"/>
      <c r="R43" s="14">
        <f t="shared" si="25"/>
        <v>0.54400000000000004</v>
      </c>
      <c r="S43" s="14">
        <f t="shared" si="26"/>
        <v>5.9</v>
      </c>
      <c r="T43" s="14">
        <f t="shared" ref="T43:T49" si="31">SQRT(S43)</f>
        <v>2.4289915602982237</v>
      </c>
      <c r="U43" s="14">
        <f>100-ROUND(100*((T43)/(MAX(T$2:T$54))),1)</f>
        <v>83.3</v>
      </c>
      <c r="V43" s="14" t="s">
        <v>88</v>
      </c>
      <c r="W43" s="14">
        <f t="shared" si="30"/>
        <v>0.33333333333333331</v>
      </c>
      <c r="X43" s="14">
        <f t="shared" si="30"/>
        <v>0.33333333333333331</v>
      </c>
      <c r="Y43" s="150"/>
      <c r="Z43" s="150"/>
      <c r="AA43" s="150"/>
      <c r="AB43" s="150"/>
      <c r="AC43" s="150"/>
      <c r="AD43" s="150"/>
      <c r="AE43" s="150"/>
      <c r="AF43" s="150"/>
    </row>
    <row r="44" spans="1:32" x14ac:dyDescent="0.35">
      <c r="A44" s="14" t="s">
        <v>176</v>
      </c>
      <c r="B44" s="14" t="s">
        <v>91</v>
      </c>
      <c r="C44" s="32" t="s">
        <v>394</v>
      </c>
      <c r="D44" s="72" t="s">
        <v>188</v>
      </c>
      <c r="E44" s="14"/>
      <c r="F44" s="14"/>
      <c r="G44" s="14"/>
      <c r="H44" s="14"/>
      <c r="I44" s="14">
        <f>ROUND('Raw Data'!C22/'Raw Data'!C40,3)</f>
        <v>0.154</v>
      </c>
      <c r="J44" s="14">
        <f>ROUND('Raw Data'!D22/'Raw Data'!D40,3)</f>
        <v>0.155</v>
      </c>
      <c r="K44" s="14">
        <f>ROUND('Raw Data'!E22/'Raw Data'!E40,3)</f>
        <v>0.154</v>
      </c>
      <c r="L44" s="14">
        <f>ROUND('Raw Data'!F22/'Raw Data'!F40,3)</f>
        <v>9.0999999999999998E-2</v>
      </c>
      <c r="M44" s="14">
        <f>ROUND('R Dataset'!D22/'R Dataset'!D48,3)</f>
        <v>0.13</v>
      </c>
      <c r="N44" s="14"/>
      <c r="O44" s="14"/>
      <c r="P44" s="14"/>
      <c r="Q44" s="14"/>
      <c r="R44" s="14">
        <f t="shared" si="25"/>
        <v>0.13500000000000001</v>
      </c>
      <c r="S44" s="14">
        <f t="shared" si="26"/>
        <v>18.899999999999999</v>
      </c>
      <c r="T44" s="14">
        <f t="shared" si="31"/>
        <v>4.3474130238568316</v>
      </c>
      <c r="U44" s="14">
        <f>100-ROUND(100*((T44)/(MAX(T$2:T$54))),1)</f>
        <v>70.2</v>
      </c>
      <c r="V44" s="32" t="s">
        <v>394</v>
      </c>
      <c r="W44" s="14">
        <v>0.5</v>
      </c>
      <c r="X44" s="14">
        <v>0.5</v>
      </c>
      <c r="Y44" s="152">
        <f>SUMPRODUCT(U44:U45,X44:X45)</f>
        <v>61.35</v>
      </c>
      <c r="Z44" s="150" cm="1">
        <f t="array" ref="Z44">ROUND(PRODUCT(U44:U45^(X44:X45/SUM(X44:X45))),1)</f>
        <v>60.7</v>
      </c>
      <c r="AA44" s="150">
        <v>0.4</v>
      </c>
      <c r="AB44" s="150">
        <f>ROUND(SUMPRODUCT(Y44:Y50,AA44:AA50),1)</f>
        <v>62.3</v>
      </c>
      <c r="AC44" s="150">
        <f>ROUND(Z44^AA44*(Z46)^AA46*Z49^AA49,1)</f>
        <v>60.6</v>
      </c>
      <c r="AD44" s="150">
        <v>0.2</v>
      </c>
      <c r="AE44" s="150"/>
      <c r="AF44" s="150"/>
    </row>
    <row r="45" spans="1:32" x14ac:dyDescent="0.35">
      <c r="A45" s="14" t="s">
        <v>176</v>
      </c>
      <c r="B45" s="14" t="s">
        <v>91</v>
      </c>
      <c r="C45" s="32" t="s">
        <v>394</v>
      </c>
      <c r="D45" s="72" t="s">
        <v>189</v>
      </c>
      <c r="E45" s="14"/>
      <c r="F45" s="14"/>
      <c r="G45" s="14"/>
      <c r="H45" s="14"/>
      <c r="I45" s="14">
        <f>ROUND('Raw Data'!C22/'Raw Data'!C35,3)</f>
        <v>4.3999999999999997E-2</v>
      </c>
      <c r="J45" s="14">
        <f>ROUND('Raw Data'!D22/'Raw Data'!D35,3)</f>
        <v>0.04</v>
      </c>
      <c r="K45" s="14">
        <f>ROUND('Raw Data'!E22/'Raw Data'!E35,3)</f>
        <v>4.4999999999999998E-2</v>
      </c>
      <c r="L45" s="14">
        <f>ROUND('Raw Data'!F22/'Raw Data'!F35,3)</f>
        <v>0.124</v>
      </c>
      <c r="M45" s="14">
        <f>ROUND('R Dataset'!D22/'R Dataset'!D43,3)</f>
        <v>5.5E-2</v>
      </c>
      <c r="N45" s="14"/>
      <c r="O45" s="14"/>
      <c r="P45" s="14"/>
      <c r="Q45" s="14"/>
      <c r="R45" s="14">
        <f t="shared" si="25"/>
        <v>5.6000000000000001E-2</v>
      </c>
      <c r="S45" s="14">
        <f t="shared" si="26"/>
        <v>47.8</v>
      </c>
      <c r="T45" s="14">
        <f t="shared" si="31"/>
        <v>6.9137544069774419</v>
      </c>
      <c r="U45" s="14">
        <f t="shared" ref="U45:U53" si="32">100-ROUND(100*((T45)/(MAX(T$2:T$54))),1)</f>
        <v>52.5</v>
      </c>
      <c r="V45" s="32" t="s">
        <v>394</v>
      </c>
      <c r="W45" s="14">
        <v>0.5</v>
      </c>
      <c r="X45" s="14">
        <v>0.5</v>
      </c>
      <c r="Y45" s="152"/>
      <c r="Z45" s="150"/>
      <c r="AA45" s="150"/>
      <c r="AB45" s="150"/>
      <c r="AC45" s="150"/>
      <c r="AD45" s="150"/>
      <c r="AE45" s="150"/>
      <c r="AF45" s="150"/>
    </row>
    <row r="46" spans="1:32" x14ac:dyDescent="0.35">
      <c r="A46" s="14" t="s">
        <v>176</v>
      </c>
      <c r="B46" s="14" t="s">
        <v>91</v>
      </c>
      <c r="C46" s="32" t="s">
        <v>95</v>
      </c>
      <c r="D46" s="72" t="s">
        <v>190</v>
      </c>
      <c r="E46" s="14"/>
      <c r="F46" s="14"/>
      <c r="G46" s="14"/>
      <c r="H46" s="14"/>
      <c r="I46" s="14">
        <f>ROUND('Raw Data'!C37/'Raw Data'!C39,3)</f>
        <v>0.17699999999999999</v>
      </c>
      <c r="J46" s="14">
        <f>ROUND('Raw Data'!D37/'Raw Data'!D39,3)</f>
        <v>0.22800000000000001</v>
      </c>
      <c r="K46" s="14">
        <f>ROUND('Raw Data'!E37/'Raw Data'!E39,3)</f>
        <v>0.315</v>
      </c>
      <c r="L46" s="14">
        <f>ROUND('Raw Data'!F37/'Raw Data'!F39,3)</f>
        <v>0.32600000000000001</v>
      </c>
      <c r="M46" s="14">
        <f>ROUND('R Dataset'!D45/'R Dataset'!D47,3)</f>
        <v>0.32</v>
      </c>
      <c r="N46" s="14"/>
      <c r="O46" s="14"/>
      <c r="P46" s="14"/>
      <c r="Q46" s="14"/>
      <c r="R46" s="14">
        <f t="shared" si="25"/>
        <v>0.254</v>
      </c>
      <c r="S46" s="14">
        <f t="shared" si="26"/>
        <v>23.2</v>
      </c>
      <c r="T46" s="14">
        <f t="shared" si="31"/>
        <v>4.8166378315169185</v>
      </c>
      <c r="U46" s="14">
        <f t="shared" si="32"/>
        <v>66.900000000000006</v>
      </c>
      <c r="V46" s="32" t="s">
        <v>95</v>
      </c>
      <c r="W46" s="14">
        <f>1/3</f>
        <v>0.33333333333333331</v>
      </c>
      <c r="X46" s="14">
        <f>1/3</f>
        <v>0.33333333333333331</v>
      </c>
      <c r="Y46" s="152">
        <f>SUMPRODUCT(U46:U48,X46:X48)</f>
        <v>67.400000000000006</v>
      </c>
      <c r="Z46" s="150" cm="1">
        <f t="array" ref="Z46">ROUND(PRODUCT(U46:U48^(X46:X48/SUM(X46:X48))),1)</f>
        <v>67.400000000000006</v>
      </c>
      <c r="AA46" s="150">
        <v>0.4</v>
      </c>
      <c r="AB46" s="150"/>
      <c r="AC46" s="150"/>
      <c r="AD46" s="150"/>
      <c r="AE46" s="150"/>
      <c r="AF46" s="150"/>
    </row>
    <row r="47" spans="1:32" x14ac:dyDescent="0.35">
      <c r="A47" s="14" t="s">
        <v>176</v>
      </c>
      <c r="B47" s="14" t="s">
        <v>91</v>
      </c>
      <c r="C47" s="32" t="s">
        <v>95</v>
      </c>
      <c r="D47" s="72" t="s">
        <v>389</v>
      </c>
      <c r="E47" s="14"/>
      <c r="F47" s="14"/>
      <c r="G47" s="14"/>
      <c r="H47" s="14"/>
      <c r="I47" s="14">
        <f>ROUND(('Raw Data'!C36)/'Raw Data'!C38,3)</f>
        <v>0.121</v>
      </c>
      <c r="J47" s="14">
        <f>ROUND(('Raw Data'!D36)/'Raw Data'!D38,3)</f>
        <v>0.128</v>
      </c>
      <c r="K47" s="14">
        <f>ROUND(('Raw Data'!E36)/'Raw Data'!E38,3)</f>
        <v>0.16</v>
      </c>
      <c r="L47" s="14">
        <f>ROUND(('Raw Data'!F36)/'Raw Data'!F38,3)</f>
        <v>0.21</v>
      </c>
      <c r="M47" s="14">
        <f>ROUND(SUM('R Dataset'!D52:D54)/SUM('R Dataset'!D56:D58),3)</f>
        <v>0.187</v>
      </c>
      <c r="N47" s="14"/>
      <c r="O47" s="14"/>
      <c r="P47" s="14"/>
      <c r="Q47" s="14"/>
      <c r="R47" s="14">
        <f t="shared" si="25"/>
        <v>0.151</v>
      </c>
      <c r="S47" s="14">
        <f t="shared" si="26"/>
        <v>20</v>
      </c>
      <c r="T47" s="14">
        <f t="shared" si="31"/>
        <v>4.4721359549995796</v>
      </c>
      <c r="U47" s="14">
        <f t="shared" si="32"/>
        <v>69.3</v>
      </c>
      <c r="V47" s="32" t="s">
        <v>95</v>
      </c>
      <c r="W47" s="14">
        <f t="shared" ref="W47:X48" si="33">1/3</f>
        <v>0.33333333333333331</v>
      </c>
      <c r="X47" s="14">
        <f t="shared" si="33"/>
        <v>0.33333333333333331</v>
      </c>
      <c r="Y47" s="152"/>
      <c r="Z47" s="150"/>
      <c r="AA47" s="150"/>
      <c r="AB47" s="150"/>
      <c r="AC47" s="150"/>
      <c r="AD47" s="150"/>
      <c r="AE47" s="150"/>
      <c r="AF47" s="150"/>
    </row>
    <row r="48" spans="1:32" x14ac:dyDescent="0.35">
      <c r="A48" s="14" t="s">
        <v>176</v>
      </c>
      <c r="B48" s="14" t="s">
        <v>91</v>
      </c>
      <c r="C48" s="32" t="s">
        <v>95</v>
      </c>
      <c r="D48" s="72" t="s">
        <v>191</v>
      </c>
      <c r="E48" s="14"/>
      <c r="F48" s="14"/>
      <c r="G48" s="14"/>
      <c r="H48" s="14"/>
      <c r="I48" s="14">
        <f>ROUND('Raw Data'!C37/'Raw Data'!C36,3)</f>
        <v>0.30099999999999999</v>
      </c>
      <c r="J48" s="14">
        <f>ROUND('Raw Data'!D37/'Raw Data'!D36,3)</f>
        <v>0.371</v>
      </c>
      <c r="K48" s="14">
        <f>ROUND('Raw Data'!E37/'Raw Data'!E36,3)</f>
        <v>0.59099999999999997</v>
      </c>
      <c r="L48" s="14">
        <f>ROUND('Raw Data'!F37/'Raw Data'!F36,3)</f>
        <v>0.30099999999999999</v>
      </c>
      <c r="M48" s="14">
        <f>ROUND('R Dataset'!D45/SUM('R Dataset'!D52:D54),3)</f>
        <v>0.41599999999999998</v>
      </c>
      <c r="N48" s="14"/>
      <c r="O48" s="14"/>
      <c r="P48" s="14"/>
      <c r="Q48" s="14"/>
      <c r="R48" s="14">
        <f t="shared" si="25"/>
        <v>0.375</v>
      </c>
      <c r="S48" s="14">
        <f t="shared" si="26"/>
        <v>24.5</v>
      </c>
      <c r="T48" s="14">
        <f t="shared" si="31"/>
        <v>4.9497474683058327</v>
      </c>
      <c r="U48" s="14">
        <f t="shared" si="32"/>
        <v>66</v>
      </c>
      <c r="V48" s="32" t="s">
        <v>95</v>
      </c>
      <c r="W48" s="14">
        <f t="shared" si="33"/>
        <v>0.33333333333333331</v>
      </c>
      <c r="X48" s="14">
        <f t="shared" si="33"/>
        <v>0.33333333333333331</v>
      </c>
      <c r="Y48" s="152"/>
      <c r="Z48" s="150"/>
      <c r="AA48" s="150"/>
      <c r="AB48" s="150"/>
      <c r="AC48" s="150"/>
      <c r="AD48" s="150"/>
      <c r="AE48" s="150"/>
      <c r="AF48" s="150"/>
    </row>
    <row r="49" spans="1:32" x14ac:dyDescent="0.35">
      <c r="A49" s="14" t="s">
        <v>176</v>
      </c>
      <c r="B49" s="14" t="s">
        <v>91</v>
      </c>
      <c r="C49" s="32" t="s">
        <v>88</v>
      </c>
      <c r="D49" s="72" t="s">
        <v>192</v>
      </c>
      <c r="E49" s="14"/>
      <c r="F49" s="14"/>
      <c r="G49" s="14"/>
      <c r="H49" s="14"/>
      <c r="I49" s="14">
        <f>ROUND('Raw Data'!C40/'Raw Data'!C41,3)</f>
        <v>0.03</v>
      </c>
      <c r="J49" s="14">
        <f>ROUND('Raw Data'!D40/'Raw Data'!D41,3)</f>
        <v>2.4E-2</v>
      </c>
      <c r="K49" s="14">
        <f>ROUND('Raw Data'!E40/'Raw Data'!E41,3)</f>
        <v>4.4999999999999998E-2</v>
      </c>
      <c r="L49" s="14">
        <f>ROUND('Raw Data'!F40/'Raw Data'!F41,3)</f>
        <v>0.20300000000000001</v>
      </c>
      <c r="M49" s="14">
        <f>ROUND('R Dataset'!D48/'R Dataset'!D49,3)</f>
        <v>6.4000000000000001E-2</v>
      </c>
      <c r="N49" s="14"/>
      <c r="O49" s="14"/>
      <c r="P49" s="14"/>
      <c r="Q49" s="14"/>
      <c r="R49" s="14">
        <f t="shared" si="25"/>
        <v>5.0999999999999997E-2</v>
      </c>
      <c r="S49" s="14">
        <f t="shared" si="26"/>
        <v>101</v>
      </c>
      <c r="T49" s="14">
        <f t="shared" si="31"/>
        <v>10.04987562112089</v>
      </c>
      <c r="U49" s="14">
        <f t="shared" si="32"/>
        <v>31</v>
      </c>
      <c r="V49" s="32" t="s">
        <v>88</v>
      </c>
      <c r="W49" s="14">
        <v>0.5</v>
      </c>
      <c r="X49" s="14">
        <v>0.5</v>
      </c>
      <c r="Y49" s="152">
        <f>SUMPRODUCT(U49:U50,X49:X50)</f>
        <v>53.85</v>
      </c>
      <c r="Z49" s="150" cm="1">
        <f t="array" ref="Z49">ROUND(PRODUCT(U49:U50^(X49:X50/SUM(X49:X50))),1)</f>
        <v>48.8</v>
      </c>
      <c r="AA49" s="150">
        <v>0.2</v>
      </c>
      <c r="AB49" s="150"/>
      <c r="AC49" s="150"/>
      <c r="AD49" s="150"/>
      <c r="AE49" s="150"/>
      <c r="AF49" s="150"/>
    </row>
    <row r="50" spans="1:32" x14ac:dyDescent="0.35">
      <c r="A50" s="14" t="s">
        <v>176</v>
      </c>
      <c r="B50" s="14" t="s">
        <v>91</v>
      </c>
      <c r="C50" s="32" t="s">
        <v>88</v>
      </c>
      <c r="D50" s="72" t="s">
        <v>492</v>
      </c>
      <c r="E50" s="14"/>
      <c r="F50" s="14"/>
      <c r="G50" s="14"/>
      <c r="H50" s="14"/>
      <c r="I50" s="14">
        <f>ROUND('Raw Data'!C41/'Demographics Data'!C31,3)</f>
        <v>0.45200000000000001</v>
      </c>
      <c r="J50" s="14">
        <f>ROUND('Raw Data'!D41/'Demographics Data'!D31,3)</f>
        <v>0.46500000000000002</v>
      </c>
      <c r="K50" s="14">
        <f>ROUND('Raw Data'!E41/'Demographics Data'!E31,3)</f>
        <v>0.48699999999999999</v>
      </c>
      <c r="L50" s="14">
        <f>ROUND('Raw Data'!F41/'Demographics Data'!F31,3)</f>
        <v>0.628</v>
      </c>
      <c r="M50" s="14">
        <f>ROUND('R Dataset'!D49/SUM('Demographics Data'!E31:F31),3)</f>
        <v>0.501</v>
      </c>
      <c r="N50" s="14"/>
      <c r="O50" s="14"/>
      <c r="P50" s="14"/>
      <c r="Q50" s="14"/>
      <c r="R50" s="14">
        <f t="shared" si="25"/>
        <v>0.504</v>
      </c>
      <c r="S50" s="14">
        <f t="shared" si="26"/>
        <v>11.5</v>
      </c>
      <c r="T50" s="14">
        <f t="shared" ref="T50:T53" si="34">SQRT(S50)</f>
        <v>3.3911649915626341</v>
      </c>
      <c r="U50" s="14">
        <f t="shared" si="32"/>
        <v>76.7</v>
      </c>
      <c r="V50" s="32" t="s">
        <v>88</v>
      </c>
      <c r="W50" s="14">
        <v>0.5</v>
      </c>
      <c r="X50" s="14">
        <v>0.5</v>
      </c>
      <c r="Y50" s="152"/>
      <c r="Z50" s="150"/>
      <c r="AA50" s="150"/>
      <c r="AB50" s="150"/>
      <c r="AC50" s="150"/>
      <c r="AD50" s="150"/>
      <c r="AE50" s="150"/>
      <c r="AF50" s="150"/>
    </row>
    <row r="51" spans="1:32" x14ac:dyDescent="0.35">
      <c r="A51" s="14" t="s">
        <v>176</v>
      </c>
      <c r="B51" s="33" t="s">
        <v>92</v>
      </c>
      <c r="C51" s="32" t="s">
        <v>394</v>
      </c>
      <c r="D51" s="72" t="s">
        <v>494</v>
      </c>
      <c r="E51" s="14"/>
      <c r="F51" s="14"/>
      <c r="G51" s="14"/>
      <c r="H51" s="14"/>
      <c r="I51" s="14">
        <f>ROUND('Raw Data'!C24/'Demographics Data'!C34,3)</f>
        <v>4.4999999999999998E-2</v>
      </c>
      <c r="J51" s="14">
        <f>ROUND('Raw Data'!D24/'Demographics Data'!D34,3)</f>
        <v>0.05</v>
      </c>
      <c r="K51" s="14">
        <f>ROUND('Raw Data'!E24/'Demographics Data'!E34,3)</f>
        <v>4.5999999999999999E-2</v>
      </c>
      <c r="L51" s="14">
        <f>ROUND('Raw Data'!F24/'Demographics Data'!F34,3)</f>
        <v>0.13200000000000001</v>
      </c>
      <c r="M51" s="14">
        <f>ROUND('R Dataset'!D25/SUM('Demographics Data'!E30:F30),3)</f>
        <v>3.4000000000000002E-2</v>
      </c>
      <c r="N51" s="14"/>
      <c r="O51" s="14"/>
      <c r="P51" s="14"/>
      <c r="Q51" s="14"/>
      <c r="R51" s="14">
        <f t="shared" si="25"/>
        <v>6.0999999999999999E-2</v>
      </c>
      <c r="S51" s="14">
        <f t="shared" si="26"/>
        <v>46.3</v>
      </c>
      <c r="T51" s="14">
        <f t="shared" si="34"/>
        <v>6.8044103344815996</v>
      </c>
      <c r="U51" s="14">
        <f t="shared" si="32"/>
        <v>53.3</v>
      </c>
      <c r="V51" s="32" t="s">
        <v>394</v>
      </c>
      <c r="W51" s="14">
        <v>1</v>
      </c>
      <c r="X51" s="14">
        <v>1</v>
      </c>
      <c r="Y51" s="93">
        <f>U51*X51</f>
        <v>53.3</v>
      </c>
      <c r="Z51" s="92">
        <f>ROUND(PRODUCT(U51^(X51/X51)),1)</f>
        <v>53.3</v>
      </c>
      <c r="AA51" s="92">
        <v>0.5</v>
      </c>
      <c r="AB51" s="150">
        <f>ROUND(SUMPRODUCT(Y51:Y54,AA51:AA54),1)</f>
        <v>55.2</v>
      </c>
      <c r="AC51" s="150">
        <f>ROUND(Z51^AA51*(Z52)^AA52,1)</f>
        <v>55.1</v>
      </c>
      <c r="AD51" s="150">
        <v>0.1</v>
      </c>
      <c r="AE51" s="150"/>
      <c r="AF51" s="150"/>
    </row>
    <row r="52" spans="1:32" x14ac:dyDescent="0.35">
      <c r="A52" s="14" t="s">
        <v>176</v>
      </c>
      <c r="B52" s="33" t="s">
        <v>92</v>
      </c>
      <c r="C52" s="32" t="s">
        <v>95</v>
      </c>
      <c r="D52" s="72" t="s">
        <v>493</v>
      </c>
      <c r="E52" s="14"/>
      <c r="F52" s="14"/>
      <c r="G52" s="14"/>
      <c r="H52" s="14"/>
      <c r="I52" s="14">
        <f>ROUND('Raw Data'!C42/'Demographics Data'!C34,3)</f>
        <v>5.0000000000000001E-3</v>
      </c>
      <c r="J52" s="14">
        <f>ROUND('Raw Data'!D42/'Demographics Data'!D34,3)</f>
        <v>6.0000000000000001E-3</v>
      </c>
      <c r="K52" s="14">
        <f>ROUND('Raw Data'!E42/'Demographics Data'!E34,3)</f>
        <v>7.0000000000000001E-3</v>
      </c>
      <c r="L52" s="14">
        <f>ROUND('Raw Data'!F42/'Demographics Data'!F34,3)</f>
        <v>1.4999999999999999E-2</v>
      </c>
      <c r="M52" s="14">
        <f>ROUND('R Dataset'!D42/SUM('Demographics Data'!E30:F30),4)</f>
        <v>4.5999999999999999E-3</v>
      </c>
      <c r="N52" s="14"/>
      <c r="O52" s="14"/>
      <c r="P52" s="14"/>
      <c r="Q52" s="14"/>
      <c r="R52" s="14">
        <f t="shared" si="25"/>
        <v>7.0000000000000001E-3</v>
      </c>
      <c r="S52" s="14">
        <f t="shared" si="26"/>
        <v>39.299999999999997</v>
      </c>
      <c r="T52" s="14">
        <f t="shared" si="34"/>
        <v>6.2689712074629913</v>
      </c>
      <c r="U52" s="14">
        <f t="shared" si="32"/>
        <v>57</v>
      </c>
      <c r="V52" s="32" t="s">
        <v>95</v>
      </c>
      <c r="W52" s="14">
        <v>1</v>
      </c>
      <c r="X52" s="14">
        <v>1</v>
      </c>
      <c r="Y52" s="93">
        <f>U52*X52</f>
        <v>57</v>
      </c>
      <c r="Z52" s="92">
        <f>ROUND(PRODUCT(U52^(X52/X52)),1)</f>
        <v>57</v>
      </c>
      <c r="AA52" s="92">
        <v>0.5</v>
      </c>
      <c r="AB52" s="150"/>
      <c r="AC52" s="150"/>
      <c r="AD52" s="150"/>
      <c r="AE52" s="150"/>
      <c r="AF52" s="150"/>
    </row>
    <row r="53" spans="1:32" s="15" customFormat="1" x14ac:dyDescent="0.35">
      <c r="A53" s="79" t="s">
        <v>176</v>
      </c>
      <c r="B53" s="79" t="s">
        <v>92</v>
      </c>
      <c r="C53" s="34" t="s">
        <v>88</v>
      </c>
      <c r="D53" s="76" t="s">
        <v>483</v>
      </c>
      <c r="E53" s="79"/>
      <c r="F53" s="79"/>
      <c r="G53" s="79"/>
      <c r="H53" s="79"/>
      <c r="I53" s="79">
        <f>ROUND('Raw Data'!C43/'Raw Data'!C47,3)</f>
        <v>0.34499999999999997</v>
      </c>
      <c r="J53" s="79">
        <f>ROUND('Raw Data'!D43/'Raw Data'!D47,3)</f>
        <v>0.30199999999999999</v>
      </c>
      <c r="K53" s="79">
        <f>ROUND('Raw Data'!E43/'Raw Data'!E47,3)</f>
        <v>0.59199999999999997</v>
      </c>
      <c r="L53" s="79">
        <f>ROUND('Raw Data'!F43/'Raw Data'!F47,3)</f>
        <v>0.92900000000000005</v>
      </c>
      <c r="M53" s="79">
        <f>ROUND('R Dataset'!D51/'R Dataset'!D55,3)</f>
        <v>0.66200000000000003</v>
      </c>
      <c r="N53" s="79"/>
      <c r="O53" s="79"/>
      <c r="P53" s="79"/>
      <c r="Q53" s="79"/>
      <c r="R53" s="79">
        <f t="shared" si="25"/>
        <v>0.48899999999999999</v>
      </c>
      <c r="S53" s="79">
        <f t="shared" si="26"/>
        <v>44.7</v>
      </c>
      <c r="T53" s="79">
        <f t="shared" si="34"/>
        <v>6.6858058601787116</v>
      </c>
      <c r="U53" s="79">
        <f t="shared" si="32"/>
        <v>54.1</v>
      </c>
      <c r="V53" s="34" t="s">
        <v>88</v>
      </c>
      <c r="W53" s="79">
        <v>0.5</v>
      </c>
      <c r="X53" s="79">
        <v>0.5</v>
      </c>
      <c r="Y53" s="153">
        <f>SUMPRODUCT(U53:U54,W53:W54)</f>
        <v>27.05</v>
      </c>
      <c r="Z53" s="153" cm="1">
        <f t="array" ref="Z53">ROUND(PRODUCT(U53:U54^(X53:X54/SUM(X53:X54))),1)</f>
        <v>0</v>
      </c>
      <c r="AA53" s="153">
        <v>0</v>
      </c>
      <c r="AB53" s="150"/>
      <c r="AC53" s="150"/>
      <c r="AD53" s="150"/>
      <c r="AE53" s="150"/>
      <c r="AF53" s="150"/>
    </row>
    <row r="54" spans="1:32" s="15" customFormat="1" x14ac:dyDescent="0.35">
      <c r="A54" s="79" t="s">
        <v>176</v>
      </c>
      <c r="B54" s="79" t="s">
        <v>92</v>
      </c>
      <c r="C54" s="34" t="s">
        <v>88</v>
      </c>
      <c r="D54" s="76" t="s">
        <v>197</v>
      </c>
      <c r="E54" s="109"/>
      <c r="F54" s="109"/>
      <c r="G54" s="109"/>
      <c r="H54" s="109"/>
      <c r="I54" s="109"/>
      <c r="J54" s="109"/>
      <c r="K54" s="109"/>
      <c r="L54" s="109"/>
      <c r="M54" s="79"/>
      <c r="N54" s="79"/>
      <c r="O54" s="79"/>
      <c r="P54" s="79"/>
      <c r="Q54" s="79"/>
      <c r="R54" s="79"/>
      <c r="S54" s="79"/>
      <c r="T54" s="79"/>
      <c r="U54" s="79"/>
      <c r="V54" s="34" t="s">
        <v>88</v>
      </c>
      <c r="W54" s="79">
        <v>0.5</v>
      </c>
      <c r="X54" s="79">
        <v>0.5</v>
      </c>
      <c r="Y54" s="153"/>
      <c r="Z54" s="153"/>
      <c r="AA54" s="153"/>
      <c r="AB54" s="150"/>
      <c r="AC54" s="150"/>
      <c r="AD54" s="150"/>
      <c r="AE54" s="150"/>
      <c r="AF54" s="150"/>
    </row>
  </sheetData>
  <mergeCells count="88">
    <mergeCell ref="AC51:AC54"/>
    <mergeCell ref="AF2:AF27"/>
    <mergeCell ref="AF29:AF54"/>
    <mergeCell ref="AE2:AE27"/>
    <mergeCell ref="AE29:AE54"/>
    <mergeCell ref="AD2:AD9"/>
    <mergeCell ref="AD10:AD16"/>
    <mergeCell ref="AD17:AD23"/>
    <mergeCell ref="AD24:AD27"/>
    <mergeCell ref="AD29:AD36"/>
    <mergeCell ref="AD37:AD43"/>
    <mergeCell ref="AD44:AD50"/>
    <mergeCell ref="AD51:AD54"/>
    <mergeCell ref="AC37:AC43"/>
    <mergeCell ref="AA29:AA30"/>
    <mergeCell ref="AB29:AB36"/>
    <mergeCell ref="AB37:AB43"/>
    <mergeCell ref="AB44:AB50"/>
    <mergeCell ref="AA41:AA43"/>
    <mergeCell ref="AA44:AA45"/>
    <mergeCell ref="AC44:AC50"/>
    <mergeCell ref="AB51:AB54"/>
    <mergeCell ref="AA46:AA48"/>
    <mergeCell ref="AA49:AA50"/>
    <mergeCell ref="AA53:AA54"/>
    <mergeCell ref="AA31:AA32"/>
    <mergeCell ref="AA33:AA36"/>
    <mergeCell ref="AA37:AA38"/>
    <mergeCell ref="AA39:AA40"/>
    <mergeCell ref="AC2:AC9"/>
    <mergeCell ref="AC10:AC16"/>
    <mergeCell ref="AC17:AC23"/>
    <mergeCell ref="AC24:AC27"/>
    <mergeCell ref="AC29:AC36"/>
    <mergeCell ref="Z4:Z5"/>
    <mergeCell ref="Z2:Z3"/>
    <mergeCell ref="AB2:AB9"/>
    <mergeCell ref="AB10:AB16"/>
    <mergeCell ref="AB17:AB23"/>
    <mergeCell ref="Z10:Z11"/>
    <mergeCell ref="Z6:Z9"/>
    <mergeCell ref="AA2:AA3"/>
    <mergeCell ref="AA4:AA5"/>
    <mergeCell ref="AA6:AA9"/>
    <mergeCell ref="AA10:AA11"/>
    <mergeCell ref="AA12:AA13"/>
    <mergeCell ref="AA14:AA16"/>
    <mergeCell ref="AA17:AA18"/>
    <mergeCell ref="AA19:AA21"/>
    <mergeCell ref="AA22:AA23"/>
    <mergeCell ref="AB24:AB27"/>
    <mergeCell ref="Z19:Z21"/>
    <mergeCell ref="Z17:Z18"/>
    <mergeCell ref="Z14:Z16"/>
    <mergeCell ref="Z12:Z13"/>
    <mergeCell ref="AA26:AA27"/>
    <mergeCell ref="Z53:Z54"/>
    <mergeCell ref="Z22:Z23"/>
    <mergeCell ref="Z26:Z27"/>
    <mergeCell ref="Z29:Z30"/>
    <mergeCell ref="Z31:Z32"/>
    <mergeCell ref="Z33:Z36"/>
    <mergeCell ref="Z37:Z38"/>
    <mergeCell ref="Z39:Z40"/>
    <mergeCell ref="Z41:Z43"/>
    <mergeCell ref="Z44:Z45"/>
    <mergeCell ref="Z46:Z48"/>
    <mergeCell ref="Z49:Z50"/>
    <mergeCell ref="Y49:Y50"/>
    <mergeCell ref="Y53:Y54"/>
    <mergeCell ref="Y33:Y36"/>
    <mergeCell ref="Y37:Y38"/>
    <mergeCell ref="Y39:Y40"/>
    <mergeCell ref="Y41:Y43"/>
    <mergeCell ref="Y44:Y45"/>
    <mergeCell ref="Y46:Y48"/>
    <mergeCell ref="Y31:Y32"/>
    <mergeCell ref="Y2:Y3"/>
    <mergeCell ref="Y4:Y5"/>
    <mergeCell ref="Y6:Y9"/>
    <mergeCell ref="Y10:Y11"/>
    <mergeCell ref="Y12:Y13"/>
    <mergeCell ref="Y14:Y16"/>
    <mergeCell ref="Y17:Y18"/>
    <mergeCell ref="Y19:Y21"/>
    <mergeCell ref="Y22:Y23"/>
    <mergeCell ref="Y26:Y27"/>
    <mergeCell ref="Y29:Y30"/>
  </mergeCells>
  <conditionalFormatting sqref="C3">
    <cfRule type="containsText" dxfId="13" priority="14" operator="containsText" text="Proficient">
      <formula>NOT(ISERROR(SEARCH("Proficient",C3)))</formula>
    </cfRule>
  </conditionalFormatting>
  <conditionalFormatting sqref="C1:C27 C29:C54">
    <cfRule type="containsText" dxfId="12" priority="10" operator="containsText" text="progress">
      <formula>NOT(ISERROR(SEARCH("progress",C1)))</formula>
    </cfRule>
    <cfRule type="containsText" dxfId="11" priority="11" operator="containsText" text="Access">
      <formula>NOT(ISERROR(SEARCH("Access",C1)))</formula>
    </cfRule>
    <cfRule type="containsText" dxfId="10" priority="12" operator="containsText" text="Excellence">
      <formula>NOT(ISERROR(SEARCH("Excellence",C1)))</formula>
    </cfRule>
    <cfRule type="containsText" dxfId="9" priority="13" operator="containsText" text="Proficient">
      <formula>NOT(ISERROR(SEARCH("Proficient",C1)))</formula>
    </cfRule>
  </conditionalFormatting>
  <conditionalFormatting sqref="C1:C54">
    <cfRule type="containsText" dxfId="8" priority="9" operator="containsText" text="Proficiency">
      <formula>NOT(ISERROR(SEARCH("Proficiency",C1)))</formula>
    </cfRule>
  </conditionalFormatting>
  <conditionalFormatting sqref="C30">
    <cfRule type="containsText" dxfId="7" priority="8" operator="containsText" text="Proficient">
      <formula>NOT(ISERROR(SEARCH("Proficient",C30)))</formula>
    </cfRule>
  </conditionalFormatting>
  <conditionalFormatting sqref="V3">
    <cfRule type="containsText" dxfId="6" priority="7" operator="containsText" text="Proficient">
      <formula>NOT(ISERROR(SEARCH("Proficient",V3)))</formula>
    </cfRule>
  </conditionalFormatting>
  <conditionalFormatting sqref="V1:V27 V29:V54 W1:AF1">
    <cfRule type="containsText" dxfId="5" priority="3" operator="containsText" text="progress">
      <formula>NOT(ISERROR(SEARCH("progress",V1)))</formula>
    </cfRule>
    <cfRule type="containsText" dxfId="4" priority="4" operator="containsText" text="Access">
      <formula>NOT(ISERROR(SEARCH("Access",V1)))</formula>
    </cfRule>
    <cfRule type="containsText" dxfId="3" priority="5" operator="containsText" text="Excellence">
      <formula>NOT(ISERROR(SEARCH("Excellence",V1)))</formula>
    </cfRule>
    <cfRule type="containsText" dxfId="2" priority="6" operator="containsText" text="Proficient">
      <formula>NOT(ISERROR(SEARCH("Proficient",V1)))</formula>
    </cfRule>
  </conditionalFormatting>
  <conditionalFormatting sqref="V1:V54 W1:AF1">
    <cfRule type="containsText" dxfId="1" priority="2" operator="containsText" text="Proficiency">
      <formula>NOT(ISERROR(SEARCH("Proficiency",V1)))</formula>
    </cfRule>
  </conditionalFormatting>
  <conditionalFormatting sqref="V30">
    <cfRule type="containsText" dxfId="0" priority="1" operator="containsText" text="Proficient">
      <formula>NOT(ISERROR(SEARCH("Proficient",V30)))</formula>
    </cfRule>
  </conditionalFormatting>
  <pageMargins left="0.7" right="0.7" top="0.75" bottom="0.75" header="0.3" footer="0.3"/>
  <pageSetup orientation="portrait" horizontalDpi="1200" verticalDpi="1200" r:id="rId1"/>
  <ignoredErrors>
    <ignoredError sqref="J2:K4 L2:L3 Z39:Z40 Y37:Z38 Y49:Z50 Y39:Y40 Y29:Z32 Y4:Z23 Y2:Z3 AB2 AB10:AB23 AB30:AB54 Y26:Z26 AB24:AB27 Z47:Z48 Y53:Z54 Y33:Y36 Y42:Y48 Z44:Z45 M18:M23 M29:M33 M50 M3:M12 I2:I5 M26 M24:M25" formulaRange="1"/>
    <ignoredError sqref="E3:H3 E4:H4" formula="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B7722-7EAC-48A3-9F35-C0A5D6FCB5B3}">
  <dimension ref="A1:S18"/>
  <sheetViews>
    <sheetView topLeftCell="C1" workbookViewId="0">
      <selection activeCell="K2" sqref="K2:K18"/>
    </sheetView>
  </sheetViews>
  <sheetFormatPr defaultRowHeight="14.5" x14ac:dyDescent="0.35"/>
  <cols>
    <col min="1" max="1" width="8.453125" bestFit="1" customWidth="1"/>
    <col min="2" max="2" width="10.26953125" bestFit="1" customWidth="1"/>
    <col min="3" max="3" width="125.54296875" bestFit="1" customWidth="1"/>
    <col min="4" max="4" width="14.6328125" bestFit="1" customWidth="1"/>
    <col min="5" max="5" width="17.453125" bestFit="1" customWidth="1"/>
    <col min="6" max="6" width="15.36328125" bestFit="1" customWidth="1"/>
    <col min="7" max="7" width="14.90625" bestFit="1" customWidth="1"/>
    <col min="8" max="8" width="14.6328125" bestFit="1" customWidth="1"/>
    <col min="9" max="9" width="17.453125" bestFit="1" customWidth="1"/>
    <col min="10" max="10" width="15.36328125" bestFit="1" customWidth="1"/>
    <col min="11" max="11" width="14.90625" bestFit="1" customWidth="1"/>
    <col min="12" max="12" width="19.08984375" bestFit="1" customWidth="1"/>
    <col min="13" max="13" width="21.90625" bestFit="1" customWidth="1"/>
    <col min="14" max="14" width="19.81640625" bestFit="1" customWidth="1"/>
    <col min="15" max="15" width="19.36328125" bestFit="1" customWidth="1"/>
    <col min="16" max="16" width="19.08984375" bestFit="1" customWidth="1"/>
    <col min="17" max="17" width="21.90625" bestFit="1" customWidth="1"/>
    <col min="18" max="18" width="19.81640625" bestFit="1" customWidth="1"/>
    <col min="19" max="19" width="19.36328125" bestFit="1" customWidth="1"/>
  </cols>
  <sheetData>
    <row r="1" spans="1:19" x14ac:dyDescent="0.35">
      <c r="A1" t="s">
        <v>159</v>
      </c>
      <c r="B1" t="s">
        <v>85</v>
      </c>
      <c r="C1" t="s">
        <v>6</v>
      </c>
      <c r="D1" t="s">
        <v>1979</v>
      </c>
      <c r="E1" t="s">
        <v>1981</v>
      </c>
      <c r="F1" t="s">
        <v>1980</v>
      </c>
      <c r="G1" t="s">
        <v>1982</v>
      </c>
      <c r="H1" t="s">
        <v>1975</v>
      </c>
      <c r="I1" t="s">
        <v>1976</v>
      </c>
      <c r="J1" t="s">
        <v>1977</v>
      </c>
      <c r="K1" t="s">
        <v>1978</v>
      </c>
      <c r="L1" t="s">
        <v>2055</v>
      </c>
      <c r="M1" t="s">
        <v>2056</v>
      </c>
      <c r="N1" t="s">
        <v>2057</v>
      </c>
      <c r="O1" t="s">
        <v>2058</v>
      </c>
      <c r="P1" t="s">
        <v>2051</v>
      </c>
      <c r="Q1" t="s">
        <v>2052</v>
      </c>
      <c r="R1" t="s">
        <v>2053</v>
      </c>
      <c r="S1" t="s">
        <v>2054</v>
      </c>
    </row>
    <row r="2" spans="1:19" x14ac:dyDescent="0.35">
      <c r="A2" t="s">
        <v>32</v>
      </c>
      <c r="B2" t="s">
        <v>394</v>
      </c>
      <c r="C2" t="s">
        <v>2035</v>
      </c>
      <c r="D2">
        <v>8275</v>
      </c>
      <c r="E2">
        <v>10392</v>
      </c>
      <c r="F2">
        <v>2501</v>
      </c>
      <c r="G2">
        <v>1084</v>
      </c>
      <c r="H2">
        <f>ROUND(0.18*D2,)</f>
        <v>1490</v>
      </c>
      <c r="I2">
        <f>ROUND(0.29*E2,)</f>
        <v>3014</v>
      </c>
      <c r="J2">
        <f>ROUND(0.65*F2,)</f>
        <v>1626</v>
      </c>
      <c r="K2">
        <f>ROUND(0.72*G2,)</f>
        <v>780</v>
      </c>
      <c r="L2">
        <f>ROUND(SQRT(D2/PI()),3)</f>
        <v>51.323</v>
      </c>
      <c r="M2">
        <f t="shared" ref="M2:O2" si="0">ROUND(SQRT(E2/PI()),3)</f>
        <v>57.514000000000003</v>
      </c>
      <c r="N2">
        <f t="shared" si="0"/>
        <v>28.215</v>
      </c>
      <c r="O2">
        <f t="shared" si="0"/>
        <v>18.574999999999999</v>
      </c>
      <c r="P2">
        <f t="shared" ref="P2" si="1">ROUND(SQRT(H2/PI()),3)</f>
        <v>21.777999999999999</v>
      </c>
      <c r="Q2">
        <f t="shared" ref="Q2" si="2">ROUND(SQRT(I2/PI()),3)</f>
        <v>30.974</v>
      </c>
      <c r="R2">
        <f t="shared" ref="R2" si="3">ROUND(SQRT(J2/PI()),3)</f>
        <v>22.75</v>
      </c>
      <c r="S2">
        <f t="shared" ref="S2" si="4">ROUND(SQRT(K2/PI()),3)</f>
        <v>15.757</v>
      </c>
    </row>
    <row r="3" spans="1:19" x14ac:dyDescent="0.35">
      <c r="A3" t="s">
        <v>32</v>
      </c>
      <c r="B3" t="s">
        <v>394</v>
      </c>
      <c r="C3" t="s">
        <v>2034</v>
      </c>
      <c r="D3">
        <v>9376</v>
      </c>
      <c r="E3">
        <v>12500</v>
      </c>
      <c r="F3">
        <v>2566</v>
      </c>
      <c r="G3">
        <v>1023</v>
      </c>
      <c r="H3">
        <v>1406</v>
      </c>
      <c r="I3">
        <v>3375</v>
      </c>
      <c r="J3">
        <v>1437</v>
      </c>
      <c r="K3">
        <v>726</v>
      </c>
      <c r="L3">
        <f t="shared" ref="L3:L18" si="5">ROUND(SQRT(D3/PI()),3)</f>
        <v>54.63</v>
      </c>
      <c r="M3">
        <f t="shared" ref="M3:M18" si="6">ROUND(SQRT(E3/PI()),3)</f>
        <v>63.078000000000003</v>
      </c>
      <c r="N3">
        <f t="shared" ref="N3:N18" si="7">ROUND(SQRT(F3/PI()),3)</f>
        <v>28.579000000000001</v>
      </c>
      <c r="O3">
        <f t="shared" ref="O3:O18" si="8">ROUND(SQRT(G3/PI()),3)</f>
        <v>18.045000000000002</v>
      </c>
      <c r="P3">
        <f t="shared" ref="P3:P18" si="9">ROUND(SQRT(H3/PI()),3)</f>
        <v>21.155000000000001</v>
      </c>
      <c r="Q3">
        <f t="shared" ref="Q3:Q18" si="10">ROUND(SQRT(I3/PI()),3)</f>
        <v>32.776000000000003</v>
      </c>
      <c r="R3">
        <f t="shared" ref="R3:R18" si="11">ROUND(SQRT(J3/PI()),3)</f>
        <v>21.387</v>
      </c>
      <c r="S3">
        <f t="shared" ref="S3:S18" si="12">ROUND(SQRT(K3/PI()),3)</f>
        <v>15.202</v>
      </c>
    </row>
    <row r="4" spans="1:19" x14ac:dyDescent="0.35">
      <c r="A4" t="s">
        <v>32</v>
      </c>
      <c r="B4" t="s">
        <v>95</v>
      </c>
      <c r="C4" t="s">
        <v>2036</v>
      </c>
      <c r="D4">
        <v>8275</v>
      </c>
      <c r="E4">
        <v>10392</v>
      </c>
      <c r="F4">
        <v>2501</v>
      </c>
      <c r="G4">
        <v>1084</v>
      </c>
      <c r="H4">
        <v>166</v>
      </c>
      <c r="I4">
        <v>416</v>
      </c>
      <c r="J4">
        <v>500</v>
      </c>
      <c r="K4">
        <v>347</v>
      </c>
      <c r="L4">
        <f t="shared" si="5"/>
        <v>51.323</v>
      </c>
      <c r="M4">
        <f t="shared" si="6"/>
        <v>57.514000000000003</v>
      </c>
      <c r="N4">
        <f t="shared" si="7"/>
        <v>28.215</v>
      </c>
      <c r="O4">
        <f t="shared" si="8"/>
        <v>18.574999999999999</v>
      </c>
      <c r="P4">
        <f t="shared" si="9"/>
        <v>7.2690000000000001</v>
      </c>
      <c r="Q4">
        <f t="shared" si="10"/>
        <v>11.507</v>
      </c>
      <c r="R4">
        <f t="shared" si="11"/>
        <v>12.616</v>
      </c>
      <c r="S4">
        <f t="shared" si="12"/>
        <v>10.51</v>
      </c>
    </row>
    <row r="5" spans="1:19" x14ac:dyDescent="0.35">
      <c r="A5" t="s">
        <v>32</v>
      </c>
      <c r="B5" t="s">
        <v>95</v>
      </c>
      <c r="C5" t="s">
        <v>2037</v>
      </c>
      <c r="D5">
        <v>9376</v>
      </c>
      <c r="E5">
        <v>12500</v>
      </c>
      <c r="F5">
        <v>2566</v>
      </c>
      <c r="G5">
        <v>1023</v>
      </c>
      <c r="H5">
        <v>188</v>
      </c>
      <c r="I5">
        <v>750</v>
      </c>
      <c r="J5">
        <v>565</v>
      </c>
      <c r="K5">
        <v>379</v>
      </c>
      <c r="L5">
        <f t="shared" si="5"/>
        <v>54.63</v>
      </c>
      <c r="M5">
        <f t="shared" si="6"/>
        <v>63.078000000000003</v>
      </c>
      <c r="N5">
        <f t="shared" si="7"/>
        <v>28.579000000000001</v>
      </c>
      <c r="O5">
        <f t="shared" si="8"/>
        <v>18.045000000000002</v>
      </c>
      <c r="P5">
        <f t="shared" si="9"/>
        <v>7.7359999999999998</v>
      </c>
      <c r="Q5">
        <f t="shared" si="10"/>
        <v>15.451000000000001</v>
      </c>
      <c r="R5">
        <f t="shared" si="11"/>
        <v>13.411</v>
      </c>
      <c r="S5">
        <f t="shared" si="12"/>
        <v>10.984</v>
      </c>
    </row>
    <row r="6" spans="1:19" x14ac:dyDescent="0.35">
      <c r="A6" t="s">
        <v>32</v>
      </c>
      <c r="B6" t="s">
        <v>88</v>
      </c>
      <c r="C6" t="s">
        <v>2038</v>
      </c>
      <c r="D6">
        <v>76478</v>
      </c>
      <c r="E6">
        <v>95809</v>
      </c>
      <c r="F6">
        <v>23965</v>
      </c>
      <c r="G6">
        <v>9402</v>
      </c>
      <c r="H6">
        <v>10095</v>
      </c>
      <c r="I6">
        <v>7569</v>
      </c>
      <c r="J6">
        <v>1318</v>
      </c>
      <c r="K6">
        <v>1354</v>
      </c>
      <c r="L6">
        <f t="shared" si="5"/>
        <v>156.02500000000001</v>
      </c>
      <c r="M6">
        <f t="shared" si="6"/>
        <v>174.63399999999999</v>
      </c>
      <c r="N6">
        <f t="shared" si="7"/>
        <v>87.34</v>
      </c>
      <c r="O6">
        <f t="shared" si="8"/>
        <v>54.706000000000003</v>
      </c>
      <c r="P6">
        <f t="shared" si="9"/>
        <v>56.686</v>
      </c>
      <c r="Q6">
        <f t="shared" si="10"/>
        <v>49.084000000000003</v>
      </c>
      <c r="R6">
        <f t="shared" si="11"/>
        <v>20.481999999999999</v>
      </c>
      <c r="S6">
        <f t="shared" si="12"/>
        <v>20.76</v>
      </c>
    </row>
    <row r="7" spans="1:19" x14ac:dyDescent="0.35">
      <c r="A7" t="s">
        <v>90</v>
      </c>
      <c r="B7" t="s">
        <v>394</v>
      </c>
      <c r="C7" t="s">
        <v>2039</v>
      </c>
      <c r="D7">
        <v>7850</v>
      </c>
      <c r="E7">
        <v>11418</v>
      </c>
      <c r="F7">
        <v>2278</v>
      </c>
      <c r="G7">
        <v>1090</v>
      </c>
      <c r="H7">
        <v>887</v>
      </c>
      <c r="I7">
        <v>2169</v>
      </c>
      <c r="J7">
        <v>1449</v>
      </c>
      <c r="K7">
        <v>574</v>
      </c>
      <c r="L7">
        <f t="shared" si="5"/>
        <v>49.987000000000002</v>
      </c>
      <c r="M7">
        <f t="shared" si="6"/>
        <v>60.286999999999999</v>
      </c>
      <c r="N7">
        <f t="shared" si="7"/>
        <v>26.928000000000001</v>
      </c>
      <c r="O7">
        <f t="shared" si="8"/>
        <v>18.626999999999999</v>
      </c>
      <c r="P7">
        <f t="shared" si="9"/>
        <v>16.803000000000001</v>
      </c>
      <c r="Q7">
        <f t="shared" si="10"/>
        <v>26.276</v>
      </c>
      <c r="R7">
        <f t="shared" si="11"/>
        <v>21.475999999999999</v>
      </c>
      <c r="S7">
        <f t="shared" si="12"/>
        <v>13.516999999999999</v>
      </c>
    </row>
    <row r="8" spans="1:19" x14ac:dyDescent="0.35">
      <c r="A8" t="s">
        <v>90</v>
      </c>
      <c r="B8" t="s">
        <v>95</v>
      </c>
      <c r="C8" t="s">
        <v>2040</v>
      </c>
      <c r="D8">
        <v>7850</v>
      </c>
      <c r="E8">
        <v>11418</v>
      </c>
      <c r="F8">
        <v>2278</v>
      </c>
      <c r="G8">
        <v>1090</v>
      </c>
      <c r="H8">
        <v>55</v>
      </c>
      <c r="I8">
        <v>206</v>
      </c>
      <c r="J8">
        <v>508</v>
      </c>
      <c r="K8">
        <v>256</v>
      </c>
      <c r="L8">
        <f t="shared" si="5"/>
        <v>49.987000000000002</v>
      </c>
      <c r="M8">
        <f t="shared" si="6"/>
        <v>60.286999999999999</v>
      </c>
      <c r="N8">
        <f t="shared" si="7"/>
        <v>26.928000000000001</v>
      </c>
      <c r="O8">
        <f t="shared" si="8"/>
        <v>18.626999999999999</v>
      </c>
      <c r="P8">
        <f t="shared" si="9"/>
        <v>4.1840000000000002</v>
      </c>
      <c r="Q8">
        <f t="shared" si="10"/>
        <v>8.0980000000000008</v>
      </c>
      <c r="R8">
        <f t="shared" si="11"/>
        <v>12.715999999999999</v>
      </c>
      <c r="S8">
        <f t="shared" si="12"/>
        <v>9.0269999999999992</v>
      </c>
    </row>
    <row r="9" spans="1:19" x14ac:dyDescent="0.35">
      <c r="A9" t="s">
        <v>90</v>
      </c>
      <c r="B9" t="s">
        <v>88</v>
      </c>
      <c r="C9" t="s">
        <v>2041</v>
      </c>
      <c r="D9">
        <v>37203</v>
      </c>
      <c r="E9">
        <v>51228</v>
      </c>
      <c r="F9">
        <v>9724</v>
      </c>
      <c r="G9">
        <v>4262</v>
      </c>
      <c r="H9">
        <v>3274</v>
      </c>
      <c r="I9">
        <v>10092</v>
      </c>
      <c r="J9">
        <v>1322</v>
      </c>
      <c r="K9">
        <v>844</v>
      </c>
      <c r="L9">
        <f t="shared" si="5"/>
        <v>108.821</v>
      </c>
      <c r="M9">
        <f t="shared" si="6"/>
        <v>127.696</v>
      </c>
      <c r="N9">
        <f t="shared" si="7"/>
        <v>55.634999999999998</v>
      </c>
      <c r="O9">
        <f t="shared" si="8"/>
        <v>36.832999999999998</v>
      </c>
      <c r="P9">
        <f t="shared" si="9"/>
        <v>32.281999999999996</v>
      </c>
      <c r="Q9">
        <f t="shared" si="10"/>
        <v>56.677999999999997</v>
      </c>
      <c r="R9">
        <f t="shared" si="11"/>
        <v>20.513999999999999</v>
      </c>
      <c r="S9">
        <f t="shared" si="12"/>
        <v>16.390999999999998</v>
      </c>
    </row>
    <row r="10" spans="1:19" x14ac:dyDescent="0.35">
      <c r="A10" t="s">
        <v>91</v>
      </c>
      <c r="B10" t="s">
        <v>394</v>
      </c>
      <c r="C10" t="s">
        <v>2042</v>
      </c>
      <c r="D10">
        <v>1066</v>
      </c>
      <c r="E10">
        <v>2134</v>
      </c>
      <c r="F10">
        <v>5264</v>
      </c>
      <c r="G10">
        <v>3295</v>
      </c>
      <c r="H10">
        <v>193</v>
      </c>
      <c r="I10">
        <v>448</v>
      </c>
      <c r="J10">
        <v>1437</v>
      </c>
      <c r="K10">
        <v>873</v>
      </c>
      <c r="L10">
        <f t="shared" si="5"/>
        <v>18.420999999999999</v>
      </c>
      <c r="M10">
        <f t="shared" si="6"/>
        <v>26.062999999999999</v>
      </c>
      <c r="N10">
        <f t="shared" si="7"/>
        <v>40.933999999999997</v>
      </c>
      <c r="O10">
        <f t="shared" si="8"/>
        <v>32.386000000000003</v>
      </c>
      <c r="P10">
        <f t="shared" si="9"/>
        <v>7.8380000000000001</v>
      </c>
      <c r="Q10">
        <f t="shared" si="10"/>
        <v>11.942</v>
      </c>
      <c r="R10">
        <f t="shared" si="11"/>
        <v>21.387</v>
      </c>
      <c r="S10">
        <f t="shared" si="12"/>
        <v>16.670000000000002</v>
      </c>
    </row>
    <row r="11" spans="1:19" x14ac:dyDescent="0.35">
      <c r="A11" t="s">
        <v>91</v>
      </c>
      <c r="B11" t="s">
        <v>394</v>
      </c>
      <c r="C11" t="s">
        <v>2043</v>
      </c>
      <c r="D11">
        <v>6102</v>
      </c>
      <c r="E11">
        <v>11594</v>
      </c>
      <c r="F11">
        <v>37224</v>
      </c>
      <c r="G11">
        <v>6713</v>
      </c>
      <c r="H11">
        <v>195</v>
      </c>
      <c r="I11">
        <v>452</v>
      </c>
      <c r="J11">
        <v>1452</v>
      </c>
      <c r="K11">
        <v>873</v>
      </c>
      <c r="L11">
        <f t="shared" si="5"/>
        <v>44.072000000000003</v>
      </c>
      <c r="M11">
        <f t="shared" si="6"/>
        <v>60.749000000000002</v>
      </c>
      <c r="N11">
        <f t="shared" si="7"/>
        <v>108.852</v>
      </c>
      <c r="O11">
        <f t="shared" si="8"/>
        <v>46.225999999999999</v>
      </c>
      <c r="P11">
        <f t="shared" si="9"/>
        <v>7.8780000000000001</v>
      </c>
      <c r="Q11">
        <f t="shared" si="10"/>
        <v>11.994999999999999</v>
      </c>
      <c r="R11">
        <f t="shared" si="11"/>
        <v>21.498999999999999</v>
      </c>
      <c r="S11">
        <f t="shared" si="12"/>
        <v>16.670000000000002</v>
      </c>
    </row>
    <row r="12" spans="1:19" x14ac:dyDescent="0.35">
      <c r="A12" t="s">
        <v>91</v>
      </c>
      <c r="B12" t="s">
        <v>95</v>
      </c>
      <c r="C12" t="s">
        <v>2044</v>
      </c>
      <c r="D12">
        <v>1457</v>
      </c>
      <c r="E12">
        <v>1659</v>
      </c>
      <c r="F12">
        <v>14664</v>
      </c>
      <c r="G12">
        <v>4078</v>
      </c>
      <c r="H12">
        <v>41</v>
      </c>
      <c r="I12">
        <v>75</v>
      </c>
      <c r="J12">
        <v>719</v>
      </c>
      <c r="K12">
        <v>652</v>
      </c>
      <c r="L12">
        <f t="shared" si="5"/>
        <v>21.535</v>
      </c>
      <c r="M12">
        <f t="shared" si="6"/>
        <v>22.98</v>
      </c>
      <c r="N12">
        <f t="shared" si="7"/>
        <v>68.320999999999998</v>
      </c>
      <c r="O12">
        <f t="shared" si="8"/>
        <v>36.029000000000003</v>
      </c>
      <c r="P12">
        <f t="shared" si="9"/>
        <v>3.613</v>
      </c>
      <c r="Q12">
        <f t="shared" si="10"/>
        <v>4.8860000000000001</v>
      </c>
      <c r="R12">
        <f t="shared" si="11"/>
        <v>15.128</v>
      </c>
      <c r="S12">
        <f t="shared" si="12"/>
        <v>14.406000000000001</v>
      </c>
    </row>
    <row r="13" spans="1:19" x14ac:dyDescent="0.35">
      <c r="A13" t="s">
        <v>91</v>
      </c>
      <c r="B13" t="s">
        <v>95</v>
      </c>
      <c r="C13" t="s">
        <v>2045</v>
      </c>
      <c r="D13">
        <v>3059</v>
      </c>
      <c r="E13">
        <v>7078</v>
      </c>
      <c r="F13">
        <v>19643</v>
      </c>
      <c r="G13">
        <v>10623</v>
      </c>
      <c r="H13">
        <v>98</v>
      </c>
      <c r="I13">
        <v>283</v>
      </c>
      <c r="J13">
        <v>982</v>
      </c>
      <c r="K13">
        <v>1838</v>
      </c>
      <c r="L13">
        <f t="shared" si="5"/>
        <v>31.204000000000001</v>
      </c>
      <c r="M13">
        <f t="shared" si="6"/>
        <v>47.466000000000001</v>
      </c>
      <c r="N13">
        <f t="shared" si="7"/>
        <v>79.072999999999993</v>
      </c>
      <c r="O13">
        <f t="shared" si="8"/>
        <v>58.15</v>
      </c>
      <c r="P13">
        <f t="shared" si="9"/>
        <v>5.585</v>
      </c>
      <c r="Q13">
        <f t="shared" si="10"/>
        <v>9.4909999999999997</v>
      </c>
      <c r="R13">
        <f t="shared" si="11"/>
        <v>17.68</v>
      </c>
      <c r="S13">
        <f t="shared" si="12"/>
        <v>24.187999999999999</v>
      </c>
    </row>
    <row r="14" spans="1:19" x14ac:dyDescent="0.35">
      <c r="A14" t="s">
        <v>91</v>
      </c>
      <c r="B14" t="s">
        <v>95</v>
      </c>
      <c r="C14" t="s">
        <v>2046</v>
      </c>
      <c r="D14">
        <v>97</v>
      </c>
      <c r="E14">
        <v>283</v>
      </c>
      <c r="F14">
        <v>983</v>
      </c>
      <c r="G14">
        <v>1841</v>
      </c>
      <c r="H14">
        <v>19</v>
      </c>
      <c r="I14">
        <v>65</v>
      </c>
      <c r="J14">
        <v>261</v>
      </c>
      <c r="K14">
        <v>376</v>
      </c>
      <c r="L14">
        <f t="shared" si="5"/>
        <v>5.5570000000000004</v>
      </c>
      <c r="M14">
        <f t="shared" si="6"/>
        <v>9.4909999999999997</v>
      </c>
      <c r="N14">
        <f t="shared" si="7"/>
        <v>17.689</v>
      </c>
      <c r="O14">
        <f t="shared" si="8"/>
        <v>24.207999999999998</v>
      </c>
      <c r="P14">
        <f t="shared" si="9"/>
        <v>2.4590000000000001</v>
      </c>
      <c r="Q14">
        <f t="shared" si="10"/>
        <v>4.5490000000000004</v>
      </c>
      <c r="R14">
        <f t="shared" si="11"/>
        <v>9.1150000000000002</v>
      </c>
      <c r="S14">
        <f t="shared" si="12"/>
        <v>10.94</v>
      </c>
    </row>
    <row r="15" spans="1:19" x14ac:dyDescent="0.35">
      <c r="A15" t="s">
        <v>91</v>
      </c>
      <c r="B15" t="s">
        <v>88</v>
      </c>
      <c r="C15" t="s">
        <v>2047</v>
      </c>
      <c r="D15">
        <v>27966</v>
      </c>
      <c r="E15">
        <v>51271</v>
      </c>
      <c r="F15">
        <v>130509</v>
      </c>
      <c r="G15">
        <v>23305</v>
      </c>
      <c r="H15">
        <v>1063</v>
      </c>
      <c r="I15">
        <v>2153</v>
      </c>
      <c r="J15">
        <v>5220</v>
      </c>
      <c r="K15">
        <v>3286</v>
      </c>
      <c r="L15">
        <f t="shared" si="5"/>
        <v>94.35</v>
      </c>
      <c r="M15">
        <f t="shared" si="6"/>
        <v>127.75</v>
      </c>
      <c r="N15">
        <f t="shared" si="7"/>
        <v>203.81899999999999</v>
      </c>
      <c r="O15">
        <f t="shared" si="8"/>
        <v>86.129000000000005</v>
      </c>
      <c r="P15">
        <f t="shared" si="9"/>
        <v>18.395</v>
      </c>
      <c r="Q15">
        <f t="shared" si="10"/>
        <v>26.178999999999998</v>
      </c>
      <c r="R15">
        <f t="shared" si="11"/>
        <v>40.762</v>
      </c>
      <c r="S15">
        <f t="shared" si="12"/>
        <v>32.341000000000001</v>
      </c>
    </row>
    <row r="16" spans="1:19" x14ac:dyDescent="0.35">
      <c r="A16" t="s">
        <v>91</v>
      </c>
      <c r="B16" t="s">
        <v>88</v>
      </c>
      <c r="C16" t="s">
        <v>2048</v>
      </c>
      <c r="D16">
        <v>185882</v>
      </c>
      <c r="E16">
        <v>261730</v>
      </c>
      <c r="F16">
        <v>633474</v>
      </c>
      <c r="G16">
        <v>70885</v>
      </c>
      <c r="H16">
        <v>27882</v>
      </c>
      <c r="I16">
        <v>51299</v>
      </c>
      <c r="J16">
        <v>130496</v>
      </c>
      <c r="K16">
        <v>23321</v>
      </c>
      <c r="L16">
        <f t="shared" si="5"/>
        <v>243.245</v>
      </c>
      <c r="M16">
        <f t="shared" si="6"/>
        <v>288.637</v>
      </c>
      <c r="N16">
        <f t="shared" si="7"/>
        <v>449.04500000000002</v>
      </c>
      <c r="O16">
        <f t="shared" si="8"/>
        <v>150.21100000000001</v>
      </c>
      <c r="P16">
        <f t="shared" si="9"/>
        <v>94.207999999999998</v>
      </c>
      <c r="Q16">
        <f t="shared" si="10"/>
        <v>127.785</v>
      </c>
      <c r="R16">
        <f t="shared" si="11"/>
        <v>203.809</v>
      </c>
      <c r="S16">
        <f t="shared" si="12"/>
        <v>86.159000000000006</v>
      </c>
    </row>
    <row r="17" spans="1:19" x14ac:dyDescent="0.35">
      <c r="A17" t="s">
        <v>92</v>
      </c>
      <c r="B17" t="s">
        <v>394</v>
      </c>
      <c r="C17" t="s">
        <v>2049</v>
      </c>
      <c r="D17">
        <v>350308</v>
      </c>
      <c r="E17">
        <v>255494</v>
      </c>
      <c r="F17">
        <v>2007922</v>
      </c>
      <c r="G17">
        <v>340436</v>
      </c>
      <c r="H17">
        <v>525</v>
      </c>
      <c r="I17">
        <v>1226</v>
      </c>
      <c r="J17">
        <v>4417</v>
      </c>
      <c r="K17">
        <v>2247</v>
      </c>
      <c r="L17">
        <f t="shared" si="5"/>
        <v>333.92599999999999</v>
      </c>
      <c r="M17">
        <f t="shared" si="6"/>
        <v>285.178</v>
      </c>
      <c r="N17">
        <f t="shared" si="7"/>
        <v>799.46299999999997</v>
      </c>
      <c r="O17">
        <f t="shared" si="8"/>
        <v>329.18700000000001</v>
      </c>
      <c r="P17">
        <f t="shared" si="9"/>
        <v>12.927</v>
      </c>
      <c r="Q17">
        <f t="shared" si="10"/>
        <v>19.754999999999999</v>
      </c>
      <c r="R17">
        <f t="shared" si="11"/>
        <v>37.496000000000002</v>
      </c>
      <c r="S17">
        <f t="shared" si="12"/>
        <v>26.744</v>
      </c>
    </row>
    <row r="18" spans="1:19" x14ac:dyDescent="0.35">
      <c r="A18" t="s">
        <v>92</v>
      </c>
      <c r="B18" t="s">
        <v>95</v>
      </c>
      <c r="C18" t="s">
        <v>2050</v>
      </c>
      <c r="D18">
        <v>350308</v>
      </c>
      <c r="E18">
        <v>255494</v>
      </c>
      <c r="F18">
        <v>2007922</v>
      </c>
      <c r="G18">
        <v>340436</v>
      </c>
      <c r="H18">
        <v>1471</v>
      </c>
      <c r="I18">
        <v>1661</v>
      </c>
      <c r="J18">
        <v>14658</v>
      </c>
      <c r="K18">
        <v>4085</v>
      </c>
      <c r="L18">
        <f t="shared" si="5"/>
        <v>333.92599999999999</v>
      </c>
      <c r="M18">
        <f t="shared" si="6"/>
        <v>285.178</v>
      </c>
      <c r="N18">
        <f t="shared" si="7"/>
        <v>799.46299999999997</v>
      </c>
      <c r="O18">
        <f t="shared" si="8"/>
        <v>329.18700000000001</v>
      </c>
      <c r="P18">
        <f t="shared" si="9"/>
        <v>21.638999999999999</v>
      </c>
      <c r="Q18">
        <f t="shared" si="10"/>
        <v>22.994</v>
      </c>
      <c r="R18">
        <f t="shared" si="11"/>
        <v>68.307000000000002</v>
      </c>
      <c r="S18">
        <f t="shared" si="12"/>
        <v>36.06</v>
      </c>
    </row>
  </sheetData>
  <phoneticPr fontId="4"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EE787-59E0-44AB-AA9D-F059F50F6828}">
  <dimension ref="A1:D69"/>
  <sheetViews>
    <sheetView workbookViewId="0">
      <selection activeCell="A4" sqref="A4"/>
    </sheetView>
  </sheetViews>
  <sheetFormatPr defaultRowHeight="14.5" x14ac:dyDescent="0.35"/>
  <cols>
    <col min="1" max="1" width="41.26953125" bestFit="1" customWidth="1"/>
  </cols>
  <sheetData>
    <row r="1" spans="1:4" x14ac:dyDescent="0.35">
      <c r="A1" t="s">
        <v>6</v>
      </c>
      <c r="B1" t="s">
        <v>2059</v>
      </c>
      <c r="C1" t="s">
        <v>2060</v>
      </c>
      <c r="D1" t="s">
        <v>81</v>
      </c>
    </row>
    <row r="2" spans="1:4" x14ac:dyDescent="0.35">
      <c r="A2" t="s">
        <v>2035</v>
      </c>
      <c r="B2" t="s">
        <v>2</v>
      </c>
      <c r="C2">
        <v>1490</v>
      </c>
      <c r="D2">
        <v>8275</v>
      </c>
    </row>
    <row r="3" spans="1:4" x14ac:dyDescent="0.35">
      <c r="A3" t="s">
        <v>2034</v>
      </c>
      <c r="B3" t="s">
        <v>2</v>
      </c>
      <c r="C3">
        <v>1406</v>
      </c>
      <c r="D3">
        <v>9376</v>
      </c>
    </row>
    <row r="4" spans="1:4" x14ac:dyDescent="0.35">
      <c r="A4" t="s">
        <v>2036</v>
      </c>
      <c r="B4" t="s">
        <v>2</v>
      </c>
      <c r="C4">
        <v>166</v>
      </c>
      <c r="D4">
        <v>8275</v>
      </c>
    </row>
    <row r="5" spans="1:4" x14ac:dyDescent="0.35">
      <c r="A5" t="s">
        <v>2037</v>
      </c>
      <c r="B5" t="s">
        <v>2</v>
      </c>
      <c r="C5">
        <v>188</v>
      </c>
      <c r="D5">
        <v>9376</v>
      </c>
    </row>
    <row r="6" spans="1:4" x14ac:dyDescent="0.35">
      <c r="A6" t="s">
        <v>2038</v>
      </c>
      <c r="B6" t="s">
        <v>2</v>
      </c>
      <c r="C6">
        <v>10095</v>
      </c>
      <c r="D6">
        <v>76478</v>
      </c>
    </row>
    <row r="7" spans="1:4" x14ac:dyDescent="0.35">
      <c r="A7" t="s">
        <v>2039</v>
      </c>
      <c r="B7" t="s">
        <v>2</v>
      </c>
      <c r="C7">
        <v>887</v>
      </c>
      <c r="D7">
        <v>7850</v>
      </c>
    </row>
    <row r="8" spans="1:4" x14ac:dyDescent="0.35">
      <c r="A8" t="s">
        <v>2040</v>
      </c>
      <c r="B8" t="s">
        <v>2</v>
      </c>
      <c r="C8">
        <v>55</v>
      </c>
      <c r="D8">
        <v>7850</v>
      </c>
    </row>
    <row r="9" spans="1:4" x14ac:dyDescent="0.35">
      <c r="A9" t="s">
        <v>2041</v>
      </c>
      <c r="B9" t="s">
        <v>2</v>
      </c>
      <c r="C9">
        <v>3274</v>
      </c>
      <c r="D9">
        <v>37203</v>
      </c>
    </row>
    <row r="10" spans="1:4" x14ac:dyDescent="0.35">
      <c r="A10" t="s">
        <v>2042</v>
      </c>
      <c r="B10" t="s">
        <v>2</v>
      </c>
      <c r="C10">
        <v>193</v>
      </c>
      <c r="D10">
        <v>1066</v>
      </c>
    </row>
    <row r="11" spans="1:4" x14ac:dyDescent="0.35">
      <c r="A11" t="s">
        <v>2043</v>
      </c>
      <c r="B11" t="s">
        <v>2</v>
      </c>
      <c r="C11">
        <v>195</v>
      </c>
      <c r="D11">
        <v>6102</v>
      </c>
    </row>
    <row r="12" spans="1:4" x14ac:dyDescent="0.35">
      <c r="A12" t="s">
        <v>2044</v>
      </c>
      <c r="B12" t="s">
        <v>2</v>
      </c>
      <c r="C12">
        <v>41</v>
      </c>
      <c r="D12">
        <v>1457</v>
      </c>
    </row>
    <row r="13" spans="1:4" x14ac:dyDescent="0.35">
      <c r="A13" t="s">
        <v>2045</v>
      </c>
      <c r="B13" t="s">
        <v>2</v>
      </c>
      <c r="C13">
        <v>98</v>
      </c>
      <c r="D13">
        <v>3059</v>
      </c>
    </row>
    <row r="14" spans="1:4" x14ac:dyDescent="0.35">
      <c r="A14" t="s">
        <v>2046</v>
      </c>
      <c r="B14" t="s">
        <v>2</v>
      </c>
      <c r="C14">
        <v>19</v>
      </c>
      <c r="D14">
        <v>97</v>
      </c>
    </row>
    <row r="15" spans="1:4" x14ac:dyDescent="0.35">
      <c r="A15" t="s">
        <v>2047</v>
      </c>
      <c r="B15" t="s">
        <v>2</v>
      </c>
      <c r="C15">
        <v>1063</v>
      </c>
      <c r="D15">
        <v>27966</v>
      </c>
    </row>
    <row r="16" spans="1:4" x14ac:dyDescent="0.35">
      <c r="A16" t="s">
        <v>2048</v>
      </c>
      <c r="B16" t="s">
        <v>2</v>
      </c>
      <c r="C16">
        <v>27882</v>
      </c>
      <c r="D16">
        <v>185882</v>
      </c>
    </row>
    <row r="17" spans="1:4" x14ac:dyDescent="0.35">
      <c r="A17" t="s">
        <v>2049</v>
      </c>
      <c r="B17" t="s">
        <v>2</v>
      </c>
      <c r="C17">
        <v>8618</v>
      </c>
      <c r="D17">
        <v>350308</v>
      </c>
    </row>
    <row r="18" spans="1:4" x14ac:dyDescent="0.35">
      <c r="A18" t="s">
        <v>2050</v>
      </c>
      <c r="B18" t="s">
        <v>2</v>
      </c>
      <c r="C18">
        <v>1471</v>
      </c>
      <c r="D18">
        <v>350308</v>
      </c>
    </row>
    <row r="19" spans="1:4" x14ac:dyDescent="0.35">
      <c r="A19" t="s">
        <v>2035</v>
      </c>
      <c r="B19" t="s">
        <v>3</v>
      </c>
      <c r="C19">
        <v>3014</v>
      </c>
      <c r="D19">
        <v>10392</v>
      </c>
    </row>
    <row r="20" spans="1:4" x14ac:dyDescent="0.35">
      <c r="A20" t="s">
        <v>2034</v>
      </c>
      <c r="B20" t="s">
        <v>3</v>
      </c>
      <c r="C20">
        <v>3375</v>
      </c>
      <c r="D20">
        <v>12500</v>
      </c>
    </row>
    <row r="21" spans="1:4" x14ac:dyDescent="0.35">
      <c r="A21" t="s">
        <v>2036</v>
      </c>
      <c r="B21" t="s">
        <v>3</v>
      </c>
      <c r="C21">
        <v>416</v>
      </c>
      <c r="D21">
        <v>10392</v>
      </c>
    </row>
    <row r="22" spans="1:4" x14ac:dyDescent="0.35">
      <c r="A22" t="s">
        <v>2037</v>
      </c>
      <c r="B22" t="s">
        <v>3</v>
      </c>
      <c r="C22">
        <v>750</v>
      </c>
      <c r="D22">
        <v>12500</v>
      </c>
    </row>
    <row r="23" spans="1:4" x14ac:dyDescent="0.35">
      <c r="A23" t="s">
        <v>2038</v>
      </c>
      <c r="B23" t="s">
        <v>3</v>
      </c>
      <c r="C23">
        <v>7569</v>
      </c>
      <c r="D23">
        <v>95809</v>
      </c>
    </row>
    <row r="24" spans="1:4" x14ac:dyDescent="0.35">
      <c r="A24" t="s">
        <v>2039</v>
      </c>
      <c r="B24" t="s">
        <v>3</v>
      </c>
      <c r="C24">
        <v>2169</v>
      </c>
      <c r="D24">
        <v>11418</v>
      </c>
    </row>
    <row r="25" spans="1:4" x14ac:dyDescent="0.35">
      <c r="A25" t="s">
        <v>2040</v>
      </c>
      <c r="B25" t="s">
        <v>3</v>
      </c>
      <c r="C25">
        <v>206</v>
      </c>
      <c r="D25">
        <v>11418</v>
      </c>
    </row>
    <row r="26" spans="1:4" x14ac:dyDescent="0.35">
      <c r="A26" t="s">
        <v>2041</v>
      </c>
      <c r="B26" t="s">
        <v>3</v>
      </c>
      <c r="C26">
        <v>10092</v>
      </c>
      <c r="D26">
        <v>51228</v>
      </c>
    </row>
    <row r="27" spans="1:4" x14ac:dyDescent="0.35">
      <c r="A27" t="s">
        <v>2042</v>
      </c>
      <c r="B27" t="s">
        <v>3</v>
      </c>
      <c r="C27">
        <v>448</v>
      </c>
      <c r="D27">
        <v>2134</v>
      </c>
    </row>
    <row r="28" spans="1:4" x14ac:dyDescent="0.35">
      <c r="A28" t="s">
        <v>2043</v>
      </c>
      <c r="B28" t="s">
        <v>3</v>
      </c>
      <c r="C28">
        <v>452</v>
      </c>
      <c r="D28">
        <v>11594</v>
      </c>
    </row>
    <row r="29" spans="1:4" x14ac:dyDescent="0.35">
      <c r="A29" t="s">
        <v>2044</v>
      </c>
      <c r="B29" t="s">
        <v>3</v>
      </c>
      <c r="C29">
        <v>75</v>
      </c>
      <c r="D29">
        <v>1659</v>
      </c>
    </row>
    <row r="30" spans="1:4" x14ac:dyDescent="0.35">
      <c r="A30" t="s">
        <v>2045</v>
      </c>
      <c r="B30" t="s">
        <v>3</v>
      </c>
      <c r="C30">
        <v>283</v>
      </c>
      <c r="D30">
        <v>7078</v>
      </c>
    </row>
    <row r="31" spans="1:4" x14ac:dyDescent="0.35">
      <c r="A31" t="s">
        <v>2046</v>
      </c>
      <c r="B31" t="s">
        <v>3</v>
      </c>
      <c r="C31">
        <v>65</v>
      </c>
      <c r="D31">
        <v>283</v>
      </c>
    </row>
    <row r="32" spans="1:4" x14ac:dyDescent="0.35">
      <c r="A32" t="s">
        <v>2047</v>
      </c>
      <c r="B32" t="s">
        <v>3</v>
      </c>
      <c r="C32">
        <v>2153</v>
      </c>
      <c r="D32">
        <v>51271</v>
      </c>
    </row>
    <row r="33" spans="1:4" x14ac:dyDescent="0.35">
      <c r="A33" t="s">
        <v>2048</v>
      </c>
      <c r="B33" t="s">
        <v>3</v>
      </c>
      <c r="C33">
        <v>51299</v>
      </c>
      <c r="D33">
        <v>261730</v>
      </c>
    </row>
    <row r="34" spans="1:4" x14ac:dyDescent="0.35">
      <c r="A34" t="s">
        <v>2049</v>
      </c>
      <c r="B34" t="s">
        <v>3</v>
      </c>
      <c r="C34">
        <v>9223</v>
      </c>
      <c r="D34">
        <v>255494</v>
      </c>
    </row>
    <row r="35" spans="1:4" x14ac:dyDescent="0.35">
      <c r="A35" t="s">
        <v>2050</v>
      </c>
      <c r="B35" t="s">
        <v>3</v>
      </c>
      <c r="C35">
        <v>1661</v>
      </c>
      <c r="D35">
        <v>255494</v>
      </c>
    </row>
    <row r="36" spans="1:4" x14ac:dyDescent="0.35">
      <c r="A36" t="s">
        <v>2035</v>
      </c>
      <c r="B36" t="s">
        <v>4</v>
      </c>
      <c r="C36">
        <v>1626</v>
      </c>
      <c r="D36">
        <v>2501</v>
      </c>
    </row>
    <row r="37" spans="1:4" x14ac:dyDescent="0.35">
      <c r="A37" t="s">
        <v>2034</v>
      </c>
      <c r="B37" t="s">
        <v>4</v>
      </c>
      <c r="C37">
        <v>1437</v>
      </c>
      <c r="D37">
        <v>2566</v>
      </c>
    </row>
    <row r="38" spans="1:4" x14ac:dyDescent="0.35">
      <c r="A38" t="s">
        <v>2036</v>
      </c>
      <c r="B38" t="s">
        <v>4</v>
      </c>
      <c r="C38">
        <v>500</v>
      </c>
      <c r="D38">
        <v>2501</v>
      </c>
    </row>
    <row r="39" spans="1:4" x14ac:dyDescent="0.35">
      <c r="A39" t="s">
        <v>2037</v>
      </c>
      <c r="B39" t="s">
        <v>4</v>
      </c>
      <c r="C39">
        <v>565</v>
      </c>
      <c r="D39">
        <v>2566</v>
      </c>
    </row>
    <row r="40" spans="1:4" x14ac:dyDescent="0.35">
      <c r="A40" t="s">
        <v>2038</v>
      </c>
      <c r="B40" t="s">
        <v>4</v>
      </c>
      <c r="C40">
        <v>1318</v>
      </c>
      <c r="D40">
        <v>23965</v>
      </c>
    </row>
    <row r="41" spans="1:4" x14ac:dyDescent="0.35">
      <c r="A41" t="s">
        <v>2039</v>
      </c>
      <c r="B41" t="s">
        <v>4</v>
      </c>
      <c r="C41">
        <v>1449</v>
      </c>
      <c r="D41">
        <v>2278</v>
      </c>
    </row>
    <row r="42" spans="1:4" x14ac:dyDescent="0.35">
      <c r="A42" t="s">
        <v>2040</v>
      </c>
      <c r="B42" t="s">
        <v>4</v>
      </c>
      <c r="C42">
        <v>508</v>
      </c>
      <c r="D42">
        <v>2278</v>
      </c>
    </row>
    <row r="43" spans="1:4" x14ac:dyDescent="0.35">
      <c r="A43" t="s">
        <v>2041</v>
      </c>
      <c r="B43" t="s">
        <v>4</v>
      </c>
      <c r="C43">
        <v>1322</v>
      </c>
      <c r="D43">
        <v>9724</v>
      </c>
    </row>
    <row r="44" spans="1:4" x14ac:dyDescent="0.35">
      <c r="A44" t="s">
        <v>2042</v>
      </c>
      <c r="B44" t="s">
        <v>4</v>
      </c>
      <c r="C44">
        <v>1437</v>
      </c>
      <c r="D44">
        <v>5264</v>
      </c>
    </row>
    <row r="45" spans="1:4" x14ac:dyDescent="0.35">
      <c r="A45" t="s">
        <v>2043</v>
      </c>
      <c r="B45" t="s">
        <v>4</v>
      </c>
      <c r="C45">
        <v>1452</v>
      </c>
      <c r="D45">
        <v>37224</v>
      </c>
    </row>
    <row r="46" spans="1:4" x14ac:dyDescent="0.35">
      <c r="A46" t="s">
        <v>2044</v>
      </c>
      <c r="B46" t="s">
        <v>4</v>
      </c>
      <c r="C46">
        <v>719</v>
      </c>
      <c r="D46">
        <v>14664</v>
      </c>
    </row>
    <row r="47" spans="1:4" x14ac:dyDescent="0.35">
      <c r="A47" t="s">
        <v>2045</v>
      </c>
      <c r="B47" t="s">
        <v>4</v>
      </c>
      <c r="C47">
        <v>982</v>
      </c>
      <c r="D47">
        <v>19643</v>
      </c>
    </row>
    <row r="48" spans="1:4" x14ac:dyDescent="0.35">
      <c r="A48" t="s">
        <v>2046</v>
      </c>
      <c r="B48" t="s">
        <v>4</v>
      </c>
      <c r="C48">
        <v>261</v>
      </c>
      <c r="D48">
        <v>983</v>
      </c>
    </row>
    <row r="49" spans="1:4" x14ac:dyDescent="0.35">
      <c r="A49" t="s">
        <v>2047</v>
      </c>
      <c r="B49" t="s">
        <v>4</v>
      </c>
      <c r="C49">
        <v>5220</v>
      </c>
      <c r="D49">
        <v>130509</v>
      </c>
    </row>
    <row r="50" spans="1:4" x14ac:dyDescent="0.35">
      <c r="A50" t="s">
        <v>2048</v>
      </c>
      <c r="B50" t="s">
        <v>4</v>
      </c>
      <c r="C50">
        <v>130496</v>
      </c>
      <c r="D50">
        <v>633474</v>
      </c>
    </row>
    <row r="51" spans="1:4" x14ac:dyDescent="0.35">
      <c r="A51" t="s">
        <v>2049</v>
      </c>
      <c r="B51" t="s">
        <v>4</v>
      </c>
      <c r="C51">
        <v>72285</v>
      </c>
      <c r="D51">
        <v>2007922</v>
      </c>
    </row>
    <row r="52" spans="1:4" x14ac:dyDescent="0.35">
      <c r="A52" t="s">
        <v>2050</v>
      </c>
      <c r="B52" t="s">
        <v>4</v>
      </c>
      <c r="C52">
        <v>14658</v>
      </c>
      <c r="D52">
        <v>2007922</v>
      </c>
    </row>
    <row r="53" spans="1:4" x14ac:dyDescent="0.35">
      <c r="A53" t="s">
        <v>2035</v>
      </c>
      <c r="B53" t="s">
        <v>5</v>
      </c>
      <c r="C53">
        <v>780</v>
      </c>
      <c r="D53">
        <v>1084</v>
      </c>
    </row>
    <row r="54" spans="1:4" x14ac:dyDescent="0.35">
      <c r="A54" t="s">
        <v>2034</v>
      </c>
      <c r="B54" t="s">
        <v>5</v>
      </c>
      <c r="C54">
        <v>726</v>
      </c>
      <c r="D54">
        <v>1023</v>
      </c>
    </row>
    <row r="55" spans="1:4" x14ac:dyDescent="0.35">
      <c r="A55" t="s">
        <v>2036</v>
      </c>
      <c r="B55" t="s">
        <v>5</v>
      </c>
      <c r="C55">
        <v>347</v>
      </c>
      <c r="D55">
        <v>1084</v>
      </c>
    </row>
    <row r="56" spans="1:4" x14ac:dyDescent="0.35">
      <c r="A56" t="s">
        <v>2037</v>
      </c>
      <c r="B56" t="s">
        <v>5</v>
      </c>
      <c r="C56">
        <v>379</v>
      </c>
      <c r="D56">
        <v>1023</v>
      </c>
    </row>
    <row r="57" spans="1:4" x14ac:dyDescent="0.35">
      <c r="A57" t="s">
        <v>2038</v>
      </c>
      <c r="B57" t="s">
        <v>5</v>
      </c>
      <c r="C57">
        <v>1354</v>
      </c>
      <c r="D57">
        <v>9402</v>
      </c>
    </row>
    <row r="58" spans="1:4" x14ac:dyDescent="0.35">
      <c r="A58" t="s">
        <v>2039</v>
      </c>
      <c r="B58" t="s">
        <v>5</v>
      </c>
      <c r="C58">
        <v>574</v>
      </c>
      <c r="D58">
        <v>1090</v>
      </c>
    </row>
    <row r="59" spans="1:4" x14ac:dyDescent="0.35">
      <c r="A59" t="s">
        <v>2040</v>
      </c>
      <c r="B59" t="s">
        <v>5</v>
      </c>
      <c r="C59">
        <v>256</v>
      </c>
      <c r="D59">
        <v>1090</v>
      </c>
    </row>
    <row r="60" spans="1:4" x14ac:dyDescent="0.35">
      <c r="A60" t="s">
        <v>2041</v>
      </c>
      <c r="B60" t="s">
        <v>5</v>
      </c>
      <c r="C60">
        <v>844</v>
      </c>
      <c r="D60">
        <v>4262</v>
      </c>
    </row>
    <row r="61" spans="1:4" x14ac:dyDescent="0.35">
      <c r="A61" t="s">
        <v>2042</v>
      </c>
      <c r="B61" t="s">
        <v>5</v>
      </c>
      <c r="C61">
        <v>873</v>
      </c>
      <c r="D61">
        <v>3295</v>
      </c>
    </row>
    <row r="62" spans="1:4" x14ac:dyDescent="0.35">
      <c r="A62" t="s">
        <v>2043</v>
      </c>
      <c r="B62" t="s">
        <v>5</v>
      </c>
      <c r="C62">
        <v>873</v>
      </c>
      <c r="D62">
        <v>6713</v>
      </c>
    </row>
    <row r="63" spans="1:4" x14ac:dyDescent="0.35">
      <c r="A63" t="s">
        <v>2044</v>
      </c>
      <c r="B63" t="s">
        <v>5</v>
      </c>
      <c r="C63">
        <v>652</v>
      </c>
      <c r="D63">
        <v>4078</v>
      </c>
    </row>
    <row r="64" spans="1:4" x14ac:dyDescent="0.35">
      <c r="A64" t="s">
        <v>2045</v>
      </c>
      <c r="B64" t="s">
        <v>5</v>
      </c>
      <c r="C64">
        <v>1838</v>
      </c>
      <c r="D64">
        <v>10623</v>
      </c>
    </row>
    <row r="65" spans="1:4" x14ac:dyDescent="0.35">
      <c r="A65" t="s">
        <v>2046</v>
      </c>
      <c r="B65" t="s">
        <v>5</v>
      </c>
      <c r="C65">
        <v>376</v>
      </c>
      <c r="D65">
        <v>1841</v>
      </c>
    </row>
    <row r="66" spans="1:4" x14ac:dyDescent="0.35">
      <c r="A66" t="s">
        <v>2047</v>
      </c>
      <c r="B66" t="s">
        <v>5</v>
      </c>
      <c r="C66">
        <v>3286</v>
      </c>
      <c r="D66">
        <v>23305</v>
      </c>
    </row>
    <row r="67" spans="1:4" x14ac:dyDescent="0.35">
      <c r="A67" t="s">
        <v>2048</v>
      </c>
      <c r="B67" t="s">
        <v>5</v>
      </c>
      <c r="C67">
        <v>23321</v>
      </c>
      <c r="D67">
        <v>70885</v>
      </c>
    </row>
    <row r="68" spans="1:4" x14ac:dyDescent="0.35">
      <c r="A68" t="s">
        <v>2049</v>
      </c>
      <c r="B68" t="s">
        <v>5</v>
      </c>
      <c r="C68">
        <v>33465</v>
      </c>
      <c r="D68">
        <v>340436</v>
      </c>
    </row>
    <row r="69" spans="1:4" x14ac:dyDescent="0.35">
      <c r="A69" t="s">
        <v>2050</v>
      </c>
      <c r="B69" t="s">
        <v>5</v>
      </c>
      <c r="C69">
        <v>4085</v>
      </c>
      <c r="D69">
        <v>340436</v>
      </c>
    </row>
  </sheetData>
  <phoneticPr fontId="4"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D8830-6BC0-4C64-9081-22A299BC9E29}">
  <dimension ref="A1:R9"/>
  <sheetViews>
    <sheetView workbookViewId="0">
      <selection activeCell="B2" sqref="B2:R2"/>
    </sheetView>
  </sheetViews>
  <sheetFormatPr defaultRowHeight="14.5" x14ac:dyDescent="0.35"/>
  <cols>
    <col min="1" max="1" width="17.453125" bestFit="1" customWidth="1"/>
    <col min="2" max="3" width="32.7265625" bestFit="1" customWidth="1"/>
    <col min="4" max="5" width="22.26953125" bestFit="1" customWidth="1"/>
    <col min="6" max="6" width="31" bestFit="1" customWidth="1"/>
    <col min="7" max="7" width="36.7265625" bestFit="1" customWidth="1"/>
    <col min="8" max="8" width="26.26953125" bestFit="1" customWidth="1"/>
    <col min="9" max="9" width="30.6328125" bestFit="1" customWidth="1"/>
    <col min="10" max="10" width="24.6328125" bestFit="1" customWidth="1"/>
    <col min="11" max="11" width="22.7265625" bestFit="1" customWidth="1"/>
    <col min="12" max="12" width="27.54296875" bestFit="1" customWidth="1"/>
    <col min="13" max="13" width="29.26953125" bestFit="1" customWidth="1"/>
    <col min="14" max="14" width="29.54296875" bestFit="1" customWidth="1"/>
    <col min="15" max="15" width="24.36328125" bestFit="1" customWidth="1"/>
    <col min="16" max="16" width="36.81640625" bestFit="1" customWidth="1"/>
    <col min="17" max="17" width="36.54296875" bestFit="1" customWidth="1"/>
    <col min="18" max="18" width="41.26953125" bestFit="1" customWidth="1"/>
  </cols>
  <sheetData>
    <row r="1" spans="1:18" x14ac:dyDescent="0.35">
      <c r="A1" t="s">
        <v>6</v>
      </c>
      <c r="B1" t="s">
        <v>2035</v>
      </c>
      <c r="C1" t="s">
        <v>2034</v>
      </c>
      <c r="D1" t="s">
        <v>2036</v>
      </c>
      <c r="E1" t="s">
        <v>2037</v>
      </c>
      <c r="F1" t="s">
        <v>2038</v>
      </c>
      <c r="G1" t="s">
        <v>2039</v>
      </c>
      <c r="H1" t="s">
        <v>2040</v>
      </c>
      <c r="I1" t="s">
        <v>2041</v>
      </c>
      <c r="J1" t="s">
        <v>2042</v>
      </c>
      <c r="K1" t="s">
        <v>2043</v>
      </c>
      <c r="L1" t="s">
        <v>2044</v>
      </c>
      <c r="M1" t="s">
        <v>2045</v>
      </c>
      <c r="N1" t="s">
        <v>2046</v>
      </c>
      <c r="O1" t="s">
        <v>2047</v>
      </c>
      <c r="P1" t="s">
        <v>2048</v>
      </c>
      <c r="Q1" t="s">
        <v>2049</v>
      </c>
      <c r="R1" t="s">
        <v>2050</v>
      </c>
    </row>
    <row r="2" spans="1:18" x14ac:dyDescent="0.35">
      <c r="A2" t="s">
        <v>1979</v>
      </c>
      <c r="B2">
        <v>8275</v>
      </c>
      <c r="C2">
        <v>9376</v>
      </c>
      <c r="D2">
        <v>8275</v>
      </c>
      <c r="E2">
        <v>9376</v>
      </c>
      <c r="F2">
        <v>76478</v>
      </c>
      <c r="G2">
        <v>7850</v>
      </c>
      <c r="H2">
        <v>7850</v>
      </c>
      <c r="I2">
        <v>37203</v>
      </c>
      <c r="J2">
        <v>1066</v>
      </c>
      <c r="K2">
        <v>6102</v>
      </c>
      <c r="L2">
        <v>1457</v>
      </c>
      <c r="M2">
        <v>3059</v>
      </c>
      <c r="N2">
        <v>97</v>
      </c>
      <c r="O2">
        <v>27966</v>
      </c>
      <c r="P2">
        <v>185882</v>
      </c>
      <c r="Q2">
        <v>350308</v>
      </c>
      <c r="R2">
        <v>350308</v>
      </c>
    </row>
    <row r="3" spans="1:18" x14ac:dyDescent="0.35">
      <c r="A3" t="s">
        <v>1981</v>
      </c>
      <c r="B3">
        <v>10392</v>
      </c>
      <c r="C3">
        <v>12500</v>
      </c>
      <c r="D3">
        <v>10392</v>
      </c>
      <c r="E3">
        <v>12500</v>
      </c>
      <c r="F3">
        <v>95809</v>
      </c>
      <c r="G3">
        <v>11418</v>
      </c>
      <c r="H3">
        <v>11418</v>
      </c>
      <c r="I3">
        <v>51228</v>
      </c>
      <c r="J3">
        <v>2134</v>
      </c>
      <c r="K3">
        <v>11594</v>
      </c>
      <c r="L3">
        <v>1659</v>
      </c>
      <c r="M3">
        <v>7078</v>
      </c>
      <c r="N3">
        <v>283</v>
      </c>
      <c r="O3">
        <v>51271</v>
      </c>
      <c r="P3">
        <v>261730</v>
      </c>
      <c r="Q3">
        <v>255494</v>
      </c>
      <c r="R3">
        <v>255494</v>
      </c>
    </row>
    <row r="4" spans="1:18" x14ac:dyDescent="0.35">
      <c r="A4" t="s">
        <v>1980</v>
      </c>
      <c r="B4">
        <v>2501</v>
      </c>
      <c r="C4">
        <v>2566</v>
      </c>
      <c r="D4">
        <v>2501</v>
      </c>
      <c r="E4">
        <v>2566</v>
      </c>
      <c r="F4">
        <v>23965</v>
      </c>
      <c r="G4">
        <v>2278</v>
      </c>
      <c r="H4">
        <v>2278</v>
      </c>
      <c r="I4">
        <v>9724</v>
      </c>
      <c r="J4">
        <v>5264</v>
      </c>
      <c r="K4">
        <v>37224</v>
      </c>
      <c r="L4">
        <v>14664</v>
      </c>
      <c r="M4">
        <v>19643</v>
      </c>
      <c r="N4">
        <v>983</v>
      </c>
      <c r="O4">
        <v>130509</v>
      </c>
      <c r="P4">
        <v>633474</v>
      </c>
      <c r="Q4">
        <v>2007922</v>
      </c>
      <c r="R4">
        <v>2007922</v>
      </c>
    </row>
    <row r="5" spans="1:18" x14ac:dyDescent="0.35">
      <c r="A5" t="s">
        <v>1982</v>
      </c>
      <c r="B5">
        <v>1084</v>
      </c>
      <c r="C5">
        <v>1023</v>
      </c>
      <c r="D5">
        <v>1084</v>
      </c>
      <c r="E5">
        <v>1023</v>
      </c>
      <c r="F5">
        <v>9402</v>
      </c>
      <c r="G5">
        <v>1090</v>
      </c>
      <c r="H5">
        <v>1090</v>
      </c>
      <c r="I5">
        <v>4262</v>
      </c>
      <c r="J5">
        <v>3295</v>
      </c>
      <c r="K5">
        <v>6713</v>
      </c>
      <c r="L5">
        <v>4078</v>
      </c>
      <c r="M5">
        <v>10623</v>
      </c>
      <c r="N5">
        <v>1841</v>
      </c>
      <c r="O5">
        <v>23305</v>
      </c>
      <c r="P5">
        <v>70885</v>
      </c>
      <c r="Q5">
        <v>340436</v>
      </c>
      <c r="R5">
        <v>340436</v>
      </c>
    </row>
    <row r="6" spans="1:18" x14ac:dyDescent="0.35">
      <c r="A6" t="s">
        <v>1975</v>
      </c>
      <c r="B6">
        <v>1490</v>
      </c>
      <c r="C6">
        <v>1406</v>
      </c>
      <c r="D6">
        <v>166</v>
      </c>
      <c r="E6">
        <v>188</v>
      </c>
      <c r="F6">
        <v>10095</v>
      </c>
      <c r="G6">
        <v>887</v>
      </c>
      <c r="H6">
        <v>55</v>
      </c>
      <c r="I6">
        <v>3274</v>
      </c>
      <c r="J6">
        <v>193</v>
      </c>
      <c r="K6">
        <v>195</v>
      </c>
      <c r="L6">
        <v>41</v>
      </c>
      <c r="M6">
        <v>98</v>
      </c>
      <c r="N6">
        <v>19</v>
      </c>
      <c r="O6">
        <v>1063</v>
      </c>
      <c r="P6">
        <v>27882</v>
      </c>
      <c r="Q6">
        <v>525</v>
      </c>
      <c r="R6">
        <v>1471</v>
      </c>
    </row>
    <row r="7" spans="1:18" x14ac:dyDescent="0.35">
      <c r="A7" t="s">
        <v>1976</v>
      </c>
      <c r="B7">
        <v>3014</v>
      </c>
      <c r="C7">
        <v>3375</v>
      </c>
      <c r="D7">
        <v>416</v>
      </c>
      <c r="E7">
        <v>750</v>
      </c>
      <c r="F7">
        <v>7569</v>
      </c>
      <c r="G7">
        <v>2169</v>
      </c>
      <c r="H7">
        <v>206</v>
      </c>
      <c r="I7">
        <v>10092</v>
      </c>
      <c r="J7">
        <v>448</v>
      </c>
      <c r="K7">
        <v>452</v>
      </c>
      <c r="L7">
        <v>75</v>
      </c>
      <c r="M7">
        <v>283</v>
      </c>
      <c r="N7">
        <v>65</v>
      </c>
      <c r="O7">
        <v>2153</v>
      </c>
      <c r="P7">
        <v>51299</v>
      </c>
      <c r="Q7">
        <v>1226</v>
      </c>
      <c r="R7">
        <v>1661</v>
      </c>
    </row>
    <row r="8" spans="1:18" x14ac:dyDescent="0.35">
      <c r="A8" t="s">
        <v>1977</v>
      </c>
      <c r="B8">
        <v>1626</v>
      </c>
      <c r="C8">
        <v>1437</v>
      </c>
      <c r="D8">
        <v>500</v>
      </c>
      <c r="E8">
        <v>565</v>
      </c>
      <c r="F8">
        <v>1318</v>
      </c>
      <c r="G8">
        <v>1449</v>
      </c>
      <c r="H8">
        <v>508</v>
      </c>
      <c r="I8">
        <v>1322</v>
      </c>
      <c r="J8">
        <v>1437</v>
      </c>
      <c r="K8">
        <v>1452</v>
      </c>
      <c r="L8">
        <v>719</v>
      </c>
      <c r="M8">
        <v>982</v>
      </c>
      <c r="N8">
        <v>261</v>
      </c>
      <c r="O8">
        <v>5220</v>
      </c>
      <c r="P8">
        <v>130496</v>
      </c>
      <c r="Q8">
        <v>4417</v>
      </c>
      <c r="R8">
        <v>14658</v>
      </c>
    </row>
    <row r="9" spans="1:18" x14ac:dyDescent="0.35">
      <c r="A9" t="s">
        <v>1978</v>
      </c>
      <c r="B9">
        <v>780</v>
      </c>
      <c r="C9">
        <v>726</v>
      </c>
      <c r="D9">
        <v>347</v>
      </c>
      <c r="E9">
        <v>379</v>
      </c>
      <c r="F9">
        <v>1354</v>
      </c>
      <c r="G9">
        <v>574</v>
      </c>
      <c r="H9">
        <v>256</v>
      </c>
      <c r="I9">
        <v>844</v>
      </c>
      <c r="J9">
        <v>873</v>
      </c>
      <c r="K9">
        <v>873</v>
      </c>
      <c r="L9">
        <v>652</v>
      </c>
      <c r="M9">
        <v>1838</v>
      </c>
      <c r="N9">
        <v>376</v>
      </c>
      <c r="O9">
        <v>3286</v>
      </c>
      <c r="P9">
        <v>23321</v>
      </c>
      <c r="Q9">
        <v>2247</v>
      </c>
      <c r="R9">
        <v>4085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F130E-D444-4EAE-ACE0-79DF9CAE45D0}">
  <dimension ref="A1:Y22"/>
  <sheetViews>
    <sheetView zoomScale="81" zoomScaleNormal="85" workbookViewId="0">
      <selection activeCell="A13" sqref="A13:F13"/>
    </sheetView>
  </sheetViews>
  <sheetFormatPr defaultRowHeight="14.5" x14ac:dyDescent="0.35"/>
  <cols>
    <col min="1" max="1" width="47.1796875" bestFit="1" customWidth="1"/>
    <col min="2" max="2" width="7.36328125" bestFit="1" customWidth="1"/>
    <col min="3" max="3" width="7.90625" bestFit="1" customWidth="1"/>
    <col min="4" max="5" width="7.36328125" bestFit="1" customWidth="1"/>
    <col min="6" max="6" width="110.1796875" bestFit="1" customWidth="1"/>
    <col min="7" max="7" width="52.81640625" bestFit="1" customWidth="1"/>
    <col min="8" max="8" width="7.36328125" bestFit="1" customWidth="1"/>
    <col min="9" max="9" width="7.90625" bestFit="1" customWidth="1"/>
    <col min="10" max="11" width="7.36328125" bestFit="1" customWidth="1"/>
    <col min="12" max="12" width="133.36328125" bestFit="1" customWidth="1"/>
    <col min="13" max="13" width="67.453125" bestFit="1" customWidth="1"/>
    <col min="14" max="14" width="6.26953125" bestFit="1" customWidth="1"/>
    <col min="15" max="15" width="7.90625" bestFit="1" customWidth="1"/>
    <col min="16" max="17" width="6.26953125" bestFit="1" customWidth="1"/>
    <col min="18" max="18" width="113.36328125" bestFit="1" customWidth="1"/>
    <col min="24" max="24" width="8.453125" bestFit="1" customWidth="1"/>
    <col min="25" max="25" width="7.36328125" bestFit="1" customWidth="1"/>
  </cols>
  <sheetData>
    <row r="1" spans="1:25" x14ac:dyDescent="0.35">
      <c r="A1" s="143" t="s">
        <v>32</v>
      </c>
      <c r="B1" s="143"/>
      <c r="C1" s="143"/>
      <c r="D1" s="143"/>
      <c r="E1" s="143"/>
      <c r="F1" s="143"/>
      <c r="G1" s="143"/>
      <c r="H1" s="143"/>
      <c r="I1" s="143"/>
      <c r="J1" s="143"/>
      <c r="K1" s="143"/>
      <c r="L1" s="143"/>
      <c r="M1" s="143"/>
      <c r="N1" s="143"/>
      <c r="O1" s="143"/>
      <c r="P1" s="143"/>
      <c r="Q1" s="143"/>
      <c r="R1" s="143"/>
    </row>
    <row r="2" spans="1:25" x14ac:dyDescent="0.35">
      <c r="A2" s="143" t="s">
        <v>394</v>
      </c>
      <c r="B2" s="143"/>
      <c r="C2" s="143"/>
      <c r="D2" s="143"/>
      <c r="E2" s="143"/>
      <c r="F2" s="143"/>
      <c r="G2" s="143" t="s">
        <v>95</v>
      </c>
      <c r="H2" s="143"/>
      <c r="I2" s="143"/>
      <c r="J2" s="143"/>
      <c r="K2" s="143"/>
      <c r="L2" s="143"/>
      <c r="M2" s="143" t="s">
        <v>88</v>
      </c>
      <c r="N2" s="143"/>
      <c r="O2" s="143"/>
      <c r="P2" s="143"/>
      <c r="Q2" s="143"/>
      <c r="R2" s="143"/>
      <c r="X2" s="100"/>
      <c r="Y2" s="100"/>
    </row>
    <row r="3" spans="1:25" x14ac:dyDescent="0.35">
      <c r="A3" t="s">
        <v>6</v>
      </c>
      <c r="B3" t="s">
        <v>2</v>
      </c>
      <c r="C3" t="s">
        <v>3</v>
      </c>
      <c r="D3" t="s">
        <v>4</v>
      </c>
      <c r="E3" t="s">
        <v>5</v>
      </c>
      <c r="F3" t="s">
        <v>10</v>
      </c>
      <c r="G3" t="s">
        <v>6</v>
      </c>
      <c r="H3" t="s">
        <v>1999</v>
      </c>
      <c r="I3" t="s">
        <v>3</v>
      </c>
      <c r="J3" t="s">
        <v>4</v>
      </c>
      <c r="K3" t="s">
        <v>5</v>
      </c>
      <c r="L3" t="s">
        <v>10</v>
      </c>
      <c r="M3" t="s">
        <v>6</v>
      </c>
      <c r="N3" t="s">
        <v>1999</v>
      </c>
      <c r="O3" t="s">
        <v>3</v>
      </c>
      <c r="P3" t="s">
        <v>4</v>
      </c>
      <c r="Q3" t="s">
        <v>5</v>
      </c>
      <c r="R3" t="s">
        <v>10</v>
      </c>
    </row>
    <row r="4" spans="1:25" x14ac:dyDescent="0.35">
      <c r="A4" t="s">
        <v>1995</v>
      </c>
      <c r="B4">
        <v>0.18</v>
      </c>
      <c r="C4">
        <v>0.28999999999999998</v>
      </c>
      <c r="D4">
        <v>0.65</v>
      </c>
      <c r="E4">
        <v>0.72</v>
      </c>
      <c r="F4" t="s">
        <v>2019</v>
      </c>
      <c r="G4" t="s">
        <v>1998</v>
      </c>
      <c r="H4">
        <v>0.02</v>
      </c>
      <c r="I4">
        <v>0.04</v>
      </c>
      <c r="J4">
        <v>0.2</v>
      </c>
      <c r="K4">
        <v>0.32</v>
      </c>
      <c r="L4" t="s">
        <v>2016</v>
      </c>
      <c r="M4" t="s">
        <v>2003</v>
      </c>
      <c r="N4">
        <v>0.13200000000000001</v>
      </c>
      <c r="O4">
        <v>7.9000000000000001E-2</v>
      </c>
      <c r="P4">
        <v>5.5E-2</v>
      </c>
      <c r="Q4">
        <v>0.14399999999999999</v>
      </c>
      <c r="R4" t="s">
        <v>2017</v>
      </c>
    </row>
    <row r="5" spans="1:25" x14ac:dyDescent="0.35">
      <c r="A5" t="s">
        <v>1996</v>
      </c>
      <c r="B5">
        <v>0.15</v>
      </c>
      <c r="C5">
        <v>0.27</v>
      </c>
      <c r="D5">
        <v>0.56000000000000005</v>
      </c>
      <c r="E5">
        <v>0.71</v>
      </c>
      <c r="F5" t="s">
        <v>2019</v>
      </c>
      <c r="G5" t="s">
        <v>1997</v>
      </c>
      <c r="H5">
        <v>0.02</v>
      </c>
      <c r="I5">
        <v>0.06</v>
      </c>
      <c r="J5">
        <v>0.22</v>
      </c>
      <c r="K5">
        <v>0.37</v>
      </c>
      <c r="L5" t="s">
        <v>2016</v>
      </c>
    </row>
    <row r="6" spans="1:25" x14ac:dyDescent="0.35">
      <c r="A6" s="154"/>
      <c r="B6" s="154"/>
      <c r="C6" s="154"/>
      <c r="D6" s="154"/>
      <c r="E6" s="154"/>
      <c r="F6" s="154"/>
      <c r="G6" s="154"/>
      <c r="H6" s="154"/>
      <c r="I6" s="154"/>
      <c r="J6" s="154"/>
      <c r="K6" s="154"/>
      <c r="L6" s="154"/>
      <c r="M6" s="154"/>
      <c r="N6" s="154"/>
      <c r="O6" s="154"/>
      <c r="P6" s="154"/>
      <c r="Q6" s="154"/>
      <c r="R6" s="154"/>
    </row>
    <row r="7" spans="1:25" x14ac:dyDescent="0.35">
      <c r="A7" s="143" t="s">
        <v>78</v>
      </c>
      <c r="B7" s="143"/>
      <c r="C7" s="143"/>
      <c r="D7" s="143"/>
      <c r="E7" s="143"/>
      <c r="F7" s="143"/>
      <c r="G7" s="143"/>
      <c r="H7" s="143"/>
      <c r="I7" s="143"/>
      <c r="J7" s="143"/>
      <c r="K7" s="143"/>
      <c r="L7" s="143"/>
      <c r="M7" s="143"/>
      <c r="N7" s="143"/>
      <c r="O7" s="143"/>
      <c r="P7" s="143"/>
      <c r="Q7" s="143"/>
      <c r="R7" s="143"/>
    </row>
    <row r="8" spans="1:25" x14ac:dyDescent="0.35">
      <c r="A8" s="143" t="s">
        <v>394</v>
      </c>
      <c r="B8" s="143"/>
      <c r="C8" s="143"/>
      <c r="D8" s="143"/>
      <c r="E8" s="143"/>
      <c r="F8" s="143"/>
      <c r="G8" s="143" t="s">
        <v>95</v>
      </c>
      <c r="H8" s="143"/>
      <c r="I8" s="143"/>
      <c r="J8" s="143"/>
      <c r="K8" s="143"/>
      <c r="L8" s="143"/>
      <c r="M8" s="143" t="s">
        <v>88</v>
      </c>
      <c r="N8" s="143"/>
      <c r="O8" s="143"/>
      <c r="P8" s="143"/>
      <c r="Q8" s="143"/>
      <c r="R8" s="143"/>
    </row>
    <row r="9" spans="1:25" x14ac:dyDescent="0.35">
      <c r="A9" t="s">
        <v>6</v>
      </c>
      <c r="B9" t="s">
        <v>1999</v>
      </c>
      <c r="C9" t="s">
        <v>3</v>
      </c>
      <c r="D9" t="s">
        <v>4</v>
      </c>
      <c r="E9" t="s">
        <v>5</v>
      </c>
      <c r="F9" t="s">
        <v>10</v>
      </c>
      <c r="G9" t="s">
        <v>6</v>
      </c>
      <c r="H9" t="s">
        <v>1999</v>
      </c>
      <c r="I9" t="s">
        <v>3</v>
      </c>
      <c r="J9" t="s">
        <v>4</v>
      </c>
      <c r="K9" t="s">
        <v>5</v>
      </c>
      <c r="L9" t="s">
        <v>10</v>
      </c>
      <c r="M9" t="s">
        <v>6</v>
      </c>
      <c r="N9" t="s">
        <v>1999</v>
      </c>
      <c r="O9" t="s">
        <v>3</v>
      </c>
      <c r="P9" t="s">
        <v>4</v>
      </c>
      <c r="Q9" t="s">
        <v>5</v>
      </c>
      <c r="R9" t="s">
        <v>10</v>
      </c>
    </row>
    <row r="10" spans="1:25" x14ac:dyDescent="0.35">
      <c r="A10" t="s">
        <v>2000</v>
      </c>
      <c r="B10">
        <v>0.113</v>
      </c>
      <c r="C10">
        <v>0.19</v>
      </c>
      <c r="D10">
        <v>0.63600000000000001</v>
      </c>
      <c r="E10">
        <v>0.52700000000000002</v>
      </c>
      <c r="F10" t="s">
        <v>2018</v>
      </c>
      <c r="G10" t="s">
        <v>2001</v>
      </c>
      <c r="H10">
        <v>7.0000000000000001E-3</v>
      </c>
      <c r="I10">
        <v>1.7999999999999999E-2</v>
      </c>
      <c r="J10">
        <v>0.223</v>
      </c>
      <c r="K10">
        <v>0.23499999999999999</v>
      </c>
      <c r="L10" t="s">
        <v>2020</v>
      </c>
      <c r="M10" t="s">
        <v>2004</v>
      </c>
      <c r="N10">
        <v>8.7999999999999995E-2</v>
      </c>
      <c r="O10">
        <v>0.19700000000000001</v>
      </c>
      <c r="P10">
        <v>0.13600000000000001</v>
      </c>
      <c r="Q10">
        <v>0.19800000000000001</v>
      </c>
      <c r="R10" t="s">
        <v>2021</v>
      </c>
    </row>
    <row r="11" spans="1:25" x14ac:dyDescent="0.35">
      <c r="A11" s="154"/>
      <c r="B11" s="154"/>
      <c r="C11" s="154"/>
      <c r="D11" s="154"/>
      <c r="E11" s="154"/>
      <c r="F11" s="154"/>
      <c r="G11" s="154"/>
      <c r="H11" s="154"/>
      <c r="I11" s="154"/>
      <c r="J11" s="154"/>
      <c r="K11" s="154"/>
      <c r="L11" s="154"/>
      <c r="M11" s="154"/>
      <c r="N11" s="154"/>
      <c r="O11" s="154"/>
      <c r="P11" s="154"/>
      <c r="Q11" s="154"/>
      <c r="R11" s="154"/>
    </row>
    <row r="12" spans="1:25" x14ac:dyDescent="0.35">
      <c r="A12" s="143" t="s">
        <v>2002</v>
      </c>
      <c r="B12" s="143"/>
      <c r="C12" s="143"/>
      <c r="D12" s="143"/>
      <c r="E12" s="143"/>
      <c r="F12" s="143"/>
      <c r="G12" s="143"/>
      <c r="H12" s="143"/>
      <c r="I12" s="143"/>
      <c r="J12" s="143"/>
      <c r="K12" s="143"/>
      <c r="L12" s="143"/>
      <c r="M12" s="143"/>
      <c r="N12" s="143"/>
      <c r="O12" s="143"/>
      <c r="P12" s="143"/>
      <c r="Q12" s="143"/>
      <c r="R12" s="143"/>
    </row>
    <row r="13" spans="1:25" x14ac:dyDescent="0.35">
      <c r="A13" s="143" t="s">
        <v>394</v>
      </c>
      <c r="B13" s="143"/>
      <c r="C13" s="143"/>
      <c r="D13" s="143"/>
      <c r="E13" s="143"/>
      <c r="F13" s="143"/>
      <c r="G13" s="143" t="s">
        <v>95</v>
      </c>
      <c r="H13" s="143"/>
      <c r="I13" s="143"/>
      <c r="J13" s="143"/>
      <c r="K13" s="143"/>
      <c r="L13" s="143"/>
      <c r="M13" s="143" t="s">
        <v>88</v>
      </c>
      <c r="N13" s="143"/>
      <c r="O13" s="143"/>
      <c r="P13" s="143"/>
      <c r="Q13" s="143"/>
      <c r="R13" s="143"/>
    </row>
    <row r="14" spans="1:25" x14ac:dyDescent="0.35">
      <c r="A14" t="s">
        <v>6</v>
      </c>
      <c r="B14" t="s">
        <v>1999</v>
      </c>
      <c r="C14" t="s">
        <v>3</v>
      </c>
      <c r="D14" t="s">
        <v>4</v>
      </c>
      <c r="E14" t="s">
        <v>5</v>
      </c>
      <c r="F14" t="s">
        <v>10</v>
      </c>
      <c r="G14" t="s">
        <v>6</v>
      </c>
      <c r="H14" t="s">
        <v>1999</v>
      </c>
      <c r="I14" t="s">
        <v>3</v>
      </c>
      <c r="J14" t="s">
        <v>4</v>
      </c>
      <c r="K14" t="s">
        <v>5</v>
      </c>
      <c r="L14" t="s">
        <v>10</v>
      </c>
      <c r="M14" t="s">
        <v>6</v>
      </c>
      <c r="N14" t="s">
        <v>1999</v>
      </c>
      <c r="O14" t="s">
        <v>3</v>
      </c>
      <c r="P14" t="s">
        <v>4</v>
      </c>
      <c r="Q14" t="s">
        <v>5</v>
      </c>
      <c r="R14" t="s">
        <v>10</v>
      </c>
    </row>
    <row r="15" spans="1:25" x14ac:dyDescent="0.35">
      <c r="A15" t="s">
        <v>2005</v>
      </c>
      <c r="B15">
        <v>0.18099999999999999</v>
      </c>
      <c r="C15">
        <v>0.21</v>
      </c>
      <c r="D15">
        <v>0.27300000000000002</v>
      </c>
      <c r="E15">
        <v>0.26500000000000001</v>
      </c>
      <c r="F15" t="s">
        <v>2022</v>
      </c>
      <c r="G15" t="s">
        <v>2007</v>
      </c>
      <c r="H15">
        <v>0.19600000000000001</v>
      </c>
      <c r="I15">
        <v>0.23</v>
      </c>
      <c r="J15">
        <v>0.26600000000000001</v>
      </c>
      <c r="K15">
        <v>0.20399999999999999</v>
      </c>
      <c r="L15" t="s">
        <v>2025</v>
      </c>
      <c r="M15" t="s">
        <v>2010</v>
      </c>
      <c r="N15">
        <v>3.7999999999999999E-2</v>
      </c>
      <c r="O15">
        <v>4.2000000000000003E-2</v>
      </c>
      <c r="P15">
        <v>0.04</v>
      </c>
      <c r="Q15">
        <v>0.14099999999999999</v>
      </c>
      <c r="R15" t="s">
        <v>2027</v>
      </c>
    </row>
    <row r="16" spans="1:25" x14ac:dyDescent="0.35">
      <c r="A16" t="s">
        <v>2006</v>
      </c>
      <c r="B16">
        <v>3.2000000000000001E-2</v>
      </c>
      <c r="C16">
        <v>3.9E-2</v>
      </c>
      <c r="D16">
        <v>3.9E-2</v>
      </c>
      <c r="E16">
        <v>0.13</v>
      </c>
      <c r="F16" t="s">
        <v>2023</v>
      </c>
      <c r="G16" t="s">
        <v>2008</v>
      </c>
      <c r="H16">
        <v>2.8000000000000001E-2</v>
      </c>
      <c r="I16">
        <v>4.4999999999999998E-2</v>
      </c>
      <c r="J16">
        <v>4.9000000000000002E-2</v>
      </c>
      <c r="K16">
        <v>0.16</v>
      </c>
      <c r="L16" t="s">
        <v>2024</v>
      </c>
      <c r="M16" t="s">
        <v>2011</v>
      </c>
      <c r="N16">
        <v>0.15</v>
      </c>
      <c r="O16">
        <v>0.19600000000000001</v>
      </c>
      <c r="P16">
        <v>0.20599999999999999</v>
      </c>
      <c r="Q16">
        <v>0.32900000000000001</v>
      </c>
      <c r="R16" t="s">
        <v>2028</v>
      </c>
    </row>
    <row r="17" spans="1:18" x14ac:dyDescent="0.35">
      <c r="G17" t="s">
        <v>2009</v>
      </c>
      <c r="H17">
        <v>3.2000000000000001E-2</v>
      </c>
      <c r="I17">
        <v>0.04</v>
      </c>
      <c r="J17">
        <v>0.05</v>
      </c>
      <c r="K17">
        <v>0.17299999999999999</v>
      </c>
      <c r="L17" t="s">
        <v>2026</v>
      </c>
    </row>
    <row r="18" spans="1:18" s="68" customFormat="1" x14ac:dyDescent="0.35">
      <c r="A18" s="154"/>
      <c r="B18" s="154"/>
      <c r="C18" s="154"/>
      <c r="D18" s="154"/>
      <c r="E18" s="154"/>
      <c r="F18" s="154"/>
      <c r="G18" s="154"/>
      <c r="H18" s="154"/>
      <c r="I18" s="154"/>
      <c r="J18" s="154"/>
      <c r="K18" s="154"/>
      <c r="L18" s="154"/>
      <c r="M18" s="154"/>
      <c r="N18" s="154"/>
      <c r="O18" s="154"/>
      <c r="P18" s="154"/>
      <c r="Q18" s="154"/>
      <c r="R18" s="154"/>
    </row>
    <row r="19" spans="1:18" x14ac:dyDescent="0.35">
      <c r="A19" s="143" t="s">
        <v>175</v>
      </c>
      <c r="B19" s="143"/>
      <c r="C19" s="143"/>
      <c r="D19" s="143"/>
      <c r="E19" s="143"/>
      <c r="F19" s="143"/>
      <c r="G19" s="143"/>
      <c r="H19" s="143"/>
      <c r="I19" s="143"/>
      <c r="J19" s="143"/>
      <c r="K19" s="143"/>
      <c r="L19" s="143"/>
      <c r="M19" s="143"/>
      <c r="N19" s="143"/>
      <c r="O19" s="143"/>
      <c r="P19" s="143"/>
      <c r="Q19" s="143"/>
      <c r="R19" s="143"/>
    </row>
    <row r="20" spans="1:18" x14ac:dyDescent="0.35">
      <c r="A20" s="143" t="s">
        <v>394</v>
      </c>
      <c r="B20" s="143"/>
      <c r="C20" s="143"/>
      <c r="D20" s="143"/>
      <c r="E20" s="143"/>
      <c r="F20" s="143"/>
      <c r="G20" s="143" t="s">
        <v>95</v>
      </c>
      <c r="H20" s="143"/>
      <c r="I20" s="143"/>
      <c r="J20" s="143"/>
      <c r="K20" s="143"/>
      <c r="L20" s="143"/>
      <c r="M20" s="143" t="s">
        <v>88</v>
      </c>
      <c r="N20" s="143"/>
      <c r="O20" s="143"/>
      <c r="P20" s="143"/>
      <c r="Q20" s="143"/>
      <c r="R20" s="143"/>
    </row>
    <row r="21" spans="1:18" x14ac:dyDescent="0.35">
      <c r="A21" t="s">
        <v>6</v>
      </c>
      <c r="B21" t="s">
        <v>1999</v>
      </c>
      <c r="C21" t="s">
        <v>3</v>
      </c>
      <c r="D21" t="s">
        <v>4</v>
      </c>
      <c r="E21" t="s">
        <v>5</v>
      </c>
      <c r="F21" t="s">
        <v>10</v>
      </c>
      <c r="G21" t="s">
        <v>6</v>
      </c>
      <c r="H21" t="s">
        <v>1999</v>
      </c>
      <c r="I21" t="s">
        <v>3</v>
      </c>
      <c r="J21" t="s">
        <v>4</v>
      </c>
      <c r="K21" t="s">
        <v>5</v>
      </c>
      <c r="L21" t="s">
        <v>10</v>
      </c>
      <c r="M21" t="s">
        <v>6</v>
      </c>
      <c r="N21" t="s">
        <v>1999</v>
      </c>
      <c r="O21" t="s">
        <v>3</v>
      </c>
      <c r="P21" t="s">
        <v>4</v>
      </c>
      <c r="Q21" t="s">
        <v>5</v>
      </c>
      <c r="R21" t="s">
        <v>10</v>
      </c>
    </row>
    <row r="22" spans="1:18" x14ac:dyDescent="0.35">
      <c r="A22" t="s">
        <v>2014</v>
      </c>
      <c r="B22">
        <v>5.9999999999999995E-4</v>
      </c>
      <c r="C22">
        <v>1E-3</v>
      </c>
      <c r="D22">
        <v>1.6000000000000001E-3</v>
      </c>
      <c r="E22">
        <v>5.1999999999999998E-3</v>
      </c>
      <c r="F22" t="s">
        <v>2029</v>
      </c>
      <c r="G22" t="s">
        <v>2015</v>
      </c>
      <c r="H22">
        <v>1.6000000000000001E-3</v>
      </c>
      <c r="I22">
        <v>1.4E-3</v>
      </c>
      <c r="J22">
        <v>5.1000000000000004E-3</v>
      </c>
      <c r="K22">
        <v>9.4000000000000004E-3</v>
      </c>
      <c r="L22" t="s">
        <v>2030</v>
      </c>
      <c r="M22" t="s">
        <v>2031</v>
      </c>
      <c r="N22" s="94" t="s">
        <v>202</v>
      </c>
      <c r="O22" s="94" t="s">
        <v>202</v>
      </c>
      <c r="P22" s="94" t="s">
        <v>202</v>
      </c>
      <c r="Q22" s="94" t="s">
        <v>202</v>
      </c>
      <c r="R22" s="94" t="s">
        <v>202</v>
      </c>
    </row>
  </sheetData>
  <mergeCells count="19">
    <mergeCell ref="A19:R19"/>
    <mergeCell ref="M20:R20"/>
    <mergeCell ref="G20:L20"/>
    <mergeCell ref="A1:R1"/>
    <mergeCell ref="A7:R7"/>
    <mergeCell ref="G2:L2"/>
    <mergeCell ref="A2:F2"/>
    <mergeCell ref="A20:F20"/>
    <mergeCell ref="A18:R18"/>
    <mergeCell ref="M2:R2"/>
    <mergeCell ref="A6:R6"/>
    <mergeCell ref="A11:R11"/>
    <mergeCell ref="G13:L13"/>
    <mergeCell ref="A13:F13"/>
    <mergeCell ref="M13:R13"/>
    <mergeCell ref="G8:L8"/>
    <mergeCell ref="A8:F8"/>
    <mergeCell ref="M8:R8"/>
    <mergeCell ref="A12:R12"/>
  </mergeCells>
  <phoneticPr fontId="4"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B7240-57E0-43E9-B58F-BE1B562B3F2F}">
  <dimension ref="A1:C1444"/>
  <sheetViews>
    <sheetView workbookViewId="0">
      <selection sqref="A1:C1048576"/>
    </sheetView>
  </sheetViews>
  <sheetFormatPr defaultRowHeight="14.5" x14ac:dyDescent="0.35"/>
  <cols>
    <col min="1" max="1" width="11.81640625" bestFit="1" customWidth="1"/>
    <col min="2" max="2" width="27.36328125" bestFit="1" customWidth="1"/>
    <col min="3" max="3" width="8.90625" bestFit="1" customWidth="1"/>
  </cols>
  <sheetData>
    <row r="1" spans="1:3" x14ac:dyDescent="0.35">
      <c r="A1" t="s">
        <v>526</v>
      </c>
      <c r="B1" t="s">
        <v>527</v>
      </c>
      <c r="C1" t="s">
        <v>528</v>
      </c>
    </row>
    <row r="2" spans="1:3" x14ac:dyDescent="0.35">
      <c r="A2">
        <v>17031839100</v>
      </c>
      <c r="B2" t="s">
        <v>529</v>
      </c>
      <c r="C2" s="5">
        <v>8639</v>
      </c>
    </row>
    <row r="3" spans="1:3" x14ac:dyDescent="0.35">
      <c r="A3">
        <v>17031081800</v>
      </c>
      <c r="B3" t="s">
        <v>530</v>
      </c>
      <c r="C3" s="5">
        <v>3332</v>
      </c>
    </row>
    <row r="4" spans="1:3" x14ac:dyDescent="0.35">
      <c r="A4">
        <v>17031760801</v>
      </c>
      <c r="B4" t="s">
        <v>531</v>
      </c>
      <c r="C4" s="5">
        <v>2414</v>
      </c>
    </row>
    <row r="5" spans="1:3" x14ac:dyDescent="0.35">
      <c r="A5">
        <v>17031320100</v>
      </c>
      <c r="B5" t="s">
        <v>532</v>
      </c>
      <c r="C5" s="5">
        <v>2413</v>
      </c>
    </row>
    <row r="6" spans="1:3" x14ac:dyDescent="0.35">
      <c r="A6">
        <v>17043846002</v>
      </c>
      <c r="B6" t="s">
        <v>533</v>
      </c>
      <c r="C6" s="5">
        <v>1911</v>
      </c>
    </row>
    <row r="7" spans="1:3" x14ac:dyDescent="0.35">
      <c r="A7">
        <v>17031281900</v>
      </c>
      <c r="B7" t="s">
        <v>534</v>
      </c>
      <c r="C7" s="5">
        <v>1683</v>
      </c>
    </row>
    <row r="8" spans="1:3" x14ac:dyDescent="0.35">
      <c r="A8">
        <v>17031804603</v>
      </c>
      <c r="B8" t="s">
        <v>535</v>
      </c>
      <c r="C8" s="5">
        <v>1631</v>
      </c>
    </row>
    <row r="9" spans="1:3" x14ac:dyDescent="0.35">
      <c r="A9">
        <v>17043844601</v>
      </c>
      <c r="B9" t="s">
        <v>536</v>
      </c>
      <c r="C9" s="5">
        <v>1182</v>
      </c>
    </row>
    <row r="10" spans="1:3" x14ac:dyDescent="0.35">
      <c r="A10">
        <v>17097864505</v>
      </c>
      <c r="B10" t="s">
        <v>537</v>
      </c>
      <c r="C10" s="5">
        <v>1141</v>
      </c>
    </row>
    <row r="11" spans="1:3" x14ac:dyDescent="0.35">
      <c r="A11">
        <v>17031842200</v>
      </c>
      <c r="B11" t="s">
        <v>538</v>
      </c>
      <c r="C11" s="5">
        <v>1067</v>
      </c>
    </row>
    <row r="12" spans="1:3" x14ac:dyDescent="0.35">
      <c r="A12">
        <v>17031280100</v>
      </c>
      <c r="B12" t="s">
        <v>539</v>
      </c>
      <c r="C12">
        <v>974</v>
      </c>
    </row>
    <row r="13" spans="1:3" x14ac:dyDescent="0.35">
      <c r="A13">
        <v>17043846102</v>
      </c>
      <c r="B13" t="s">
        <v>540</v>
      </c>
      <c r="C13">
        <v>942</v>
      </c>
    </row>
    <row r="14" spans="1:3" x14ac:dyDescent="0.35">
      <c r="A14">
        <v>17043840201</v>
      </c>
      <c r="B14" t="s">
        <v>541</v>
      </c>
      <c r="C14">
        <v>874</v>
      </c>
    </row>
    <row r="15" spans="1:3" x14ac:dyDescent="0.35">
      <c r="A15">
        <v>17043846519</v>
      </c>
      <c r="B15" t="s">
        <v>542</v>
      </c>
      <c r="C15">
        <v>873</v>
      </c>
    </row>
    <row r="16" spans="1:3" x14ac:dyDescent="0.35">
      <c r="A16">
        <v>17031801606</v>
      </c>
      <c r="B16" t="s">
        <v>543</v>
      </c>
      <c r="C16">
        <v>851</v>
      </c>
    </row>
    <row r="17" spans="1:3" x14ac:dyDescent="0.35">
      <c r="A17">
        <v>17031320400</v>
      </c>
      <c r="B17" t="s">
        <v>544</v>
      </c>
      <c r="C17">
        <v>826</v>
      </c>
    </row>
    <row r="18" spans="1:3" x14ac:dyDescent="0.35">
      <c r="A18">
        <v>17031081700</v>
      </c>
      <c r="B18" t="s">
        <v>545</v>
      </c>
      <c r="C18">
        <v>806</v>
      </c>
    </row>
    <row r="19" spans="1:3" x14ac:dyDescent="0.35">
      <c r="A19">
        <v>17031770700</v>
      </c>
      <c r="B19" t="s">
        <v>546</v>
      </c>
      <c r="C19">
        <v>787</v>
      </c>
    </row>
    <row r="20" spans="1:3" x14ac:dyDescent="0.35">
      <c r="A20">
        <v>17043846106</v>
      </c>
      <c r="B20" t="s">
        <v>547</v>
      </c>
      <c r="C20">
        <v>777</v>
      </c>
    </row>
    <row r="21" spans="1:3" x14ac:dyDescent="0.35">
      <c r="A21">
        <v>17097864903</v>
      </c>
      <c r="B21" t="s">
        <v>548</v>
      </c>
      <c r="C21">
        <v>759</v>
      </c>
    </row>
    <row r="22" spans="1:3" x14ac:dyDescent="0.35">
      <c r="A22">
        <v>17031804609</v>
      </c>
      <c r="B22" t="s">
        <v>549</v>
      </c>
      <c r="C22">
        <v>739</v>
      </c>
    </row>
    <row r="23" spans="1:3" x14ac:dyDescent="0.35">
      <c r="A23">
        <v>17031804701</v>
      </c>
      <c r="B23" t="s">
        <v>550</v>
      </c>
      <c r="C23">
        <v>716</v>
      </c>
    </row>
    <row r="24" spans="1:3" x14ac:dyDescent="0.35">
      <c r="A24">
        <v>17031081403</v>
      </c>
      <c r="B24" t="s">
        <v>551</v>
      </c>
      <c r="C24">
        <v>705</v>
      </c>
    </row>
    <row r="25" spans="1:3" x14ac:dyDescent="0.35">
      <c r="A25">
        <v>17043844401</v>
      </c>
      <c r="B25" t="s">
        <v>552</v>
      </c>
      <c r="C25">
        <v>698</v>
      </c>
    </row>
    <row r="26" spans="1:3" x14ac:dyDescent="0.35">
      <c r="A26">
        <v>17043846413</v>
      </c>
      <c r="B26" t="s">
        <v>553</v>
      </c>
      <c r="C26">
        <v>637</v>
      </c>
    </row>
    <row r="27" spans="1:3" x14ac:dyDescent="0.35">
      <c r="A27">
        <v>17043841313</v>
      </c>
      <c r="B27" t="s">
        <v>554</v>
      </c>
      <c r="C27">
        <v>631</v>
      </c>
    </row>
    <row r="28" spans="1:3" x14ac:dyDescent="0.35">
      <c r="A28">
        <v>17031841900</v>
      </c>
      <c r="B28" t="s">
        <v>555</v>
      </c>
      <c r="C28">
        <v>616</v>
      </c>
    </row>
    <row r="29" spans="1:3" x14ac:dyDescent="0.35">
      <c r="A29">
        <v>17031804805</v>
      </c>
      <c r="B29" t="s">
        <v>556</v>
      </c>
      <c r="C29">
        <v>601</v>
      </c>
    </row>
    <row r="30" spans="1:3" x14ac:dyDescent="0.35">
      <c r="A30">
        <v>17031801601</v>
      </c>
      <c r="B30" t="s">
        <v>557</v>
      </c>
      <c r="C30">
        <v>559</v>
      </c>
    </row>
    <row r="31" spans="1:3" x14ac:dyDescent="0.35">
      <c r="A31">
        <v>17031833000</v>
      </c>
      <c r="B31" t="s">
        <v>558</v>
      </c>
      <c r="C31">
        <v>548</v>
      </c>
    </row>
    <row r="32" spans="1:3" x14ac:dyDescent="0.35">
      <c r="A32">
        <v>17031842300</v>
      </c>
      <c r="B32" t="s">
        <v>559</v>
      </c>
      <c r="C32">
        <v>547</v>
      </c>
    </row>
    <row r="33" spans="1:3" x14ac:dyDescent="0.35">
      <c r="A33">
        <v>17031770300</v>
      </c>
      <c r="B33" t="s">
        <v>560</v>
      </c>
      <c r="C33">
        <v>538</v>
      </c>
    </row>
    <row r="34" spans="1:3" x14ac:dyDescent="0.35">
      <c r="A34">
        <v>17031804201</v>
      </c>
      <c r="B34" t="s">
        <v>561</v>
      </c>
      <c r="C34">
        <v>536</v>
      </c>
    </row>
    <row r="35" spans="1:3" x14ac:dyDescent="0.35">
      <c r="A35">
        <v>17043840101</v>
      </c>
      <c r="B35" t="s">
        <v>562</v>
      </c>
      <c r="C35">
        <v>515</v>
      </c>
    </row>
    <row r="36" spans="1:3" x14ac:dyDescent="0.35">
      <c r="A36">
        <v>17031818500</v>
      </c>
      <c r="B36" t="s">
        <v>563</v>
      </c>
      <c r="C36">
        <v>507</v>
      </c>
    </row>
    <row r="37" spans="1:3" x14ac:dyDescent="0.35">
      <c r="A37">
        <v>17097866200</v>
      </c>
      <c r="B37" t="s">
        <v>564</v>
      </c>
      <c r="C37">
        <v>469</v>
      </c>
    </row>
    <row r="38" spans="1:3" x14ac:dyDescent="0.35">
      <c r="A38">
        <v>17031081500</v>
      </c>
      <c r="B38" t="s">
        <v>565</v>
      </c>
      <c r="C38">
        <v>442</v>
      </c>
    </row>
    <row r="39" spans="1:3" x14ac:dyDescent="0.35">
      <c r="A39">
        <v>17043845902</v>
      </c>
      <c r="B39" t="s">
        <v>566</v>
      </c>
      <c r="C39">
        <v>440</v>
      </c>
    </row>
    <row r="40" spans="1:3" x14ac:dyDescent="0.35">
      <c r="A40">
        <v>17031801500</v>
      </c>
      <c r="B40" t="s">
        <v>567</v>
      </c>
      <c r="C40">
        <v>436</v>
      </c>
    </row>
    <row r="41" spans="1:3" x14ac:dyDescent="0.35">
      <c r="A41">
        <v>17097864513</v>
      </c>
      <c r="B41" t="s">
        <v>568</v>
      </c>
      <c r="C41">
        <v>418</v>
      </c>
    </row>
    <row r="42" spans="1:3" x14ac:dyDescent="0.35">
      <c r="A42">
        <v>17043844301</v>
      </c>
      <c r="B42" t="s">
        <v>569</v>
      </c>
      <c r="C42">
        <v>416</v>
      </c>
    </row>
    <row r="43" spans="1:3" x14ac:dyDescent="0.35">
      <c r="A43">
        <v>17031251900</v>
      </c>
      <c r="B43" t="s">
        <v>570</v>
      </c>
      <c r="C43">
        <v>412</v>
      </c>
    </row>
    <row r="44" spans="1:3" x14ac:dyDescent="0.35">
      <c r="A44">
        <v>17031770500</v>
      </c>
      <c r="B44" t="s">
        <v>571</v>
      </c>
      <c r="C44">
        <v>395</v>
      </c>
    </row>
    <row r="45" spans="1:3" x14ac:dyDescent="0.35">
      <c r="A45">
        <v>17031081401</v>
      </c>
      <c r="B45" t="s">
        <v>572</v>
      </c>
      <c r="C45">
        <v>380</v>
      </c>
    </row>
    <row r="46" spans="1:3" x14ac:dyDescent="0.35">
      <c r="A46">
        <v>17031809400</v>
      </c>
      <c r="B46" t="s">
        <v>573</v>
      </c>
      <c r="C46">
        <v>379</v>
      </c>
    </row>
    <row r="47" spans="1:3" x14ac:dyDescent="0.35">
      <c r="A47">
        <v>17031833100</v>
      </c>
      <c r="B47" t="s">
        <v>574</v>
      </c>
      <c r="C47">
        <v>379</v>
      </c>
    </row>
    <row r="48" spans="1:3" x14ac:dyDescent="0.35">
      <c r="A48">
        <v>17031836200</v>
      </c>
      <c r="B48" t="s">
        <v>575</v>
      </c>
      <c r="C48">
        <v>371</v>
      </c>
    </row>
    <row r="49" spans="1:3" x14ac:dyDescent="0.35">
      <c r="A49">
        <v>17089850600</v>
      </c>
      <c r="B49" t="s">
        <v>576</v>
      </c>
      <c r="C49">
        <v>367</v>
      </c>
    </row>
    <row r="50" spans="1:3" x14ac:dyDescent="0.35">
      <c r="A50">
        <v>17031832300</v>
      </c>
      <c r="B50" t="s">
        <v>577</v>
      </c>
      <c r="C50">
        <v>361</v>
      </c>
    </row>
    <row r="51" spans="1:3" x14ac:dyDescent="0.35">
      <c r="A51">
        <v>17197883514</v>
      </c>
      <c r="B51" t="s">
        <v>578</v>
      </c>
      <c r="C51">
        <v>360</v>
      </c>
    </row>
    <row r="52" spans="1:3" x14ac:dyDescent="0.35">
      <c r="A52">
        <v>17043846702</v>
      </c>
      <c r="B52" t="s">
        <v>579</v>
      </c>
      <c r="C52">
        <v>358</v>
      </c>
    </row>
    <row r="53" spans="1:3" x14ac:dyDescent="0.35">
      <c r="A53">
        <v>17043840705</v>
      </c>
      <c r="B53" t="s">
        <v>580</v>
      </c>
      <c r="C53">
        <v>356</v>
      </c>
    </row>
    <row r="54" spans="1:3" x14ac:dyDescent="0.35">
      <c r="A54">
        <v>17031770400</v>
      </c>
      <c r="B54" t="s">
        <v>581</v>
      </c>
      <c r="C54">
        <v>354</v>
      </c>
    </row>
    <row r="55" spans="1:3" x14ac:dyDescent="0.35">
      <c r="A55">
        <v>17031805107</v>
      </c>
      <c r="B55" t="s">
        <v>582</v>
      </c>
      <c r="C55">
        <v>352</v>
      </c>
    </row>
    <row r="56" spans="1:3" x14ac:dyDescent="0.35">
      <c r="A56">
        <v>17097864802</v>
      </c>
      <c r="B56" t="s">
        <v>583</v>
      </c>
      <c r="C56">
        <v>340</v>
      </c>
    </row>
    <row r="57" spans="1:3" x14ac:dyDescent="0.35">
      <c r="A57">
        <v>17043840000</v>
      </c>
      <c r="B57" t="s">
        <v>584</v>
      </c>
      <c r="C57">
        <v>327</v>
      </c>
    </row>
    <row r="58" spans="1:3" x14ac:dyDescent="0.35">
      <c r="A58">
        <v>17031770202</v>
      </c>
      <c r="B58" t="s">
        <v>585</v>
      </c>
      <c r="C58">
        <v>322</v>
      </c>
    </row>
    <row r="59" spans="1:3" x14ac:dyDescent="0.35">
      <c r="A59">
        <v>17043840901</v>
      </c>
      <c r="B59" t="s">
        <v>586</v>
      </c>
      <c r="C59">
        <v>321</v>
      </c>
    </row>
    <row r="60" spans="1:3" x14ac:dyDescent="0.35">
      <c r="A60">
        <v>17043844402</v>
      </c>
      <c r="B60" t="s">
        <v>587</v>
      </c>
      <c r="C60">
        <v>318</v>
      </c>
    </row>
    <row r="61" spans="1:3" x14ac:dyDescent="0.35">
      <c r="A61">
        <v>17031803005</v>
      </c>
      <c r="B61" t="s">
        <v>588</v>
      </c>
      <c r="C61">
        <v>297</v>
      </c>
    </row>
    <row r="62" spans="1:3" x14ac:dyDescent="0.35">
      <c r="A62">
        <v>17031808702</v>
      </c>
      <c r="B62" t="s">
        <v>589</v>
      </c>
      <c r="C62">
        <v>293</v>
      </c>
    </row>
    <row r="63" spans="1:3" x14ac:dyDescent="0.35">
      <c r="A63">
        <v>17043841501</v>
      </c>
      <c r="B63" t="s">
        <v>590</v>
      </c>
      <c r="C63">
        <v>289</v>
      </c>
    </row>
    <row r="64" spans="1:3" x14ac:dyDescent="0.35">
      <c r="A64">
        <v>17043846405</v>
      </c>
      <c r="B64" t="s">
        <v>591</v>
      </c>
      <c r="C64">
        <v>288</v>
      </c>
    </row>
    <row r="65" spans="1:3" x14ac:dyDescent="0.35">
      <c r="A65">
        <v>17043844306</v>
      </c>
      <c r="B65" t="s">
        <v>592</v>
      </c>
      <c r="C65">
        <v>285</v>
      </c>
    </row>
    <row r="66" spans="1:3" x14ac:dyDescent="0.35">
      <c r="A66">
        <v>17043842500</v>
      </c>
      <c r="B66" t="s">
        <v>593</v>
      </c>
      <c r="C66">
        <v>279</v>
      </c>
    </row>
    <row r="67" spans="1:3" x14ac:dyDescent="0.35">
      <c r="A67">
        <v>17043846515</v>
      </c>
      <c r="B67" t="s">
        <v>594</v>
      </c>
      <c r="C67">
        <v>271</v>
      </c>
    </row>
    <row r="68" spans="1:3" x14ac:dyDescent="0.35">
      <c r="A68">
        <v>17097864521</v>
      </c>
      <c r="B68" t="s">
        <v>595</v>
      </c>
      <c r="C68">
        <v>270</v>
      </c>
    </row>
    <row r="69" spans="1:3" x14ac:dyDescent="0.35">
      <c r="A69">
        <v>17031801800</v>
      </c>
      <c r="B69" t="s">
        <v>596</v>
      </c>
      <c r="C69">
        <v>267</v>
      </c>
    </row>
    <row r="70" spans="1:3" x14ac:dyDescent="0.35">
      <c r="A70">
        <v>55059002602</v>
      </c>
      <c r="B70" t="s">
        <v>597</v>
      </c>
      <c r="C70">
        <v>265</v>
      </c>
    </row>
    <row r="71" spans="1:3" x14ac:dyDescent="0.35">
      <c r="A71">
        <v>17097864801</v>
      </c>
      <c r="B71" t="s">
        <v>598</v>
      </c>
      <c r="C71">
        <v>265</v>
      </c>
    </row>
    <row r="72" spans="1:3" x14ac:dyDescent="0.35">
      <c r="A72">
        <v>17089852803</v>
      </c>
      <c r="B72" t="s">
        <v>599</v>
      </c>
      <c r="C72">
        <v>256</v>
      </c>
    </row>
    <row r="73" spans="1:3" x14ac:dyDescent="0.35">
      <c r="A73">
        <v>17031802505</v>
      </c>
      <c r="B73" t="s">
        <v>600</v>
      </c>
      <c r="C73">
        <v>254</v>
      </c>
    </row>
    <row r="74" spans="1:3" x14ac:dyDescent="0.35">
      <c r="A74">
        <v>17043846313</v>
      </c>
      <c r="B74" t="s">
        <v>601</v>
      </c>
      <c r="C74">
        <v>248</v>
      </c>
    </row>
    <row r="75" spans="1:3" x14ac:dyDescent="0.35">
      <c r="A75">
        <v>17031807800</v>
      </c>
      <c r="B75" t="s">
        <v>602</v>
      </c>
      <c r="C75">
        <v>243</v>
      </c>
    </row>
    <row r="76" spans="1:3" x14ac:dyDescent="0.35">
      <c r="A76">
        <v>17043842603</v>
      </c>
      <c r="B76" t="s">
        <v>603</v>
      </c>
      <c r="C76">
        <v>243</v>
      </c>
    </row>
    <row r="77" spans="1:3" x14ac:dyDescent="0.35">
      <c r="A77">
        <v>17031810000</v>
      </c>
      <c r="B77" t="s">
        <v>604</v>
      </c>
      <c r="C77">
        <v>240</v>
      </c>
    </row>
    <row r="78" spans="1:3" x14ac:dyDescent="0.35">
      <c r="A78">
        <v>17043844501</v>
      </c>
      <c r="B78" t="s">
        <v>605</v>
      </c>
      <c r="C78">
        <v>237</v>
      </c>
    </row>
    <row r="79" spans="1:3" x14ac:dyDescent="0.35">
      <c r="A79">
        <v>17031805105</v>
      </c>
      <c r="B79" t="s">
        <v>606</v>
      </c>
      <c r="C79">
        <v>234</v>
      </c>
    </row>
    <row r="80" spans="1:3" x14ac:dyDescent="0.35">
      <c r="A80">
        <v>17031210501</v>
      </c>
      <c r="B80" t="s">
        <v>607</v>
      </c>
      <c r="C80">
        <v>229</v>
      </c>
    </row>
    <row r="81" spans="1:3" x14ac:dyDescent="0.35">
      <c r="A81">
        <v>17031221300</v>
      </c>
      <c r="B81" t="s">
        <v>608</v>
      </c>
      <c r="C81">
        <v>226</v>
      </c>
    </row>
    <row r="82" spans="1:3" x14ac:dyDescent="0.35">
      <c r="A82">
        <v>17031803012</v>
      </c>
      <c r="B82" t="s">
        <v>609</v>
      </c>
      <c r="C82">
        <v>217</v>
      </c>
    </row>
    <row r="83" spans="1:3" x14ac:dyDescent="0.35">
      <c r="A83">
        <v>17031831800</v>
      </c>
      <c r="B83" t="s">
        <v>610</v>
      </c>
      <c r="C83">
        <v>215</v>
      </c>
    </row>
    <row r="84" spans="1:3" x14ac:dyDescent="0.35">
      <c r="A84">
        <v>17043841315</v>
      </c>
      <c r="B84" t="s">
        <v>611</v>
      </c>
      <c r="C84">
        <v>214</v>
      </c>
    </row>
    <row r="85" spans="1:3" x14ac:dyDescent="0.35">
      <c r="A85">
        <v>55059000601</v>
      </c>
      <c r="B85" t="s">
        <v>612</v>
      </c>
      <c r="C85">
        <v>207</v>
      </c>
    </row>
    <row r="86" spans="1:3" x14ac:dyDescent="0.35">
      <c r="A86">
        <v>17031980000</v>
      </c>
      <c r="B86" t="s">
        <v>613</v>
      </c>
      <c r="C86">
        <v>207</v>
      </c>
    </row>
    <row r="87" spans="1:3" x14ac:dyDescent="0.35">
      <c r="A87">
        <v>17031801901</v>
      </c>
      <c r="B87" t="s">
        <v>614</v>
      </c>
      <c r="C87">
        <v>203</v>
      </c>
    </row>
    <row r="88" spans="1:3" x14ac:dyDescent="0.35">
      <c r="A88">
        <v>17097861201</v>
      </c>
      <c r="B88" t="s">
        <v>615</v>
      </c>
      <c r="C88">
        <v>202</v>
      </c>
    </row>
    <row r="89" spans="1:3" x14ac:dyDescent="0.35">
      <c r="A89">
        <v>17031803612</v>
      </c>
      <c r="B89" t="s">
        <v>616</v>
      </c>
      <c r="C89">
        <v>200</v>
      </c>
    </row>
    <row r="90" spans="1:3" x14ac:dyDescent="0.35">
      <c r="A90">
        <v>17097864522</v>
      </c>
      <c r="B90" t="s">
        <v>617</v>
      </c>
      <c r="C90">
        <v>198</v>
      </c>
    </row>
    <row r="91" spans="1:3" x14ac:dyDescent="0.35">
      <c r="A91">
        <v>17031330100</v>
      </c>
      <c r="B91" t="s">
        <v>618</v>
      </c>
      <c r="C91">
        <v>198</v>
      </c>
    </row>
    <row r="92" spans="1:3" x14ac:dyDescent="0.35">
      <c r="A92">
        <v>17097864408</v>
      </c>
      <c r="B92" t="s">
        <v>619</v>
      </c>
      <c r="C92">
        <v>190</v>
      </c>
    </row>
    <row r="93" spans="1:3" x14ac:dyDescent="0.35">
      <c r="A93">
        <v>17043846307</v>
      </c>
      <c r="B93" t="s">
        <v>620</v>
      </c>
      <c r="C93">
        <v>190</v>
      </c>
    </row>
    <row r="94" spans="1:3" x14ac:dyDescent="0.35">
      <c r="A94">
        <v>17097862901</v>
      </c>
      <c r="B94" t="s">
        <v>621</v>
      </c>
      <c r="C94">
        <v>189</v>
      </c>
    </row>
    <row r="95" spans="1:3" x14ac:dyDescent="0.35">
      <c r="A95">
        <v>17031770602</v>
      </c>
      <c r="B95" t="s">
        <v>622</v>
      </c>
      <c r="C95">
        <v>187</v>
      </c>
    </row>
    <row r="96" spans="1:3" x14ac:dyDescent="0.35">
      <c r="A96">
        <v>17043845803</v>
      </c>
      <c r="B96" t="s">
        <v>623</v>
      </c>
      <c r="C96">
        <v>187</v>
      </c>
    </row>
    <row r="97" spans="1:3" x14ac:dyDescent="0.35">
      <c r="A97">
        <v>17043846504</v>
      </c>
      <c r="B97" t="s">
        <v>624</v>
      </c>
      <c r="C97">
        <v>184</v>
      </c>
    </row>
    <row r="98" spans="1:3" x14ac:dyDescent="0.35">
      <c r="A98">
        <v>17031804202</v>
      </c>
      <c r="B98" t="s">
        <v>625</v>
      </c>
      <c r="C98">
        <v>183</v>
      </c>
    </row>
    <row r="99" spans="1:3" x14ac:dyDescent="0.35">
      <c r="A99">
        <v>17043841114</v>
      </c>
      <c r="B99" t="s">
        <v>626</v>
      </c>
      <c r="C99">
        <v>183</v>
      </c>
    </row>
    <row r="100" spans="1:3" x14ac:dyDescent="0.35">
      <c r="A100">
        <v>17043846206</v>
      </c>
      <c r="B100" t="s">
        <v>627</v>
      </c>
      <c r="C100">
        <v>182</v>
      </c>
    </row>
    <row r="101" spans="1:3" x14ac:dyDescent="0.35">
      <c r="A101">
        <v>17043844702</v>
      </c>
      <c r="B101" t="s">
        <v>628</v>
      </c>
      <c r="C101">
        <v>176</v>
      </c>
    </row>
    <row r="102" spans="1:3" x14ac:dyDescent="0.35">
      <c r="A102">
        <v>17031817900</v>
      </c>
      <c r="B102" t="s">
        <v>629</v>
      </c>
      <c r="C102">
        <v>176</v>
      </c>
    </row>
    <row r="103" spans="1:3" x14ac:dyDescent="0.35">
      <c r="A103">
        <v>55059001400</v>
      </c>
      <c r="B103" t="s">
        <v>630</v>
      </c>
      <c r="C103">
        <v>173</v>
      </c>
    </row>
    <row r="104" spans="1:3" x14ac:dyDescent="0.35">
      <c r="A104">
        <v>17197880121</v>
      </c>
      <c r="B104" t="s">
        <v>631</v>
      </c>
      <c r="C104">
        <v>172</v>
      </c>
    </row>
    <row r="105" spans="1:3" x14ac:dyDescent="0.35">
      <c r="A105">
        <v>17031081300</v>
      </c>
      <c r="B105" t="s">
        <v>632</v>
      </c>
      <c r="C105">
        <v>172</v>
      </c>
    </row>
    <row r="106" spans="1:3" x14ac:dyDescent="0.35">
      <c r="A106">
        <v>17043840907</v>
      </c>
      <c r="B106" t="s">
        <v>633</v>
      </c>
      <c r="C106">
        <v>170</v>
      </c>
    </row>
    <row r="107" spans="1:3" x14ac:dyDescent="0.35">
      <c r="A107">
        <v>17031081600</v>
      </c>
      <c r="B107" t="s">
        <v>634</v>
      </c>
      <c r="C107">
        <v>166</v>
      </c>
    </row>
    <row r="108" spans="1:3" x14ac:dyDescent="0.35">
      <c r="A108">
        <v>17031820201</v>
      </c>
      <c r="B108" t="s">
        <v>635</v>
      </c>
      <c r="C108">
        <v>164</v>
      </c>
    </row>
    <row r="109" spans="1:3" x14ac:dyDescent="0.35">
      <c r="A109">
        <v>17097865502</v>
      </c>
      <c r="B109" t="s">
        <v>636</v>
      </c>
      <c r="C109">
        <v>163</v>
      </c>
    </row>
    <row r="110" spans="1:3" x14ac:dyDescent="0.35">
      <c r="A110">
        <v>17043844602</v>
      </c>
      <c r="B110" t="s">
        <v>637</v>
      </c>
      <c r="C110">
        <v>160</v>
      </c>
    </row>
    <row r="111" spans="1:3" x14ac:dyDescent="0.35">
      <c r="A111">
        <v>17031801702</v>
      </c>
      <c r="B111" t="s">
        <v>638</v>
      </c>
      <c r="C111">
        <v>159</v>
      </c>
    </row>
    <row r="112" spans="1:3" x14ac:dyDescent="0.35">
      <c r="A112">
        <v>17031808100</v>
      </c>
      <c r="B112" t="s">
        <v>639</v>
      </c>
      <c r="C112">
        <v>157</v>
      </c>
    </row>
    <row r="113" spans="1:3" x14ac:dyDescent="0.35">
      <c r="A113">
        <v>17031828900</v>
      </c>
      <c r="B113" t="s">
        <v>640</v>
      </c>
      <c r="C113">
        <v>157</v>
      </c>
    </row>
    <row r="114" spans="1:3" x14ac:dyDescent="0.35">
      <c r="A114">
        <v>17031081201</v>
      </c>
      <c r="B114" t="s">
        <v>641</v>
      </c>
      <c r="C114">
        <v>156</v>
      </c>
    </row>
    <row r="115" spans="1:3" x14ac:dyDescent="0.35">
      <c r="A115">
        <v>17097861902</v>
      </c>
      <c r="B115" t="s">
        <v>642</v>
      </c>
      <c r="C115">
        <v>155</v>
      </c>
    </row>
    <row r="116" spans="1:3" x14ac:dyDescent="0.35">
      <c r="A116">
        <v>17197880202</v>
      </c>
      <c r="B116" t="s">
        <v>643</v>
      </c>
      <c r="C116">
        <v>155</v>
      </c>
    </row>
    <row r="117" spans="1:3" x14ac:dyDescent="0.35">
      <c r="A117">
        <v>17043844305</v>
      </c>
      <c r="B117" t="s">
        <v>644</v>
      </c>
      <c r="C117">
        <v>154</v>
      </c>
    </row>
    <row r="118" spans="1:3" x14ac:dyDescent="0.35">
      <c r="A118">
        <v>17097864516</v>
      </c>
      <c r="B118" t="s">
        <v>645</v>
      </c>
      <c r="C118">
        <v>153</v>
      </c>
    </row>
    <row r="119" spans="1:3" x14ac:dyDescent="0.35">
      <c r="A119">
        <v>17097864402</v>
      </c>
      <c r="B119" t="s">
        <v>646</v>
      </c>
      <c r="C119">
        <v>151</v>
      </c>
    </row>
    <row r="120" spans="1:3" x14ac:dyDescent="0.35">
      <c r="A120">
        <v>17043846509</v>
      </c>
      <c r="B120" t="s">
        <v>647</v>
      </c>
      <c r="C120">
        <v>149</v>
      </c>
    </row>
    <row r="121" spans="1:3" x14ac:dyDescent="0.35">
      <c r="A121">
        <v>17031802605</v>
      </c>
      <c r="B121" t="s">
        <v>648</v>
      </c>
      <c r="C121">
        <v>148</v>
      </c>
    </row>
    <row r="122" spans="1:3" x14ac:dyDescent="0.35">
      <c r="A122">
        <v>17089852003</v>
      </c>
      <c r="B122" t="s">
        <v>649</v>
      </c>
      <c r="C122">
        <v>148</v>
      </c>
    </row>
    <row r="123" spans="1:3" x14ac:dyDescent="0.35">
      <c r="A123">
        <v>17031842600</v>
      </c>
      <c r="B123" t="s">
        <v>650</v>
      </c>
      <c r="C123">
        <v>147</v>
      </c>
    </row>
    <row r="124" spans="1:3" x14ac:dyDescent="0.35">
      <c r="A124">
        <v>17031807300</v>
      </c>
      <c r="B124" t="s">
        <v>651</v>
      </c>
      <c r="C124">
        <v>146</v>
      </c>
    </row>
    <row r="125" spans="1:3" x14ac:dyDescent="0.35">
      <c r="A125">
        <v>17031802702</v>
      </c>
      <c r="B125" t="s">
        <v>652</v>
      </c>
      <c r="C125">
        <v>145</v>
      </c>
    </row>
    <row r="126" spans="1:3" x14ac:dyDescent="0.35">
      <c r="A126">
        <v>17089852002</v>
      </c>
      <c r="B126" t="s">
        <v>653</v>
      </c>
      <c r="C126">
        <v>145</v>
      </c>
    </row>
    <row r="127" spans="1:3" x14ac:dyDescent="0.35">
      <c r="A127">
        <v>17031812301</v>
      </c>
      <c r="B127" t="s">
        <v>654</v>
      </c>
      <c r="C127">
        <v>145</v>
      </c>
    </row>
    <row r="128" spans="1:3" x14ac:dyDescent="0.35">
      <c r="A128">
        <v>17043846003</v>
      </c>
      <c r="B128" t="s">
        <v>655</v>
      </c>
      <c r="C128">
        <v>142</v>
      </c>
    </row>
    <row r="129" spans="1:3" x14ac:dyDescent="0.35">
      <c r="A129">
        <v>17097864205</v>
      </c>
      <c r="B129" t="s">
        <v>656</v>
      </c>
      <c r="C129">
        <v>140</v>
      </c>
    </row>
    <row r="130" spans="1:3" x14ac:dyDescent="0.35">
      <c r="A130">
        <v>17031801000</v>
      </c>
      <c r="B130" t="s">
        <v>657</v>
      </c>
      <c r="C130">
        <v>139</v>
      </c>
    </row>
    <row r="131" spans="1:3" x14ac:dyDescent="0.35">
      <c r="A131">
        <v>17097861106</v>
      </c>
      <c r="B131" t="s">
        <v>658</v>
      </c>
      <c r="C131">
        <v>139</v>
      </c>
    </row>
    <row r="132" spans="1:3" x14ac:dyDescent="0.35">
      <c r="A132">
        <v>17031838200</v>
      </c>
      <c r="B132" t="s">
        <v>659</v>
      </c>
      <c r="C132">
        <v>138</v>
      </c>
    </row>
    <row r="133" spans="1:3" x14ac:dyDescent="0.35">
      <c r="A133">
        <v>17097864519</v>
      </c>
      <c r="B133" t="s">
        <v>660</v>
      </c>
      <c r="C133">
        <v>137</v>
      </c>
    </row>
    <row r="134" spans="1:3" x14ac:dyDescent="0.35">
      <c r="A134">
        <v>17031809500</v>
      </c>
      <c r="B134" t="s">
        <v>661</v>
      </c>
      <c r="C134">
        <v>137</v>
      </c>
    </row>
    <row r="135" spans="1:3" x14ac:dyDescent="0.35">
      <c r="A135">
        <v>17031816100</v>
      </c>
      <c r="B135" t="s">
        <v>662</v>
      </c>
      <c r="C135">
        <v>135</v>
      </c>
    </row>
    <row r="136" spans="1:3" x14ac:dyDescent="0.35">
      <c r="A136">
        <v>17043842100</v>
      </c>
      <c r="B136" t="s">
        <v>663</v>
      </c>
      <c r="C136">
        <v>134</v>
      </c>
    </row>
    <row r="137" spans="1:3" x14ac:dyDescent="0.35">
      <c r="A137">
        <v>17031810502</v>
      </c>
      <c r="B137" t="s">
        <v>664</v>
      </c>
      <c r="C137">
        <v>131</v>
      </c>
    </row>
    <row r="138" spans="1:3" x14ac:dyDescent="0.35">
      <c r="A138">
        <v>17031803901</v>
      </c>
      <c r="B138" t="s">
        <v>665</v>
      </c>
      <c r="C138">
        <v>131</v>
      </c>
    </row>
    <row r="139" spans="1:3" x14ac:dyDescent="0.35">
      <c r="A139">
        <v>17031803300</v>
      </c>
      <c r="B139" t="s">
        <v>666</v>
      </c>
      <c r="C139">
        <v>130</v>
      </c>
    </row>
    <row r="140" spans="1:3" x14ac:dyDescent="0.35">
      <c r="A140">
        <v>55059001000</v>
      </c>
      <c r="B140" t="s">
        <v>667</v>
      </c>
      <c r="C140">
        <v>129</v>
      </c>
    </row>
    <row r="141" spans="1:3" x14ac:dyDescent="0.35">
      <c r="A141">
        <v>17043844201</v>
      </c>
      <c r="B141" t="s">
        <v>668</v>
      </c>
      <c r="C141">
        <v>129</v>
      </c>
    </row>
    <row r="142" spans="1:3" x14ac:dyDescent="0.35">
      <c r="A142">
        <v>17031823200</v>
      </c>
      <c r="B142" t="s">
        <v>669</v>
      </c>
      <c r="C142">
        <v>128</v>
      </c>
    </row>
    <row r="143" spans="1:3" x14ac:dyDescent="0.35">
      <c r="A143">
        <v>17031821800</v>
      </c>
      <c r="B143" t="s">
        <v>670</v>
      </c>
      <c r="C143">
        <v>126</v>
      </c>
    </row>
    <row r="144" spans="1:3" x14ac:dyDescent="0.35">
      <c r="A144">
        <v>17031823903</v>
      </c>
      <c r="B144" t="s">
        <v>671</v>
      </c>
      <c r="C144">
        <v>126</v>
      </c>
    </row>
    <row r="145" spans="1:3" x14ac:dyDescent="0.35">
      <c r="A145">
        <v>17031807600</v>
      </c>
      <c r="B145" t="s">
        <v>672</v>
      </c>
      <c r="C145">
        <v>126</v>
      </c>
    </row>
    <row r="146" spans="1:3" x14ac:dyDescent="0.35">
      <c r="A146">
        <v>17043841704</v>
      </c>
      <c r="B146" t="s">
        <v>673</v>
      </c>
      <c r="C146">
        <v>126</v>
      </c>
    </row>
    <row r="147" spans="1:3" x14ac:dyDescent="0.35">
      <c r="A147">
        <v>17111870803</v>
      </c>
      <c r="B147" t="s">
        <v>674</v>
      </c>
      <c r="C147">
        <v>125</v>
      </c>
    </row>
    <row r="148" spans="1:3" x14ac:dyDescent="0.35">
      <c r="A148">
        <v>17031802300</v>
      </c>
      <c r="B148" t="s">
        <v>675</v>
      </c>
      <c r="C148">
        <v>125</v>
      </c>
    </row>
    <row r="149" spans="1:3" x14ac:dyDescent="0.35">
      <c r="A149">
        <v>17043846411</v>
      </c>
      <c r="B149" t="s">
        <v>676</v>
      </c>
      <c r="C149">
        <v>124</v>
      </c>
    </row>
    <row r="150" spans="1:3" x14ac:dyDescent="0.35">
      <c r="A150">
        <v>17031808001</v>
      </c>
      <c r="B150" t="s">
        <v>677</v>
      </c>
      <c r="C150">
        <v>124</v>
      </c>
    </row>
    <row r="151" spans="1:3" x14ac:dyDescent="0.35">
      <c r="A151">
        <v>17031806900</v>
      </c>
      <c r="B151" t="s">
        <v>678</v>
      </c>
      <c r="C151">
        <v>124</v>
      </c>
    </row>
    <row r="152" spans="1:3" x14ac:dyDescent="0.35">
      <c r="A152">
        <v>17031822102</v>
      </c>
      <c r="B152" t="s">
        <v>679</v>
      </c>
      <c r="C152">
        <v>124</v>
      </c>
    </row>
    <row r="153" spans="1:3" x14ac:dyDescent="0.35">
      <c r="A153">
        <v>55059002300</v>
      </c>
      <c r="B153" t="s">
        <v>680</v>
      </c>
      <c r="C153">
        <v>123</v>
      </c>
    </row>
    <row r="154" spans="1:3" x14ac:dyDescent="0.35">
      <c r="A154">
        <v>17031820901</v>
      </c>
      <c r="B154" t="s">
        <v>681</v>
      </c>
      <c r="C154">
        <v>123</v>
      </c>
    </row>
    <row r="155" spans="1:3" x14ac:dyDescent="0.35">
      <c r="A155">
        <v>17097864904</v>
      </c>
      <c r="B155" t="s">
        <v>682</v>
      </c>
      <c r="C155">
        <v>123</v>
      </c>
    </row>
    <row r="156" spans="1:3" x14ac:dyDescent="0.35">
      <c r="A156">
        <v>17089854600</v>
      </c>
      <c r="B156" t="s">
        <v>683</v>
      </c>
      <c r="C156">
        <v>122</v>
      </c>
    </row>
    <row r="157" spans="1:3" x14ac:dyDescent="0.35">
      <c r="A157">
        <v>17043846103</v>
      </c>
      <c r="B157" t="s">
        <v>684</v>
      </c>
      <c r="C157">
        <v>120</v>
      </c>
    </row>
    <row r="158" spans="1:3" x14ac:dyDescent="0.35">
      <c r="A158">
        <v>17089852500</v>
      </c>
      <c r="B158" t="s">
        <v>685</v>
      </c>
      <c r="C158">
        <v>120</v>
      </c>
    </row>
    <row r="159" spans="1:3" x14ac:dyDescent="0.35">
      <c r="A159">
        <v>17089851910</v>
      </c>
      <c r="B159" t="s">
        <v>686</v>
      </c>
      <c r="C159">
        <v>120</v>
      </c>
    </row>
    <row r="160" spans="1:3" x14ac:dyDescent="0.35">
      <c r="A160">
        <v>17031811302</v>
      </c>
      <c r="B160" t="s">
        <v>687</v>
      </c>
      <c r="C160">
        <v>117</v>
      </c>
    </row>
    <row r="161" spans="1:3" x14ac:dyDescent="0.35">
      <c r="A161">
        <v>17043842900</v>
      </c>
      <c r="B161" t="s">
        <v>688</v>
      </c>
      <c r="C161">
        <v>116</v>
      </c>
    </row>
    <row r="162" spans="1:3" x14ac:dyDescent="0.35">
      <c r="A162">
        <v>55059001500</v>
      </c>
      <c r="B162" t="s">
        <v>689</v>
      </c>
      <c r="C162">
        <v>112</v>
      </c>
    </row>
    <row r="163" spans="1:3" x14ac:dyDescent="0.35">
      <c r="A163">
        <v>17089852202</v>
      </c>
      <c r="B163" t="s">
        <v>690</v>
      </c>
      <c r="C163">
        <v>112</v>
      </c>
    </row>
    <row r="164" spans="1:3" x14ac:dyDescent="0.35">
      <c r="A164">
        <v>17043844502</v>
      </c>
      <c r="B164" t="s">
        <v>691</v>
      </c>
      <c r="C164">
        <v>112</v>
      </c>
    </row>
    <row r="165" spans="1:3" x14ac:dyDescent="0.35">
      <c r="A165">
        <v>17031823703</v>
      </c>
      <c r="B165" t="s">
        <v>692</v>
      </c>
      <c r="C165">
        <v>111</v>
      </c>
    </row>
    <row r="166" spans="1:3" x14ac:dyDescent="0.35">
      <c r="A166">
        <v>17043846004</v>
      </c>
      <c r="B166" t="s">
        <v>693</v>
      </c>
      <c r="C166">
        <v>109</v>
      </c>
    </row>
    <row r="167" spans="1:3" x14ac:dyDescent="0.35">
      <c r="A167">
        <v>17043846409</v>
      </c>
      <c r="B167" t="s">
        <v>694</v>
      </c>
      <c r="C167">
        <v>109</v>
      </c>
    </row>
    <row r="168" spans="1:3" x14ac:dyDescent="0.35">
      <c r="A168">
        <v>17031824120</v>
      </c>
      <c r="B168" t="s">
        <v>695</v>
      </c>
      <c r="C168">
        <v>109</v>
      </c>
    </row>
    <row r="169" spans="1:3" x14ac:dyDescent="0.35">
      <c r="A169">
        <v>17031801608</v>
      </c>
      <c r="B169" t="s">
        <v>696</v>
      </c>
      <c r="C169">
        <v>107</v>
      </c>
    </row>
    <row r="170" spans="1:3" x14ac:dyDescent="0.35">
      <c r="A170">
        <v>17031805600</v>
      </c>
      <c r="B170" t="s">
        <v>697</v>
      </c>
      <c r="C170">
        <v>107</v>
      </c>
    </row>
    <row r="171" spans="1:3" x14ac:dyDescent="0.35">
      <c r="A171">
        <v>17031839000</v>
      </c>
      <c r="B171" t="s">
        <v>698</v>
      </c>
      <c r="C171">
        <v>106</v>
      </c>
    </row>
    <row r="172" spans="1:3" x14ac:dyDescent="0.35">
      <c r="A172">
        <v>17031770800</v>
      </c>
      <c r="B172" t="s">
        <v>699</v>
      </c>
      <c r="C172">
        <v>106</v>
      </c>
    </row>
    <row r="173" spans="1:3" x14ac:dyDescent="0.35">
      <c r="A173">
        <v>17097863603</v>
      </c>
      <c r="B173" t="s">
        <v>700</v>
      </c>
      <c r="C173">
        <v>106</v>
      </c>
    </row>
    <row r="174" spans="1:3" x14ac:dyDescent="0.35">
      <c r="A174">
        <v>17031824003</v>
      </c>
      <c r="B174" t="s">
        <v>701</v>
      </c>
      <c r="C174">
        <v>106</v>
      </c>
    </row>
    <row r="175" spans="1:3" x14ac:dyDescent="0.35">
      <c r="A175">
        <v>17043841403</v>
      </c>
      <c r="B175" t="s">
        <v>702</v>
      </c>
      <c r="C175">
        <v>106</v>
      </c>
    </row>
    <row r="176" spans="1:3" x14ac:dyDescent="0.35">
      <c r="A176">
        <v>17097862603</v>
      </c>
      <c r="B176" t="s">
        <v>703</v>
      </c>
      <c r="C176">
        <v>104</v>
      </c>
    </row>
    <row r="177" spans="1:3" x14ac:dyDescent="0.35">
      <c r="A177">
        <v>17031808301</v>
      </c>
      <c r="B177" t="s">
        <v>704</v>
      </c>
      <c r="C177">
        <v>104</v>
      </c>
    </row>
    <row r="178" spans="1:3" x14ac:dyDescent="0.35">
      <c r="A178">
        <v>17043841210</v>
      </c>
      <c r="B178" t="s">
        <v>705</v>
      </c>
      <c r="C178">
        <v>102</v>
      </c>
    </row>
    <row r="179" spans="1:3" x14ac:dyDescent="0.35">
      <c r="A179">
        <v>17031803702</v>
      </c>
      <c r="B179" t="s">
        <v>706</v>
      </c>
      <c r="C179">
        <v>102</v>
      </c>
    </row>
    <row r="180" spans="1:3" x14ac:dyDescent="0.35">
      <c r="A180">
        <v>17197880312</v>
      </c>
      <c r="B180" t="s">
        <v>707</v>
      </c>
      <c r="C180">
        <v>100</v>
      </c>
    </row>
    <row r="181" spans="1:3" x14ac:dyDescent="0.35">
      <c r="A181">
        <v>17043845300</v>
      </c>
      <c r="B181" t="s">
        <v>708</v>
      </c>
      <c r="C181">
        <v>100</v>
      </c>
    </row>
    <row r="182" spans="1:3" x14ac:dyDescent="0.35">
      <c r="A182">
        <v>17043846404</v>
      </c>
      <c r="B182" t="s">
        <v>709</v>
      </c>
      <c r="C182">
        <v>100</v>
      </c>
    </row>
    <row r="183" spans="1:3" x14ac:dyDescent="0.35">
      <c r="A183">
        <v>17043846507</v>
      </c>
      <c r="B183" t="s">
        <v>710</v>
      </c>
      <c r="C183">
        <v>100</v>
      </c>
    </row>
    <row r="184" spans="1:3" x14ac:dyDescent="0.35">
      <c r="A184">
        <v>17111870807</v>
      </c>
      <c r="B184" t="s">
        <v>711</v>
      </c>
      <c r="C184">
        <v>99</v>
      </c>
    </row>
    <row r="185" spans="1:3" x14ac:dyDescent="0.35">
      <c r="A185">
        <v>18089042505</v>
      </c>
      <c r="B185" t="s">
        <v>712</v>
      </c>
      <c r="C185">
        <v>99</v>
      </c>
    </row>
    <row r="186" spans="1:3" x14ac:dyDescent="0.35">
      <c r="A186">
        <v>17043841208</v>
      </c>
      <c r="B186" t="s">
        <v>713</v>
      </c>
      <c r="C186">
        <v>99</v>
      </c>
    </row>
    <row r="187" spans="1:3" x14ac:dyDescent="0.35">
      <c r="A187">
        <v>17111871306</v>
      </c>
      <c r="B187" t="s">
        <v>714</v>
      </c>
      <c r="C187">
        <v>98</v>
      </c>
    </row>
    <row r="188" spans="1:3" x14ac:dyDescent="0.35">
      <c r="A188">
        <v>17043841102</v>
      </c>
      <c r="B188" t="s">
        <v>715</v>
      </c>
      <c r="C188">
        <v>98</v>
      </c>
    </row>
    <row r="189" spans="1:3" x14ac:dyDescent="0.35">
      <c r="A189">
        <v>17043840904</v>
      </c>
      <c r="B189" t="s">
        <v>716</v>
      </c>
      <c r="C189">
        <v>98</v>
      </c>
    </row>
    <row r="190" spans="1:3" x14ac:dyDescent="0.35">
      <c r="A190">
        <v>17043841111</v>
      </c>
      <c r="B190" t="s">
        <v>717</v>
      </c>
      <c r="C190">
        <v>97</v>
      </c>
    </row>
    <row r="191" spans="1:3" x14ac:dyDescent="0.35">
      <c r="A191">
        <v>17031031900</v>
      </c>
      <c r="B191" t="s">
        <v>718</v>
      </c>
      <c r="C191">
        <v>97</v>
      </c>
    </row>
    <row r="192" spans="1:3" x14ac:dyDescent="0.35">
      <c r="A192">
        <v>17043841002</v>
      </c>
      <c r="B192" t="s">
        <v>719</v>
      </c>
      <c r="C192">
        <v>96</v>
      </c>
    </row>
    <row r="193" spans="1:3" x14ac:dyDescent="0.35">
      <c r="A193">
        <v>17031814400</v>
      </c>
      <c r="B193" t="s">
        <v>720</v>
      </c>
      <c r="C193">
        <v>95</v>
      </c>
    </row>
    <row r="194" spans="1:3" x14ac:dyDescent="0.35">
      <c r="A194">
        <v>18089020900</v>
      </c>
      <c r="B194" t="s">
        <v>721</v>
      </c>
      <c r="C194">
        <v>94</v>
      </c>
    </row>
    <row r="195" spans="1:3" x14ac:dyDescent="0.35">
      <c r="A195">
        <v>17031243500</v>
      </c>
      <c r="B195" t="s">
        <v>722</v>
      </c>
      <c r="C195">
        <v>94</v>
      </c>
    </row>
    <row r="196" spans="1:3" x14ac:dyDescent="0.35">
      <c r="A196">
        <v>17043846514</v>
      </c>
      <c r="B196" t="s">
        <v>723</v>
      </c>
      <c r="C196">
        <v>94</v>
      </c>
    </row>
    <row r="197" spans="1:3" x14ac:dyDescent="0.35">
      <c r="A197">
        <v>17043845000</v>
      </c>
      <c r="B197" t="s">
        <v>724</v>
      </c>
      <c r="C197">
        <v>94</v>
      </c>
    </row>
    <row r="198" spans="1:3" x14ac:dyDescent="0.35">
      <c r="A198">
        <v>17031804803</v>
      </c>
      <c r="B198" t="s">
        <v>725</v>
      </c>
      <c r="C198">
        <v>94</v>
      </c>
    </row>
    <row r="199" spans="1:3" x14ac:dyDescent="0.35">
      <c r="A199">
        <v>17097864002</v>
      </c>
      <c r="B199" t="s">
        <v>726</v>
      </c>
      <c r="C199">
        <v>93</v>
      </c>
    </row>
    <row r="200" spans="1:3" x14ac:dyDescent="0.35">
      <c r="A200">
        <v>17031838100</v>
      </c>
      <c r="B200" t="s">
        <v>727</v>
      </c>
      <c r="C200">
        <v>92</v>
      </c>
    </row>
    <row r="201" spans="1:3" x14ac:dyDescent="0.35">
      <c r="A201">
        <v>17043843200</v>
      </c>
      <c r="B201" t="s">
        <v>728</v>
      </c>
      <c r="C201">
        <v>92</v>
      </c>
    </row>
    <row r="202" spans="1:3" x14ac:dyDescent="0.35">
      <c r="A202">
        <v>17031804810</v>
      </c>
      <c r="B202" t="s">
        <v>729</v>
      </c>
      <c r="C202">
        <v>92</v>
      </c>
    </row>
    <row r="203" spans="1:3" x14ac:dyDescent="0.35">
      <c r="A203">
        <v>17097863500</v>
      </c>
      <c r="B203" t="s">
        <v>730</v>
      </c>
      <c r="C203">
        <v>92</v>
      </c>
    </row>
    <row r="204" spans="1:3" x14ac:dyDescent="0.35">
      <c r="A204">
        <v>17097864308</v>
      </c>
      <c r="B204" t="s">
        <v>731</v>
      </c>
      <c r="C204">
        <v>92</v>
      </c>
    </row>
    <row r="205" spans="1:3" x14ac:dyDescent="0.35">
      <c r="A205">
        <v>17031803800</v>
      </c>
      <c r="B205" t="s">
        <v>732</v>
      </c>
      <c r="C205">
        <v>91</v>
      </c>
    </row>
    <row r="206" spans="1:3" x14ac:dyDescent="0.35">
      <c r="A206">
        <v>17031720300</v>
      </c>
      <c r="B206" t="s">
        <v>733</v>
      </c>
      <c r="C206">
        <v>91</v>
      </c>
    </row>
    <row r="207" spans="1:3" x14ac:dyDescent="0.35">
      <c r="A207">
        <v>18127050203</v>
      </c>
      <c r="B207" t="s">
        <v>734</v>
      </c>
      <c r="C207">
        <v>91</v>
      </c>
    </row>
    <row r="208" spans="1:3" x14ac:dyDescent="0.35">
      <c r="A208">
        <v>17097861603</v>
      </c>
      <c r="B208" t="s">
        <v>735</v>
      </c>
      <c r="C208">
        <v>90</v>
      </c>
    </row>
    <row r="209" spans="1:3" x14ac:dyDescent="0.35">
      <c r="A209">
        <v>17097865400</v>
      </c>
      <c r="B209" t="s">
        <v>736</v>
      </c>
      <c r="C209">
        <v>90</v>
      </c>
    </row>
    <row r="210" spans="1:3" x14ac:dyDescent="0.35">
      <c r="A210">
        <v>17031803604</v>
      </c>
      <c r="B210" t="s">
        <v>737</v>
      </c>
      <c r="C210">
        <v>89</v>
      </c>
    </row>
    <row r="211" spans="1:3" x14ac:dyDescent="0.35">
      <c r="A211">
        <v>17089852903</v>
      </c>
      <c r="B211" t="s">
        <v>738</v>
      </c>
      <c r="C211">
        <v>89</v>
      </c>
    </row>
    <row r="212" spans="1:3" x14ac:dyDescent="0.35">
      <c r="A212">
        <v>18127050800</v>
      </c>
      <c r="B212" t="s">
        <v>739</v>
      </c>
      <c r="C212">
        <v>89</v>
      </c>
    </row>
    <row r="213" spans="1:3" x14ac:dyDescent="0.35">
      <c r="A213">
        <v>17197883606</v>
      </c>
      <c r="B213" t="s">
        <v>740</v>
      </c>
      <c r="C213">
        <v>88</v>
      </c>
    </row>
    <row r="214" spans="1:3" x14ac:dyDescent="0.35">
      <c r="A214">
        <v>17089850400</v>
      </c>
      <c r="B214" t="s">
        <v>741</v>
      </c>
      <c r="C214">
        <v>88</v>
      </c>
    </row>
    <row r="215" spans="1:3" x14ac:dyDescent="0.35">
      <c r="A215">
        <v>17037002200</v>
      </c>
      <c r="B215" t="s">
        <v>742</v>
      </c>
      <c r="C215">
        <v>87</v>
      </c>
    </row>
    <row r="216" spans="1:3" x14ac:dyDescent="0.35">
      <c r="A216">
        <v>17031110100</v>
      </c>
      <c r="B216" t="s">
        <v>743</v>
      </c>
      <c r="C216">
        <v>86</v>
      </c>
    </row>
    <row r="217" spans="1:3" x14ac:dyDescent="0.35">
      <c r="A217">
        <v>17031040201</v>
      </c>
      <c r="B217" t="s">
        <v>744</v>
      </c>
      <c r="C217">
        <v>86</v>
      </c>
    </row>
    <row r="218" spans="1:3" x14ac:dyDescent="0.35">
      <c r="A218">
        <v>17031320600</v>
      </c>
      <c r="B218" t="s">
        <v>745</v>
      </c>
      <c r="C218">
        <v>86</v>
      </c>
    </row>
    <row r="219" spans="1:3" x14ac:dyDescent="0.35">
      <c r="A219">
        <v>17031811701</v>
      </c>
      <c r="B219" t="s">
        <v>746</v>
      </c>
      <c r="C219">
        <v>86</v>
      </c>
    </row>
    <row r="220" spans="1:3" x14ac:dyDescent="0.35">
      <c r="A220">
        <v>55059002500</v>
      </c>
      <c r="B220" t="s">
        <v>747</v>
      </c>
      <c r="C220">
        <v>86</v>
      </c>
    </row>
    <row r="221" spans="1:3" x14ac:dyDescent="0.35">
      <c r="A221">
        <v>18089042300</v>
      </c>
      <c r="B221" t="s">
        <v>748</v>
      </c>
      <c r="C221">
        <v>86</v>
      </c>
    </row>
    <row r="222" spans="1:3" x14ac:dyDescent="0.35">
      <c r="A222">
        <v>17031824117</v>
      </c>
      <c r="B222" t="s">
        <v>749</v>
      </c>
      <c r="C222">
        <v>85</v>
      </c>
    </row>
    <row r="223" spans="1:3" x14ac:dyDescent="0.35">
      <c r="A223">
        <v>17093890400</v>
      </c>
      <c r="B223" t="s">
        <v>750</v>
      </c>
      <c r="C223">
        <v>85</v>
      </c>
    </row>
    <row r="224" spans="1:3" x14ac:dyDescent="0.35">
      <c r="A224">
        <v>17097863202</v>
      </c>
      <c r="B224" t="s">
        <v>751</v>
      </c>
      <c r="C224">
        <v>85</v>
      </c>
    </row>
    <row r="225" spans="1:3" x14ac:dyDescent="0.35">
      <c r="A225">
        <v>17089851801</v>
      </c>
      <c r="B225" t="s">
        <v>752</v>
      </c>
      <c r="C225">
        <v>84</v>
      </c>
    </row>
    <row r="226" spans="1:3" x14ac:dyDescent="0.35">
      <c r="A226">
        <v>17031806202</v>
      </c>
      <c r="B226" t="s">
        <v>753</v>
      </c>
      <c r="C226">
        <v>84</v>
      </c>
    </row>
    <row r="227" spans="1:3" x14ac:dyDescent="0.35">
      <c r="A227">
        <v>17089852601</v>
      </c>
      <c r="B227" t="s">
        <v>754</v>
      </c>
      <c r="C227">
        <v>84</v>
      </c>
    </row>
    <row r="228" spans="1:3" x14ac:dyDescent="0.35">
      <c r="A228">
        <v>17031110502</v>
      </c>
      <c r="B228" t="s">
        <v>755</v>
      </c>
      <c r="C228">
        <v>83</v>
      </c>
    </row>
    <row r="229" spans="1:3" x14ac:dyDescent="0.35">
      <c r="A229">
        <v>17031824400</v>
      </c>
      <c r="B229" t="s">
        <v>756</v>
      </c>
      <c r="C229">
        <v>83</v>
      </c>
    </row>
    <row r="230" spans="1:3" x14ac:dyDescent="0.35">
      <c r="A230">
        <v>17031828801</v>
      </c>
      <c r="B230" t="s">
        <v>757</v>
      </c>
      <c r="C230">
        <v>83</v>
      </c>
    </row>
    <row r="231" spans="1:3" x14ac:dyDescent="0.35">
      <c r="A231">
        <v>17031804102</v>
      </c>
      <c r="B231" t="s">
        <v>758</v>
      </c>
      <c r="C231">
        <v>83</v>
      </c>
    </row>
    <row r="232" spans="1:3" x14ac:dyDescent="0.35">
      <c r="A232">
        <v>17197883517</v>
      </c>
      <c r="B232" t="s">
        <v>759</v>
      </c>
      <c r="C232">
        <v>83</v>
      </c>
    </row>
    <row r="233" spans="1:3" x14ac:dyDescent="0.35">
      <c r="A233">
        <v>17031171100</v>
      </c>
      <c r="B233" t="s">
        <v>760</v>
      </c>
      <c r="C233">
        <v>82</v>
      </c>
    </row>
    <row r="234" spans="1:3" x14ac:dyDescent="0.35">
      <c r="A234">
        <v>17031824006</v>
      </c>
      <c r="B234" t="s">
        <v>761</v>
      </c>
      <c r="C234">
        <v>82</v>
      </c>
    </row>
    <row r="235" spans="1:3" x14ac:dyDescent="0.35">
      <c r="A235">
        <v>17031807700</v>
      </c>
      <c r="B235" t="s">
        <v>762</v>
      </c>
      <c r="C235">
        <v>82</v>
      </c>
    </row>
    <row r="236" spans="1:3" x14ac:dyDescent="0.35">
      <c r="A236">
        <v>17031805111</v>
      </c>
      <c r="B236" t="s">
        <v>763</v>
      </c>
      <c r="C236">
        <v>81</v>
      </c>
    </row>
    <row r="237" spans="1:3" x14ac:dyDescent="0.35">
      <c r="A237">
        <v>17031210400</v>
      </c>
      <c r="B237" t="s">
        <v>764</v>
      </c>
      <c r="C237">
        <v>81</v>
      </c>
    </row>
    <row r="238" spans="1:3" x14ac:dyDescent="0.35">
      <c r="A238">
        <v>17031827500</v>
      </c>
      <c r="B238" t="s">
        <v>765</v>
      </c>
      <c r="C238">
        <v>81</v>
      </c>
    </row>
    <row r="239" spans="1:3" x14ac:dyDescent="0.35">
      <c r="A239">
        <v>17031803608</v>
      </c>
      <c r="B239" t="s">
        <v>766</v>
      </c>
      <c r="C239">
        <v>81</v>
      </c>
    </row>
    <row r="240" spans="1:3" x14ac:dyDescent="0.35">
      <c r="A240">
        <v>17197883504</v>
      </c>
      <c r="B240" t="s">
        <v>767</v>
      </c>
      <c r="C240">
        <v>80</v>
      </c>
    </row>
    <row r="241" spans="1:3" x14ac:dyDescent="0.35">
      <c r="A241">
        <v>17031804106</v>
      </c>
      <c r="B241" t="s">
        <v>768</v>
      </c>
      <c r="C241">
        <v>80</v>
      </c>
    </row>
    <row r="242" spans="1:3" x14ac:dyDescent="0.35">
      <c r="A242">
        <v>17097861504</v>
      </c>
      <c r="B242" t="s">
        <v>769</v>
      </c>
      <c r="C242">
        <v>80</v>
      </c>
    </row>
    <row r="243" spans="1:3" x14ac:dyDescent="0.35">
      <c r="A243">
        <v>17031820103</v>
      </c>
      <c r="B243" t="s">
        <v>770</v>
      </c>
      <c r="C243">
        <v>80</v>
      </c>
    </row>
    <row r="244" spans="1:3" x14ac:dyDescent="0.35">
      <c r="A244">
        <v>17097864106</v>
      </c>
      <c r="B244" t="s">
        <v>771</v>
      </c>
      <c r="C244">
        <v>80</v>
      </c>
    </row>
    <row r="245" spans="1:3" x14ac:dyDescent="0.35">
      <c r="A245">
        <v>17031100300</v>
      </c>
      <c r="B245" t="s">
        <v>772</v>
      </c>
      <c r="C245">
        <v>79</v>
      </c>
    </row>
    <row r="246" spans="1:3" x14ac:dyDescent="0.35">
      <c r="A246">
        <v>17031803610</v>
      </c>
      <c r="B246" t="s">
        <v>773</v>
      </c>
      <c r="C246">
        <v>79</v>
      </c>
    </row>
    <row r="247" spans="1:3" x14ac:dyDescent="0.35">
      <c r="A247">
        <v>17031806501</v>
      </c>
      <c r="B247" t="s">
        <v>774</v>
      </c>
      <c r="C247">
        <v>79</v>
      </c>
    </row>
    <row r="248" spans="1:3" x14ac:dyDescent="0.35">
      <c r="A248">
        <v>17031820400</v>
      </c>
      <c r="B248" t="s">
        <v>775</v>
      </c>
      <c r="C248">
        <v>79</v>
      </c>
    </row>
    <row r="249" spans="1:3" x14ac:dyDescent="0.35">
      <c r="A249">
        <v>17089851909</v>
      </c>
      <c r="B249" t="s">
        <v>776</v>
      </c>
      <c r="C249">
        <v>78</v>
      </c>
    </row>
    <row r="250" spans="1:3" x14ac:dyDescent="0.35">
      <c r="A250">
        <v>17031410800</v>
      </c>
      <c r="B250" t="s">
        <v>777</v>
      </c>
      <c r="C250">
        <v>78</v>
      </c>
    </row>
    <row r="251" spans="1:3" x14ac:dyDescent="0.35">
      <c r="A251">
        <v>17031806600</v>
      </c>
      <c r="B251" t="s">
        <v>778</v>
      </c>
      <c r="C251">
        <v>78</v>
      </c>
    </row>
    <row r="252" spans="1:3" x14ac:dyDescent="0.35">
      <c r="A252">
        <v>17031830004</v>
      </c>
      <c r="B252" t="s">
        <v>779</v>
      </c>
      <c r="C252">
        <v>78</v>
      </c>
    </row>
    <row r="253" spans="1:3" x14ac:dyDescent="0.35">
      <c r="A253">
        <v>17031808002</v>
      </c>
      <c r="B253" t="s">
        <v>780</v>
      </c>
      <c r="C253">
        <v>78</v>
      </c>
    </row>
    <row r="254" spans="1:3" x14ac:dyDescent="0.35">
      <c r="A254">
        <v>17031824602</v>
      </c>
      <c r="B254" t="s">
        <v>781</v>
      </c>
      <c r="C254">
        <v>77</v>
      </c>
    </row>
    <row r="255" spans="1:3" x14ac:dyDescent="0.35">
      <c r="A255">
        <v>17043841312</v>
      </c>
      <c r="B255" t="s">
        <v>782</v>
      </c>
      <c r="C255">
        <v>77</v>
      </c>
    </row>
    <row r="256" spans="1:3" x14ac:dyDescent="0.35">
      <c r="A256">
        <v>17031071100</v>
      </c>
      <c r="B256" t="s">
        <v>783</v>
      </c>
      <c r="C256">
        <v>77</v>
      </c>
    </row>
    <row r="257" spans="1:3" x14ac:dyDescent="0.35">
      <c r="A257">
        <v>17031801603</v>
      </c>
      <c r="B257" t="s">
        <v>784</v>
      </c>
      <c r="C257">
        <v>77</v>
      </c>
    </row>
    <row r="258" spans="1:3" x14ac:dyDescent="0.35">
      <c r="A258">
        <v>17031820202</v>
      </c>
      <c r="B258" t="s">
        <v>785</v>
      </c>
      <c r="C258">
        <v>76</v>
      </c>
    </row>
    <row r="259" spans="1:3" x14ac:dyDescent="0.35">
      <c r="A259">
        <v>17043846304</v>
      </c>
      <c r="B259" t="s">
        <v>786</v>
      </c>
      <c r="C259">
        <v>75</v>
      </c>
    </row>
    <row r="260" spans="1:3" x14ac:dyDescent="0.35">
      <c r="A260">
        <v>17043844901</v>
      </c>
      <c r="B260" t="s">
        <v>787</v>
      </c>
      <c r="C260">
        <v>75</v>
      </c>
    </row>
    <row r="261" spans="1:3" x14ac:dyDescent="0.35">
      <c r="A261">
        <v>17031828401</v>
      </c>
      <c r="B261" t="s">
        <v>788</v>
      </c>
      <c r="C261">
        <v>75</v>
      </c>
    </row>
    <row r="262" spans="1:3" x14ac:dyDescent="0.35">
      <c r="A262">
        <v>17031802402</v>
      </c>
      <c r="B262" t="s">
        <v>789</v>
      </c>
      <c r="C262">
        <v>75</v>
      </c>
    </row>
    <row r="263" spans="1:3" x14ac:dyDescent="0.35">
      <c r="A263">
        <v>17043840802</v>
      </c>
      <c r="B263" t="s">
        <v>790</v>
      </c>
      <c r="C263">
        <v>74</v>
      </c>
    </row>
    <row r="264" spans="1:3" x14ac:dyDescent="0.35">
      <c r="A264">
        <v>17031060200</v>
      </c>
      <c r="B264" t="s">
        <v>791</v>
      </c>
      <c r="C264">
        <v>74</v>
      </c>
    </row>
    <row r="265" spans="1:3" x14ac:dyDescent="0.35">
      <c r="A265">
        <v>17089854700</v>
      </c>
      <c r="B265" t="s">
        <v>792</v>
      </c>
      <c r="C265">
        <v>74</v>
      </c>
    </row>
    <row r="266" spans="1:3" x14ac:dyDescent="0.35">
      <c r="A266">
        <v>17031803010</v>
      </c>
      <c r="B266" t="s">
        <v>793</v>
      </c>
      <c r="C266">
        <v>74</v>
      </c>
    </row>
    <row r="267" spans="1:3" x14ac:dyDescent="0.35">
      <c r="A267">
        <v>17031824503</v>
      </c>
      <c r="B267" t="s">
        <v>794</v>
      </c>
      <c r="C267">
        <v>74</v>
      </c>
    </row>
    <row r="268" spans="1:3" x14ac:dyDescent="0.35">
      <c r="A268">
        <v>17097861507</v>
      </c>
      <c r="B268" t="s">
        <v>795</v>
      </c>
      <c r="C268">
        <v>74</v>
      </c>
    </row>
    <row r="269" spans="1:3" x14ac:dyDescent="0.35">
      <c r="A269">
        <v>17031823702</v>
      </c>
      <c r="B269" t="s">
        <v>796</v>
      </c>
      <c r="C269">
        <v>73</v>
      </c>
    </row>
    <row r="270" spans="1:3" x14ac:dyDescent="0.35">
      <c r="A270">
        <v>17031150200</v>
      </c>
      <c r="B270" t="s">
        <v>797</v>
      </c>
      <c r="C270">
        <v>73</v>
      </c>
    </row>
    <row r="271" spans="1:3" x14ac:dyDescent="0.35">
      <c r="A271">
        <v>17111871301</v>
      </c>
      <c r="B271" t="s">
        <v>798</v>
      </c>
      <c r="C271">
        <v>73</v>
      </c>
    </row>
    <row r="272" spans="1:3" x14ac:dyDescent="0.35">
      <c r="A272">
        <v>17031120300</v>
      </c>
      <c r="B272" t="s">
        <v>799</v>
      </c>
      <c r="C272">
        <v>73</v>
      </c>
    </row>
    <row r="273" spans="1:3" x14ac:dyDescent="0.35">
      <c r="A273">
        <v>17031823605</v>
      </c>
      <c r="B273" t="s">
        <v>800</v>
      </c>
      <c r="C273">
        <v>72</v>
      </c>
    </row>
    <row r="274" spans="1:3" x14ac:dyDescent="0.35">
      <c r="A274">
        <v>17197883211</v>
      </c>
      <c r="B274" t="s">
        <v>801</v>
      </c>
      <c r="C274">
        <v>72</v>
      </c>
    </row>
    <row r="275" spans="1:3" x14ac:dyDescent="0.35">
      <c r="A275">
        <v>17031824005</v>
      </c>
      <c r="B275" t="s">
        <v>802</v>
      </c>
      <c r="C275">
        <v>72</v>
      </c>
    </row>
    <row r="276" spans="1:3" x14ac:dyDescent="0.35">
      <c r="A276">
        <v>17089850701</v>
      </c>
      <c r="B276" t="s">
        <v>803</v>
      </c>
      <c r="C276">
        <v>72</v>
      </c>
    </row>
    <row r="277" spans="1:3" x14ac:dyDescent="0.35">
      <c r="A277">
        <v>17031031100</v>
      </c>
      <c r="B277" t="s">
        <v>804</v>
      </c>
      <c r="C277">
        <v>72</v>
      </c>
    </row>
    <row r="278" spans="1:3" x14ac:dyDescent="0.35">
      <c r="A278">
        <v>17097863801</v>
      </c>
      <c r="B278" t="s">
        <v>805</v>
      </c>
      <c r="C278">
        <v>72</v>
      </c>
    </row>
    <row r="279" spans="1:3" x14ac:dyDescent="0.35">
      <c r="A279">
        <v>17031100100</v>
      </c>
      <c r="B279" t="s">
        <v>806</v>
      </c>
      <c r="C279">
        <v>71</v>
      </c>
    </row>
    <row r="280" spans="1:3" x14ac:dyDescent="0.35">
      <c r="A280">
        <v>17031650500</v>
      </c>
      <c r="B280" t="s">
        <v>807</v>
      </c>
      <c r="C280">
        <v>71</v>
      </c>
    </row>
    <row r="281" spans="1:3" x14ac:dyDescent="0.35">
      <c r="A281">
        <v>17031811600</v>
      </c>
      <c r="B281" t="s">
        <v>808</v>
      </c>
      <c r="C281">
        <v>71</v>
      </c>
    </row>
    <row r="282" spans="1:3" x14ac:dyDescent="0.35">
      <c r="A282">
        <v>17197880404</v>
      </c>
      <c r="B282" t="s">
        <v>809</v>
      </c>
      <c r="C282">
        <v>71</v>
      </c>
    </row>
    <row r="283" spans="1:3" x14ac:dyDescent="0.35">
      <c r="A283">
        <v>17043841802</v>
      </c>
      <c r="B283" t="s">
        <v>810</v>
      </c>
      <c r="C283">
        <v>71</v>
      </c>
    </row>
    <row r="284" spans="1:3" x14ac:dyDescent="0.35">
      <c r="A284">
        <v>17043842703</v>
      </c>
      <c r="B284" t="s">
        <v>811</v>
      </c>
      <c r="C284">
        <v>71</v>
      </c>
    </row>
    <row r="285" spans="1:3" x14ac:dyDescent="0.35">
      <c r="A285">
        <v>17111870101</v>
      </c>
      <c r="B285" t="s">
        <v>812</v>
      </c>
      <c r="C285">
        <v>71</v>
      </c>
    </row>
    <row r="286" spans="1:3" x14ac:dyDescent="0.35">
      <c r="A286">
        <v>55059001300</v>
      </c>
      <c r="B286" t="s">
        <v>813</v>
      </c>
      <c r="C286">
        <v>70</v>
      </c>
    </row>
    <row r="287" spans="1:3" x14ac:dyDescent="0.35">
      <c r="A287">
        <v>17111870808</v>
      </c>
      <c r="B287" t="s">
        <v>814</v>
      </c>
      <c r="C287">
        <v>70</v>
      </c>
    </row>
    <row r="288" spans="1:3" x14ac:dyDescent="0.35">
      <c r="A288">
        <v>17197883602</v>
      </c>
      <c r="B288" t="s">
        <v>815</v>
      </c>
      <c r="C288">
        <v>70</v>
      </c>
    </row>
    <row r="289" spans="1:3" x14ac:dyDescent="0.35">
      <c r="A289">
        <v>17031090200</v>
      </c>
      <c r="B289" t="s">
        <v>816</v>
      </c>
      <c r="C289">
        <v>70</v>
      </c>
    </row>
    <row r="290" spans="1:3" x14ac:dyDescent="0.35">
      <c r="A290">
        <v>17043846104</v>
      </c>
      <c r="B290" t="s">
        <v>817</v>
      </c>
      <c r="C290">
        <v>70</v>
      </c>
    </row>
    <row r="291" spans="1:3" x14ac:dyDescent="0.35">
      <c r="A291">
        <v>17097863702</v>
      </c>
      <c r="B291" t="s">
        <v>818</v>
      </c>
      <c r="C291">
        <v>70</v>
      </c>
    </row>
    <row r="292" spans="1:3" x14ac:dyDescent="0.35">
      <c r="A292">
        <v>17031819500</v>
      </c>
      <c r="B292" t="s">
        <v>819</v>
      </c>
      <c r="C292">
        <v>69</v>
      </c>
    </row>
    <row r="293" spans="1:3" x14ac:dyDescent="0.35">
      <c r="A293">
        <v>17031081402</v>
      </c>
      <c r="B293" t="s">
        <v>820</v>
      </c>
      <c r="C293">
        <v>69</v>
      </c>
    </row>
    <row r="294" spans="1:3" x14ac:dyDescent="0.35">
      <c r="A294">
        <v>17111870902</v>
      </c>
      <c r="B294" t="s">
        <v>821</v>
      </c>
      <c r="C294">
        <v>69</v>
      </c>
    </row>
    <row r="295" spans="1:3" x14ac:dyDescent="0.35">
      <c r="A295">
        <v>17037000800</v>
      </c>
      <c r="B295" t="s">
        <v>822</v>
      </c>
      <c r="C295">
        <v>69</v>
      </c>
    </row>
    <row r="296" spans="1:3" x14ac:dyDescent="0.35">
      <c r="A296">
        <v>17031823803</v>
      </c>
      <c r="B296" t="s">
        <v>823</v>
      </c>
      <c r="C296">
        <v>69</v>
      </c>
    </row>
    <row r="297" spans="1:3" x14ac:dyDescent="0.35">
      <c r="A297">
        <v>17097860810</v>
      </c>
      <c r="B297" t="s">
        <v>824</v>
      </c>
      <c r="C297">
        <v>69</v>
      </c>
    </row>
    <row r="298" spans="1:3" x14ac:dyDescent="0.35">
      <c r="A298">
        <v>17031802504</v>
      </c>
      <c r="B298" t="s">
        <v>825</v>
      </c>
      <c r="C298">
        <v>68</v>
      </c>
    </row>
    <row r="299" spans="1:3" x14ac:dyDescent="0.35">
      <c r="A299">
        <v>17097864520</v>
      </c>
      <c r="B299" t="s">
        <v>826</v>
      </c>
      <c r="C299">
        <v>68</v>
      </c>
    </row>
    <row r="300" spans="1:3" x14ac:dyDescent="0.35">
      <c r="A300">
        <v>17031839900</v>
      </c>
      <c r="B300" t="s">
        <v>827</v>
      </c>
      <c r="C300">
        <v>68</v>
      </c>
    </row>
    <row r="301" spans="1:3" x14ac:dyDescent="0.35">
      <c r="A301">
        <v>17097865801</v>
      </c>
      <c r="B301" t="s">
        <v>828</v>
      </c>
      <c r="C301">
        <v>68</v>
      </c>
    </row>
    <row r="302" spans="1:3" x14ac:dyDescent="0.35">
      <c r="A302">
        <v>17089852907</v>
      </c>
      <c r="B302" t="s">
        <v>829</v>
      </c>
      <c r="C302">
        <v>68</v>
      </c>
    </row>
    <row r="303" spans="1:3" x14ac:dyDescent="0.35">
      <c r="A303">
        <v>17031831400</v>
      </c>
      <c r="B303" t="s">
        <v>830</v>
      </c>
      <c r="C303">
        <v>67</v>
      </c>
    </row>
    <row r="304" spans="1:3" x14ac:dyDescent="0.35">
      <c r="A304">
        <v>17097863902</v>
      </c>
      <c r="B304" t="s">
        <v>831</v>
      </c>
      <c r="C304">
        <v>67</v>
      </c>
    </row>
    <row r="305" spans="1:3" x14ac:dyDescent="0.35">
      <c r="A305">
        <v>17097864403</v>
      </c>
      <c r="B305" t="s">
        <v>832</v>
      </c>
      <c r="C305">
        <v>67</v>
      </c>
    </row>
    <row r="306" spans="1:3" x14ac:dyDescent="0.35">
      <c r="A306">
        <v>17031800500</v>
      </c>
      <c r="B306" t="s">
        <v>833</v>
      </c>
      <c r="C306">
        <v>67</v>
      </c>
    </row>
    <row r="307" spans="1:3" x14ac:dyDescent="0.35">
      <c r="A307">
        <v>17031310600</v>
      </c>
      <c r="B307" t="s">
        <v>834</v>
      </c>
      <c r="C307">
        <v>67</v>
      </c>
    </row>
    <row r="308" spans="1:3" x14ac:dyDescent="0.35">
      <c r="A308">
        <v>17031806102</v>
      </c>
      <c r="B308" t="s">
        <v>835</v>
      </c>
      <c r="C308">
        <v>66</v>
      </c>
    </row>
    <row r="309" spans="1:3" x14ac:dyDescent="0.35">
      <c r="A309">
        <v>17031828601</v>
      </c>
      <c r="B309" t="s">
        <v>836</v>
      </c>
      <c r="C309">
        <v>66</v>
      </c>
    </row>
    <row r="310" spans="1:3" x14ac:dyDescent="0.35">
      <c r="A310">
        <v>17043841308</v>
      </c>
      <c r="B310" t="s">
        <v>837</v>
      </c>
      <c r="C310">
        <v>66</v>
      </c>
    </row>
    <row r="311" spans="1:3" x14ac:dyDescent="0.35">
      <c r="A311">
        <v>17043842200</v>
      </c>
      <c r="B311" t="s">
        <v>838</v>
      </c>
      <c r="C311">
        <v>66</v>
      </c>
    </row>
    <row r="312" spans="1:3" x14ac:dyDescent="0.35">
      <c r="A312">
        <v>17197884103</v>
      </c>
      <c r="B312" t="s">
        <v>839</v>
      </c>
      <c r="C312">
        <v>66</v>
      </c>
    </row>
    <row r="313" spans="1:3" x14ac:dyDescent="0.35">
      <c r="A313">
        <v>17031811200</v>
      </c>
      <c r="B313" t="s">
        <v>840</v>
      </c>
      <c r="C313">
        <v>65</v>
      </c>
    </row>
    <row r="314" spans="1:3" x14ac:dyDescent="0.35">
      <c r="A314">
        <v>17031824115</v>
      </c>
      <c r="B314" t="s">
        <v>841</v>
      </c>
      <c r="C314">
        <v>65</v>
      </c>
    </row>
    <row r="315" spans="1:3" x14ac:dyDescent="0.35">
      <c r="A315">
        <v>17031803007</v>
      </c>
      <c r="B315" t="s">
        <v>842</v>
      </c>
      <c r="C315">
        <v>65</v>
      </c>
    </row>
    <row r="316" spans="1:3" x14ac:dyDescent="0.35">
      <c r="A316">
        <v>17043841104</v>
      </c>
      <c r="B316" t="s">
        <v>843</v>
      </c>
      <c r="C316">
        <v>65</v>
      </c>
    </row>
    <row r="317" spans="1:3" x14ac:dyDescent="0.35">
      <c r="A317">
        <v>17031210100</v>
      </c>
      <c r="B317" t="s">
        <v>844</v>
      </c>
      <c r="C317">
        <v>65</v>
      </c>
    </row>
    <row r="318" spans="1:3" x14ac:dyDescent="0.35">
      <c r="A318">
        <v>17031170100</v>
      </c>
      <c r="B318" t="s">
        <v>845</v>
      </c>
      <c r="C318">
        <v>65</v>
      </c>
    </row>
    <row r="319" spans="1:3" x14ac:dyDescent="0.35">
      <c r="A319">
        <v>17197880313</v>
      </c>
      <c r="B319" t="s">
        <v>846</v>
      </c>
      <c r="C319">
        <v>65</v>
      </c>
    </row>
    <row r="320" spans="1:3" x14ac:dyDescent="0.35">
      <c r="A320">
        <v>17089854504</v>
      </c>
      <c r="B320" t="s">
        <v>847</v>
      </c>
      <c r="C320">
        <v>65</v>
      </c>
    </row>
    <row r="321" spans="1:3" x14ac:dyDescent="0.35">
      <c r="A321">
        <v>17043842710</v>
      </c>
      <c r="B321" t="s">
        <v>848</v>
      </c>
      <c r="C321">
        <v>64</v>
      </c>
    </row>
    <row r="322" spans="1:3" x14ac:dyDescent="0.35">
      <c r="A322">
        <v>17031221600</v>
      </c>
      <c r="B322" t="s">
        <v>849</v>
      </c>
      <c r="C322">
        <v>64</v>
      </c>
    </row>
    <row r="323" spans="1:3" x14ac:dyDescent="0.35">
      <c r="A323">
        <v>17197880308</v>
      </c>
      <c r="B323" t="s">
        <v>850</v>
      </c>
      <c r="C323">
        <v>64</v>
      </c>
    </row>
    <row r="324" spans="1:3" x14ac:dyDescent="0.35">
      <c r="A324">
        <v>17031812500</v>
      </c>
      <c r="B324" t="s">
        <v>851</v>
      </c>
      <c r="C324">
        <v>64</v>
      </c>
    </row>
    <row r="325" spans="1:3" x14ac:dyDescent="0.35">
      <c r="A325">
        <v>17197882000</v>
      </c>
      <c r="B325" t="s">
        <v>852</v>
      </c>
      <c r="C325">
        <v>64</v>
      </c>
    </row>
    <row r="326" spans="1:3" x14ac:dyDescent="0.35">
      <c r="A326">
        <v>17031824116</v>
      </c>
      <c r="B326" t="s">
        <v>853</v>
      </c>
      <c r="C326">
        <v>64</v>
      </c>
    </row>
    <row r="327" spans="1:3" x14ac:dyDescent="0.35">
      <c r="A327">
        <v>17031833300</v>
      </c>
      <c r="B327" t="s">
        <v>854</v>
      </c>
      <c r="C327">
        <v>63</v>
      </c>
    </row>
    <row r="328" spans="1:3" x14ac:dyDescent="0.35">
      <c r="A328">
        <v>17031820800</v>
      </c>
      <c r="B328" t="s">
        <v>855</v>
      </c>
      <c r="C328">
        <v>63</v>
      </c>
    </row>
    <row r="329" spans="1:3" x14ac:dyDescent="0.35">
      <c r="A329">
        <v>17043846604</v>
      </c>
      <c r="B329" t="s">
        <v>856</v>
      </c>
      <c r="C329">
        <v>63</v>
      </c>
    </row>
    <row r="330" spans="1:3" x14ac:dyDescent="0.35">
      <c r="A330">
        <v>17089850103</v>
      </c>
      <c r="B330" t="s">
        <v>857</v>
      </c>
      <c r="C330">
        <v>63</v>
      </c>
    </row>
    <row r="331" spans="1:3" x14ac:dyDescent="0.35">
      <c r="A331">
        <v>17031804311</v>
      </c>
      <c r="B331" t="s">
        <v>858</v>
      </c>
      <c r="C331">
        <v>63</v>
      </c>
    </row>
    <row r="332" spans="1:3" x14ac:dyDescent="0.35">
      <c r="A332">
        <v>17097864700</v>
      </c>
      <c r="B332" t="s">
        <v>859</v>
      </c>
      <c r="C332">
        <v>63</v>
      </c>
    </row>
    <row r="333" spans="1:3" x14ac:dyDescent="0.35">
      <c r="A333">
        <v>17043841706</v>
      </c>
      <c r="B333" t="s">
        <v>860</v>
      </c>
      <c r="C333">
        <v>63</v>
      </c>
    </row>
    <row r="334" spans="1:3" x14ac:dyDescent="0.35">
      <c r="A334">
        <v>17031802100</v>
      </c>
      <c r="B334" t="s">
        <v>861</v>
      </c>
      <c r="C334">
        <v>63</v>
      </c>
    </row>
    <row r="335" spans="1:3" x14ac:dyDescent="0.35">
      <c r="A335">
        <v>17097864001</v>
      </c>
      <c r="B335" t="s">
        <v>862</v>
      </c>
      <c r="C335">
        <v>62</v>
      </c>
    </row>
    <row r="336" spans="1:3" x14ac:dyDescent="0.35">
      <c r="A336">
        <v>17031805502</v>
      </c>
      <c r="B336" t="s">
        <v>863</v>
      </c>
      <c r="C336">
        <v>62</v>
      </c>
    </row>
    <row r="337" spans="1:3" x14ac:dyDescent="0.35">
      <c r="A337">
        <v>17031830005</v>
      </c>
      <c r="B337" t="s">
        <v>864</v>
      </c>
      <c r="C337">
        <v>61</v>
      </c>
    </row>
    <row r="338" spans="1:3" x14ac:dyDescent="0.35">
      <c r="A338">
        <v>17043841325</v>
      </c>
      <c r="B338" t="s">
        <v>865</v>
      </c>
      <c r="C338">
        <v>61</v>
      </c>
    </row>
    <row r="339" spans="1:3" x14ac:dyDescent="0.35">
      <c r="A339">
        <v>17031818000</v>
      </c>
      <c r="B339" t="s">
        <v>866</v>
      </c>
      <c r="C339">
        <v>60</v>
      </c>
    </row>
    <row r="340" spans="1:3" x14ac:dyDescent="0.35">
      <c r="A340">
        <v>17031818300</v>
      </c>
      <c r="B340" t="s">
        <v>867</v>
      </c>
      <c r="C340">
        <v>60</v>
      </c>
    </row>
    <row r="341" spans="1:3" x14ac:dyDescent="0.35">
      <c r="A341">
        <v>17043841902</v>
      </c>
      <c r="B341" t="s">
        <v>868</v>
      </c>
      <c r="C341">
        <v>60</v>
      </c>
    </row>
    <row r="342" spans="1:3" x14ac:dyDescent="0.35">
      <c r="A342">
        <v>17031811900</v>
      </c>
      <c r="B342" t="s">
        <v>869</v>
      </c>
      <c r="C342">
        <v>59</v>
      </c>
    </row>
    <row r="343" spans="1:3" x14ac:dyDescent="0.35">
      <c r="A343">
        <v>17043845703</v>
      </c>
      <c r="B343" t="s">
        <v>870</v>
      </c>
      <c r="C343">
        <v>59</v>
      </c>
    </row>
    <row r="344" spans="1:3" x14ac:dyDescent="0.35">
      <c r="A344">
        <v>17089851101</v>
      </c>
      <c r="B344" t="s">
        <v>871</v>
      </c>
      <c r="C344">
        <v>59</v>
      </c>
    </row>
    <row r="345" spans="1:3" x14ac:dyDescent="0.35">
      <c r="A345">
        <v>17031250500</v>
      </c>
      <c r="B345" t="s">
        <v>872</v>
      </c>
      <c r="C345">
        <v>59</v>
      </c>
    </row>
    <row r="346" spans="1:3" x14ac:dyDescent="0.35">
      <c r="A346">
        <v>17031827801</v>
      </c>
      <c r="B346" t="s">
        <v>873</v>
      </c>
      <c r="C346">
        <v>59</v>
      </c>
    </row>
    <row r="347" spans="1:3" x14ac:dyDescent="0.35">
      <c r="A347">
        <v>17031805501</v>
      </c>
      <c r="B347" t="s">
        <v>874</v>
      </c>
      <c r="C347">
        <v>59</v>
      </c>
    </row>
    <row r="348" spans="1:3" x14ac:dyDescent="0.35">
      <c r="A348">
        <v>17197881108</v>
      </c>
      <c r="B348" t="s">
        <v>875</v>
      </c>
      <c r="C348">
        <v>59</v>
      </c>
    </row>
    <row r="349" spans="1:3" x14ac:dyDescent="0.35">
      <c r="A349">
        <v>17031818401</v>
      </c>
      <c r="B349" t="s">
        <v>876</v>
      </c>
      <c r="C349">
        <v>59</v>
      </c>
    </row>
    <row r="350" spans="1:3" x14ac:dyDescent="0.35">
      <c r="A350">
        <v>17043846105</v>
      </c>
      <c r="B350" t="s">
        <v>877</v>
      </c>
      <c r="C350">
        <v>59</v>
      </c>
    </row>
    <row r="351" spans="1:3" x14ac:dyDescent="0.35">
      <c r="A351">
        <v>17031241500</v>
      </c>
      <c r="B351" t="s">
        <v>878</v>
      </c>
      <c r="C351">
        <v>59</v>
      </c>
    </row>
    <row r="352" spans="1:3" x14ac:dyDescent="0.35">
      <c r="A352">
        <v>17031801300</v>
      </c>
      <c r="B352" t="s">
        <v>879</v>
      </c>
      <c r="C352">
        <v>59</v>
      </c>
    </row>
    <row r="353" spans="1:3" x14ac:dyDescent="0.35">
      <c r="A353">
        <v>17031843300</v>
      </c>
      <c r="B353" t="s">
        <v>880</v>
      </c>
      <c r="C353">
        <v>58</v>
      </c>
    </row>
    <row r="354" spans="1:3" x14ac:dyDescent="0.35">
      <c r="A354">
        <v>17089852700</v>
      </c>
      <c r="B354" t="s">
        <v>881</v>
      </c>
      <c r="C354">
        <v>58</v>
      </c>
    </row>
    <row r="355" spans="1:3" x14ac:dyDescent="0.35">
      <c r="A355">
        <v>17031243200</v>
      </c>
      <c r="B355" t="s">
        <v>882</v>
      </c>
      <c r="C355">
        <v>58</v>
      </c>
    </row>
    <row r="356" spans="1:3" x14ac:dyDescent="0.35">
      <c r="A356">
        <v>17031806801</v>
      </c>
      <c r="B356" t="s">
        <v>883</v>
      </c>
      <c r="C356">
        <v>58</v>
      </c>
    </row>
    <row r="357" spans="1:3" x14ac:dyDescent="0.35">
      <c r="A357">
        <v>17031050500</v>
      </c>
      <c r="B357" t="s">
        <v>884</v>
      </c>
      <c r="C357">
        <v>58</v>
      </c>
    </row>
    <row r="358" spans="1:3" x14ac:dyDescent="0.35">
      <c r="A358">
        <v>17031830700</v>
      </c>
      <c r="B358" t="s">
        <v>885</v>
      </c>
      <c r="C358">
        <v>57</v>
      </c>
    </row>
    <row r="359" spans="1:3" x14ac:dyDescent="0.35">
      <c r="A359">
        <v>17043844902</v>
      </c>
      <c r="B359" t="s">
        <v>886</v>
      </c>
      <c r="C359">
        <v>57</v>
      </c>
    </row>
    <row r="360" spans="1:3" x14ac:dyDescent="0.35">
      <c r="A360">
        <v>17197883522</v>
      </c>
      <c r="B360" t="s">
        <v>887</v>
      </c>
      <c r="C360">
        <v>57</v>
      </c>
    </row>
    <row r="361" spans="1:3" x14ac:dyDescent="0.35">
      <c r="A361">
        <v>17031980100</v>
      </c>
      <c r="B361" t="s">
        <v>888</v>
      </c>
      <c r="C361">
        <v>57</v>
      </c>
    </row>
    <row r="362" spans="1:3" x14ac:dyDescent="0.35">
      <c r="A362">
        <v>17089851908</v>
      </c>
      <c r="B362" t="s">
        <v>889</v>
      </c>
      <c r="C362">
        <v>57</v>
      </c>
    </row>
    <row r="363" spans="1:3" x14ac:dyDescent="0.35">
      <c r="A363">
        <v>17097864307</v>
      </c>
      <c r="B363" t="s">
        <v>890</v>
      </c>
      <c r="C363">
        <v>57</v>
      </c>
    </row>
    <row r="364" spans="1:3" x14ac:dyDescent="0.35">
      <c r="A364">
        <v>17031271200</v>
      </c>
      <c r="B364" t="s">
        <v>891</v>
      </c>
      <c r="C364">
        <v>57</v>
      </c>
    </row>
    <row r="365" spans="1:3" x14ac:dyDescent="0.35">
      <c r="A365">
        <v>17031130300</v>
      </c>
      <c r="B365" t="s">
        <v>892</v>
      </c>
      <c r="C365">
        <v>57</v>
      </c>
    </row>
    <row r="366" spans="1:3" x14ac:dyDescent="0.35">
      <c r="A366">
        <v>17043841204</v>
      </c>
      <c r="B366" t="s">
        <v>893</v>
      </c>
      <c r="C366">
        <v>56</v>
      </c>
    </row>
    <row r="367" spans="1:3" x14ac:dyDescent="0.35">
      <c r="A367">
        <v>17197883516</v>
      </c>
      <c r="B367" t="s">
        <v>894</v>
      </c>
      <c r="C367">
        <v>56</v>
      </c>
    </row>
    <row r="368" spans="1:3" x14ac:dyDescent="0.35">
      <c r="A368">
        <v>17037001300</v>
      </c>
      <c r="B368" t="s">
        <v>895</v>
      </c>
      <c r="C368">
        <v>56</v>
      </c>
    </row>
    <row r="369" spans="1:3" x14ac:dyDescent="0.35">
      <c r="A369">
        <v>17043846410</v>
      </c>
      <c r="B369" t="s">
        <v>896</v>
      </c>
      <c r="C369">
        <v>56</v>
      </c>
    </row>
    <row r="370" spans="1:3" x14ac:dyDescent="0.35">
      <c r="A370">
        <v>17031806004</v>
      </c>
      <c r="B370" t="s">
        <v>897</v>
      </c>
      <c r="C370">
        <v>56</v>
      </c>
    </row>
    <row r="371" spans="1:3" x14ac:dyDescent="0.35">
      <c r="A371">
        <v>17089853200</v>
      </c>
      <c r="B371" t="s">
        <v>898</v>
      </c>
      <c r="C371">
        <v>56</v>
      </c>
    </row>
    <row r="372" spans="1:3" x14ac:dyDescent="0.35">
      <c r="A372">
        <v>18089041002</v>
      </c>
      <c r="B372" t="s">
        <v>899</v>
      </c>
      <c r="C372">
        <v>56</v>
      </c>
    </row>
    <row r="373" spans="1:3" x14ac:dyDescent="0.35">
      <c r="A373">
        <v>17043845100</v>
      </c>
      <c r="B373" t="s">
        <v>900</v>
      </c>
      <c r="C373">
        <v>56</v>
      </c>
    </row>
    <row r="374" spans="1:3" x14ac:dyDescent="0.35">
      <c r="A374">
        <v>17089851904</v>
      </c>
      <c r="B374" t="s">
        <v>901</v>
      </c>
      <c r="C374">
        <v>56</v>
      </c>
    </row>
    <row r="375" spans="1:3" x14ac:dyDescent="0.35">
      <c r="A375">
        <v>18127050407</v>
      </c>
      <c r="B375" t="s">
        <v>902</v>
      </c>
      <c r="C375">
        <v>55</v>
      </c>
    </row>
    <row r="376" spans="1:3" x14ac:dyDescent="0.35">
      <c r="A376">
        <v>17197880307</v>
      </c>
      <c r="B376" t="s">
        <v>903</v>
      </c>
      <c r="C376">
        <v>55</v>
      </c>
    </row>
    <row r="377" spans="1:3" x14ac:dyDescent="0.35">
      <c r="A377">
        <v>17093890101</v>
      </c>
      <c r="B377" t="s">
        <v>904</v>
      </c>
      <c r="C377">
        <v>55</v>
      </c>
    </row>
    <row r="378" spans="1:3" x14ac:dyDescent="0.35">
      <c r="A378">
        <v>17031040700</v>
      </c>
      <c r="B378" t="s">
        <v>905</v>
      </c>
      <c r="C378">
        <v>55</v>
      </c>
    </row>
    <row r="379" spans="1:3" x14ac:dyDescent="0.35">
      <c r="A379">
        <v>17031570100</v>
      </c>
      <c r="B379" t="s">
        <v>906</v>
      </c>
      <c r="C379">
        <v>55</v>
      </c>
    </row>
    <row r="380" spans="1:3" x14ac:dyDescent="0.35">
      <c r="A380">
        <v>17197883507</v>
      </c>
      <c r="B380" t="s">
        <v>907</v>
      </c>
      <c r="C380">
        <v>55</v>
      </c>
    </row>
    <row r="381" spans="1:3" x14ac:dyDescent="0.35">
      <c r="A381">
        <v>17031580502</v>
      </c>
      <c r="B381" t="s">
        <v>908</v>
      </c>
      <c r="C381">
        <v>55</v>
      </c>
    </row>
    <row r="382" spans="1:3" x14ac:dyDescent="0.35">
      <c r="A382">
        <v>17031032100</v>
      </c>
      <c r="B382" t="s">
        <v>909</v>
      </c>
      <c r="C382">
        <v>55</v>
      </c>
    </row>
    <row r="383" spans="1:3" x14ac:dyDescent="0.35">
      <c r="A383">
        <v>17031010702</v>
      </c>
      <c r="B383" t="s">
        <v>910</v>
      </c>
      <c r="C383">
        <v>55</v>
      </c>
    </row>
    <row r="384" spans="1:3" x14ac:dyDescent="0.35">
      <c r="A384">
        <v>17097863904</v>
      </c>
      <c r="B384" t="s">
        <v>911</v>
      </c>
      <c r="C384">
        <v>55</v>
      </c>
    </row>
    <row r="385" spans="1:3" x14ac:dyDescent="0.35">
      <c r="A385">
        <v>17197882802</v>
      </c>
      <c r="B385" t="s">
        <v>912</v>
      </c>
      <c r="C385">
        <v>55</v>
      </c>
    </row>
    <row r="386" spans="1:3" x14ac:dyDescent="0.35">
      <c r="A386">
        <v>17031080300</v>
      </c>
      <c r="B386" t="s">
        <v>913</v>
      </c>
      <c r="C386">
        <v>54</v>
      </c>
    </row>
    <row r="387" spans="1:3" x14ac:dyDescent="0.35">
      <c r="A387">
        <v>17031814100</v>
      </c>
      <c r="B387" t="s">
        <v>914</v>
      </c>
      <c r="C387">
        <v>54</v>
      </c>
    </row>
    <row r="388" spans="1:3" x14ac:dyDescent="0.35">
      <c r="A388">
        <v>17031804507</v>
      </c>
      <c r="B388" t="s">
        <v>915</v>
      </c>
      <c r="C388">
        <v>54</v>
      </c>
    </row>
    <row r="389" spans="1:3" x14ac:dyDescent="0.35">
      <c r="A389">
        <v>17063000700</v>
      </c>
      <c r="B389" t="s">
        <v>916</v>
      </c>
      <c r="C389">
        <v>54</v>
      </c>
    </row>
    <row r="390" spans="1:3" x14ac:dyDescent="0.35">
      <c r="A390">
        <v>17089852906</v>
      </c>
      <c r="B390" t="s">
        <v>917</v>
      </c>
      <c r="C390">
        <v>54</v>
      </c>
    </row>
    <row r="391" spans="1:3" x14ac:dyDescent="0.35">
      <c r="A391">
        <v>17031827200</v>
      </c>
      <c r="B391" t="s">
        <v>918</v>
      </c>
      <c r="C391">
        <v>54</v>
      </c>
    </row>
    <row r="392" spans="1:3" x14ac:dyDescent="0.35">
      <c r="A392">
        <v>17031843200</v>
      </c>
      <c r="B392" t="s">
        <v>919</v>
      </c>
      <c r="C392">
        <v>54</v>
      </c>
    </row>
    <row r="393" spans="1:3" x14ac:dyDescent="0.35">
      <c r="A393">
        <v>17031842000</v>
      </c>
      <c r="B393" t="s">
        <v>920</v>
      </c>
      <c r="C393">
        <v>54</v>
      </c>
    </row>
    <row r="394" spans="1:3" x14ac:dyDescent="0.35">
      <c r="A394">
        <v>17031020802</v>
      </c>
      <c r="B394" t="s">
        <v>921</v>
      </c>
      <c r="C394">
        <v>54</v>
      </c>
    </row>
    <row r="395" spans="1:3" x14ac:dyDescent="0.35">
      <c r="A395">
        <v>17031802002</v>
      </c>
      <c r="B395" t="s">
        <v>922</v>
      </c>
      <c r="C395">
        <v>54</v>
      </c>
    </row>
    <row r="396" spans="1:3" x14ac:dyDescent="0.35">
      <c r="A396">
        <v>17031801607</v>
      </c>
      <c r="B396" t="s">
        <v>923</v>
      </c>
      <c r="C396">
        <v>54</v>
      </c>
    </row>
    <row r="397" spans="1:3" x14ac:dyDescent="0.35">
      <c r="A397">
        <v>17031803701</v>
      </c>
      <c r="B397" t="s">
        <v>924</v>
      </c>
      <c r="C397">
        <v>54</v>
      </c>
    </row>
    <row r="398" spans="1:3" x14ac:dyDescent="0.35">
      <c r="A398">
        <v>17031241400</v>
      </c>
      <c r="B398" t="s">
        <v>925</v>
      </c>
      <c r="C398">
        <v>54</v>
      </c>
    </row>
    <row r="399" spans="1:3" x14ac:dyDescent="0.35">
      <c r="A399">
        <v>17031500100</v>
      </c>
      <c r="B399" t="s">
        <v>926</v>
      </c>
      <c r="C399">
        <v>53</v>
      </c>
    </row>
    <row r="400" spans="1:3" x14ac:dyDescent="0.35">
      <c r="A400">
        <v>17031510300</v>
      </c>
      <c r="B400" t="s">
        <v>927</v>
      </c>
      <c r="C400">
        <v>53</v>
      </c>
    </row>
    <row r="401" spans="1:3" x14ac:dyDescent="0.35">
      <c r="A401">
        <v>17197881012</v>
      </c>
      <c r="B401" t="s">
        <v>928</v>
      </c>
      <c r="C401">
        <v>53</v>
      </c>
    </row>
    <row r="402" spans="1:3" x14ac:dyDescent="0.35">
      <c r="A402">
        <v>17031807200</v>
      </c>
      <c r="B402" t="s">
        <v>929</v>
      </c>
      <c r="C402">
        <v>53</v>
      </c>
    </row>
    <row r="403" spans="1:3" x14ac:dyDescent="0.35">
      <c r="A403">
        <v>17089854800</v>
      </c>
      <c r="B403" t="s">
        <v>930</v>
      </c>
      <c r="C403">
        <v>53</v>
      </c>
    </row>
    <row r="404" spans="1:3" x14ac:dyDescent="0.35">
      <c r="A404">
        <v>17097862200</v>
      </c>
      <c r="B404" t="s">
        <v>931</v>
      </c>
      <c r="C404">
        <v>52</v>
      </c>
    </row>
    <row r="405" spans="1:3" x14ac:dyDescent="0.35">
      <c r="A405">
        <v>17031806502</v>
      </c>
      <c r="B405" t="s">
        <v>932</v>
      </c>
      <c r="C405">
        <v>52</v>
      </c>
    </row>
    <row r="406" spans="1:3" x14ac:dyDescent="0.35">
      <c r="A406">
        <v>17031740200</v>
      </c>
      <c r="B406" t="s">
        <v>933</v>
      </c>
      <c r="C406">
        <v>52</v>
      </c>
    </row>
    <row r="407" spans="1:3" x14ac:dyDescent="0.35">
      <c r="A407">
        <v>17089852402</v>
      </c>
      <c r="B407" t="s">
        <v>934</v>
      </c>
      <c r="C407">
        <v>52</v>
      </c>
    </row>
    <row r="408" spans="1:3" x14ac:dyDescent="0.35">
      <c r="A408">
        <v>17043841606</v>
      </c>
      <c r="B408" t="s">
        <v>935</v>
      </c>
      <c r="C408">
        <v>52</v>
      </c>
    </row>
    <row r="409" spans="1:3" x14ac:dyDescent="0.35">
      <c r="A409">
        <v>17043846517</v>
      </c>
      <c r="B409" t="s">
        <v>936</v>
      </c>
      <c r="C409">
        <v>52</v>
      </c>
    </row>
    <row r="410" spans="1:3" x14ac:dyDescent="0.35">
      <c r="A410">
        <v>17031820101</v>
      </c>
      <c r="B410" t="s">
        <v>937</v>
      </c>
      <c r="C410">
        <v>52</v>
      </c>
    </row>
    <row r="411" spans="1:3" x14ac:dyDescent="0.35">
      <c r="A411">
        <v>17031804506</v>
      </c>
      <c r="B411" t="s">
        <v>938</v>
      </c>
      <c r="C411">
        <v>51</v>
      </c>
    </row>
    <row r="412" spans="1:3" x14ac:dyDescent="0.35">
      <c r="A412">
        <v>17043846521</v>
      </c>
      <c r="B412" t="s">
        <v>939</v>
      </c>
      <c r="C412">
        <v>51</v>
      </c>
    </row>
    <row r="413" spans="1:3" x14ac:dyDescent="0.35">
      <c r="A413">
        <v>17089850702</v>
      </c>
      <c r="B413" t="s">
        <v>940</v>
      </c>
      <c r="C413">
        <v>51</v>
      </c>
    </row>
    <row r="414" spans="1:3" x14ac:dyDescent="0.35">
      <c r="A414">
        <v>17031805112</v>
      </c>
      <c r="B414" t="s">
        <v>941</v>
      </c>
      <c r="C414">
        <v>51</v>
      </c>
    </row>
    <row r="415" spans="1:3" x14ac:dyDescent="0.35">
      <c r="A415">
        <v>17031810400</v>
      </c>
      <c r="B415" t="s">
        <v>942</v>
      </c>
      <c r="C415">
        <v>51</v>
      </c>
    </row>
    <row r="416" spans="1:3" x14ac:dyDescent="0.35">
      <c r="A416">
        <v>18089040300</v>
      </c>
      <c r="B416" t="s">
        <v>943</v>
      </c>
      <c r="C416">
        <v>51</v>
      </c>
    </row>
    <row r="417" spans="1:3" x14ac:dyDescent="0.35">
      <c r="A417">
        <v>17031803500</v>
      </c>
      <c r="B417" t="s">
        <v>944</v>
      </c>
      <c r="C417">
        <v>51</v>
      </c>
    </row>
    <row r="418" spans="1:3" x14ac:dyDescent="0.35">
      <c r="A418">
        <v>17043842601</v>
      </c>
      <c r="B418" t="s">
        <v>945</v>
      </c>
      <c r="C418">
        <v>51</v>
      </c>
    </row>
    <row r="419" spans="1:3" x14ac:dyDescent="0.35">
      <c r="A419">
        <v>17031280400</v>
      </c>
      <c r="B419" t="s">
        <v>946</v>
      </c>
      <c r="C419">
        <v>50</v>
      </c>
    </row>
    <row r="420" spans="1:3" x14ac:dyDescent="0.35">
      <c r="A420">
        <v>17031804713</v>
      </c>
      <c r="B420" t="s">
        <v>947</v>
      </c>
      <c r="C420">
        <v>50</v>
      </c>
    </row>
    <row r="421" spans="1:3" x14ac:dyDescent="0.35">
      <c r="A421">
        <v>17031020602</v>
      </c>
      <c r="B421" t="s">
        <v>948</v>
      </c>
      <c r="C421">
        <v>50</v>
      </c>
    </row>
    <row r="422" spans="1:3" x14ac:dyDescent="0.35">
      <c r="A422">
        <v>17097863201</v>
      </c>
      <c r="B422" t="s">
        <v>949</v>
      </c>
      <c r="C422">
        <v>50</v>
      </c>
    </row>
    <row r="423" spans="1:3" x14ac:dyDescent="0.35">
      <c r="A423">
        <v>17031824105</v>
      </c>
      <c r="B423" t="s">
        <v>950</v>
      </c>
      <c r="C423">
        <v>50</v>
      </c>
    </row>
    <row r="424" spans="1:3" x14ac:dyDescent="0.35">
      <c r="A424">
        <v>17031819801</v>
      </c>
      <c r="B424" t="s">
        <v>951</v>
      </c>
      <c r="C424">
        <v>50</v>
      </c>
    </row>
    <row r="425" spans="1:3" x14ac:dyDescent="0.35">
      <c r="A425">
        <v>18089043002</v>
      </c>
      <c r="B425" t="s">
        <v>952</v>
      </c>
      <c r="C425">
        <v>50</v>
      </c>
    </row>
    <row r="426" spans="1:3" x14ac:dyDescent="0.35">
      <c r="A426">
        <v>17031828701</v>
      </c>
      <c r="B426" t="s">
        <v>953</v>
      </c>
      <c r="C426">
        <v>49</v>
      </c>
    </row>
    <row r="427" spans="1:3" x14ac:dyDescent="0.35">
      <c r="A427">
        <v>17089852300</v>
      </c>
      <c r="B427" t="s">
        <v>954</v>
      </c>
      <c r="C427">
        <v>49</v>
      </c>
    </row>
    <row r="428" spans="1:3" x14ac:dyDescent="0.35">
      <c r="A428">
        <v>17111870905</v>
      </c>
      <c r="B428" t="s">
        <v>955</v>
      </c>
      <c r="C428">
        <v>49</v>
      </c>
    </row>
    <row r="429" spans="1:3" x14ac:dyDescent="0.35">
      <c r="A429">
        <v>17031800200</v>
      </c>
      <c r="B429" t="s">
        <v>956</v>
      </c>
      <c r="C429">
        <v>49</v>
      </c>
    </row>
    <row r="430" spans="1:3" x14ac:dyDescent="0.35">
      <c r="A430">
        <v>17097861011</v>
      </c>
      <c r="B430" t="s">
        <v>957</v>
      </c>
      <c r="C430">
        <v>49</v>
      </c>
    </row>
    <row r="431" spans="1:3" x14ac:dyDescent="0.35">
      <c r="A431">
        <v>17043841310</v>
      </c>
      <c r="B431" t="s">
        <v>958</v>
      </c>
      <c r="C431">
        <v>49</v>
      </c>
    </row>
    <row r="432" spans="1:3" x14ac:dyDescent="0.35">
      <c r="A432">
        <v>17043842711</v>
      </c>
      <c r="B432" t="s">
        <v>959</v>
      </c>
      <c r="C432">
        <v>49</v>
      </c>
    </row>
    <row r="433" spans="1:3" x14ac:dyDescent="0.35">
      <c r="A433">
        <v>17089854501</v>
      </c>
      <c r="B433" t="s">
        <v>960</v>
      </c>
      <c r="C433">
        <v>49</v>
      </c>
    </row>
    <row r="434" spans="1:3" x14ac:dyDescent="0.35">
      <c r="A434">
        <v>17031830006</v>
      </c>
      <c r="B434" t="s">
        <v>961</v>
      </c>
      <c r="C434">
        <v>49</v>
      </c>
    </row>
    <row r="435" spans="1:3" x14ac:dyDescent="0.35">
      <c r="A435">
        <v>17197882200</v>
      </c>
      <c r="B435" t="s">
        <v>962</v>
      </c>
      <c r="C435">
        <v>49</v>
      </c>
    </row>
    <row r="436" spans="1:3" x14ac:dyDescent="0.35">
      <c r="A436">
        <v>17031050100</v>
      </c>
      <c r="B436" t="s">
        <v>963</v>
      </c>
      <c r="C436">
        <v>49</v>
      </c>
    </row>
    <row r="437" spans="1:3" x14ac:dyDescent="0.35">
      <c r="A437">
        <v>18127051101</v>
      </c>
      <c r="B437" t="s">
        <v>964</v>
      </c>
      <c r="C437">
        <v>48</v>
      </c>
    </row>
    <row r="438" spans="1:3" x14ac:dyDescent="0.35">
      <c r="A438">
        <v>17031832500</v>
      </c>
      <c r="B438" t="s">
        <v>965</v>
      </c>
      <c r="C438">
        <v>48</v>
      </c>
    </row>
    <row r="439" spans="1:3" x14ac:dyDescent="0.35">
      <c r="A439">
        <v>17031130100</v>
      </c>
      <c r="B439" t="s">
        <v>966</v>
      </c>
      <c r="C439">
        <v>48</v>
      </c>
    </row>
    <row r="440" spans="1:3" x14ac:dyDescent="0.35">
      <c r="A440">
        <v>17031825600</v>
      </c>
      <c r="B440" t="s">
        <v>967</v>
      </c>
      <c r="C440">
        <v>48</v>
      </c>
    </row>
    <row r="441" spans="1:3" x14ac:dyDescent="0.35">
      <c r="A441">
        <v>17031430200</v>
      </c>
      <c r="B441" t="s">
        <v>968</v>
      </c>
      <c r="C441">
        <v>48</v>
      </c>
    </row>
    <row r="442" spans="1:3" x14ac:dyDescent="0.35">
      <c r="A442">
        <v>17089851905</v>
      </c>
      <c r="B442" t="s">
        <v>969</v>
      </c>
      <c r="C442">
        <v>48</v>
      </c>
    </row>
    <row r="443" spans="1:3" x14ac:dyDescent="0.35">
      <c r="A443">
        <v>17043841401</v>
      </c>
      <c r="B443" t="s">
        <v>970</v>
      </c>
      <c r="C443">
        <v>48</v>
      </c>
    </row>
    <row r="444" spans="1:3" x14ac:dyDescent="0.35">
      <c r="A444">
        <v>17031802200</v>
      </c>
      <c r="B444" t="s">
        <v>971</v>
      </c>
      <c r="C444">
        <v>48</v>
      </c>
    </row>
    <row r="445" spans="1:3" x14ac:dyDescent="0.35">
      <c r="A445">
        <v>17031160400</v>
      </c>
      <c r="B445" t="s">
        <v>972</v>
      </c>
      <c r="C445">
        <v>48</v>
      </c>
    </row>
    <row r="446" spans="1:3" x14ac:dyDescent="0.35">
      <c r="A446">
        <v>17031804310</v>
      </c>
      <c r="B446" t="s">
        <v>973</v>
      </c>
      <c r="C446">
        <v>47</v>
      </c>
    </row>
    <row r="447" spans="1:3" x14ac:dyDescent="0.35">
      <c r="A447">
        <v>17097864601</v>
      </c>
      <c r="B447" t="s">
        <v>974</v>
      </c>
      <c r="C447">
        <v>47</v>
      </c>
    </row>
    <row r="448" spans="1:3" x14ac:dyDescent="0.35">
      <c r="A448">
        <v>17093890102</v>
      </c>
      <c r="B448" t="s">
        <v>975</v>
      </c>
      <c r="C448">
        <v>47</v>
      </c>
    </row>
    <row r="449" spans="1:3" x14ac:dyDescent="0.35">
      <c r="A449">
        <v>17089854900</v>
      </c>
      <c r="B449" t="s">
        <v>976</v>
      </c>
      <c r="C449">
        <v>47</v>
      </c>
    </row>
    <row r="450" spans="1:3" x14ac:dyDescent="0.35">
      <c r="A450">
        <v>17031691300</v>
      </c>
      <c r="B450" t="s">
        <v>977</v>
      </c>
      <c r="C450">
        <v>47</v>
      </c>
    </row>
    <row r="451" spans="1:3" x14ac:dyDescent="0.35">
      <c r="A451">
        <v>17097860906</v>
      </c>
      <c r="B451" t="s">
        <v>978</v>
      </c>
      <c r="C451">
        <v>47</v>
      </c>
    </row>
    <row r="452" spans="1:3" x14ac:dyDescent="0.35">
      <c r="A452">
        <v>17097861508</v>
      </c>
      <c r="B452" t="s">
        <v>979</v>
      </c>
      <c r="C452">
        <v>47</v>
      </c>
    </row>
    <row r="453" spans="1:3" x14ac:dyDescent="0.35">
      <c r="A453">
        <v>17031804901</v>
      </c>
      <c r="B453" t="s">
        <v>980</v>
      </c>
      <c r="C453">
        <v>47</v>
      </c>
    </row>
    <row r="454" spans="1:3" x14ac:dyDescent="0.35">
      <c r="A454">
        <v>55059000700</v>
      </c>
      <c r="B454" t="s">
        <v>981</v>
      </c>
      <c r="C454">
        <v>47</v>
      </c>
    </row>
    <row r="455" spans="1:3" x14ac:dyDescent="0.35">
      <c r="A455">
        <v>17031800800</v>
      </c>
      <c r="B455" t="s">
        <v>982</v>
      </c>
      <c r="C455">
        <v>47</v>
      </c>
    </row>
    <row r="456" spans="1:3" x14ac:dyDescent="0.35">
      <c r="A456">
        <v>17031806002</v>
      </c>
      <c r="B456" t="s">
        <v>983</v>
      </c>
      <c r="C456">
        <v>47</v>
      </c>
    </row>
    <row r="457" spans="1:3" x14ac:dyDescent="0.35">
      <c r="A457">
        <v>17097863601</v>
      </c>
      <c r="B457" t="s">
        <v>984</v>
      </c>
      <c r="C457">
        <v>47</v>
      </c>
    </row>
    <row r="458" spans="1:3" x14ac:dyDescent="0.35">
      <c r="A458">
        <v>17031150401</v>
      </c>
      <c r="B458" t="s">
        <v>985</v>
      </c>
      <c r="C458">
        <v>47</v>
      </c>
    </row>
    <row r="459" spans="1:3" x14ac:dyDescent="0.35">
      <c r="A459">
        <v>17031804105</v>
      </c>
      <c r="B459" t="s">
        <v>986</v>
      </c>
      <c r="C459">
        <v>46</v>
      </c>
    </row>
    <row r="460" spans="1:3" x14ac:dyDescent="0.35">
      <c r="A460">
        <v>17031801100</v>
      </c>
      <c r="B460" t="s">
        <v>987</v>
      </c>
      <c r="C460">
        <v>46</v>
      </c>
    </row>
    <row r="461" spans="1:3" x14ac:dyDescent="0.35">
      <c r="A461">
        <v>17031811402</v>
      </c>
      <c r="B461" t="s">
        <v>988</v>
      </c>
      <c r="C461">
        <v>46</v>
      </c>
    </row>
    <row r="462" spans="1:3" x14ac:dyDescent="0.35">
      <c r="A462">
        <v>17097865700</v>
      </c>
      <c r="B462" t="s">
        <v>989</v>
      </c>
      <c r="C462">
        <v>46</v>
      </c>
    </row>
    <row r="463" spans="1:3" x14ac:dyDescent="0.35">
      <c r="A463">
        <v>17031805901</v>
      </c>
      <c r="B463" t="s">
        <v>990</v>
      </c>
      <c r="C463">
        <v>46</v>
      </c>
    </row>
    <row r="464" spans="1:3" x14ac:dyDescent="0.35">
      <c r="A464">
        <v>17043841004</v>
      </c>
      <c r="B464" t="s">
        <v>991</v>
      </c>
      <c r="C464">
        <v>46</v>
      </c>
    </row>
    <row r="465" spans="1:3" x14ac:dyDescent="0.35">
      <c r="A465">
        <v>17043841605</v>
      </c>
      <c r="B465" t="s">
        <v>992</v>
      </c>
      <c r="C465">
        <v>46</v>
      </c>
    </row>
    <row r="466" spans="1:3" x14ac:dyDescent="0.35">
      <c r="A466">
        <v>17031080100</v>
      </c>
      <c r="B466" t="s">
        <v>993</v>
      </c>
      <c r="C466">
        <v>46</v>
      </c>
    </row>
    <row r="467" spans="1:3" x14ac:dyDescent="0.35">
      <c r="A467">
        <v>17031810301</v>
      </c>
      <c r="B467" t="s">
        <v>994</v>
      </c>
      <c r="C467">
        <v>46</v>
      </c>
    </row>
    <row r="468" spans="1:3" x14ac:dyDescent="0.35">
      <c r="A468">
        <v>17031240600</v>
      </c>
      <c r="B468" t="s">
        <v>995</v>
      </c>
      <c r="C468">
        <v>46</v>
      </c>
    </row>
    <row r="469" spans="1:3" x14ac:dyDescent="0.35">
      <c r="A469">
        <v>17031010300</v>
      </c>
      <c r="B469" t="s">
        <v>996</v>
      </c>
      <c r="C469">
        <v>46</v>
      </c>
    </row>
    <row r="470" spans="1:3" x14ac:dyDescent="0.35">
      <c r="A470">
        <v>17031171000</v>
      </c>
      <c r="B470" t="s">
        <v>997</v>
      </c>
      <c r="C470">
        <v>46</v>
      </c>
    </row>
    <row r="471" spans="1:3" x14ac:dyDescent="0.35">
      <c r="A471">
        <v>17031243000</v>
      </c>
      <c r="B471" t="s">
        <v>998</v>
      </c>
      <c r="C471">
        <v>46</v>
      </c>
    </row>
    <row r="472" spans="1:3" x14ac:dyDescent="0.35">
      <c r="A472">
        <v>17031803008</v>
      </c>
      <c r="B472" t="s">
        <v>999</v>
      </c>
      <c r="C472">
        <v>46</v>
      </c>
    </row>
    <row r="473" spans="1:3" x14ac:dyDescent="0.35">
      <c r="A473">
        <v>17197880412</v>
      </c>
      <c r="B473" t="s">
        <v>1000</v>
      </c>
      <c r="C473">
        <v>46</v>
      </c>
    </row>
    <row r="474" spans="1:3" x14ac:dyDescent="0.35">
      <c r="A474">
        <v>17031031700</v>
      </c>
      <c r="B474" t="s">
        <v>1001</v>
      </c>
      <c r="C474">
        <v>46</v>
      </c>
    </row>
    <row r="475" spans="1:3" x14ac:dyDescent="0.35">
      <c r="A475">
        <v>17031550200</v>
      </c>
      <c r="B475" t="s">
        <v>1002</v>
      </c>
      <c r="C475">
        <v>45</v>
      </c>
    </row>
    <row r="476" spans="1:3" x14ac:dyDescent="0.35">
      <c r="A476">
        <v>55059000400</v>
      </c>
      <c r="B476" t="s">
        <v>1003</v>
      </c>
      <c r="C476">
        <v>45</v>
      </c>
    </row>
    <row r="477" spans="1:3" x14ac:dyDescent="0.35">
      <c r="A477">
        <v>17043841603</v>
      </c>
      <c r="B477" t="s">
        <v>1004</v>
      </c>
      <c r="C477">
        <v>45</v>
      </c>
    </row>
    <row r="478" spans="1:3" x14ac:dyDescent="0.35">
      <c r="A478">
        <v>17031834300</v>
      </c>
      <c r="B478" t="s">
        <v>1005</v>
      </c>
      <c r="C478">
        <v>45</v>
      </c>
    </row>
    <row r="479" spans="1:3" x14ac:dyDescent="0.35">
      <c r="A479">
        <v>17031801605</v>
      </c>
      <c r="B479" t="s">
        <v>1006</v>
      </c>
      <c r="C479">
        <v>45</v>
      </c>
    </row>
    <row r="480" spans="1:3" x14ac:dyDescent="0.35">
      <c r="A480">
        <v>17097860809</v>
      </c>
      <c r="B480" t="s">
        <v>1007</v>
      </c>
      <c r="C480">
        <v>45</v>
      </c>
    </row>
    <row r="481" spans="1:3" x14ac:dyDescent="0.35">
      <c r="A481">
        <v>17043845807</v>
      </c>
      <c r="B481" t="s">
        <v>1008</v>
      </c>
      <c r="C481">
        <v>45</v>
      </c>
    </row>
    <row r="482" spans="1:3" x14ac:dyDescent="0.35">
      <c r="A482">
        <v>17031820501</v>
      </c>
      <c r="B482" t="s">
        <v>1009</v>
      </c>
      <c r="C482">
        <v>45</v>
      </c>
    </row>
    <row r="483" spans="1:3" x14ac:dyDescent="0.35">
      <c r="A483">
        <v>17043842604</v>
      </c>
      <c r="B483" t="s">
        <v>1010</v>
      </c>
      <c r="C483">
        <v>45</v>
      </c>
    </row>
    <row r="484" spans="1:3" x14ac:dyDescent="0.35">
      <c r="A484">
        <v>17031810100</v>
      </c>
      <c r="B484" t="s">
        <v>1011</v>
      </c>
      <c r="C484">
        <v>45</v>
      </c>
    </row>
    <row r="485" spans="1:3" x14ac:dyDescent="0.35">
      <c r="A485">
        <v>17089852905</v>
      </c>
      <c r="B485" t="s">
        <v>1012</v>
      </c>
      <c r="C485">
        <v>45</v>
      </c>
    </row>
    <row r="486" spans="1:3" x14ac:dyDescent="0.35">
      <c r="A486">
        <v>17031840400</v>
      </c>
      <c r="B486" t="s">
        <v>1013</v>
      </c>
      <c r="C486">
        <v>45</v>
      </c>
    </row>
    <row r="487" spans="1:3" x14ac:dyDescent="0.35">
      <c r="A487">
        <v>17043842702</v>
      </c>
      <c r="B487" t="s">
        <v>1014</v>
      </c>
      <c r="C487">
        <v>44</v>
      </c>
    </row>
    <row r="488" spans="1:3" x14ac:dyDescent="0.35">
      <c r="A488">
        <v>17031802802</v>
      </c>
      <c r="B488" t="s">
        <v>1015</v>
      </c>
      <c r="C488">
        <v>44</v>
      </c>
    </row>
    <row r="489" spans="1:3" x14ac:dyDescent="0.35">
      <c r="A489">
        <v>17043845805</v>
      </c>
      <c r="B489" t="s">
        <v>1016</v>
      </c>
      <c r="C489">
        <v>44</v>
      </c>
    </row>
    <row r="490" spans="1:3" x14ac:dyDescent="0.35">
      <c r="A490">
        <v>17031830800</v>
      </c>
      <c r="B490" t="s">
        <v>1017</v>
      </c>
      <c r="C490">
        <v>44</v>
      </c>
    </row>
    <row r="491" spans="1:3" x14ac:dyDescent="0.35">
      <c r="A491">
        <v>17031081000</v>
      </c>
      <c r="B491" t="s">
        <v>1018</v>
      </c>
      <c r="C491">
        <v>44</v>
      </c>
    </row>
    <row r="492" spans="1:3" x14ac:dyDescent="0.35">
      <c r="A492">
        <v>17031803013</v>
      </c>
      <c r="B492" t="s">
        <v>1019</v>
      </c>
      <c r="C492">
        <v>44</v>
      </c>
    </row>
    <row r="493" spans="1:3" x14ac:dyDescent="0.35">
      <c r="A493">
        <v>17031811500</v>
      </c>
      <c r="B493" t="s">
        <v>1020</v>
      </c>
      <c r="C493">
        <v>44</v>
      </c>
    </row>
    <row r="494" spans="1:3" x14ac:dyDescent="0.35">
      <c r="A494">
        <v>17031802900</v>
      </c>
      <c r="B494" t="s">
        <v>1021</v>
      </c>
      <c r="C494">
        <v>44</v>
      </c>
    </row>
    <row r="495" spans="1:3" x14ac:dyDescent="0.35">
      <c r="A495">
        <v>17043842706</v>
      </c>
      <c r="B495" t="s">
        <v>1022</v>
      </c>
      <c r="C495">
        <v>43</v>
      </c>
    </row>
    <row r="496" spans="1:3" x14ac:dyDescent="0.35">
      <c r="A496">
        <v>17037001500</v>
      </c>
      <c r="B496" t="s">
        <v>1023</v>
      </c>
      <c r="C496">
        <v>43</v>
      </c>
    </row>
    <row r="497" spans="1:3" x14ac:dyDescent="0.35">
      <c r="A497">
        <v>17031812000</v>
      </c>
      <c r="B497" t="s">
        <v>1024</v>
      </c>
      <c r="C497">
        <v>43</v>
      </c>
    </row>
    <row r="498" spans="1:3" x14ac:dyDescent="0.35">
      <c r="A498">
        <v>17043846513</v>
      </c>
      <c r="B498" t="s">
        <v>1025</v>
      </c>
      <c r="C498">
        <v>43</v>
      </c>
    </row>
    <row r="499" spans="1:3" x14ac:dyDescent="0.35">
      <c r="A499">
        <v>17197883306</v>
      </c>
      <c r="B499" t="s">
        <v>1026</v>
      </c>
      <c r="C499">
        <v>43</v>
      </c>
    </row>
    <row r="500" spans="1:3" x14ac:dyDescent="0.35">
      <c r="A500">
        <v>17031814800</v>
      </c>
      <c r="B500" t="s">
        <v>1027</v>
      </c>
      <c r="C500">
        <v>43</v>
      </c>
    </row>
    <row r="501" spans="1:3" x14ac:dyDescent="0.35">
      <c r="A501">
        <v>17031824507</v>
      </c>
      <c r="B501" t="s">
        <v>1028</v>
      </c>
      <c r="C501">
        <v>43</v>
      </c>
    </row>
    <row r="502" spans="1:3" x14ac:dyDescent="0.35">
      <c r="A502">
        <v>17031841100</v>
      </c>
      <c r="B502" t="s">
        <v>1029</v>
      </c>
      <c r="C502">
        <v>43</v>
      </c>
    </row>
    <row r="503" spans="1:3" x14ac:dyDescent="0.35">
      <c r="A503">
        <v>17043841322</v>
      </c>
      <c r="B503" t="s">
        <v>1030</v>
      </c>
      <c r="C503">
        <v>43</v>
      </c>
    </row>
    <row r="504" spans="1:3" x14ac:dyDescent="0.35">
      <c r="A504">
        <v>17031801701</v>
      </c>
      <c r="B504" t="s">
        <v>1031</v>
      </c>
      <c r="C504">
        <v>43</v>
      </c>
    </row>
    <row r="505" spans="1:3" x14ac:dyDescent="0.35">
      <c r="A505">
        <v>17031825501</v>
      </c>
      <c r="B505" t="s">
        <v>1032</v>
      </c>
      <c r="C505">
        <v>43</v>
      </c>
    </row>
    <row r="506" spans="1:3" x14ac:dyDescent="0.35">
      <c r="A506">
        <v>17097864409</v>
      </c>
      <c r="B506" t="s">
        <v>1033</v>
      </c>
      <c r="C506">
        <v>43</v>
      </c>
    </row>
    <row r="507" spans="1:3" x14ac:dyDescent="0.35">
      <c r="A507">
        <v>17031804709</v>
      </c>
      <c r="B507" t="s">
        <v>1034</v>
      </c>
      <c r="C507">
        <v>42</v>
      </c>
    </row>
    <row r="508" spans="1:3" x14ac:dyDescent="0.35">
      <c r="A508">
        <v>17031815701</v>
      </c>
      <c r="B508" t="s">
        <v>1035</v>
      </c>
      <c r="C508">
        <v>42</v>
      </c>
    </row>
    <row r="509" spans="1:3" x14ac:dyDescent="0.35">
      <c r="A509">
        <v>17031829700</v>
      </c>
      <c r="B509" t="s">
        <v>1036</v>
      </c>
      <c r="C509">
        <v>42</v>
      </c>
    </row>
    <row r="510" spans="1:3" x14ac:dyDescent="0.35">
      <c r="A510">
        <v>17031827901</v>
      </c>
      <c r="B510" t="s">
        <v>1037</v>
      </c>
      <c r="C510">
        <v>42</v>
      </c>
    </row>
    <row r="511" spans="1:3" x14ac:dyDescent="0.35">
      <c r="A511">
        <v>17111871104</v>
      </c>
      <c r="B511" t="s">
        <v>1038</v>
      </c>
      <c r="C511">
        <v>42</v>
      </c>
    </row>
    <row r="512" spans="1:3" x14ac:dyDescent="0.35">
      <c r="A512">
        <v>17043844802</v>
      </c>
      <c r="B512" t="s">
        <v>1039</v>
      </c>
      <c r="C512">
        <v>42</v>
      </c>
    </row>
    <row r="513" spans="1:3" x14ac:dyDescent="0.35">
      <c r="A513">
        <v>17089853300</v>
      </c>
      <c r="B513" t="s">
        <v>1040</v>
      </c>
      <c r="C513">
        <v>42</v>
      </c>
    </row>
    <row r="514" spans="1:3" x14ac:dyDescent="0.35">
      <c r="A514">
        <v>17031804505</v>
      </c>
      <c r="B514" t="s">
        <v>1041</v>
      </c>
      <c r="C514">
        <v>42</v>
      </c>
    </row>
    <row r="515" spans="1:3" x14ac:dyDescent="0.35">
      <c r="A515">
        <v>17031310300</v>
      </c>
      <c r="B515" t="s">
        <v>1042</v>
      </c>
      <c r="C515">
        <v>42</v>
      </c>
    </row>
    <row r="516" spans="1:3" x14ac:dyDescent="0.35">
      <c r="A516">
        <v>17043841316</v>
      </c>
      <c r="B516" t="s">
        <v>1043</v>
      </c>
      <c r="C516">
        <v>42</v>
      </c>
    </row>
    <row r="517" spans="1:3" x14ac:dyDescent="0.35">
      <c r="A517">
        <v>17111871500</v>
      </c>
      <c r="B517" t="s">
        <v>1044</v>
      </c>
      <c r="C517">
        <v>41</v>
      </c>
    </row>
    <row r="518" spans="1:3" x14ac:dyDescent="0.35">
      <c r="A518">
        <v>17031030900</v>
      </c>
      <c r="B518" t="s">
        <v>1045</v>
      </c>
      <c r="C518">
        <v>41</v>
      </c>
    </row>
    <row r="519" spans="1:3" x14ac:dyDescent="0.35">
      <c r="A519">
        <v>18127050900</v>
      </c>
      <c r="B519" t="s">
        <v>1046</v>
      </c>
      <c r="C519">
        <v>41</v>
      </c>
    </row>
    <row r="520" spans="1:3" x14ac:dyDescent="0.35">
      <c r="A520">
        <v>17031805001</v>
      </c>
      <c r="B520" t="s">
        <v>1047</v>
      </c>
      <c r="C520">
        <v>41</v>
      </c>
    </row>
    <row r="521" spans="1:3" x14ac:dyDescent="0.35">
      <c r="A521">
        <v>17031816500</v>
      </c>
      <c r="B521" t="s">
        <v>1048</v>
      </c>
      <c r="C521">
        <v>41</v>
      </c>
    </row>
    <row r="522" spans="1:3" x14ac:dyDescent="0.35">
      <c r="A522">
        <v>17097861403</v>
      </c>
      <c r="B522" t="s">
        <v>1049</v>
      </c>
      <c r="C522">
        <v>41</v>
      </c>
    </row>
    <row r="523" spans="1:3" x14ac:dyDescent="0.35">
      <c r="A523">
        <v>17111870603</v>
      </c>
      <c r="B523" t="s">
        <v>1050</v>
      </c>
      <c r="C523">
        <v>41</v>
      </c>
    </row>
    <row r="524" spans="1:3" x14ac:dyDescent="0.35">
      <c r="A524">
        <v>17031841300</v>
      </c>
      <c r="B524" t="s">
        <v>1051</v>
      </c>
      <c r="C524">
        <v>41</v>
      </c>
    </row>
    <row r="525" spans="1:3" x14ac:dyDescent="0.35">
      <c r="A525">
        <v>17031580400</v>
      </c>
      <c r="B525" t="s">
        <v>1052</v>
      </c>
      <c r="C525">
        <v>41</v>
      </c>
    </row>
    <row r="526" spans="1:3" x14ac:dyDescent="0.35">
      <c r="A526">
        <v>17031490800</v>
      </c>
      <c r="B526" t="s">
        <v>1053</v>
      </c>
      <c r="C526">
        <v>41</v>
      </c>
    </row>
    <row r="527" spans="1:3" x14ac:dyDescent="0.35">
      <c r="A527">
        <v>17031822500</v>
      </c>
      <c r="B527" t="s">
        <v>1054</v>
      </c>
      <c r="C527">
        <v>41</v>
      </c>
    </row>
    <row r="528" spans="1:3" x14ac:dyDescent="0.35">
      <c r="A528">
        <v>17031816600</v>
      </c>
      <c r="B528" t="s">
        <v>1055</v>
      </c>
      <c r="C528">
        <v>41</v>
      </c>
    </row>
    <row r="529" spans="1:3" x14ac:dyDescent="0.35">
      <c r="A529">
        <v>17031823001</v>
      </c>
      <c r="B529" t="s">
        <v>1056</v>
      </c>
      <c r="C529">
        <v>41</v>
      </c>
    </row>
    <row r="530" spans="1:3" x14ac:dyDescent="0.35">
      <c r="A530">
        <v>17031241200</v>
      </c>
      <c r="B530" t="s">
        <v>1057</v>
      </c>
      <c r="C530">
        <v>41</v>
      </c>
    </row>
    <row r="531" spans="1:3" x14ac:dyDescent="0.35">
      <c r="A531">
        <v>17043846312</v>
      </c>
      <c r="B531" t="s">
        <v>1058</v>
      </c>
      <c r="C531">
        <v>40</v>
      </c>
    </row>
    <row r="532" spans="1:3" x14ac:dyDescent="0.35">
      <c r="A532">
        <v>17043841003</v>
      </c>
      <c r="B532" t="s">
        <v>1059</v>
      </c>
      <c r="C532">
        <v>40</v>
      </c>
    </row>
    <row r="533" spans="1:3" x14ac:dyDescent="0.35">
      <c r="A533">
        <v>17089850500</v>
      </c>
      <c r="B533" t="s">
        <v>1060</v>
      </c>
      <c r="C533">
        <v>40</v>
      </c>
    </row>
    <row r="534" spans="1:3" x14ac:dyDescent="0.35">
      <c r="A534">
        <v>17031804000</v>
      </c>
      <c r="B534" t="s">
        <v>1061</v>
      </c>
      <c r="C534">
        <v>40</v>
      </c>
    </row>
    <row r="535" spans="1:3" x14ac:dyDescent="0.35">
      <c r="A535">
        <v>17031807500</v>
      </c>
      <c r="B535" t="s">
        <v>1062</v>
      </c>
      <c r="C535">
        <v>40</v>
      </c>
    </row>
    <row r="536" spans="1:3" x14ac:dyDescent="0.35">
      <c r="A536">
        <v>17089852101</v>
      </c>
      <c r="B536" t="s">
        <v>1063</v>
      </c>
      <c r="C536">
        <v>40</v>
      </c>
    </row>
    <row r="537" spans="1:3" x14ac:dyDescent="0.35">
      <c r="A537">
        <v>17031812900</v>
      </c>
      <c r="B537" t="s">
        <v>1064</v>
      </c>
      <c r="C537">
        <v>40</v>
      </c>
    </row>
    <row r="538" spans="1:3" x14ac:dyDescent="0.35">
      <c r="A538">
        <v>17031151200</v>
      </c>
      <c r="B538" t="s">
        <v>1065</v>
      </c>
      <c r="C538">
        <v>40</v>
      </c>
    </row>
    <row r="539" spans="1:3" x14ac:dyDescent="0.35">
      <c r="A539">
        <v>17031810900</v>
      </c>
      <c r="B539" t="s">
        <v>1066</v>
      </c>
      <c r="C539">
        <v>40</v>
      </c>
    </row>
    <row r="540" spans="1:3" x14ac:dyDescent="0.35">
      <c r="A540">
        <v>17031837800</v>
      </c>
      <c r="B540" t="s">
        <v>1067</v>
      </c>
      <c r="C540">
        <v>40</v>
      </c>
    </row>
    <row r="541" spans="1:3" x14ac:dyDescent="0.35">
      <c r="A541">
        <v>18089043202</v>
      </c>
      <c r="B541" t="s">
        <v>1068</v>
      </c>
      <c r="C541">
        <v>40</v>
      </c>
    </row>
    <row r="542" spans="1:3" x14ac:dyDescent="0.35">
      <c r="A542">
        <v>17111871311</v>
      </c>
      <c r="B542" t="s">
        <v>1069</v>
      </c>
      <c r="C542">
        <v>40</v>
      </c>
    </row>
    <row r="543" spans="1:3" x14ac:dyDescent="0.35">
      <c r="A543">
        <v>17043840704</v>
      </c>
      <c r="B543" t="s">
        <v>1070</v>
      </c>
      <c r="C543">
        <v>40</v>
      </c>
    </row>
    <row r="544" spans="1:3" x14ac:dyDescent="0.35">
      <c r="A544">
        <v>17031100500</v>
      </c>
      <c r="B544" t="s">
        <v>1071</v>
      </c>
      <c r="C544">
        <v>40</v>
      </c>
    </row>
    <row r="545" spans="1:3" x14ac:dyDescent="0.35">
      <c r="A545">
        <v>17197880306</v>
      </c>
      <c r="B545" t="s">
        <v>1072</v>
      </c>
      <c r="C545">
        <v>40</v>
      </c>
    </row>
    <row r="546" spans="1:3" x14ac:dyDescent="0.35">
      <c r="A546">
        <v>17043845901</v>
      </c>
      <c r="B546" t="s">
        <v>1073</v>
      </c>
      <c r="C546">
        <v>40</v>
      </c>
    </row>
    <row r="547" spans="1:3" x14ac:dyDescent="0.35">
      <c r="A547">
        <v>17043845601</v>
      </c>
      <c r="B547" t="s">
        <v>1074</v>
      </c>
      <c r="C547">
        <v>40</v>
      </c>
    </row>
    <row r="548" spans="1:3" x14ac:dyDescent="0.35">
      <c r="A548">
        <v>17031805110</v>
      </c>
      <c r="B548" t="s">
        <v>1075</v>
      </c>
      <c r="C548">
        <v>39</v>
      </c>
    </row>
    <row r="549" spans="1:3" x14ac:dyDescent="0.35">
      <c r="A549">
        <v>17031825504</v>
      </c>
      <c r="B549" t="s">
        <v>1076</v>
      </c>
      <c r="C549">
        <v>39</v>
      </c>
    </row>
    <row r="550" spans="1:3" x14ac:dyDescent="0.35">
      <c r="A550">
        <v>17031803400</v>
      </c>
      <c r="B550" t="s">
        <v>1077</v>
      </c>
      <c r="C550">
        <v>39</v>
      </c>
    </row>
    <row r="551" spans="1:3" x14ac:dyDescent="0.35">
      <c r="A551">
        <v>17043840706</v>
      </c>
      <c r="B551" t="s">
        <v>1078</v>
      </c>
      <c r="C551">
        <v>39</v>
      </c>
    </row>
    <row r="552" spans="1:3" x14ac:dyDescent="0.35">
      <c r="A552">
        <v>17031490500</v>
      </c>
      <c r="B552" t="s">
        <v>1079</v>
      </c>
      <c r="C552">
        <v>39</v>
      </c>
    </row>
    <row r="553" spans="1:3" x14ac:dyDescent="0.35">
      <c r="A553">
        <v>17031740300</v>
      </c>
      <c r="B553" t="s">
        <v>1080</v>
      </c>
      <c r="C553">
        <v>39</v>
      </c>
    </row>
    <row r="554" spans="1:3" x14ac:dyDescent="0.35">
      <c r="A554">
        <v>17031804809</v>
      </c>
      <c r="B554" t="s">
        <v>1081</v>
      </c>
      <c r="C554">
        <v>39</v>
      </c>
    </row>
    <row r="555" spans="1:3" x14ac:dyDescent="0.35">
      <c r="A555">
        <v>17031800700</v>
      </c>
      <c r="B555" t="s">
        <v>1082</v>
      </c>
      <c r="C555">
        <v>39</v>
      </c>
    </row>
    <row r="556" spans="1:3" x14ac:dyDescent="0.35">
      <c r="A556">
        <v>18089043300</v>
      </c>
      <c r="B556" t="s">
        <v>1083</v>
      </c>
      <c r="C556">
        <v>39</v>
      </c>
    </row>
    <row r="557" spans="1:3" x14ac:dyDescent="0.35">
      <c r="A557">
        <v>17043846510</v>
      </c>
      <c r="B557" t="s">
        <v>1084</v>
      </c>
      <c r="C557">
        <v>39</v>
      </c>
    </row>
    <row r="558" spans="1:3" x14ac:dyDescent="0.35">
      <c r="A558">
        <v>17031242100</v>
      </c>
      <c r="B558" t="s">
        <v>1085</v>
      </c>
      <c r="C558">
        <v>39</v>
      </c>
    </row>
    <row r="559" spans="1:3" x14ac:dyDescent="0.35">
      <c r="A559">
        <v>17031806104</v>
      </c>
      <c r="B559" t="s">
        <v>1086</v>
      </c>
      <c r="C559">
        <v>39</v>
      </c>
    </row>
    <row r="560" spans="1:3" x14ac:dyDescent="0.35">
      <c r="A560">
        <v>17031832600</v>
      </c>
      <c r="B560" t="s">
        <v>1087</v>
      </c>
      <c r="C560">
        <v>39</v>
      </c>
    </row>
    <row r="561" spans="1:3" x14ac:dyDescent="0.35">
      <c r="A561">
        <v>17197880109</v>
      </c>
      <c r="B561" t="s">
        <v>1088</v>
      </c>
      <c r="C561">
        <v>39</v>
      </c>
    </row>
    <row r="562" spans="1:3" x14ac:dyDescent="0.35">
      <c r="A562">
        <v>55059002700</v>
      </c>
      <c r="B562" t="s">
        <v>1089</v>
      </c>
      <c r="C562">
        <v>39</v>
      </c>
    </row>
    <row r="563" spans="1:3" x14ac:dyDescent="0.35">
      <c r="A563">
        <v>17031191100</v>
      </c>
      <c r="B563" t="s">
        <v>1090</v>
      </c>
      <c r="C563">
        <v>39</v>
      </c>
    </row>
    <row r="564" spans="1:3" x14ac:dyDescent="0.35">
      <c r="A564">
        <v>17097863004</v>
      </c>
      <c r="B564" t="s">
        <v>1091</v>
      </c>
      <c r="C564">
        <v>38</v>
      </c>
    </row>
    <row r="565" spans="1:3" x14ac:dyDescent="0.35">
      <c r="A565">
        <v>17089852102</v>
      </c>
      <c r="B565" t="s">
        <v>1092</v>
      </c>
      <c r="C565">
        <v>38</v>
      </c>
    </row>
    <row r="566" spans="1:3" x14ac:dyDescent="0.35">
      <c r="A566">
        <v>17197880120</v>
      </c>
      <c r="B566" t="s">
        <v>1093</v>
      </c>
      <c r="C566">
        <v>38</v>
      </c>
    </row>
    <row r="567" spans="1:3" x14ac:dyDescent="0.35">
      <c r="A567">
        <v>17031828202</v>
      </c>
      <c r="B567" t="s">
        <v>1094</v>
      </c>
      <c r="C567">
        <v>38</v>
      </c>
    </row>
    <row r="568" spans="1:3" x14ac:dyDescent="0.35">
      <c r="A568">
        <v>17031750100</v>
      </c>
      <c r="B568" t="s">
        <v>1095</v>
      </c>
      <c r="C568">
        <v>38</v>
      </c>
    </row>
    <row r="569" spans="1:3" x14ac:dyDescent="0.35">
      <c r="A569">
        <v>17031411200</v>
      </c>
      <c r="B569" t="s">
        <v>1096</v>
      </c>
      <c r="C569">
        <v>38</v>
      </c>
    </row>
    <row r="570" spans="1:3" x14ac:dyDescent="0.35">
      <c r="A570">
        <v>17097864410</v>
      </c>
      <c r="B570" t="s">
        <v>1097</v>
      </c>
      <c r="C570">
        <v>38</v>
      </c>
    </row>
    <row r="571" spans="1:3" x14ac:dyDescent="0.35">
      <c r="A571">
        <v>17031810200</v>
      </c>
      <c r="B571" t="s">
        <v>1098</v>
      </c>
      <c r="C571">
        <v>38</v>
      </c>
    </row>
    <row r="572" spans="1:3" x14ac:dyDescent="0.35">
      <c r="A572">
        <v>17111870102</v>
      </c>
      <c r="B572" t="s">
        <v>1099</v>
      </c>
      <c r="C572">
        <v>38</v>
      </c>
    </row>
    <row r="573" spans="1:3" x14ac:dyDescent="0.35">
      <c r="A573">
        <v>17097863003</v>
      </c>
      <c r="B573" t="s">
        <v>1100</v>
      </c>
      <c r="C573">
        <v>38</v>
      </c>
    </row>
    <row r="574" spans="1:3" x14ac:dyDescent="0.35">
      <c r="A574">
        <v>17031821200</v>
      </c>
      <c r="B574" t="s">
        <v>1101</v>
      </c>
      <c r="C574">
        <v>38</v>
      </c>
    </row>
    <row r="575" spans="1:3" x14ac:dyDescent="0.35">
      <c r="A575">
        <v>17197882900</v>
      </c>
      <c r="B575" t="s">
        <v>1102</v>
      </c>
      <c r="C575">
        <v>38</v>
      </c>
    </row>
    <row r="576" spans="1:3" x14ac:dyDescent="0.35">
      <c r="A576">
        <v>17097864514</v>
      </c>
      <c r="B576" t="s">
        <v>1103</v>
      </c>
      <c r="C576">
        <v>38</v>
      </c>
    </row>
    <row r="577" spans="1:3" x14ac:dyDescent="0.35">
      <c r="A577">
        <v>17031050600</v>
      </c>
      <c r="B577" t="s">
        <v>1104</v>
      </c>
      <c r="C577">
        <v>37</v>
      </c>
    </row>
    <row r="578" spans="1:3" x14ac:dyDescent="0.35">
      <c r="A578">
        <v>17031816800</v>
      </c>
      <c r="B578" t="s">
        <v>1105</v>
      </c>
      <c r="C578">
        <v>37</v>
      </c>
    </row>
    <row r="579" spans="1:3" x14ac:dyDescent="0.35">
      <c r="A579">
        <v>17031040100</v>
      </c>
      <c r="B579" t="s">
        <v>1106</v>
      </c>
      <c r="C579">
        <v>37</v>
      </c>
    </row>
    <row r="580" spans="1:3" x14ac:dyDescent="0.35">
      <c r="A580">
        <v>18089042403</v>
      </c>
      <c r="B580" t="s">
        <v>1107</v>
      </c>
      <c r="C580">
        <v>37</v>
      </c>
    </row>
    <row r="581" spans="1:3" x14ac:dyDescent="0.35">
      <c r="A581">
        <v>17043846412</v>
      </c>
      <c r="B581" t="s">
        <v>1108</v>
      </c>
      <c r="C581">
        <v>37</v>
      </c>
    </row>
    <row r="582" spans="1:3" x14ac:dyDescent="0.35">
      <c r="A582">
        <v>17093890600</v>
      </c>
      <c r="B582" t="s">
        <v>1109</v>
      </c>
      <c r="C582">
        <v>37</v>
      </c>
    </row>
    <row r="583" spans="1:3" x14ac:dyDescent="0.35">
      <c r="A583">
        <v>17043846305</v>
      </c>
      <c r="B583" t="s">
        <v>1110</v>
      </c>
      <c r="C583">
        <v>37</v>
      </c>
    </row>
    <row r="584" spans="1:3" x14ac:dyDescent="0.35">
      <c r="A584">
        <v>17031080202</v>
      </c>
      <c r="B584" t="s">
        <v>1111</v>
      </c>
      <c r="C584">
        <v>37</v>
      </c>
    </row>
    <row r="585" spans="1:3" x14ac:dyDescent="0.35">
      <c r="A585">
        <v>17031800300</v>
      </c>
      <c r="B585" t="s">
        <v>1112</v>
      </c>
      <c r="C585">
        <v>37</v>
      </c>
    </row>
    <row r="586" spans="1:3" x14ac:dyDescent="0.35">
      <c r="A586">
        <v>17031802506</v>
      </c>
      <c r="B586" t="s">
        <v>1113</v>
      </c>
      <c r="C586">
        <v>37</v>
      </c>
    </row>
    <row r="587" spans="1:3" x14ac:dyDescent="0.35">
      <c r="A587">
        <v>17097861009</v>
      </c>
      <c r="B587" t="s">
        <v>1114</v>
      </c>
      <c r="C587">
        <v>37</v>
      </c>
    </row>
    <row r="588" spans="1:3" x14ac:dyDescent="0.35">
      <c r="A588">
        <v>17031560800</v>
      </c>
      <c r="B588" t="s">
        <v>1115</v>
      </c>
      <c r="C588">
        <v>37</v>
      </c>
    </row>
    <row r="589" spans="1:3" x14ac:dyDescent="0.35">
      <c r="A589">
        <v>17031804606</v>
      </c>
      <c r="B589" t="s">
        <v>1116</v>
      </c>
      <c r="C589">
        <v>37</v>
      </c>
    </row>
    <row r="590" spans="1:3" x14ac:dyDescent="0.35">
      <c r="A590">
        <v>17031031400</v>
      </c>
      <c r="B590" t="s">
        <v>1117</v>
      </c>
      <c r="C590">
        <v>37</v>
      </c>
    </row>
    <row r="591" spans="1:3" x14ac:dyDescent="0.35">
      <c r="A591">
        <v>18089030300</v>
      </c>
      <c r="B591" t="s">
        <v>1118</v>
      </c>
      <c r="C591">
        <v>37</v>
      </c>
    </row>
    <row r="592" spans="1:3" x14ac:dyDescent="0.35">
      <c r="A592">
        <v>17197880502</v>
      </c>
      <c r="B592" t="s">
        <v>1119</v>
      </c>
      <c r="C592">
        <v>36</v>
      </c>
    </row>
    <row r="593" spans="1:3" x14ac:dyDescent="0.35">
      <c r="A593">
        <v>18127050506</v>
      </c>
      <c r="B593" t="s">
        <v>1120</v>
      </c>
      <c r="C593">
        <v>36</v>
      </c>
    </row>
    <row r="594" spans="1:3" x14ac:dyDescent="0.35">
      <c r="A594">
        <v>17031812200</v>
      </c>
      <c r="B594" t="s">
        <v>1121</v>
      </c>
      <c r="C594">
        <v>36</v>
      </c>
    </row>
    <row r="595" spans="1:3" x14ac:dyDescent="0.35">
      <c r="A595">
        <v>17097864518</v>
      </c>
      <c r="B595" t="s">
        <v>1122</v>
      </c>
      <c r="C595">
        <v>36</v>
      </c>
    </row>
    <row r="596" spans="1:3" x14ac:dyDescent="0.35">
      <c r="A596">
        <v>18127050702</v>
      </c>
      <c r="B596" t="s">
        <v>1123</v>
      </c>
      <c r="C596">
        <v>36</v>
      </c>
    </row>
    <row r="597" spans="1:3" x14ac:dyDescent="0.35">
      <c r="A597">
        <v>17089850105</v>
      </c>
      <c r="B597" t="s">
        <v>1124</v>
      </c>
      <c r="C597">
        <v>36</v>
      </c>
    </row>
    <row r="598" spans="1:3" x14ac:dyDescent="0.35">
      <c r="A598">
        <v>17031800900</v>
      </c>
      <c r="B598" t="s">
        <v>1125</v>
      </c>
      <c r="C598">
        <v>36</v>
      </c>
    </row>
    <row r="599" spans="1:3" x14ac:dyDescent="0.35">
      <c r="A599">
        <v>17097864511</v>
      </c>
      <c r="B599" t="s">
        <v>1126</v>
      </c>
      <c r="C599">
        <v>36</v>
      </c>
    </row>
    <row r="600" spans="1:3" x14ac:dyDescent="0.35">
      <c r="A600">
        <v>17031807100</v>
      </c>
      <c r="B600" t="s">
        <v>1127</v>
      </c>
      <c r="C600">
        <v>36</v>
      </c>
    </row>
    <row r="601" spans="1:3" x14ac:dyDescent="0.35">
      <c r="A601">
        <v>17031818200</v>
      </c>
      <c r="B601" t="s">
        <v>1128</v>
      </c>
      <c r="C601">
        <v>36</v>
      </c>
    </row>
    <row r="602" spans="1:3" x14ac:dyDescent="0.35">
      <c r="A602">
        <v>17031010400</v>
      </c>
      <c r="B602" t="s">
        <v>1129</v>
      </c>
      <c r="C602">
        <v>36</v>
      </c>
    </row>
    <row r="603" spans="1:3" x14ac:dyDescent="0.35">
      <c r="A603">
        <v>17197884101</v>
      </c>
      <c r="B603" t="s">
        <v>1130</v>
      </c>
      <c r="C603">
        <v>36</v>
      </c>
    </row>
    <row r="604" spans="1:3" x14ac:dyDescent="0.35">
      <c r="A604">
        <v>17197880309</v>
      </c>
      <c r="B604" t="s">
        <v>1131</v>
      </c>
      <c r="C604">
        <v>36</v>
      </c>
    </row>
    <row r="605" spans="1:3" x14ac:dyDescent="0.35">
      <c r="A605">
        <v>17031824122</v>
      </c>
      <c r="B605" t="s">
        <v>1132</v>
      </c>
      <c r="C605">
        <v>36</v>
      </c>
    </row>
    <row r="606" spans="1:3" x14ac:dyDescent="0.35">
      <c r="A606">
        <v>17031030200</v>
      </c>
      <c r="B606" t="s">
        <v>1133</v>
      </c>
      <c r="C606">
        <v>36</v>
      </c>
    </row>
    <row r="607" spans="1:3" x14ac:dyDescent="0.35">
      <c r="A607">
        <v>17197880203</v>
      </c>
      <c r="B607" t="s">
        <v>1134</v>
      </c>
      <c r="C607">
        <v>35</v>
      </c>
    </row>
    <row r="608" spans="1:3" x14ac:dyDescent="0.35">
      <c r="A608">
        <v>18089042503</v>
      </c>
      <c r="B608" t="s">
        <v>1135</v>
      </c>
      <c r="C608">
        <v>35</v>
      </c>
    </row>
    <row r="609" spans="1:3" x14ac:dyDescent="0.35">
      <c r="A609">
        <v>17031824106</v>
      </c>
      <c r="B609" t="s">
        <v>1136</v>
      </c>
      <c r="C609">
        <v>35</v>
      </c>
    </row>
    <row r="610" spans="1:3" x14ac:dyDescent="0.35">
      <c r="A610">
        <v>17031221400</v>
      </c>
      <c r="B610" t="s">
        <v>1137</v>
      </c>
      <c r="C610">
        <v>35</v>
      </c>
    </row>
    <row r="611" spans="1:3" x14ac:dyDescent="0.35">
      <c r="A611">
        <v>17031802004</v>
      </c>
      <c r="B611" t="s">
        <v>1138</v>
      </c>
      <c r="C611">
        <v>35</v>
      </c>
    </row>
    <row r="612" spans="1:3" x14ac:dyDescent="0.35">
      <c r="A612">
        <v>17031823806</v>
      </c>
      <c r="B612" t="s">
        <v>1139</v>
      </c>
      <c r="C612">
        <v>35</v>
      </c>
    </row>
    <row r="613" spans="1:3" x14ac:dyDescent="0.35">
      <c r="A613">
        <v>17031808900</v>
      </c>
      <c r="B613" t="s">
        <v>1140</v>
      </c>
      <c r="C613">
        <v>35</v>
      </c>
    </row>
    <row r="614" spans="1:3" x14ac:dyDescent="0.35">
      <c r="A614">
        <v>17197881112</v>
      </c>
      <c r="B614" t="s">
        <v>1141</v>
      </c>
      <c r="C614">
        <v>35</v>
      </c>
    </row>
    <row r="615" spans="1:3" x14ac:dyDescent="0.35">
      <c r="A615">
        <v>17031829902</v>
      </c>
      <c r="B615" t="s">
        <v>1142</v>
      </c>
      <c r="C615">
        <v>35</v>
      </c>
    </row>
    <row r="616" spans="1:3" x14ac:dyDescent="0.35">
      <c r="A616">
        <v>17043845809</v>
      </c>
      <c r="B616" t="s">
        <v>1143</v>
      </c>
      <c r="C616">
        <v>35</v>
      </c>
    </row>
    <row r="617" spans="1:3" x14ac:dyDescent="0.35">
      <c r="A617">
        <v>17031808800</v>
      </c>
      <c r="B617" t="s">
        <v>1144</v>
      </c>
      <c r="C617">
        <v>35</v>
      </c>
    </row>
    <row r="618" spans="1:3" x14ac:dyDescent="0.35">
      <c r="A618">
        <v>17031829800</v>
      </c>
      <c r="B618" t="s">
        <v>1145</v>
      </c>
      <c r="C618">
        <v>35</v>
      </c>
    </row>
    <row r="619" spans="1:3" x14ac:dyDescent="0.35">
      <c r="A619">
        <v>17031836700</v>
      </c>
      <c r="B619" t="s">
        <v>1146</v>
      </c>
      <c r="C619">
        <v>35</v>
      </c>
    </row>
    <row r="620" spans="1:3" x14ac:dyDescent="0.35">
      <c r="A620">
        <v>17089854503</v>
      </c>
      <c r="B620" t="s">
        <v>1147</v>
      </c>
      <c r="C620">
        <v>34</v>
      </c>
    </row>
    <row r="621" spans="1:3" x14ac:dyDescent="0.35">
      <c r="A621">
        <v>17031820502</v>
      </c>
      <c r="B621" t="s">
        <v>1148</v>
      </c>
      <c r="C621">
        <v>34</v>
      </c>
    </row>
    <row r="622" spans="1:3" x14ac:dyDescent="0.35">
      <c r="A622">
        <v>17089854001</v>
      </c>
      <c r="B622" t="s">
        <v>1149</v>
      </c>
      <c r="C622">
        <v>34</v>
      </c>
    </row>
    <row r="623" spans="1:3" x14ac:dyDescent="0.35">
      <c r="A623">
        <v>17043842708</v>
      </c>
      <c r="B623" t="s">
        <v>1150</v>
      </c>
      <c r="C623">
        <v>34</v>
      </c>
    </row>
    <row r="624" spans="1:3" x14ac:dyDescent="0.35">
      <c r="A624">
        <v>17031824505</v>
      </c>
      <c r="B624" t="s">
        <v>1151</v>
      </c>
      <c r="C624">
        <v>34</v>
      </c>
    </row>
    <row r="625" spans="1:3" x14ac:dyDescent="0.35">
      <c r="A625">
        <v>17031301701</v>
      </c>
      <c r="B625" t="s">
        <v>1152</v>
      </c>
      <c r="C625">
        <v>34</v>
      </c>
    </row>
    <row r="626" spans="1:3" x14ac:dyDescent="0.35">
      <c r="A626">
        <v>17089852401</v>
      </c>
      <c r="B626" t="s">
        <v>1153</v>
      </c>
      <c r="C626">
        <v>34</v>
      </c>
    </row>
    <row r="627" spans="1:3" x14ac:dyDescent="0.35">
      <c r="A627">
        <v>17031828300</v>
      </c>
      <c r="B627" t="s">
        <v>1154</v>
      </c>
      <c r="C627">
        <v>34</v>
      </c>
    </row>
    <row r="628" spans="1:3" x14ac:dyDescent="0.35">
      <c r="A628">
        <v>17197883810</v>
      </c>
      <c r="B628" t="s">
        <v>1155</v>
      </c>
      <c r="C628">
        <v>34</v>
      </c>
    </row>
    <row r="629" spans="1:3" x14ac:dyDescent="0.35">
      <c r="A629">
        <v>17031031000</v>
      </c>
      <c r="B629" t="s">
        <v>1156</v>
      </c>
      <c r="C629">
        <v>34</v>
      </c>
    </row>
    <row r="630" spans="1:3" x14ac:dyDescent="0.35">
      <c r="A630">
        <v>17031825303</v>
      </c>
      <c r="B630" t="s">
        <v>1157</v>
      </c>
      <c r="C630">
        <v>34</v>
      </c>
    </row>
    <row r="631" spans="1:3" x14ac:dyDescent="0.35">
      <c r="A631">
        <v>17031242600</v>
      </c>
      <c r="B631" t="s">
        <v>1158</v>
      </c>
      <c r="C631">
        <v>34</v>
      </c>
    </row>
    <row r="632" spans="1:3" x14ac:dyDescent="0.35">
      <c r="A632">
        <v>17031823302</v>
      </c>
      <c r="B632" t="s">
        <v>1159</v>
      </c>
      <c r="C632">
        <v>34</v>
      </c>
    </row>
    <row r="633" spans="1:3" x14ac:dyDescent="0.35">
      <c r="A633">
        <v>17043841703</v>
      </c>
      <c r="B633" t="s">
        <v>1160</v>
      </c>
      <c r="C633">
        <v>34</v>
      </c>
    </row>
    <row r="634" spans="1:3" x14ac:dyDescent="0.35">
      <c r="A634">
        <v>17089850302</v>
      </c>
      <c r="B634" t="s">
        <v>1161</v>
      </c>
      <c r="C634">
        <v>34</v>
      </c>
    </row>
    <row r="635" spans="1:3" x14ac:dyDescent="0.35">
      <c r="A635">
        <v>18127051002</v>
      </c>
      <c r="B635" t="s">
        <v>1162</v>
      </c>
      <c r="C635">
        <v>34</v>
      </c>
    </row>
    <row r="636" spans="1:3" x14ac:dyDescent="0.35">
      <c r="A636">
        <v>17089852806</v>
      </c>
      <c r="B636" t="s">
        <v>1163</v>
      </c>
      <c r="C636">
        <v>33</v>
      </c>
    </row>
    <row r="637" spans="1:3" x14ac:dyDescent="0.35">
      <c r="A637">
        <v>17043845502</v>
      </c>
      <c r="B637" t="s">
        <v>1164</v>
      </c>
      <c r="C637">
        <v>33</v>
      </c>
    </row>
    <row r="638" spans="1:3" x14ac:dyDescent="0.35">
      <c r="A638">
        <v>17031811100</v>
      </c>
      <c r="B638" t="s">
        <v>1165</v>
      </c>
      <c r="C638">
        <v>33</v>
      </c>
    </row>
    <row r="639" spans="1:3" x14ac:dyDescent="0.35">
      <c r="A639">
        <v>17043841108</v>
      </c>
      <c r="B639" t="s">
        <v>1166</v>
      </c>
      <c r="C639">
        <v>33</v>
      </c>
    </row>
    <row r="640" spans="1:3" x14ac:dyDescent="0.35">
      <c r="A640">
        <v>17089854400</v>
      </c>
      <c r="B640" t="s">
        <v>1167</v>
      </c>
      <c r="C640">
        <v>33</v>
      </c>
    </row>
    <row r="641" spans="1:3" x14ac:dyDescent="0.35">
      <c r="A641">
        <v>17031560900</v>
      </c>
      <c r="B641" t="s">
        <v>1168</v>
      </c>
      <c r="C641">
        <v>33</v>
      </c>
    </row>
    <row r="642" spans="1:3" x14ac:dyDescent="0.35">
      <c r="A642">
        <v>17031120400</v>
      </c>
      <c r="B642" t="s">
        <v>1169</v>
      </c>
      <c r="C642">
        <v>33</v>
      </c>
    </row>
    <row r="643" spans="1:3" x14ac:dyDescent="0.35">
      <c r="A643">
        <v>18127050704</v>
      </c>
      <c r="B643" t="s">
        <v>1170</v>
      </c>
      <c r="C643">
        <v>33</v>
      </c>
    </row>
    <row r="644" spans="1:3" x14ac:dyDescent="0.35">
      <c r="A644">
        <v>17031824123</v>
      </c>
      <c r="B644" t="s">
        <v>1171</v>
      </c>
      <c r="C644">
        <v>33</v>
      </c>
    </row>
    <row r="645" spans="1:3" x14ac:dyDescent="0.35">
      <c r="A645">
        <v>17043845810</v>
      </c>
      <c r="B645" t="s">
        <v>1172</v>
      </c>
      <c r="C645">
        <v>33</v>
      </c>
    </row>
    <row r="646" spans="1:3" x14ac:dyDescent="0.35">
      <c r="A646">
        <v>17197880314</v>
      </c>
      <c r="B646" t="s">
        <v>1173</v>
      </c>
      <c r="C646">
        <v>33</v>
      </c>
    </row>
    <row r="647" spans="1:3" x14ac:dyDescent="0.35">
      <c r="A647">
        <v>17063000400</v>
      </c>
      <c r="B647" t="s">
        <v>1174</v>
      </c>
      <c r="C647">
        <v>33</v>
      </c>
    </row>
    <row r="648" spans="1:3" x14ac:dyDescent="0.35">
      <c r="A648">
        <v>17031825503</v>
      </c>
      <c r="B648" t="s">
        <v>1175</v>
      </c>
      <c r="C648">
        <v>33</v>
      </c>
    </row>
    <row r="649" spans="1:3" x14ac:dyDescent="0.35">
      <c r="A649">
        <v>17097860400</v>
      </c>
      <c r="B649" t="s">
        <v>1176</v>
      </c>
      <c r="C649">
        <v>33</v>
      </c>
    </row>
    <row r="650" spans="1:3" x14ac:dyDescent="0.35">
      <c r="A650">
        <v>17097861610</v>
      </c>
      <c r="B650" t="s">
        <v>1177</v>
      </c>
      <c r="C650">
        <v>33</v>
      </c>
    </row>
    <row r="651" spans="1:3" x14ac:dyDescent="0.35">
      <c r="A651">
        <v>17031700402</v>
      </c>
      <c r="B651" t="s">
        <v>1178</v>
      </c>
      <c r="C651">
        <v>33</v>
      </c>
    </row>
    <row r="652" spans="1:3" x14ac:dyDescent="0.35">
      <c r="A652">
        <v>17031828201</v>
      </c>
      <c r="B652" t="s">
        <v>1179</v>
      </c>
      <c r="C652">
        <v>33</v>
      </c>
    </row>
    <row r="653" spans="1:3" x14ac:dyDescent="0.35">
      <c r="A653">
        <v>17097863701</v>
      </c>
      <c r="B653" t="s">
        <v>1180</v>
      </c>
      <c r="C653">
        <v>33</v>
      </c>
    </row>
    <row r="654" spans="1:3" x14ac:dyDescent="0.35">
      <c r="A654">
        <v>17097861509</v>
      </c>
      <c r="B654" t="s">
        <v>1181</v>
      </c>
      <c r="C654">
        <v>32</v>
      </c>
    </row>
    <row r="655" spans="1:3" x14ac:dyDescent="0.35">
      <c r="A655">
        <v>17043844100</v>
      </c>
      <c r="B655" t="s">
        <v>1182</v>
      </c>
      <c r="C655">
        <v>32</v>
      </c>
    </row>
    <row r="656" spans="1:3" x14ac:dyDescent="0.35">
      <c r="A656">
        <v>17031804108</v>
      </c>
      <c r="B656" t="s">
        <v>1183</v>
      </c>
      <c r="C656">
        <v>32</v>
      </c>
    </row>
    <row r="657" spans="1:3" x14ac:dyDescent="0.35">
      <c r="A657">
        <v>17031830900</v>
      </c>
      <c r="B657" t="s">
        <v>1184</v>
      </c>
      <c r="C657">
        <v>32</v>
      </c>
    </row>
    <row r="658" spans="1:3" x14ac:dyDescent="0.35">
      <c r="A658">
        <v>17031809200</v>
      </c>
      <c r="B658" t="s">
        <v>1185</v>
      </c>
      <c r="C658">
        <v>32</v>
      </c>
    </row>
    <row r="659" spans="1:3" x14ac:dyDescent="0.35">
      <c r="A659">
        <v>18089042704</v>
      </c>
      <c r="B659" t="s">
        <v>1186</v>
      </c>
      <c r="C659">
        <v>32</v>
      </c>
    </row>
    <row r="660" spans="1:3" x14ac:dyDescent="0.35">
      <c r="A660">
        <v>17031815702</v>
      </c>
      <c r="B660" t="s">
        <v>1187</v>
      </c>
      <c r="C660">
        <v>32</v>
      </c>
    </row>
    <row r="661" spans="1:3" x14ac:dyDescent="0.35">
      <c r="A661">
        <v>17043841113</v>
      </c>
      <c r="B661" t="s">
        <v>1188</v>
      </c>
      <c r="C661">
        <v>32</v>
      </c>
    </row>
    <row r="662" spans="1:3" x14ac:dyDescent="0.35">
      <c r="A662">
        <v>17043846310</v>
      </c>
      <c r="B662" t="s">
        <v>1189</v>
      </c>
      <c r="C662">
        <v>32</v>
      </c>
    </row>
    <row r="663" spans="1:3" x14ac:dyDescent="0.35">
      <c r="A663">
        <v>17031390700</v>
      </c>
      <c r="B663" t="s">
        <v>1190</v>
      </c>
      <c r="C663">
        <v>32</v>
      </c>
    </row>
    <row r="664" spans="1:3" x14ac:dyDescent="0.35">
      <c r="A664">
        <v>17031062500</v>
      </c>
      <c r="B664" t="s">
        <v>1191</v>
      </c>
      <c r="C664">
        <v>32</v>
      </c>
    </row>
    <row r="665" spans="1:3" x14ac:dyDescent="0.35">
      <c r="A665">
        <v>18089040401</v>
      </c>
      <c r="B665" t="s">
        <v>1192</v>
      </c>
      <c r="C665">
        <v>32</v>
      </c>
    </row>
    <row r="666" spans="1:3" x14ac:dyDescent="0.35">
      <c r="A666">
        <v>17031031800</v>
      </c>
      <c r="B666" t="s">
        <v>1193</v>
      </c>
      <c r="C666">
        <v>32</v>
      </c>
    </row>
    <row r="667" spans="1:3" x14ac:dyDescent="0.35">
      <c r="A667">
        <v>17031242000</v>
      </c>
      <c r="B667" t="s">
        <v>1194</v>
      </c>
      <c r="C667">
        <v>32</v>
      </c>
    </row>
    <row r="668" spans="1:3" x14ac:dyDescent="0.35">
      <c r="A668">
        <v>17031822101</v>
      </c>
      <c r="B668" t="s">
        <v>1195</v>
      </c>
      <c r="C668">
        <v>32</v>
      </c>
    </row>
    <row r="669" spans="1:3" x14ac:dyDescent="0.35">
      <c r="A669">
        <v>17031770601</v>
      </c>
      <c r="B669" t="s">
        <v>1196</v>
      </c>
      <c r="C669">
        <v>32</v>
      </c>
    </row>
    <row r="670" spans="1:3" x14ac:dyDescent="0.35">
      <c r="A670">
        <v>17031803200</v>
      </c>
      <c r="B670" t="s">
        <v>1197</v>
      </c>
      <c r="C670">
        <v>32</v>
      </c>
    </row>
    <row r="671" spans="1:3" x14ac:dyDescent="0.35">
      <c r="A671">
        <v>17031804109</v>
      </c>
      <c r="B671" t="s">
        <v>1198</v>
      </c>
      <c r="C671">
        <v>32</v>
      </c>
    </row>
    <row r="672" spans="1:3" x14ac:dyDescent="0.35">
      <c r="A672">
        <v>18089012400</v>
      </c>
      <c r="B672" t="s">
        <v>1199</v>
      </c>
      <c r="C672">
        <v>32</v>
      </c>
    </row>
    <row r="673" spans="1:3" x14ac:dyDescent="0.35">
      <c r="A673">
        <v>17031240300</v>
      </c>
      <c r="B673" t="s">
        <v>1200</v>
      </c>
      <c r="C673">
        <v>32</v>
      </c>
    </row>
    <row r="674" spans="1:3" x14ac:dyDescent="0.35">
      <c r="A674">
        <v>17197883208</v>
      </c>
      <c r="B674" t="s">
        <v>1201</v>
      </c>
      <c r="C674">
        <v>31</v>
      </c>
    </row>
    <row r="675" spans="1:3" x14ac:dyDescent="0.35">
      <c r="A675">
        <v>17031242300</v>
      </c>
      <c r="B675" t="s">
        <v>1202</v>
      </c>
      <c r="C675">
        <v>31</v>
      </c>
    </row>
    <row r="676" spans="1:3" x14ac:dyDescent="0.35">
      <c r="A676">
        <v>17097861604</v>
      </c>
      <c r="B676" t="s">
        <v>1203</v>
      </c>
      <c r="C676">
        <v>31</v>
      </c>
    </row>
    <row r="677" spans="1:3" x14ac:dyDescent="0.35">
      <c r="A677">
        <v>17031808200</v>
      </c>
      <c r="B677" t="s">
        <v>1204</v>
      </c>
      <c r="C677">
        <v>31</v>
      </c>
    </row>
    <row r="678" spans="1:3" x14ac:dyDescent="0.35">
      <c r="A678">
        <v>17043845602</v>
      </c>
      <c r="B678" t="s">
        <v>1205</v>
      </c>
      <c r="C678">
        <v>31</v>
      </c>
    </row>
    <row r="679" spans="1:3" x14ac:dyDescent="0.35">
      <c r="A679">
        <v>17031490901</v>
      </c>
      <c r="B679" t="s">
        <v>1206</v>
      </c>
      <c r="C679">
        <v>31</v>
      </c>
    </row>
    <row r="680" spans="1:3" x14ac:dyDescent="0.35">
      <c r="A680">
        <v>17089852606</v>
      </c>
      <c r="B680" t="s">
        <v>1207</v>
      </c>
      <c r="C680">
        <v>31</v>
      </c>
    </row>
    <row r="681" spans="1:3" x14ac:dyDescent="0.35">
      <c r="A681">
        <v>17097861609</v>
      </c>
      <c r="B681" t="s">
        <v>1208</v>
      </c>
      <c r="C681">
        <v>31</v>
      </c>
    </row>
    <row r="682" spans="1:3" x14ac:dyDescent="0.35">
      <c r="A682">
        <v>17197880117</v>
      </c>
      <c r="B682" t="s">
        <v>1209</v>
      </c>
      <c r="C682">
        <v>31</v>
      </c>
    </row>
    <row r="683" spans="1:3" x14ac:dyDescent="0.35">
      <c r="A683">
        <v>17111871600</v>
      </c>
      <c r="B683" t="s">
        <v>1210</v>
      </c>
      <c r="C683">
        <v>31</v>
      </c>
    </row>
    <row r="684" spans="1:3" x14ac:dyDescent="0.35">
      <c r="A684">
        <v>17031440101</v>
      </c>
      <c r="B684" t="s">
        <v>1211</v>
      </c>
      <c r="C684">
        <v>31</v>
      </c>
    </row>
    <row r="685" spans="1:3" x14ac:dyDescent="0.35">
      <c r="A685">
        <v>17031480400</v>
      </c>
      <c r="B685" t="s">
        <v>1212</v>
      </c>
      <c r="C685">
        <v>31</v>
      </c>
    </row>
    <row r="686" spans="1:3" x14ac:dyDescent="0.35">
      <c r="A686">
        <v>17031061500</v>
      </c>
      <c r="B686" t="s">
        <v>1213</v>
      </c>
      <c r="C686">
        <v>31</v>
      </c>
    </row>
    <row r="687" spans="1:3" x14ac:dyDescent="0.35">
      <c r="A687">
        <v>17031807900</v>
      </c>
      <c r="B687" t="s">
        <v>1214</v>
      </c>
      <c r="C687">
        <v>31</v>
      </c>
    </row>
    <row r="688" spans="1:3" x14ac:dyDescent="0.35">
      <c r="A688">
        <v>17043840103</v>
      </c>
      <c r="B688" t="s">
        <v>1215</v>
      </c>
      <c r="C688">
        <v>31</v>
      </c>
    </row>
    <row r="689" spans="1:3" x14ac:dyDescent="0.35">
      <c r="A689">
        <v>17031640400</v>
      </c>
      <c r="B689" t="s">
        <v>1216</v>
      </c>
      <c r="C689">
        <v>31</v>
      </c>
    </row>
    <row r="690" spans="1:3" x14ac:dyDescent="0.35">
      <c r="A690">
        <v>17089851000</v>
      </c>
      <c r="B690" t="s">
        <v>1217</v>
      </c>
      <c r="C690">
        <v>31</v>
      </c>
    </row>
    <row r="691" spans="1:3" x14ac:dyDescent="0.35">
      <c r="A691">
        <v>17031832200</v>
      </c>
      <c r="B691" t="s">
        <v>1218</v>
      </c>
      <c r="C691">
        <v>31</v>
      </c>
    </row>
    <row r="692" spans="1:3" x14ac:dyDescent="0.35">
      <c r="A692">
        <v>17031827400</v>
      </c>
      <c r="B692" t="s">
        <v>1219</v>
      </c>
      <c r="C692">
        <v>31</v>
      </c>
    </row>
    <row r="693" spans="1:3" x14ac:dyDescent="0.35">
      <c r="A693">
        <v>17043841326</v>
      </c>
      <c r="B693" t="s">
        <v>1220</v>
      </c>
      <c r="C693">
        <v>30</v>
      </c>
    </row>
    <row r="694" spans="1:3" x14ac:dyDescent="0.35">
      <c r="A694">
        <v>17031050200</v>
      </c>
      <c r="B694" t="s">
        <v>1221</v>
      </c>
      <c r="C694">
        <v>30</v>
      </c>
    </row>
    <row r="695" spans="1:3" x14ac:dyDescent="0.35">
      <c r="A695">
        <v>17031805701</v>
      </c>
      <c r="B695" t="s">
        <v>1222</v>
      </c>
      <c r="C695">
        <v>30</v>
      </c>
    </row>
    <row r="696" spans="1:3" x14ac:dyDescent="0.35">
      <c r="A696">
        <v>17093890500</v>
      </c>
      <c r="B696" t="s">
        <v>1223</v>
      </c>
      <c r="C696">
        <v>30</v>
      </c>
    </row>
    <row r="697" spans="1:3" x14ac:dyDescent="0.35">
      <c r="A697">
        <v>55059000300</v>
      </c>
      <c r="B697" t="s">
        <v>1224</v>
      </c>
      <c r="C697">
        <v>30</v>
      </c>
    </row>
    <row r="698" spans="1:3" x14ac:dyDescent="0.35">
      <c r="A698">
        <v>17197880114</v>
      </c>
      <c r="B698" t="s">
        <v>1225</v>
      </c>
      <c r="C698">
        <v>30</v>
      </c>
    </row>
    <row r="699" spans="1:3" x14ac:dyDescent="0.35">
      <c r="A699">
        <v>55059001800</v>
      </c>
      <c r="B699" t="s">
        <v>1226</v>
      </c>
      <c r="C699">
        <v>30</v>
      </c>
    </row>
    <row r="700" spans="1:3" x14ac:dyDescent="0.35">
      <c r="A700">
        <v>17031828402</v>
      </c>
      <c r="B700" t="s">
        <v>1227</v>
      </c>
      <c r="C700">
        <v>30</v>
      </c>
    </row>
    <row r="701" spans="1:3" x14ac:dyDescent="0.35">
      <c r="A701">
        <v>17031831000</v>
      </c>
      <c r="B701" t="s">
        <v>1228</v>
      </c>
      <c r="C701">
        <v>30</v>
      </c>
    </row>
    <row r="702" spans="1:3" x14ac:dyDescent="0.35">
      <c r="A702">
        <v>17097861010</v>
      </c>
      <c r="B702" t="s">
        <v>1229</v>
      </c>
      <c r="C702">
        <v>30</v>
      </c>
    </row>
    <row r="703" spans="1:3" x14ac:dyDescent="0.35">
      <c r="A703">
        <v>17089852403</v>
      </c>
      <c r="B703" t="s">
        <v>1230</v>
      </c>
      <c r="C703">
        <v>30</v>
      </c>
    </row>
    <row r="704" spans="1:3" x14ac:dyDescent="0.35">
      <c r="A704">
        <v>17097864101</v>
      </c>
      <c r="B704" t="s">
        <v>1231</v>
      </c>
      <c r="C704">
        <v>30</v>
      </c>
    </row>
    <row r="705" spans="1:3" x14ac:dyDescent="0.35">
      <c r="A705">
        <v>17031810800</v>
      </c>
      <c r="B705" t="s">
        <v>1232</v>
      </c>
      <c r="C705">
        <v>30</v>
      </c>
    </row>
    <row r="706" spans="1:3" x14ac:dyDescent="0.35">
      <c r="A706">
        <v>17031100700</v>
      </c>
      <c r="B706" t="s">
        <v>1233</v>
      </c>
      <c r="C706">
        <v>30</v>
      </c>
    </row>
    <row r="707" spans="1:3" x14ac:dyDescent="0.35">
      <c r="A707">
        <v>18089040501</v>
      </c>
      <c r="B707" t="s">
        <v>1234</v>
      </c>
      <c r="C707">
        <v>29</v>
      </c>
    </row>
    <row r="708" spans="1:3" x14ac:dyDescent="0.35">
      <c r="A708">
        <v>17043844801</v>
      </c>
      <c r="B708" t="s">
        <v>1235</v>
      </c>
      <c r="C708">
        <v>29</v>
      </c>
    </row>
    <row r="709" spans="1:3" x14ac:dyDescent="0.35">
      <c r="A709">
        <v>17097864305</v>
      </c>
      <c r="B709" t="s">
        <v>1236</v>
      </c>
      <c r="C709">
        <v>29</v>
      </c>
    </row>
    <row r="710" spans="1:3" x14ac:dyDescent="0.35">
      <c r="A710">
        <v>17097860806</v>
      </c>
      <c r="B710" t="s">
        <v>1237</v>
      </c>
      <c r="C710">
        <v>29</v>
      </c>
    </row>
    <row r="711" spans="1:3" x14ac:dyDescent="0.35">
      <c r="A711">
        <v>17031140800</v>
      </c>
      <c r="B711" t="s">
        <v>1238</v>
      </c>
      <c r="C711">
        <v>29</v>
      </c>
    </row>
    <row r="712" spans="1:3" x14ac:dyDescent="0.35">
      <c r="A712">
        <v>17097864517</v>
      </c>
      <c r="B712" t="s">
        <v>1239</v>
      </c>
      <c r="C712">
        <v>29</v>
      </c>
    </row>
    <row r="713" spans="1:3" x14ac:dyDescent="0.35">
      <c r="A713">
        <v>17031816402</v>
      </c>
      <c r="B713" t="s">
        <v>1240</v>
      </c>
      <c r="C713">
        <v>29</v>
      </c>
    </row>
    <row r="714" spans="1:3" x14ac:dyDescent="0.35">
      <c r="A714">
        <v>17097864105</v>
      </c>
      <c r="B714" t="s">
        <v>1241</v>
      </c>
      <c r="C714">
        <v>29</v>
      </c>
    </row>
    <row r="715" spans="1:3" x14ac:dyDescent="0.35">
      <c r="A715">
        <v>17031680900</v>
      </c>
      <c r="B715" t="s">
        <v>1242</v>
      </c>
      <c r="C715">
        <v>29</v>
      </c>
    </row>
    <row r="716" spans="1:3" x14ac:dyDescent="0.35">
      <c r="A716">
        <v>17031070700</v>
      </c>
      <c r="B716" t="s">
        <v>1243</v>
      </c>
      <c r="C716">
        <v>29</v>
      </c>
    </row>
    <row r="717" spans="1:3" x14ac:dyDescent="0.35">
      <c r="A717">
        <v>17031242400</v>
      </c>
      <c r="B717" t="s">
        <v>1244</v>
      </c>
      <c r="C717">
        <v>29</v>
      </c>
    </row>
    <row r="718" spans="1:3" x14ac:dyDescent="0.35">
      <c r="A718">
        <v>17031460500</v>
      </c>
      <c r="B718" t="s">
        <v>1245</v>
      </c>
      <c r="C718">
        <v>29</v>
      </c>
    </row>
    <row r="719" spans="1:3" x14ac:dyDescent="0.35">
      <c r="A719">
        <v>17031200200</v>
      </c>
      <c r="B719" t="s">
        <v>1246</v>
      </c>
      <c r="C719">
        <v>29</v>
      </c>
    </row>
    <row r="720" spans="1:3" x14ac:dyDescent="0.35">
      <c r="A720">
        <v>17031834200</v>
      </c>
      <c r="B720" t="s">
        <v>1247</v>
      </c>
      <c r="C720">
        <v>29</v>
      </c>
    </row>
    <row r="721" spans="1:3" x14ac:dyDescent="0.35">
      <c r="A721">
        <v>17031804715</v>
      </c>
      <c r="B721" t="s">
        <v>1248</v>
      </c>
      <c r="C721">
        <v>29</v>
      </c>
    </row>
    <row r="722" spans="1:3" x14ac:dyDescent="0.35">
      <c r="A722">
        <v>17031805802</v>
      </c>
      <c r="B722" t="s">
        <v>1249</v>
      </c>
      <c r="C722">
        <v>29</v>
      </c>
    </row>
    <row r="723" spans="1:3" x14ac:dyDescent="0.35">
      <c r="A723">
        <v>17031817500</v>
      </c>
      <c r="B723" t="s">
        <v>1250</v>
      </c>
      <c r="C723">
        <v>29</v>
      </c>
    </row>
    <row r="724" spans="1:3" x14ac:dyDescent="0.35">
      <c r="A724">
        <v>17097863400</v>
      </c>
      <c r="B724" t="s">
        <v>1251</v>
      </c>
      <c r="C724">
        <v>29</v>
      </c>
    </row>
    <row r="725" spans="1:3" x14ac:dyDescent="0.35">
      <c r="A725">
        <v>17111870809</v>
      </c>
      <c r="B725" t="s">
        <v>1252</v>
      </c>
      <c r="C725">
        <v>29</v>
      </c>
    </row>
    <row r="726" spans="1:3" x14ac:dyDescent="0.35">
      <c r="A726">
        <v>17031450300</v>
      </c>
      <c r="B726" t="s">
        <v>1253</v>
      </c>
      <c r="C726">
        <v>29</v>
      </c>
    </row>
    <row r="727" spans="1:3" x14ac:dyDescent="0.35">
      <c r="A727">
        <v>17093890700</v>
      </c>
      <c r="B727" t="s">
        <v>1254</v>
      </c>
      <c r="C727">
        <v>29</v>
      </c>
    </row>
    <row r="728" spans="1:3" x14ac:dyDescent="0.35">
      <c r="A728">
        <v>55059002903</v>
      </c>
      <c r="B728" t="s">
        <v>1255</v>
      </c>
      <c r="C728">
        <v>29</v>
      </c>
    </row>
    <row r="729" spans="1:3" x14ac:dyDescent="0.35">
      <c r="A729">
        <v>17031843900</v>
      </c>
      <c r="B729" t="s">
        <v>1256</v>
      </c>
      <c r="C729">
        <v>29</v>
      </c>
    </row>
    <row r="730" spans="1:3" x14ac:dyDescent="0.35">
      <c r="A730">
        <v>17197883307</v>
      </c>
      <c r="B730" t="s">
        <v>1257</v>
      </c>
      <c r="C730">
        <v>28</v>
      </c>
    </row>
    <row r="731" spans="1:3" x14ac:dyDescent="0.35">
      <c r="A731">
        <v>17043840910</v>
      </c>
      <c r="B731" t="s">
        <v>1258</v>
      </c>
      <c r="C731">
        <v>28</v>
      </c>
    </row>
    <row r="732" spans="1:3" x14ac:dyDescent="0.35">
      <c r="A732">
        <v>17043842400</v>
      </c>
      <c r="B732" t="s">
        <v>1259</v>
      </c>
      <c r="C732">
        <v>28</v>
      </c>
    </row>
    <row r="733" spans="1:3" x14ac:dyDescent="0.35">
      <c r="A733">
        <v>17031812801</v>
      </c>
      <c r="B733" t="s">
        <v>1260</v>
      </c>
      <c r="C733">
        <v>28</v>
      </c>
    </row>
    <row r="734" spans="1:3" x14ac:dyDescent="0.35">
      <c r="A734">
        <v>17043841327</v>
      </c>
      <c r="B734" t="s">
        <v>1261</v>
      </c>
      <c r="C734">
        <v>28</v>
      </c>
    </row>
    <row r="735" spans="1:3" x14ac:dyDescent="0.35">
      <c r="A735">
        <v>17031720700</v>
      </c>
      <c r="B735" t="s">
        <v>1262</v>
      </c>
      <c r="C735">
        <v>28</v>
      </c>
    </row>
    <row r="736" spans="1:3" x14ac:dyDescent="0.35">
      <c r="A736">
        <v>17031802503</v>
      </c>
      <c r="B736" t="s">
        <v>1263</v>
      </c>
      <c r="C736">
        <v>28</v>
      </c>
    </row>
    <row r="737" spans="1:3" x14ac:dyDescent="0.35">
      <c r="A737">
        <v>17031804305</v>
      </c>
      <c r="B737" t="s">
        <v>1264</v>
      </c>
      <c r="C737">
        <v>28</v>
      </c>
    </row>
    <row r="738" spans="1:3" x14ac:dyDescent="0.35">
      <c r="A738">
        <v>17063000102</v>
      </c>
      <c r="B738" t="s">
        <v>1265</v>
      </c>
      <c r="C738">
        <v>28</v>
      </c>
    </row>
    <row r="739" spans="1:3" x14ac:dyDescent="0.35">
      <c r="A739">
        <v>17097864107</v>
      </c>
      <c r="B739" t="s">
        <v>1266</v>
      </c>
      <c r="C739">
        <v>28</v>
      </c>
    </row>
    <row r="740" spans="1:3" x14ac:dyDescent="0.35">
      <c r="A740">
        <v>18089041900</v>
      </c>
      <c r="B740" t="s">
        <v>1267</v>
      </c>
      <c r="C740">
        <v>28</v>
      </c>
    </row>
    <row r="741" spans="1:3" x14ac:dyDescent="0.35">
      <c r="A741">
        <v>18089020600</v>
      </c>
      <c r="B741" t="s">
        <v>1268</v>
      </c>
      <c r="C741">
        <v>28</v>
      </c>
    </row>
    <row r="742" spans="1:3" x14ac:dyDescent="0.35">
      <c r="A742">
        <v>18127050300</v>
      </c>
      <c r="B742" t="s">
        <v>1269</v>
      </c>
      <c r="C742">
        <v>28</v>
      </c>
    </row>
    <row r="743" spans="1:3" x14ac:dyDescent="0.35">
      <c r="A743">
        <v>17031813200</v>
      </c>
      <c r="B743" t="s">
        <v>1270</v>
      </c>
      <c r="C743">
        <v>28</v>
      </c>
    </row>
    <row r="744" spans="1:3" x14ac:dyDescent="0.35">
      <c r="A744">
        <v>17031110300</v>
      </c>
      <c r="B744" t="s">
        <v>1271</v>
      </c>
      <c r="C744">
        <v>28</v>
      </c>
    </row>
    <row r="745" spans="1:3" x14ac:dyDescent="0.35">
      <c r="A745">
        <v>17097863903</v>
      </c>
      <c r="B745" t="s">
        <v>1272</v>
      </c>
      <c r="C745">
        <v>28</v>
      </c>
    </row>
    <row r="746" spans="1:3" x14ac:dyDescent="0.35">
      <c r="A746">
        <v>17043845704</v>
      </c>
      <c r="B746" t="s">
        <v>1273</v>
      </c>
      <c r="C746">
        <v>28</v>
      </c>
    </row>
    <row r="747" spans="1:3" x14ac:dyDescent="0.35">
      <c r="A747">
        <v>17031829901</v>
      </c>
      <c r="B747" t="s">
        <v>1274</v>
      </c>
      <c r="C747">
        <v>28</v>
      </c>
    </row>
    <row r="748" spans="1:3" x14ac:dyDescent="0.35">
      <c r="A748">
        <v>17097861804</v>
      </c>
      <c r="B748" t="s">
        <v>1275</v>
      </c>
      <c r="C748">
        <v>28</v>
      </c>
    </row>
    <row r="749" spans="1:3" x14ac:dyDescent="0.35">
      <c r="A749">
        <v>17197883519</v>
      </c>
      <c r="B749" t="s">
        <v>1276</v>
      </c>
      <c r="C749">
        <v>28</v>
      </c>
    </row>
    <row r="750" spans="1:3" x14ac:dyDescent="0.35">
      <c r="A750">
        <v>17043841604</v>
      </c>
      <c r="B750" t="s">
        <v>1277</v>
      </c>
      <c r="C750">
        <v>28</v>
      </c>
    </row>
    <row r="751" spans="1:3" x14ac:dyDescent="0.35">
      <c r="A751">
        <v>17031491100</v>
      </c>
      <c r="B751" t="s">
        <v>1278</v>
      </c>
      <c r="C751">
        <v>28</v>
      </c>
    </row>
    <row r="752" spans="1:3" x14ac:dyDescent="0.35">
      <c r="A752">
        <v>17031300500</v>
      </c>
      <c r="B752" t="s">
        <v>1279</v>
      </c>
      <c r="C752">
        <v>28</v>
      </c>
    </row>
    <row r="753" spans="1:3" x14ac:dyDescent="0.35">
      <c r="A753">
        <v>17043840801</v>
      </c>
      <c r="B753" t="s">
        <v>1280</v>
      </c>
      <c r="C753">
        <v>28</v>
      </c>
    </row>
    <row r="754" spans="1:3" x14ac:dyDescent="0.35">
      <c r="A754">
        <v>17031815900</v>
      </c>
      <c r="B754" t="s">
        <v>1281</v>
      </c>
      <c r="C754">
        <v>28</v>
      </c>
    </row>
    <row r="755" spans="1:3" x14ac:dyDescent="0.35">
      <c r="A755">
        <v>55059003002</v>
      </c>
      <c r="B755" t="s">
        <v>1282</v>
      </c>
      <c r="C755">
        <v>28</v>
      </c>
    </row>
    <row r="756" spans="1:3" x14ac:dyDescent="0.35">
      <c r="A756">
        <v>18089010205</v>
      </c>
      <c r="B756" t="s">
        <v>1283</v>
      </c>
      <c r="C756">
        <v>27</v>
      </c>
    </row>
    <row r="757" spans="1:3" x14ac:dyDescent="0.35">
      <c r="A757">
        <v>17031020701</v>
      </c>
      <c r="B757" t="s">
        <v>1284</v>
      </c>
      <c r="C757">
        <v>27</v>
      </c>
    </row>
    <row r="758" spans="1:3" x14ac:dyDescent="0.35">
      <c r="A758">
        <v>17031805702</v>
      </c>
      <c r="B758" t="s">
        <v>1285</v>
      </c>
      <c r="C758">
        <v>27</v>
      </c>
    </row>
    <row r="759" spans="1:3" x14ac:dyDescent="0.35">
      <c r="A759">
        <v>17031825304</v>
      </c>
      <c r="B759" t="s">
        <v>1286</v>
      </c>
      <c r="C759">
        <v>27</v>
      </c>
    </row>
    <row r="760" spans="1:3" x14ac:dyDescent="0.35">
      <c r="A760">
        <v>17031811800</v>
      </c>
      <c r="B760" t="s">
        <v>1287</v>
      </c>
      <c r="C760">
        <v>27</v>
      </c>
    </row>
    <row r="761" spans="1:3" x14ac:dyDescent="0.35">
      <c r="A761">
        <v>17097863604</v>
      </c>
      <c r="B761" t="s">
        <v>1288</v>
      </c>
      <c r="C761">
        <v>27</v>
      </c>
    </row>
    <row r="762" spans="1:3" x14ac:dyDescent="0.35">
      <c r="A762">
        <v>17031804403</v>
      </c>
      <c r="B762" t="s">
        <v>1289</v>
      </c>
      <c r="C762">
        <v>27</v>
      </c>
    </row>
    <row r="763" spans="1:3" x14ac:dyDescent="0.35">
      <c r="A763">
        <v>17037000200</v>
      </c>
      <c r="B763" t="s">
        <v>1290</v>
      </c>
      <c r="C763">
        <v>27</v>
      </c>
    </row>
    <row r="764" spans="1:3" x14ac:dyDescent="0.35">
      <c r="A764">
        <v>18089011200</v>
      </c>
      <c r="B764" t="s">
        <v>1291</v>
      </c>
      <c r="C764">
        <v>27</v>
      </c>
    </row>
    <row r="765" spans="1:3" x14ac:dyDescent="0.35">
      <c r="A765">
        <v>17031824113</v>
      </c>
      <c r="B765" t="s">
        <v>1292</v>
      </c>
      <c r="C765">
        <v>27</v>
      </c>
    </row>
    <row r="766" spans="1:3" x14ac:dyDescent="0.35">
      <c r="A766">
        <v>17043843301</v>
      </c>
      <c r="B766" t="s">
        <v>1293</v>
      </c>
      <c r="C766">
        <v>27</v>
      </c>
    </row>
    <row r="767" spans="1:3" x14ac:dyDescent="0.35">
      <c r="A767">
        <v>17043844307</v>
      </c>
      <c r="B767" t="s">
        <v>1294</v>
      </c>
      <c r="C767">
        <v>27</v>
      </c>
    </row>
    <row r="768" spans="1:3" x14ac:dyDescent="0.35">
      <c r="A768">
        <v>17097862605</v>
      </c>
      <c r="B768" t="s">
        <v>1295</v>
      </c>
      <c r="C768">
        <v>27</v>
      </c>
    </row>
    <row r="769" spans="1:3" x14ac:dyDescent="0.35">
      <c r="A769">
        <v>17197883513</v>
      </c>
      <c r="B769" t="s">
        <v>1296</v>
      </c>
      <c r="C769">
        <v>27</v>
      </c>
    </row>
    <row r="770" spans="1:3" x14ac:dyDescent="0.35">
      <c r="A770">
        <v>17031817101</v>
      </c>
      <c r="B770" t="s">
        <v>1297</v>
      </c>
      <c r="C770">
        <v>27</v>
      </c>
    </row>
    <row r="771" spans="1:3" x14ac:dyDescent="0.35">
      <c r="A771">
        <v>17031570200</v>
      </c>
      <c r="B771" t="s">
        <v>1298</v>
      </c>
      <c r="C771">
        <v>27</v>
      </c>
    </row>
    <row r="772" spans="1:3" x14ac:dyDescent="0.35">
      <c r="A772">
        <v>17031640500</v>
      </c>
      <c r="B772" t="s">
        <v>1299</v>
      </c>
      <c r="C772">
        <v>27</v>
      </c>
    </row>
    <row r="773" spans="1:3" x14ac:dyDescent="0.35">
      <c r="A773">
        <v>17043845802</v>
      </c>
      <c r="B773" t="s">
        <v>1300</v>
      </c>
      <c r="C773">
        <v>27</v>
      </c>
    </row>
    <row r="774" spans="1:3" x14ac:dyDescent="0.35">
      <c r="A774">
        <v>17031802608</v>
      </c>
      <c r="B774" t="s">
        <v>1301</v>
      </c>
      <c r="C774">
        <v>27</v>
      </c>
    </row>
    <row r="775" spans="1:3" x14ac:dyDescent="0.35">
      <c r="A775">
        <v>17031160200</v>
      </c>
      <c r="B775" t="s">
        <v>1302</v>
      </c>
      <c r="C775">
        <v>27</v>
      </c>
    </row>
    <row r="776" spans="1:3" x14ac:dyDescent="0.35">
      <c r="A776">
        <v>17031822701</v>
      </c>
      <c r="B776" t="s">
        <v>1303</v>
      </c>
      <c r="C776">
        <v>27</v>
      </c>
    </row>
    <row r="777" spans="1:3" x14ac:dyDescent="0.35">
      <c r="A777">
        <v>17031843600</v>
      </c>
      <c r="B777" t="s">
        <v>1304</v>
      </c>
      <c r="C777">
        <v>27</v>
      </c>
    </row>
    <row r="778" spans="1:3" x14ac:dyDescent="0.35">
      <c r="A778">
        <v>17031440102</v>
      </c>
      <c r="B778" t="s">
        <v>1305</v>
      </c>
      <c r="C778">
        <v>27</v>
      </c>
    </row>
    <row r="779" spans="1:3" x14ac:dyDescent="0.35">
      <c r="A779">
        <v>17197880310</v>
      </c>
      <c r="B779" t="s">
        <v>1306</v>
      </c>
      <c r="C779">
        <v>27</v>
      </c>
    </row>
    <row r="780" spans="1:3" x14ac:dyDescent="0.35">
      <c r="A780">
        <v>17031210602</v>
      </c>
      <c r="B780" t="s">
        <v>1307</v>
      </c>
      <c r="C780">
        <v>27</v>
      </c>
    </row>
    <row r="781" spans="1:3" x14ac:dyDescent="0.35">
      <c r="A781">
        <v>17031310800</v>
      </c>
      <c r="B781" t="s">
        <v>1308</v>
      </c>
      <c r="C781">
        <v>27</v>
      </c>
    </row>
    <row r="782" spans="1:3" x14ac:dyDescent="0.35">
      <c r="A782">
        <v>18089041302</v>
      </c>
      <c r="B782" t="s">
        <v>1309</v>
      </c>
      <c r="C782">
        <v>27</v>
      </c>
    </row>
    <row r="783" spans="1:3" x14ac:dyDescent="0.35">
      <c r="A783">
        <v>17097864407</v>
      </c>
      <c r="B783" t="s">
        <v>1310</v>
      </c>
      <c r="C783">
        <v>27</v>
      </c>
    </row>
    <row r="784" spans="1:3" x14ac:dyDescent="0.35">
      <c r="A784">
        <v>17031140400</v>
      </c>
      <c r="B784" t="s">
        <v>1311</v>
      </c>
      <c r="C784">
        <v>27</v>
      </c>
    </row>
    <row r="785" spans="1:3" x14ac:dyDescent="0.35">
      <c r="A785">
        <v>17031805109</v>
      </c>
      <c r="B785" t="s">
        <v>1312</v>
      </c>
      <c r="C785">
        <v>26</v>
      </c>
    </row>
    <row r="786" spans="1:3" x14ac:dyDescent="0.35">
      <c r="A786">
        <v>17043846202</v>
      </c>
      <c r="B786" t="s">
        <v>1313</v>
      </c>
      <c r="C786">
        <v>26</v>
      </c>
    </row>
    <row r="787" spans="1:3" x14ac:dyDescent="0.35">
      <c r="A787">
        <v>17031020100</v>
      </c>
      <c r="B787" t="s">
        <v>1314</v>
      </c>
      <c r="C787">
        <v>26</v>
      </c>
    </row>
    <row r="788" spans="1:3" x14ac:dyDescent="0.35">
      <c r="A788">
        <v>17031843700</v>
      </c>
      <c r="B788" t="s">
        <v>1315</v>
      </c>
      <c r="C788">
        <v>26</v>
      </c>
    </row>
    <row r="789" spans="1:3" x14ac:dyDescent="0.35">
      <c r="A789">
        <v>17031100600</v>
      </c>
      <c r="B789" t="s">
        <v>1316</v>
      </c>
      <c r="C789">
        <v>26</v>
      </c>
    </row>
    <row r="790" spans="1:3" x14ac:dyDescent="0.35">
      <c r="A790">
        <v>17031813301</v>
      </c>
      <c r="B790" t="s">
        <v>1317</v>
      </c>
      <c r="C790">
        <v>26</v>
      </c>
    </row>
    <row r="791" spans="1:3" x14ac:dyDescent="0.35">
      <c r="A791">
        <v>17197883000</v>
      </c>
      <c r="B791" t="s">
        <v>1318</v>
      </c>
      <c r="C791">
        <v>26</v>
      </c>
    </row>
    <row r="792" spans="1:3" x14ac:dyDescent="0.35">
      <c r="A792">
        <v>17031090100</v>
      </c>
      <c r="B792" t="s">
        <v>1319</v>
      </c>
      <c r="C792">
        <v>26</v>
      </c>
    </row>
    <row r="793" spans="1:3" x14ac:dyDescent="0.35">
      <c r="A793">
        <v>17043840600</v>
      </c>
      <c r="B793" t="s">
        <v>1320</v>
      </c>
      <c r="C793">
        <v>26</v>
      </c>
    </row>
    <row r="794" spans="1:3" x14ac:dyDescent="0.35">
      <c r="A794">
        <v>17097864203</v>
      </c>
      <c r="B794" t="s">
        <v>1321</v>
      </c>
      <c r="C794">
        <v>26</v>
      </c>
    </row>
    <row r="795" spans="1:3" x14ac:dyDescent="0.35">
      <c r="A795">
        <v>17031805108</v>
      </c>
      <c r="B795" t="s">
        <v>1322</v>
      </c>
      <c r="C795">
        <v>26</v>
      </c>
    </row>
    <row r="796" spans="1:3" x14ac:dyDescent="0.35">
      <c r="A796">
        <v>17031550100</v>
      </c>
      <c r="B796" t="s">
        <v>1323</v>
      </c>
      <c r="C796">
        <v>26</v>
      </c>
    </row>
    <row r="797" spans="1:3" x14ac:dyDescent="0.35">
      <c r="A797">
        <v>18089042504</v>
      </c>
      <c r="B797" t="s">
        <v>1324</v>
      </c>
      <c r="C797">
        <v>26</v>
      </c>
    </row>
    <row r="798" spans="1:3" x14ac:dyDescent="0.35">
      <c r="A798">
        <v>17031825400</v>
      </c>
      <c r="B798" t="s">
        <v>1325</v>
      </c>
      <c r="C798">
        <v>26</v>
      </c>
    </row>
    <row r="799" spans="1:3" x14ac:dyDescent="0.35">
      <c r="A799">
        <v>17031822302</v>
      </c>
      <c r="B799" t="s">
        <v>1326</v>
      </c>
      <c r="C799">
        <v>26</v>
      </c>
    </row>
    <row r="800" spans="1:3" x14ac:dyDescent="0.35">
      <c r="A800">
        <v>17031100200</v>
      </c>
      <c r="B800" t="s">
        <v>1327</v>
      </c>
      <c r="C800">
        <v>26</v>
      </c>
    </row>
    <row r="801" spans="1:3" x14ac:dyDescent="0.35">
      <c r="A801">
        <v>17089853004</v>
      </c>
      <c r="B801" t="s">
        <v>1328</v>
      </c>
      <c r="C801">
        <v>26</v>
      </c>
    </row>
    <row r="802" spans="1:3" x14ac:dyDescent="0.35">
      <c r="A802">
        <v>17043846207</v>
      </c>
      <c r="B802" t="s">
        <v>1329</v>
      </c>
      <c r="C802">
        <v>26</v>
      </c>
    </row>
    <row r="803" spans="1:3" x14ac:dyDescent="0.35">
      <c r="A803">
        <v>17097860903</v>
      </c>
      <c r="B803" t="s">
        <v>1330</v>
      </c>
      <c r="C803">
        <v>26</v>
      </c>
    </row>
    <row r="804" spans="1:3" x14ac:dyDescent="0.35">
      <c r="A804">
        <v>18089020800</v>
      </c>
      <c r="B804" t="s">
        <v>1331</v>
      </c>
      <c r="C804">
        <v>26</v>
      </c>
    </row>
    <row r="805" spans="1:3" x14ac:dyDescent="0.35">
      <c r="A805">
        <v>17031090300</v>
      </c>
      <c r="B805" t="s">
        <v>1332</v>
      </c>
      <c r="C805">
        <v>26</v>
      </c>
    </row>
    <row r="806" spans="1:3" x14ac:dyDescent="0.35">
      <c r="A806">
        <v>17031420400</v>
      </c>
      <c r="B806" t="s">
        <v>1333</v>
      </c>
      <c r="C806">
        <v>26</v>
      </c>
    </row>
    <row r="807" spans="1:3" x14ac:dyDescent="0.35">
      <c r="A807">
        <v>17031839200</v>
      </c>
      <c r="B807" t="s">
        <v>1334</v>
      </c>
      <c r="C807">
        <v>26</v>
      </c>
    </row>
    <row r="808" spans="1:3" x14ac:dyDescent="0.35">
      <c r="A808">
        <v>17031410600</v>
      </c>
      <c r="B808" t="s">
        <v>1335</v>
      </c>
      <c r="C808">
        <v>26</v>
      </c>
    </row>
    <row r="809" spans="1:3" x14ac:dyDescent="0.35">
      <c r="A809">
        <v>17031823901</v>
      </c>
      <c r="B809" t="s">
        <v>1336</v>
      </c>
      <c r="C809">
        <v>26</v>
      </c>
    </row>
    <row r="810" spans="1:3" x14ac:dyDescent="0.35">
      <c r="A810">
        <v>18089040402</v>
      </c>
      <c r="B810" t="s">
        <v>1337</v>
      </c>
      <c r="C810">
        <v>26</v>
      </c>
    </row>
    <row r="811" spans="1:3" x14ac:dyDescent="0.35">
      <c r="A811">
        <v>17031351000</v>
      </c>
      <c r="B811" t="s">
        <v>1338</v>
      </c>
      <c r="C811">
        <v>26</v>
      </c>
    </row>
    <row r="812" spans="1:3" x14ac:dyDescent="0.35">
      <c r="A812">
        <v>17031842900</v>
      </c>
      <c r="B812" t="s">
        <v>1339</v>
      </c>
      <c r="C812">
        <v>26</v>
      </c>
    </row>
    <row r="813" spans="1:3" x14ac:dyDescent="0.35">
      <c r="A813">
        <v>17031819200</v>
      </c>
      <c r="B813" t="s">
        <v>1340</v>
      </c>
      <c r="C813">
        <v>26</v>
      </c>
    </row>
    <row r="814" spans="1:3" x14ac:dyDescent="0.35">
      <c r="A814">
        <v>17031220500</v>
      </c>
      <c r="B814" t="s">
        <v>1341</v>
      </c>
      <c r="C814">
        <v>26</v>
      </c>
    </row>
    <row r="815" spans="1:3" x14ac:dyDescent="0.35">
      <c r="A815">
        <v>17197881009</v>
      </c>
      <c r="B815" t="s">
        <v>1342</v>
      </c>
      <c r="C815">
        <v>26</v>
      </c>
    </row>
    <row r="816" spans="1:3" x14ac:dyDescent="0.35">
      <c r="A816">
        <v>17031826100</v>
      </c>
      <c r="B816" t="s">
        <v>1343</v>
      </c>
      <c r="C816">
        <v>26</v>
      </c>
    </row>
    <row r="817" spans="1:3" x14ac:dyDescent="0.35">
      <c r="A817">
        <v>17043843100</v>
      </c>
      <c r="B817" t="s">
        <v>1344</v>
      </c>
      <c r="C817">
        <v>26</v>
      </c>
    </row>
    <row r="818" spans="1:3" x14ac:dyDescent="0.35">
      <c r="A818">
        <v>17097861607</v>
      </c>
      <c r="B818" t="s">
        <v>1345</v>
      </c>
      <c r="C818">
        <v>26</v>
      </c>
    </row>
    <row r="819" spans="1:3" x14ac:dyDescent="0.35">
      <c r="A819">
        <v>17031824601</v>
      </c>
      <c r="B819" t="s">
        <v>1346</v>
      </c>
      <c r="C819">
        <v>26</v>
      </c>
    </row>
    <row r="820" spans="1:3" x14ac:dyDescent="0.35">
      <c r="A820">
        <v>17031808400</v>
      </c>
      <c r="B820" t="s">
        <v>1347</v>
      </c>
      <c r="C820">
        <v>26</v>
      </c>
    </row>
    <row r="821" spans="1:3" x14ac:dyDescent="0.35">
      <c r="A821">
        <v>17097861014</v>
      </c>
      <c r="B821" t="s">
        <v>1348</v>
      </c>
      <c r="C821">
        <v>25</v>
      </c>
    </row>
    <row r="822" spans="1:3" x14ac:dyDescent="0.35">
      <c r="A822">
        <v>17031420200</v>
      </c>
      <c r="B822" t="s">
        <v>1349</v>
      </c>
      <c r="C822">
        <v>25</v>
      </c>
    </row>
    <row r="823" spans="1:3" x14ac:dyDescent="0.35">
      <c r="A823">
        <v>17031831200</v>
      </c>
      <c r="B823" t="s">
        <v>1350</v>
      </c>
      <c r="C823">
        <v>25</v>
      </c>
    </row>
    <row r="824" spans="1:3" x14ac:dyDescent="0.35">
      <c r="A824">
        <v>17031711300</v>
      </c>
      <c r="B824" t="s">
        <v>1351</v>
      </c>
      <c r="C824">
        <v>25</v>
      </c>
    </row>
    <row r="825" spans="1:3" x14ac:dyDescent="0.35">
      <c r="A825">
        <v>17097864602</v>
      </c>
      <c r="B825" t="s">
        <v>1352</v>
      </c>
      <c r="C825">
        <v>25</v>
      </c>
    </row>
    <row r="826" spans="1:3" x14ac:dyDescent="0.35">
      <c r="A826">
        <v>17111870500</v>
      </c>
      <c r="B826" t="s">
        <v>1353</v>
      </c>
      <c r="C826">
        <v>25</v>
      </c>
    </row>
    <row r="827" spans="1:3" x14ac:dyDescent="0.35">
      <c r="A827">
        <v>17031801200</v>
      </c>
      <c r="B827" t="s">
        <v>1354</v>
      </c>
      <c r="C827">
        <v>25</v>
      </c>
    </row>
    <row r="828" spans="1:3" x14ac:dyDescent="0.35">
      <c r="A828">
        <v>17031828100</v>
      </c>
      <c r="B828" t="s">
        <v>1355</v>
      </c>
      <c r="C828">
        <v>25</v>
      </c>
    </row>
    <row r="829" spans="1:3" x14ac:dyDescent="0.35">
      <c r="A829">
        <v>17031805902</v>
      </c>
      <c r="B829" t="s">
        <v>1356</v>
      </c>
      <c r="C829">
        <v>25</v>
      </c>
    </row>
    <row r="830" spans="1:3" x14ac:dyDescent="0.35">
      <c r="A830">
        <v>17031062700</v>
      </c>
      <c r="B830" t="s">
        <v>1357</v>
      </c>
      <c r="C830">
        <v>25</v>
      </c>
    </row>
    <row r="831" spans="1:3" x14ac:dyDescent="0.35">
      <c r="A831">
        <v>17031823303</v>
      </c>
      <c r="B831" t="s">
        <v>1358</v>
      </c>
      <c r="C831">
        <v>25</v>
      </c>
    </row>
    <row r="832" spans="1:3" x14ac:dyDescent="0.35">
      <c r="A832">
        <v>17197881006</v>
      </c>
      <c r="B832" t="s">
        <v>1359</v>
      </c>
      <c r="C832">
        <v>25</v>
      </c>
    </row>
    <row r="833" spans="1:3" x14ac:dyDescent="0.35">
      <c r="A833">
        <v>17043846209</v>
      </c>
      <c r="B833" t="s">
        <v>1360</v>
      </c>
      <c r="C833">
        <v>25</v>
      </c>
    </row>
    <row r="834" spans="1:3" x14ac:dyDescent="0.35">
      <c r="A834">
        <v>17031805402</v>
      </c>
      <c r="B834" t="s">
        <v>1361</v>
      </c>
      <c r="C834">
        <v>25</v>
      </c>
    </row>
    <row r="835" spans="1:3" x14ac:dyDescent="0.35">
      <c r="A835">
        <v>17031561000</v>
      </c>
      <c r="B835" t="s">
        <v>1362</v>
      </c>
      <c r="C835">
        <v>25</v>
      </c>
    </row>
    <row r="836" spans="1:3" x14ac:dyDescent="0.35">
      <c r="A836">
        <v>17097864412</v>
      </c>
      <c r="B836" t="s">
        <v>1363</v>
      </c>
      <c r="C836">
        <v>25</v>
      </c>
    </row>
    <row r="837" spans="1:3" x14ac:dyDescent="0.35">
      <c r="A837">
        <v>17031020302</v>
      </c>
      <c r="B837" t="s">
        <v>1364</v>
      </c>
      <c r="C837">
        <v>25</v>
      </c>
    </row>
    <row r="838" spans="1:3" x14ac:dyDescent="0.35">
      <c r="A838">
        <v>17031180100</v>
      </c>
      <c r="B838" t="s">
        <v>1365</v>
      </c>
      <c r="C838">
        <v>25</v>
      </c>
    </row>
    <row r="839" spans="1:3" x14ac:dyDescent="0.35">
      <c r="A839">
        <v>17031823602</v>
      </c>
      <c r="B839" t="s">
        <v>1366</v>
      </c>
      <c r="C839">
        <v>25</v>
      </c>
    </row>
    <row r="840" spans="1:3" x14ac:dyDescent="0.35">
      <c r="A840">
        <v>17031806802</v>
      </c>
      <c r="B840" t="s">
        <v>1367</v>
      </c>
      <c r="C840">
        <v>25</v>
      </c>
    </row>
    <row r="841" spans="1:3" x14ac:dyDescent="0.35">
      <c r="A841">
        <v>17089854002</v>
      </c>
      <c r="B841" t="s">
        <v>1368</v>
      </c>
      <c r="C841">
        <v>25</v>
      </c>
    </row>
    <row r="842" spans="1:3" x14ac:dyDescent="0.35">
      <c r="A842">
        <v>17031803603</v>
      </c>
      <c r="B842" t="s">
        <v>1369</v>
      </c>
      <c r="C842">
        <v>25</v>
      </c>
    </row>
    <row r="843" spans="1:3" x14ac:dyDescent="0.35">
      <c r="A843">
        <v>17031160100</v>
      </c>
      <c r="B843" t="s">
        <v>1370</v>
      </c>
      <c r="C843">
        <v>25</v>
      </c>
    </row>
    <row r="844" spans="1:3" x14ac:dyDescent="0.35">
      <c r="A844">
        <v>17031827700</v>
      </c>
      <c r="B844" t="s">
        <v>1371</v>
      </c>
      <c r="C844">
        <v>25</v>
      </c>
    </row>
    <row r="845" spans="1:3" x14ac:dyDescent="0.35">
      <c r="A845">
        <v>17043846408</v>
      </c>
      <c r="B845" t="s">
        <v>1372</v>
      </c>
      <c r="C845">
        <v>25</v>
      </c>
    </row>
    <row r="846" spans="1:3" x14ac:dyDescent="0.35">
      <c r="A846">
        <v>18089042801</v>
      </c>
      <c r="B846" t="s">
        <v>1373</v>
      </c>
      <c r="C846">
        <v>25</v>
      </c>
    </row>
    <row r="847" spans="1:3" x14ac:dyDescent="0.35">
      <c r="A847">
        <v>17197880505</v>
      </c>
      <c r="B847" t="s">
        <v>1374</v>
      </c>
      <c r="C847">
        <v>25</v>
      </c>
    </row>
    <row r="848" spans="1:3" x14ac:dyDescent="0.35">
      <c r="A848">
        <v>17043845200</v>
      </c>
      <c r="B848" t="s">
        <v>1375</v>
      </c>
      <c r="C848">
        <v>25</v>
      </c>
    </row>
    <row r="849" spans="1:3" x14ac:dyDescent="0.35">
      <c r="A849">
        <v>17031020801</v>
      </c>
      <c r="B849" t="s">
        <v>1376</v>
      </c>
      <c r="C849">
        <v>25</v>
      </c>
    </row>
    <row r="850" spans="1:3" x14ac:dyDescent="0.35">
      <c r="A850">
        <v>17097864901</v>
      </c>
      <c r="B850" t="s">
        <v>1377</v>
      </c>
      <c r="C850">
        <v>25</v>
      </c>
    </row>
    <row r="851" spans="1:3" x14ac:dyDescent="0.35">
      <c r="A851">
        <v>17031816000</v>
      </c>
      <c r="B851" t="s">
        <v>1378</v>
      </c>
      <c r="C851">
        <v>24</v>
      </c>
    </row>
    <row r="852" spans="1:3" x14ac:dyDescent="0.35">
      <c r="A852">
        <v>17031819700</v>
      </c>
      <c r="B852" t="s">
        <v>1379</v>
      </c>
      <c r="C852">
        <v>24</v>
      </c>
    </row>
    <row r="853" spans="1:3" x14ac:dyDescent="0.35">
      <c r="A853">
        <v>17031062400</v>
      </c>
      <c r="B853" t="s">
        <v>1380</v>
      </c>
      <c r="C853">
        <v>24</v>
      </c>
    </row>
    <row r="854" spans="1:3" x14ac:dyDescent="0.35">
      <c r="A854">
        <v>17197881116</v>
      </c>
      <c r="B854" t="s">
        <v>1381</v>
      </c>
      <c r="C854">
        <v>24</v>
      </c>
    </row>
    <row r="855" spans="1:3" x14ac:dyDescent="0.35">
      <c r="A855">
        <v>17197880418</v>
      </c>
      <c r="B855" t="s">
        <v>1382</v>
      </c>
      <c r="C855">
        <v>24</v>
      </c>
    </row>
    <row r="856" spans="1:3" x14ac:dyDescent="0.35">
      <c r="A856">
        <v>17043842605</v>
      </c>
      <c r="B856" t="s">
        <v>1383</v>
      </c>
      <c r="C856">
        <v>24</v>
      </c>
    </row>
    <row r="857" spans="1:3" x14ac:dyDescent="0.35">
      <c r="A857">
        <v>17031063303</v>
      </c>
      <c r="B857" t="s">
        <v>1384</v>
      </c>
      <c r="C857">
        <v>24</v>
      </c>
    </row>
    <row r="858" spans="1:3" x14ac:dyDescent="0.35">
      <c r="A858">
        <v>17043840911</v>
      </c>
      <c r="B858" t="s">
        <v>1385</v>
      </c>
      <c r="C858">
        <v>24</v>
      </c>
    </row>
    <row r="859" spans="1:3" x14ac:dyDescent="0.35">
      <c r="A859">
        <v>17031240500</v>
      </c>
      <c r="B859" t="s">
        <v>1386</v>
      </c>
      <c r="C859">
        <v>24</v>
      </c>
    </row>
    <row r="860" spans="1:3" x14ac:dyDescent="0.35">
      <c r="A860">
        <v>17031220702</v>
      </c>
      <c r="B860" t="s">
        <v>1387</v>
      </c>
      <c r="C860">
        <v>24</v>
      </c>
    </row>
    <row r="861" spans="1:3" x14ac:dyDescent="0.35">
      <c r="A861">
        <v>17031120200</v>
      </c>
      <c r="B861" t="s">
        <v>1388</v>
      </c>
      <c r="C861">
        <v>24</v>
      </c>
    </row>
    <row r="862" spans="1:3" x14ac:dyDescent="0.35">
      <c r="A862">
        <v>17043844701</v>
      </c>
      <c r="B862" t="s">
        <v>1389</v>
      </c>
      <c r="C862">
        <v>24</v>
      </c>
    </row>
    <row r="863" spans="1:3" x14ac:dyDescent="0.35">
      <c r="A863">
        <v>17031063000</v>
      </c>
      <c r="B863" t="s">
        <v>1390</v>
      </c>
      <c r="C863">
        <v>24</v>
      </c>
    </row>
    <row r="864" spans="1:3" x14ac:dyDescent="0.35">
      <c r="A864">
        <v>17031823500</v>
      </c>
      <c r="B864" t="s">
        <v>1391</v>
      </c>
      <c r="C864">
        <v>24</v>
      </c>
    </row>
    <row r="865" spans="1:3" x14ac:dyDescent="0.35">
      <c r="A865">
        <v>17031071000</v>
      </c>
      <c r="B865" t="s">
        <v>1392</v>
      </c>
      <c r="C865">
        <v>24</v>
      </c>
    </row>
    <row r="866" spans="1:3" x14ac:dyDescent="0.35">
      <c r="A866">
        <v>17031830007</v>
      </c>
      <c r="B866" t="s">
        <v>1393</v>
      </c>
      <c r="C866">
        <v>24</v>
      </c>
    </row>
    <row r="867" spans="1:3" x14ac:dyDescent="0.35">
      <c r="A867">
        <v>17031080400</v>
      </c>
      <c r="B867" t="s">
        <v>1394</v>
      </c>
      <c r="C867">
        <v>24</v>
      </c>
    </row>
    <row r="868" spans="1:3" x14ac:dyDescent="0.35">
      <c r="A868">
        <v>17043846511</v>
      </c>
      <c r="B868" t="s">
        <v>1395</v>
      </c>
      <c r="C868">
        <v>24</v>
      </c>
    </row>
    <row r="869" spans="1:3" x14ac:dyDescent="0.35">
      <c r="A869">
        <v>17031062600</v>
      </c>
      <c r="B869" t="s">
        <v>1396</v>
      </c>
      <c r="C869">
        <v>24</v>
      </c>
    </row>
    <row r="870" spans="1:3" x14ac:dyDescent="0.35">
      <c r="A870">
        <v>17031803606</v>
      </c>
      <c r="B870" t="s">
        <v>1397</v>
      </c>
      <c r="C870">
        <v>24</v>
      </c>
    </row>
    <row r="871" spans="1:3" x14ac:dyDescent="0.35">
      <c r="A871">
        <v>55059002601</v>
      </c>
      <c r="B871" t="s">
        <v>1398</v>
      </c>
      <c r="C871">
        <v>24</v>
      </c>
    </row>
    <row r="872" spans="1:3" x14ac:dyDescent="0.35">
      <c r="A872">
        <v>17043842000</v>
      </c>
      <c r="B872" t="s">
        <v>1399</v>
      </c>
      <c r="C872">
        <v>24</v>
      </c>
    </row>
    <row r="873" spans="1:3" x14ac:dyDescent="0.35">
      <c r="A873">
        <v>17197880415</v>
      </c>
      <c r="B873" t="s">
        <v>1400</v>
      </c>
      <c r="C873">
        <v>24</v>
      </c>
    </row>
    <row r="874" spans="1:3" x14ac:dyDescent="0.35">
      <c r="A874">
        <v>17097864512</v>
      </c>
      <c r="B874" t="s">
        <v>1401</v>
      </c>
      <c r="C874">
        <v>24</v>
      </c>
    </row>
    <row r="875" spans="1:3" x14ac:dyDescent="0.35">
      <c r="A875">
        <v>17031822601</v>
      </c>
      <c r="B875" t="s">
        <v>1402</v>
      </c>
      <c r="C875">
        <v>24</v>
      </c>
    </row>
    <row r="876" spans="1:3" x14ac:dyDescent="0.35">
      <c r="A876">
        <v>17111871305</v>
      </c>
      <c r="B876" t="s">
        <v>1403</v>
      </c>
      <c r="C876">
        <v>24</v>
      </c>
    </row>
    <row r="877" spans="1:3" x14ac:dyDescent="0.35">
      <c r="A877">
        <v>17031730600</v>
      </c>
      <c r="B877" t="s">
        <v>1404</v>
      </c>
      <c r="C877">
        <v>24</v>
      </c>
    </row>
    <row r="878" spans="1:3" x14ac:dyDescent="0.35">
      <c r="A878">
        <v>17031806103</v>
      </c>
      <c r="B878" t="s">
        <v>1405</v>
      </c>
      <c r="C878">
        <v>24</v>
      </c>
    </row>
    <row r="879" spans="1:3" x14ac:dyDescent="0.35">
      <c r="A879">
        <v>17097860811</v>
      </c>
      <c r="B879" t="s">
        <v>1406</v>
      </c>
      <c r="C879">
        <v>24</v>
      </c>
    </row>
    <row r="880" spans="1:3" x14ac:dyDescent="0.35">
      <c r="A880">
        <v>17031815600</v>
      </c>
      <c r="B880" t="s">
        <v>1407</v>
      </c>
      <c r="C880">
        <v>23</v>
      </c>
    </row>
    <row r="881" spans="1:3" x14ac:dyDescent="0.35">
      <c r="A881">
        <v>17031804309</v>
      </c>
      <c r="B881" t="s">
        <v>1408</v>
      </c>
      <c r="C881">
        <v>23</v>
      </c>
    </row>
    <row r="882" spans="1:3" x14ac:dyDescent="0.35">
      <c r="A882">
        <v>17031770201</v>
      </c>
      <c r="B882" t="s">
        <v>1409</v>
      </c>
      <c r="C882">
        <v>23</v>
      </c>
    </row>
    <row r="883" spans="1:3" x14ac:dyDescent="0.35">
      <c r="A883">
        <v>17031030101</v>
      </c>
      <c r="B883" t="s">
        <v>1410</v>
      </c>
      <c r="C883">
        <v>23</v>
      </c>
    </row>
    <row r="884" spans="1:3" x14ac:dyDescent="0.35">
      <c r="A884">
        <v>17037000600</v>
      </c>
      <c r="B884" t="s">
        <v>1411</v>
      </c>
      <c r="C884">
        <v>23</v>
      </c>
    </row>
    <row r="885" spans="1:3" x14ac:dyDescent="0.35">
      <c r="A885">
        <v>17111870302</v>
      </c>
      <c r="B885" t="s">
        <v>1412</v>
      </c>
      <c r="C885">
        <v>23</v>
      </c>
    </row>
    <row r="886" spans="1:3" x14ac:dyDescent="0.35">
      <c r="A886">
        <v>17089850106</v>
      </c>
      <c r="B886" t="s">
        <v>1413</v>
      </c>
      <c r="C886">
        <v>23</v>
      </c>
    </row>
    <row r="887" spans="1:3" x14ac:dyDescent="0.35">
      <c r="A887">
        <v>17031081100</v>
      </c>
      <c r="B887" t="s">
        <v>1414</v>
      </c>
      <c r="C887">
        <v>23</v>
      </c>
    </row>
    <row r="888" spans="1:3" x14ac:dyDescent="0.35">
      <c r="A888">
        <v>17031809700</v>
      </c>
      <c r="B888" t="s">
        <v>1415</v>
      </c>
      <c r="C888">
        <v>23</v>
      </c>
    </row>
    <row r="889" spans="1:3" x14ac:dyDescent="0.35">
      <c r="A889">
        <v>17043844002</v>
      </c>
      <c r="B889" t="s">
        <v>1416</v>
      </c>
      <c r="C889">
        <v>23</v>
      </c>
    </row>
    <row r="890" spans="1:3" x14ac:dyDescent="0.35">
      <c r="A890">
        <v>17031520600</v>
      </c>
      <c r="B890" t="s">
        <v>1417</v>
      </c>
      <c r="C890">
        <v>23</v>
      </c>
    </row>
    <row r="891" spans="1:3" x14ac:dyDescent="0.35">
      <c r="A891">
        <v>17031030800</v>
      </c>
      <c r="B891" t="s">
        <v>1418</v>
      </c>
      <c r="C891">
        <v>23</v>
      </c>
    </row>
    <row r="892" spans="1:3" x14ac:dyDescent="0.35">
      <c r="A892">
        <v>18089042602</v>
      </c>
      <c r="B892" t="s">
        <v>1419</v>
      </c>
      <c r="C892">
        <v>23</v>
      </c>
    </row>
    <row r="893" spans="1:3" x14ac:dyDescent="0.35">
      <c r="A893">
        <v>17031020901</v>
      </c>
      <c r="B893" t="s">
        <v>1420</v>
      </c>
      <c r="C893">
        <v>23</v>
      </c>
    </row>
    <row r="894" spans="1:3" x14ac:dyDescent="0.35">
      <c r="A894">
        <v>17043841209</v>
      </c>
      <c r="B894" t="s">
        <v>1421</v>
      </c>
      <c r="C894">
        <v>23</v>
      </c>
    </row>
    <row r="895" spans="1:3" x14ac:dyDescent="0.35">
      <c r="A895">
        <v>17097865200</v>
      </c>
      <c r="B895" t="s">
        <v>1422</v>
      </c>
      <c r="C895">
        <v>23</v>
      </c>
    </row>
    <row r="896" spans="1:3" x14ac:dyDescent="0.35">
      <c r="A896">
        <v>17031804714</v>
      </c>
      <c r="B896" t="s">
        <v>1423</v>
      </c>
      <c r="C896">
        <v>23</v>
      </c>
    </row>
    <row r="897" spans="1:3" x14ac:dyDescent="0.35">
      <c r="A897">
        <v>17197880115</v>
      </c>
      <c r="B897" t="s">
        <v>1424</v>
      </c>
      <c r="C897">
        <v>23</v>
      </c>
    </row>
    <row r="898" spans="1:3" x14ac:dyDescent="0.35">
      <c r="A898">
        <v>17031380100</v>
      </c>
      <c r="B898" t="s">
        <v>1425</v>
      </c>
      <c r="C898">
        <v>23</v>
      </c>
    </row>
    <row r="899" spans="1:3" x14ac:dyDescent="0.35">
      <c r="A899">
        <v>17111870606</v>
      </c>
      <c r="B899" t="s">
        <v>1426</v>
      </c>
      <c r="C899">
        <v>23</v>
      </c>
    </row>
    <row r="900" spans="1:3" x14ac:dyDescent="0.35">
      <c r="A900">
        <v>17031804608</v>
      </c>
      <c r="B900" t="s">
        <v>1427</v>
      </c>
      <c r="C900">
        <v>23</v>
      </c>
    </row>
    <row r="901" spans="1:3" x14ac:dyDescent="0.35">
      <c r="A901">
        <v>17043840202</v>
      </c>
      <c r="B901" t="s">
        <v>1428</v>
      </c>
      <c r="C901">
        <v>23</v>
      </c>
    </row>
    <row r="902" spans="1:3" x14ac:dyDescent="0.35">
      <c r="A902">
        <v>17043843700</v>
      </c>
      <c r="B902" t="s">
        <v>1429</v>
      </c>
      <c r="C902">
        <v>23</v>
      </c>
    </row>
    <row r="903" spans="1:3" x14ac:dyDescent="0.35">
      <c r="A903">
        <v>17031832100</v>
      </c>
      <c r="B903" t="s">
        <v>1430</v>
      </c>
      <c r="C903">
        <v>23</v>
      </c>
    </row>
    <row r="904" spans="1:3" x14ac:dyDescent="0.35">
      <c r="A904">
        <v>17031803605</v>
      </c>
      <c r="B904" t="s">
        <v>1431</v>
      </c>
      <c r="C904">
        <v>23</v>
      </c>
    </row>
    <row r="905" spans="1:3" x14ac:dyDescent="0.35">
      <c r="A905">
        <v>17031730500</v>
      </c>
      <c r="B905" t="s">
        <v>1432</v>
      </c>
      <c r="C905">
        <v>23</v>
      </c>
    </row>
    <row r="906" spans="1:3" x14ac:dyDescent="0.35">
      <c r="A906">
        <v>17043841103</v>
      </c>
      <c r="B906" t="s">
        <v>1433</v>
      </c>
      <c r="C906">
        <v>23</v>
      </c>
    </row>
    <row r="907" spans="1:3" x14ac:dyDescent="0.35">
      <c r="A907">
        <v>17031803015</v>
      </c>
      <c r="B907" t="s">
        <v>1434</v>
      </c>
      <c r="C907">
        <v>23</v>
      </c>
    </row>
    <row r="908" spans="1:3" x14ac:dyDescent="0.35">
      <c r="A908">
        <v>55059002904</v>
      </c>
      <c r="B908" t="s">
        <v>1435</v>
      </c>
      <c r="C908">
        <v>23</v>
      </c>
    </row>
    <row r="909" spans="1:3" x14ac:dyDescent="0.35">
      <c r="A909">
        <v>17043843601</v>
      </c>
      <c r="B909" t="s">
        <v>1436</v>
      </c>
      <c r="C909">
        <v>23</v>
      </c>
    </row>
    <row r="910" spans="1:3" x14ac:dyDescent="0.35">
      <c r="A910">
        <v>18089040200</v>
      </c>
      <c r="B910" t="s">
        <v>1437</v>
      </c>
      <c r="C910">
        <v>23</v>
      </c>
    </row>
    <row r="911" spans="1:3" x14ac:dyDescent="0.35">
      <c r="A911">
        <v>17031804610</v>
      </c>
      <c r="B911" t="s">
        <v>1438</v>
      </c>
      <c r="C911">
        <v>22</v>
      </c>
    </row>
    <row r="912" spans="1:3" x14ac:dyDescent="0.35">
      <c r="A912">
        <v>17031010202</v>
      </c>
      <c r="B912" t="s">
        <v>1439</v>
      </c>
      <c r="C912">
        <v>22</v>
      </c>
    </row>
    <row r="913" spans="1:3" x14ac:dyDescent="0.35">
      <c r="A913">
        <v>17097862501</v>
      </c>
      <c r="B913" t="s">
        <v>1440</v>
      </c>
      <c r="C913">
        <v>22</v>
      </c>
    </row>
    <row r="914" spans="1:3" x14ac:dyDescent="0.35">
      <c r="A914">
        <v>17197881107</v>
      </c>
      <c r="B914" t="s">
        <v>1441</v>
      </c>
      <c r="C914">
        <v>22</v>
      </c>
    </row>
    <row r="915" spans="1:3" x14ac:dyDescent="0.35">
      <c r="A915">
        <v>17031831600</v>
      </c>
      <c r="B915" t="s">
        <v>1442</v>
      </c>
      <c r="C915">
        <v>22</v>
      </c>
    </row>
    <row r="916" spans="1:3" x14ac:dyDescent="0.35">
      <c r="A916">
        <v>17031813600</v>
      </c>
      <c r="B916" t="s">
        <v>1443</v>
      </c>
      <c r="C916">
        <v>22</v>
      </c>
    </row>
    <row r="917" spans="1:3" x14ac:dyDescent="0.35">
      <c r="A917">
        <v>17031806700</v>
      </c>
      <c r="B917" t="s">
        <v>1444</v>
      </c>
      <c r="C917">
        <v>22</v>
      </c>
    </row>
    <row r="918" spans="1:3" x14ac:dyDescent="0.35">
      <c r="A918">
        <v>17097861012</v>
      </c>
      <c r="B918" t="s">
        <v>1445</v>
      </c>
      <c r="C918">
        <v>22</v>
      </c>
    </row>
    <row r="919" spans="1:3" x14ac:dyDescent="0.35">
      <c r="A919">
        <v>17031823705</v>
      </c>
      <c r="B919" t="s">
        <v>1446</v>
      </c>
      <c r="C919">
        <v>22</v>
      </c>
    </row>
    <row r="920" spans="1:3" x14ac:dyDescent="0.35">
      <c r="A920">
        <v>17031062000</v>
      </c>
      <c r="B920" t="s">
        <v>1447</v>
      </c>
      <c r="C920">
        <v>22</v>
      </c>
    </row>
    <row r="921" spans="1:3" x14ac:dyDescent="0.35">
      <c r="A921">
        <v>17031823101</v>
      </c>
      <c r="B921" t="s">
        <v>1448</v>
      </c>
      <c r="C921">
        <v>22</v>
      </c>
    </row>
    <row r="922" spans="1:3" x14ac:dyDescent="0.35">
      <c r="A922">
        <v>17043840104</v>
      </c>
      <c r="B922" t="s">
        <v>1449</v>
      </c>
      <c r="C922">
        <v>22</v>
      </c>
    </row>
    <row r="923" spans="1:3" x14ac:dyDescent="0.35">
      <c r="A923">
        <v>17031813701</v>
      </c>
      <c r="B923" t="s">
        <v>1450</v>
      </c>
      <c r="C923">
        <v>22</v>
      </c>
    </row>
    <row r="924" spans="1:3" x14ac:dyDescent="0.35">
      <c r="A924">
        <v>17031062300</v>
      </c>
      <c r="B924" t="s">
        <v>1451</v>
      </c>
      <c r="C924">
        <v>22</v>
      </c>
    </row>
    <row r="925" spans="1:3" x14ac:dyDescent="0.35">
      <c r="A925">
        <v>17031820700</v>
      </c>
      <c r="B925" t="s">
        <v>1452</v>
      </c>
      <c r="C925">
        <v>22</v>
      </c>
    </row>
    <row r="926" spans="1:3" x14ac:dyDescent="0.35">
      <c r="A926">
        <v>17043843000</v>
      </c>
      <c r="B926" t="s">
        <v>1453</v>
      </c>
      <c r="C926">
        <v>22</v>
      </c>
    </row>
    <row r="927" spans="1:3" x14ac:dyDescent="0.35">
      <c r="A927">
        <v>17111871003</v>
      </c>
      <c r="B927" t="s">
        <v>1454</v>
      </c>
      <c r="C927">
        <v>22</v>
      </c>
    </row>
    <row r="928" spans="1:3" x14ac:dyDescent="0.35">
      <c r="A928">
        <v>18089040801</v>
      </c>
      <c r="B928" t="s">
        <v>1455</v>
      </c>
      <c r="C928">
        <v>22</v>
      </c>
    </row>
    <row r="929" spans="1:3" x14ac:dyDescent="0.35">
      <c r="A929">
        <v>17031190100</v>
      </c>
      <c r="B929" t="s">
        <v>1456</v>
      </c>
      <c r="C929">
        <v>22</v>
      </c>
    </row>
    <row r="930" spans="1:3" x14ac:dyDescent="0.35">
      <c r="A930">
        <v>17031051400</v>
      </c>
      <c r="B930" t="s">
        <v>1457</v>
      </c>
      <c r="C930">
        <v>22</v>
      </c>
    </row>
    <row r="931" spans="1:3" x14ac:dyDescent="0.35">
      <c r="A931">
        <v>18127050101</v>
      </c>
      <c r="B931" t="s">
        <v>1458</v>
      </c>
      <c r="C931">
        <v>22</v>
      </c>
    </row>
    <row r="932" spans="1:3" x14ac:dyDescent="0.35">
      <c r="A932">
        <v>17043843800</v>
      </c>
      <c r="B932" t="s">
        <v>1459</v>
      </c>
      <c r="C932">
        <v>22</v>
      </c>
    </row>
    <row r="933" spans="1:3" x14ac:dyDescent="0.35">
      <c r="A933">
        <v>17197880507</v>
      </c>
      <c r="B933" t="s">
        <v>1460</v>
      </c>
      <c r="C933">
        <v>22</v>
      </c>
    </row>
    <row r="934" spans="1:3" x14ac:dyDescent="0.35">
      <c r="A934">
        <v>17043846524</v>
      </c>
      <c r="B934" t="s">
        <v>1461</v>
      </c>
      <c r="C934">
        <v>22</v>
      </c>
    </row>
    <row r="935" spans="1:3" x14ac:dyDescent="0.35">
      <c r="A935">
        <v>17031040402</v>
      </c>
      <c r="B935" t="s">
        <v>1462</v>
      </c>
      <c r="C935">
        <v>22</v>
      </c>
    </row>
    <row r="936" spans="1:3" x14ac:dyDescent="0.35">
      <c r="A936">
        <v>17031809600</v>
      </c>
      <c r="B936" t="s">
        <v>1463</v>
      </c>
      <c r="C936">
        <v>21</v>
      </c>
    </row>
    <row r="937" spans="1:3" x14ac:dyDescent="0.35">
      <c r="A937">
        <v>17031804508</v>
      </c>
      <c r="B937" t="s">
        <v>1464</v>
      </c>
      <c r="C937">
        <v>21</v>
      </c>
    </row>
    <row r="938" spans="1:3" x14ac:dyDescent="0.35">
      <c r="A938">
        <v>17031160700</v>
      </c>
      <c r="B938" t="s">
        <v>1465</v>
      </c>
      <c r="C938">
        <v>21</v>
      </c>
    </row>
    <row r="939" spans="1:3" x14ac:dyDescent="0.35">
      <c r="A939">
        <v>17031051200</v>
      </c>
      <c r="B939" t="s">
        <v>1466</v>
      </c>
      <c r="C939">
        <v>21</v>
      </c>
    </row>
    <row r="940" spans="1:3" x14ac:dyDescent="0.35">
      <c r="A940">
        <v>17031150300</v>
      </c>
      <c r="B940" t="s">
        <v>1467</v>
      </c>
      <c r="C940">
        <v>21</v>
      </c>
    </row>
    <row r="941" spans="1:3" x14ac:dyDescent="0.35">
      <c r="A941">
        <v>17031824506</v>
      </c>
      <c r="B941" t="s">
        <v>1468</v>
      </c>
      <c r="C941">
        <v>21</v>
      </c>
    </row>
    <row r="942" spans="1:3" x14ac:dyDescent="0.35">
      <c r="A942">
        <v>17043846203</v>
      </c>
      <c r="B942" t="s">
        <v>1469</v>
      </c>
      <c r="C942">
        <v>21</v>
      </c>
    </row>
    <row r="943" spans="1:3" x14ac:dyDescent="0.35">
      <c r="A943">
        <v>17031825000</v>
      </c>
      <c r="B943" t="s">
        <v>1470</v>
      </c>
      <c r="C943">
        <v>21</v>
      </c>
    </row>
    <row r="944" spans="1:3" x14ac:dyDescent="0.35">
      <c r="A944">
        <v>17043842800</v>
      </c>
      <c r="B944" t="s">
        <v>1471</v>
      </c>
      <c r="C944">
        <v>21</v>
      </c>
    </row>
    <row r="945" spans="1:3" x14ac:dyDescent="0.35">
      <c r="A945">
        <v>17031842500</v>
      </c>
      <c r="B945" t="s">
        <v>1472</v>
      </c>
      <c r="C945">
        <v>21</v>
      </c>
    </row>
    <row r="946" spans="1:3" x14ac:dyDescent="0.35">
      <c r="A946">
        <v>17097860200</v>
      </c>
      <c r="B946" t="s">
        <v>1473</v>
      </c>
      <c r="C946">
        <v>21</v>
      </c>
    </row>
    <row r="947" spans="1:3" x14ac:dyDescent="0.35">
      <c r="A947">
        <v>17031831900</v>
      </c>
      <c r="B947" t="s">
        <v>1474</v>
      </c>
      <c r="C947">
        <v>21</v>
      </c>
    </row>
    <row r="948" spans="1:3" x14ac:dyDescent="0.35">
      <c r="A948">
        <v>17197883215</v>
      </c>
      <c r="B948" t="s">
        <v>1475</v>
      </c>
      <c r="C948">
        <v>21</v>
      </c>
    </row>
    <row r="949" spans="1:3" x14ac:dyDescent="0.35">
      <c r="A949">
        <v>17031490700</v>
      </c>
      <c r="B949" t="s">
        <v>1476</v>
      </c>
      <c r="C949">
        <v>21</v>
      </c>
    </row>
    <row r="950" spans="1:3" x14ac:dyDescent="0.35">
      <c r="A950">
        <v>17063000200</v>
      </c>
      <c r="B950" t="s">
        <v>1477</v>
      </c>
      <c r="C950">
        <v>21</v>
      </c>
    </row>
    <row r="951" spans="1:3" x14ac:dyDescent="0.35">
      <c r="A951">
        <v>17043845811</v>
      </c>
      <c r="B951" t="s">
        <v>1478</v>
      </c>
      <c r="C951">
        <v>21</v>
      </c>
    </row>
    <row r="952" spans="1:3" x14ac:dyDescent="0.35">
      <c r="A952">
        <v>17111871206</v>
      </c>
      <c r="B952" t="s">
        <v>1479</v>
      </c>
      <c r="C952">
        <v>21</v>
      </c>
    </row>
    <row r="953" spans="1:3" x14ac:dyDescent="0.35">
      <c r="A953">
        <v>17031760803</v>
      </c>
      <c r="B953" t="s">
        <v>1480</v>
      </c>
      <c r="C953">
        <v>21</v>
      </c>
    </row>
    <row r="954" spans="1:3" x14ac:dyDescent="0.35">
      <c r="A954">
        <v>17031827805</v>
      </c>
      <c r="B954" t="s">
        <v>1481</v>
      </c>
      <c r="C954">
        <v>21</v>
      </c>
    </row>
    <row r="955" spans="1:3" x14ac:dyDescent="0.35">
      <c r="A955">
        <v>17031060800</v>
      </c>
      <c r="B955" t="s">
        <v>1482</v>
      </c>
      <c r="C955">
        <v>21</v>
      </c>
    </row>
    <row r="956" spans="1:3" x14ac:dyDescent="0.35">
      <c r="A956">
        <v>17097862604</v>
      </c>
      <c r="B956" t="s">
        <v>1483</v>
      </c>
      <c r="C956">
        <v>21</v>
      </c>
    </row>
    <row r="957" spans="1:3" x14ac:dyDescent="0.35">
      <c r="A957">
        <v>17031251400</v>
      </c>
      <c r="B957" t="s">
        <v>1484</v>
      </c>
      <c r="C957">
        <v>21</v>
      </c>
    </row>
    <row r="958" spans="1:3" x14ac:dyDescent="0.35">
      <c r="A958">
        <v>17031835100</v>
      </c>
      <c r="B958" t="s">
        <v>1485</v>
      </c>
      <c r="C958">
        <v>21</v>
      </c>
    </row>
    <row r="959" spans="1:3" x14ac:dyDescent="0.35">
      <c r="A959">
        <v>17031300900</v>
      </c>
      <c r="B959" t="s">
        <v>1486</v>
      </c>
      <c r="C959">
        <v>21</v>
      </c>
    </row>
    <row r="960" spans="1:3" x14ac:dyDescent="0.35">
      <c r="A960">
        <v>17031330200</v>
      </c>
      <c r="B960" t="s">
        <v>1487</v>
      </c>
      <c r="C960">
        <v>21</v>
      </c>
    </row>
    <row r="961" spans="1:3" x14ac:dyDescent="0.35">
      <c r="A961">
        <v>17031580100</v>
      </c>
      <c r="B961" t="s">
        <v>1488</v>
      </c>
      <c r="C961">
        <v>21</v>
      </c>
    </row>
    <row r="962" spans="1:3" x14ac:dyDescent="0.35">
      <c r="A962">
        <v>17031440800</v>
      </c>
      <c r="B962" t="s">
        <v>1489</v>
      </c>
      <c r="C962">
        <v>21</v>
      </c>
    </row>
    <row r="963" spans="1:3" x14ac:dyDescent="0.35">
      <c r="A963">
        <v>17031823805</v>
      </c>
      <c r="B963" t="s">
        <v>1490</v>
      </c>
      <c r="C963">
        <v>21</v>
      </c>
    </row>
    <row r="964" spans="1:3" x14ac:dyDescent="0.35">
      <c r="A964">
        <v>17031831100</v>
      </c>
      <c r="B964" t="s">
        <v>1491</v>
      </c>
      <c r="C964">
        <v>21</v>
      </c>
    </row>
    <row r="965" spans="1:3" x14ac:dyDescent="0.35">
      <c r="A965">
        <v>17111871310</v>
      </c>
      <c r="B965" t="s">
        <v>1492</v>
      </c>
      <c r="C965">
        <v>21</v>
      </c>
    </row>
    <row r="966" spans="1:3" x14ac:dyDescent="0.35">
      <c r="A966">
        <v>17089852808</v>
      </c>
      <c r="B966" t="s">
        <v>1493</v>
      </c>
      <c r="C966">
        <v>21</v>
      </c>
    </row>
    <row r="967" spans="1:3" x14ac:dyDescent="0.35">
      <c r="A967">
        <v>17031060400</v>
      </c>
      <c r="B967" t="s">
        <v>1494</v>
      </c>
      <c r="C967">
        <v>21</v>
      </c>
    </row>
    <row r="968" spans="1:3" x14ac:dyDescent="0.35">
      <c r="A968">
        <v>17031829500</v>
      </c>
      <c r="B968" t="s">
        <v>1495</v>
      </c>
      <c r="C968">
        <v>21</v>
      </c>
    </row>
    <row r="969" spans="1:3" x14ac:dyDescent="0.35">
      <c r="A969">
        <v>17097861611</v>
      </c>
      <c r="B969" t="s">
        <v>1496</v>
      </c>
      <c r="C969">
        <v>21</v>
      </c>
    </row>
    <row r="970" spans="1:3" x14ac:dyDescent="0.35">
      <c r="A970">
        <v>17111870810</v>
      </c>
      <c r="B970" t="s">
        <v>1497</v>
      </c>
      <c r="C970">
        <v>21</v>
      </c>
    </row>
    <row r="971" spans="1:3" x14ac:dyDescent="0.35">
      <c r="A971">
        <v>17031819400</v>
      </c>
      <c r="B971" t="s">
        <v>1498</v>
      </c>
      <c r="C971">
        <v>21</v>
      </c>
    </row>
    <row r="972" spans="1:3" x14ac:dyDescent="0.35">
      <c r="A972">
        <v>17031825803</v>
      </c>
      <c r="B972" t="s">
        <v>1499</v>
      </c>
      <c r="C972">
        <v>21</v>
      </c>
    </row>
    <row r="973" spans="1:3" x14ac:dyDescent="0.35">
      <c r="A973">
        <v>17031822602</v>
      </c>
      <c r="B973" t="s">
        <v>1500</v>
      </c>
      <c r="C973">
        <v>20</v>
      </c>
    </row>
    <row r="974" spans="1:3" x14ac:dyDescent="0.35">
      <c r="A974">
        <v>17031252101</v>
      </c>
      <c r="B974" t="s">
        <v>1501</v>
      </c>
      <c r="C974">
        <v>20</v>
      </c>
    </row>
    <row r="975" spans="1:3" x14ac:dyDescent="0.35">
      <c r="A975">
        <v>17031150600</v>
      </c>
      <c r="B975" t="s">
        <v>1502</v>
      </c>
      <c r="C975">
        <v>20</v>
      </c>
    </row>
    <row r="976" spans="1:3" x14ac:dyDescent="0.35">
      <c r="A976">
        <v>17031440600</v>
      </c>
      <c r="B976" t="s">
        <v>1503</v>
      </c>
      <c r="C976">
        <v>20</v>
      </c>
    </row>
    <row r="977" spans="1:3" x14ac:dyDescent="0.35">
      <c r="A977">
        <v>17031811702</v>
      </c>
      <c r="B977" t="s">
        <v>1504</v>
      </c>
      <c r="C977">
        <v>20</v>
      </c>
    </row>
    <row r="978" spans="1:3" x14ac:dyDescent="0.35">
      <c r="A978">
        <v>17197880602</v>
      </c>
      <c r="B978" t="s">
        <v>1505</v>
      </c>
      <c r="C978">
        <v>20</v>
      </c>
    </row>
    <row r="979" spans="1:3" x14ac:dyDescent="0.35">
      <c r="A979">
        <v>17043841504</v>
      </c>
      <c r="B979" t="s">
        <v>1506</v>
      </c>
      <c r="C979">
        <v>20</v>
      </c>
    </row>
    <row r="980" spans="1:3" x14ac:dyDescent="0.35">
      <c r="A980">
        <v>17031829600</v>
      </c>
      <c r="B980" t="s">
        <v>1507</v>
      </c>
      <c r="C980">
        <v>20</v>
      </c>
    </row>
    <row r="981" spans="1:3" x14ac:dyDescent="0.35">
      <c r="A981">
        <v>17197883401</v>
      </c>
      <c r="B981" t="s">
        <v>1508</v>
      </c>
      <c r="C981">
        <v>20</v>
      </c>
    </row>
    <row r="982" spans="1:3" x14ac:dyDescent="0.35">
      <c r="A982">
        <v>17031842100</v>
      </c>
      <c r="B982" t="s">
        <v>1509</v>
      </c>
      <c r="C982">
        <v>20</v>
      </c>
    </row>
    <row r="983" spans="1:3" x14ac:dyDescent="0.35">
      <c r="A983">
        <v>17031811301</v>
      </c>
      <c r="B983" t="s">
        <v>1510</v>
      </c>
      <c r="C983">
        <v>20</v>
      </c>
    </row>
    <row r="984" spans="1:3" x14ac:dyDescent="0.35">
      <c r="A984">
        <v>17031813100</v>
      </c>
      <c r="B984" t="s">
        <v>1511</v>
      </c>
      <c r="C984">
        <v>20</v>
      </c>
    </row>
    <row r="985" spans="1:3" x14ac:dyDescent="0.35">
      <c r="A985">
        <v>17089852805</v>
      </c>
      <c r="B985" t="s">
        <v>1512</v>
      </c>
      <c r="C985">
        <v>20</v>
      </c>
    </row>
    <row r="986" spans="1:3" x14ac:dyDescent="0.35">
      <c r="A986">
        <v>17197880107</v>
      </c>
      <c r="B986" t="s">
        <v>1513</v>
      </c>
      <c r="C986">
        <v>20</v>
      </c>
    </row>
    <row r="987" spans="1:3" x14ac:dyDescent="0.35">
      <c r="A987">
        <v>17097861510</v>
      </c>
      <c r="B987" t="s">
        <v>1514</v>
      </c>
      <c r="C987">
        <v>20</v>
      </c>
    </row>
    <row r="988" spans="1:3" x14ac:dyDescent="0.35">
      <c r="A988">
        <v>18127050507</v>
      </c>
      <c r="B988" t="s">
        <v>1515</v>
      </c>
      <c r="C988">
        <v>20</v>
      </c>
    </row>
    <row r="989" spans="1:3" x14ac:dyDescent="0.35">
      <c r="A989">
        <v>17031819100</v>
      </c>
      <c r="B989" t="s">
        <v>1516</v>
      </c>
      <c r="C989">
        <v>20</v>
      </c>
    </row>
    <row r="990" spans="1:3" x14ac:dyDescent="0.35">
      <c r="A990">
        <v>17031230500</v>
      </c>
      <c r="B990" t="s">
        <v>1517</v>
      </c>
      <c r="C990">
        <v>20</v>
      </c>
    </row>
    <row r="991" spans="1:3" x14ac:dyDescent="0.35">
      <c r="A991">
        <v>17031063200</v>
      </c>
      <c r="B991" t="s">
        <v>1518</v>
      </c>
      <c r="C991">
        <v>20</v>
      </c>
    </row>
    <row r="992" spans="1:3" x14ac:dyDescent="0.35">
      <c r="A992">
        <v>17043844001</v>
      </c>
      <c r="B992" t="s">
        <v>1519</v>
      </c>
      <c r="C992">
        <v>20</v>
      </c>
    </row>
    <row r="993" spans="1:3" x14ac:dyDescent="0.35">
      <c r="A993">
        <v>17031809100</v>
      </c>
      <c r="B993" t="s">
        <v>1520</v>
      </c>
      <c r="C993">
        <v>20</v>
      </c>
    </row>
    <row r="994" spans="1:3" x14ac:dyDescent="0.35">
      <c r="A994">
        <v>17031828505</v>
      </c>
      <c r="B994" t="s">
        <v>1521</v>
      </c>
      <c r="C994">
        <v>20</v>
      </c>
    </row>
    <row r="995" spans="1:3" x14ac:dyDescent="0.35">
      <c r="A995">
        <v>17097864411</v>
      </c>
      <c r="B995" t="s">
        <v>1522</v>
      </c>
      <c r="C995">
        <v>20</v>
      </c>
    </row>
    <row r="996" spans="1:3" x14ac:dyDescent="0.35">
      <c r="A996">
        <v>17111871205</v>
      </c>
      <c r="B996" t="s">
        <v>1523</v>
      </c>
      <c r="C996">
        <v>20</v>
      </c>
    </row>
    <row r="997" spans="1:3" x14ac:dyDescent="0.35">
      <c r="A997">
        <v>17031030703</v>
      </c>
      <c r="B997" t="s">
        <v>1524</v>
      </c>
      <c r="C997">
        <v>20</v>
      </c>
    </row>
    <row r="998" spans="1:3" x14ac:dyDescent="0.35">
      <c r="A998">
        <v>17031800400</v>
      </c>
      <c r="B998" t="s">
        <v>1525</v>
      </c>
      <c r="C998">
        <v>20</v>
      </c>
    </row>
    <row r="999" spans="1:3" x14ac:dyDescent="0.35">
      <c r="A999">
        <v>17031840700</v>
      </c>
      <c r="B999" t="s">
        <v>1526</v>
      </c>
      <c r="C999">
        <v>20</v>
      </c>
    </row>
    <row r="1000" spans="1:3" x14ac:dyDescent="0.35">
      <c r="A1000">
        <v>17031130200</v>
      </c>
      <c r="B1000" t="s">
        <v>1527</v>
      </c>
      <c r="C1000">
        <v>20</v>
      </c>
    </row>
    <row r="1001" spans="1:3" x14ac:dyDescent="0.35">
      <c r="A1001">
        <v>17031610300</v>
      </c>
      <c r="B1001" t="s">
        <v>1528</v>
      </c>
      <c r="C1001">
        <v>20</v>
      </c>
    </row>
    <row r="1002" spans="1:3" x14ac:dyDescent="0.35">
      <c r="A1002">
        <v>18127050202</v>
      </c>
      <c r="B1002" t="s">
        <v>1529</v>
      </c>
      <c r="C1002">
        <v>20</v>
      </c>
    </row>
    <row r="1003" spans="1:3" x14ac:dyDescent="0.35">
      <c r="A1003">
        <v>17031819000</v>
      </c>
      <c r="B1003" t="s">
        <v>1530</v>
      </c>
      <c r="C1003">
        <v>20</v>
      </c>
    </row>
    <row r="1004" spans="1:3" x14ac:dyDescent="0.35">
      <c r="A1004">
        <v>17031827902</v>
      </c>
      <c r="B1004" t="s">
        <v>1531</v>
      </c>
      <c r="C1004">
        <v>20</v>
      </c>
    </row>
    <row r="1005" spans="1:3" x14ac:dyDescent="0.35">
      <c r="A1005">
        <v>17031802610</v>
      </c>
      <c r="B1005" t="s">
        <v>1532</v>
      </c>
      <c r="C1005">
        <v>20</v>
      </c>
    </row>
    <row r="1006" spans="1:3" x14ac:dyDescent="0.35">
      <c r="A1006">
        <v>17031824004</v>
      </c>
      <c r="B1006" t="s">
        <v>1533</v>
      </c>
      <c r="C1006">
        <v>19</v>
      </c>
    </row>
    <row r="1007" spans="1:3" x14ac:dyDescent="0.35">
      <c r="A1007">
        <v>17097861105</v>
      </c>
      <c r="B1007" t="s">
        <v>1534</v>
      </c>
      <c r="C1007">
        <v>19</v>
      </c>
    </row>
    <row r="1008" spans="1:3" x14ac:dyDescent="0.35">
      <c r="A1008">
        <v>17031824107</v>
      </c>
      <c r="B1008" t="s">
        <v>1535</v>
      </c>
      <c r="C1008">
        <v>19</v>
      </c>
    </row>
    <row r="1009" spans="1:3" x14ac:dyDescent="0.35">
      <c r="A1009">
        <v>18089042702</v>
      </c>
      <c r="B1009" t="s">
        <v>1536</v>
      </c>
      <c r="C1009">
        <v>19</v>
      </c>
    </row>
    <row r="1010" spans="1:3" x14ac:dyDescent="0.35">
      <c r="A1010">
        <v>17031720100</v>
      </c>
      <c r="B1010" t="s">
        <v>1537</v>
      </c>
      <c r="C1010">
        <v>19</v>
      </c>
    </row>
    <row r="1011" spans="1:3" x14ac:dyDescent="0.35">
      <c r="A1011">
        <v>17031070102</v>
      </c>
      <c r="B1011" t="s">
        <v>1538</v>
      </c>
      <c r="C1011">
        <v>19</v>
      </c>
    </row>
    <row r="1012" spans="1:3" x14ac:dyDescent="0.35">
      <c r="A1012">
        <v>17043846208</v>
      </c>
      <c r="B1012" t="s">
        <v>1539</v>
      </c>
      <c r="C1012">
        <v>19</v>
      </c>
    </row>
    <row r="1013" spans="1:3" x14ac:dyDescent="0.35">
      <c r="A1013">
        <v>17031807400</v>
      </c>
      <c r="B1013" t="s">
        <v>1540</v>
      </c>
      <c r="C1013">
        <v>19</v>
      </c>
    </row>
    <row r="1014" spans="1:3" x14ac:dyDescent="0.35">
      <c r="A1014">
        <v>17197883515</v>
      </c>
      <c r="B1014" t="s">
        <v>1541</v>
      </c>
      <c r="C1014">
        <v>19</v>
      </c>
    </row>
    <row r="1015" spans="1:3" x14ac:dyDescent="0.35">
      <c r="A1015">
        <v>17031815400</v>
      </c>
      <c r="B1015" t="s">
        <v>1542</v>
      </c>
      <c r="C1015">
        <v>19</v>
      </c>
    </row>
    <row r="1016" spans="1:3" x14ac:dyDescent="0.35">
      <c r="A1016">
        <v>17031060900</v>
      </c>
      <c r="B1016" t="s">
        <v>1543</v>
      </c>
      <c r="C1016">
        <v>19</v>
      </c>
    </row>
    <row r="1017" spans="1:3" x14ac:dyDescent="0.35">
      <c r="A1017">
        <v>17031020400</v>
      </c>
      <c r="B1017" t="s">
        <v>1544</v>
      </c>
      <c r="C1017">
        <v>19</v>
      </c>
    </row>
    <row r="1018" spans="1:3" x14ac:dyDescent="0.35">
      <c r="A1018">
        <v>17031827802</v>
      </c>
      <c r="B1018" t="s">
        <v>1545</v>
      </c>
      <c r="C1018">
        <v>19</v>
      </c>
    </row>
    <row r="1019" spans="1:3" x14ac:dyDescent="0.35">
      <c r="A1019">
        <v>17043842602</v>
      </c>
      <c r="B1019" t="s">
        <v>1546</v>
      </c>
      <c r="C1019">
        <v>19</v>
      </c>
    </row>
    <row r="1020" spans="1:3" x14ac:dyDescent="0.35">
      <c r="A1020">
        <v>18127050103</v>
      </c>
      <c r="B1020" t="s">
        <v>1547</v>
      </c>
      <c r="C1020">
        <v>19</v>
      </c>
    </row>
    <row r="1021" spans="1:3" x14ac:dyDescent="0.35">
      <c r="A1021">
        <v>18089040502</v>
      </c>
      <c r="B1021" t="s">
        <v>1548</v>
      </c>
      <c r="C1021">
        <v>19</v>
      </c>
    </row>
    <row r="1022" spans="1:3" x14ac:dyDescent="0.35">
      <c r="A1022">
        <v>17097866000</v>
      </c>
      <c r="B1022" t="s">
        <v>1549</v>
      </c>
      <c r="C1022">
        <v>19</v>
      </c>
    </row>
    <row r="1023" spans="1:3" x14ac:dyDescent="0.35">
      <c r="A1023">
        <v>17031250400</v>
      </c>
      <c r="B1023" t="s">
        <v>1550</v>
      </c>
      <c r="C1023">
        <v>19</v>
      </c>
    </row>
    <row r="1024" spans="1:3" x14ac:dyDescent="0.35">
      <c r="A1024">
        <v>18073101100</v>
      </c>
      <c r="B1024" t="s">
        <v>1551</v>
      </c>
      <c r="C1024">
        <v>19</v>
      </c>
    </row>
    <row r="1025" spans="1:3" x14ac:dyDescent="0.35">
      <c r="A1025">
        <v>17031841000</v>
      </c>
      <c r="B1025" t="s">
        <v>1552</v>
      </c>
      <c r="C1025">
        <v>19</v>
      </c>
    </row>
    <row r="1026" spans="1:3" x14ac:dyDescent="0.35">
      <c r="A1026">
        <v>17111871004</v>
      </c>
      <c r="B1026" t="s">
        <v>1553</v>
      </c>
      <c r="C1026">
        <v>19</v>
      </c>
    </row>
    <row r="1027" spans="1:3" x14ac:dyDescent="0.35">
      <c r="A1027">
        <v>17031803607</v>
      </c>
      <c r="B1027" t="s">
        <v>1554</v>
      </c>
      <c r="C1027">
        <v>19</v>
      </c>
    </row>
    <row r="1028" spans="1:3" x14ac:dyDescent="0.35">
      <c r="A1028">
        <v>17097861108</v>
      </c>
      <c r="B1028" t="s">
        <v>1555</v>
      </c>
      <c r="C1028">
        <v>19</v>
      </c>
    </row>
    <row r="1029" spans="1:3" x14ac:dyDescent="0.35">
      <c r="A1029">
        <v>17043841705</v>
      </c>
      <c r="B1029" t="s">
        <v>1556</v>
      </c>
      <c r="C1029">
        <v>19</v>
      </c>
    </row>
    <row r="1030" spans="1:3" x14ac:dyDescent="0.35">
      <c r="A1030">
        <v>17031809800</v>
      </c>
      <c r="B1030" t="s">
        <v>1557</v>
      </c>
      <c r="C1030">
        <v>19</v>
      </c>
    </row>
    <row r="1031" spans="1:3" x14ac:dyDescent="0.35">
      <c r="A1031">
        <v>17031808302</v>
      </c>
      <c r="B1031" t="s">
        <v>1558</v>
      </c>
      <c r="C1031">
        <v>19</v>
      </c>
    </row>
    <row r="1032" spans="1:3" x14ac:dyDescent="0.35">
      <c r="A1032">
        <v>17031805301</v>
      </c>
      <c r="B1032" t="s">
        <v>1559</v>
      </c>
      <c r="C1032">
        <v>19</v>
      </c>
    </row>
    <row r="1033" spans="1:3" x14ac:dyDescent="0.35">
      <c r="A1033">
        <v>17031817000</v>
      </c>
      <c r="B1033" t="s">
        <v>1560</v>
      </c>
      <c r="C1033">
        <v>19</v>
      </c>
    </row>
    <row r="1034" spans="1:3" x14ac:dyDescent="0.35">
      <c r="A1034">
        <v>17031110400</v>
      </c>
      <c r="B1034" t="s">
        <v>1561</v>
      </c>
      <c r="C1034">
        <v>19</v>
      </c>
    </row>
    <row r="1035" spans="1:3" x14ac:dyDescent="0.35">
      <c r="A1035">
        <v>17097864108</v>
      </c>
      <c r="B1035" t="s">
        <v>1562</v>
      </c>
      <c r="C1035">
        <v>19</v>
      </c>
    </row>
    <row r="1036" spans="1:3" x14ac:dyDescent="0.35">
      <c r="A1036">
        <v>17031814900</v>
      </c>
      <c r="B1036" t="s">
        <v>1563</v>
      </c>
      <c r="C1036">
        <v>19</v>
      </c>
    </row>
    <row r="1037" spans="1:3" x14ac:dyDescent="0.35">
      <c r="A1037">
        <v>55059000602</v>
      </c>
      <c r="B1037" t="s">
        <v>1564</v>
      </c>
      <c r="C1037">
        <v>19</v>
      </c>
    </row>
    <row r="1038" spans="1:3" x14ac:dyDescent="0.35">
      <c r="A1038">
        <v>17031031501</v>
      </c>
      <c r="B1038" t="s">
        <v>1565</v>
      </c>
      <c r="C1038">
        <v>19</v>
      </c>
    </row>
    <row r="1039" spans="1:3" x14ac:dyDescent="0.35">
      <c r="A1039">
        <v>17031080201</v>
      </c>
      <c r="B1039" t="s">
        <v>1566</v>
      </c>
      <c r="C1039">
        <v>19</v>
      </c>
    </row>
    <row r="1040" spans="1:3" x14ac:dyDescent="0.35">
      <c r="A1040">
        <v>17043840908</v>
      </c>
      <c r="B1040" t="s">
        <v>1567</v>
      </c>
      <c r="C1040">
        <v>19</v>
      </c>
    </row>
    <row r="1041" spans="1:3" x14ac:dyDescent="0.35">
      <c r="A1041">
        <v>17043846518</v>
      </c>
      <c r="B1041" t="s">
        <v>1568</v>
      </c>
      <c r="C1041">
        <v>19</v>
      </c>
    </row>
    <row r="1042" spans="1:3" x14ac:dyDescent="0.35">
      <c r="A1042">
        <v>17031804308</v>
      </c>
      <c r="B1042" t="s">
        <v>1569</v>
      </c>
      <c r="C1042">
        <v>19</v>
      </c>
    </row>
    <row r="1043" spans="1:3" x14ac:dyDescent="0.35">
      <c r="A1043">
        <v>17097861608</v>
      </c>
      <c r="B1043" t="s">
        <v>1570</v>
      </c>
      <c r="C1043">
        <v>18</v>
      </c>
    </row>
    <row r="1044" spans="1:3" x14ac:dyDescent="0.35">
      <c r="A1044">
        <v>17031816300</v>
      </c>
      <c r="B1044" t="s">
        <v>1571</v>
      </c>
      <c r="C1044">
        <v>18</v>
      </c>
    </row>
    <row r="1045" spans="1:3" x14ac:dyDescent="0.35">
      <c r="A1045">
        <v>18089042402</v>
      </c>
      <c r="B1045" t="s">
        <v>1572</v>
      </c>
      <c r="C1045">
        <v>18</v>
      </c>
    </row>
    <row r="1046" spans="1:3" x14ac:dyDescent="0.35">
      <c r="A1046">
        <v>17089852201</v>
      </c>
      <c r="B1046" t="s">
        <v>1573</v>
      </c>
      <c r="C1046">
        <v>18</v>
      </c>
    </row>
    <row r="1047" spans="1:3" x14ac:dyDescent="0.35">
      <c r="A1047">
        <v>17031681000</v>
      </c>
      <c r="B1047" t="s">
        <v>1574</v>
      </c>
      <c r="C1047">
        <v>18</v>
      </c>
    </row>
    <row r="1048" spans="1:3" x14ac:dyDescent="0.35">
      <c r="A1048">
        <v>17031411000</v>
      </c>
      <c r="B1048" t="s">
        <v>1575</v>
      </c>
      <c r="C1048">
        <v>18</v>
      </c>
    </row>
    <row r="1049" spans="1:3" x14ac:dyDescent="0.35">
      <c r="A1049">
        <v>17197883206</v>
      </c>
      <c r="B1049" t="s">
        <v>1576</v>
      </c>
      <c r="C1049">
        <v>18</v>
      </c>
    </row>
    <row r="1050" spans="1:3" x14ac:dyDescent="0.35">
      <c r="A1050">
        <v>17037000300</v>
      </c>
      <c r="B1050" t="s">
        <v>1577</v>
      </c>
      <c r="C1050">
        <v>18</v>
      </c>
    </row>
    <row r="1051" spans="1:3" x14ac:dyDescent="0.35">
      <c r="A1051">
        <v>17031230900</v>
      </c>
      <c r="B1051" t="s">
        <v>1578</v>
      </c>
      <c r="C1051">
        <v>18</v>
      </c>
    </row>
    <row r="1052" spans="1:3" x14ac:dyDescent="0.35">
      <c r="A1052">
        <v>17031381400</v>
      </c>
      <c r="B1052" t="s">
        <v>1579</v>
      </c>
      <c r="C1052">
        <v>18</v>
      </c>
    </row>
    <row r="1053" spans="1:3" x14ac:dyDescent="0.35">
      <c r="A1053">
        <v>17031630300</v>
      </c>
      <c r="B1053" t="s">
        <v>1580</v>
      </c>
      <c r="C1053">
        <v>18</v>
      </c>
    </row>
    <row r="1054" spans="1:3" x14ac:dyDescent="0.35">
      <c r="A1054">
        <v>17043845507</v>
      </c>
      <c r="B1054" t="s">
        <v>1581</v>
      </c>
      <c r="C1054">
        <v>18</v>
      </c>
    </row>
    <row r="1055" spans="1:3" x14ac:dyDescent="0.35">
      <c r="A1055">
        <v>17043840304</v>
      </c>
      <c r="B1055" t="s">
        <v>1582</v>
      </c>
      <c r="C1055">
        <v>18</v>
      </c>
    </row>
    <row r="1056" spans="1:3" x14ac:dyDescent="0.35">
      <c r="A1056">
        <v>17097861803</v>
      </c>
      <c r="B1056" t="s">
        <v>1583</v>
      </c>
      <c r="C1056">
        <v>18</v>
      </c>
    </row>
    <row r="1057" spans="1:3" x14ac:dyDescent="0.35">
      <c r="A1057">
        <v>17031020200</v>
      </c>
      <c r="B1057" t="s">
        <v>1584</v>
      </c>
      <c r="C1057">
        <v>18</v>
      </c>
    </row>
    <row r="1058" spans="1:3" x14ac:dyDescent="0.35">
      <c r="A1058">
        <v>17031812400</v>
      </c>
      <c r="B1058" t="s">
        <v>1585</v>
      </c>
      <c r="C1058">
        <v>18</v>
      </c>
    </row>
    <row r="1059" spans="1:3" x14ac:dyDescent="0.35">
      <c r="A1059">
        <v>17031740400</v>
      </c>
      <c r="B1059" t="s">
        <v>1586</v>
      </c>
      <c r="C1059">
        <v>18</v>
      </c>
    </row>
    <row r="1060" spans="1:3" x14ac:dyDescent="0.35">
      <c r="A1060">
        <v>17197883213</v>
      </c>
      <c r="B1060" t="s">
        <v>1587</v>
      </c>
      <c r="C1060">
        <v>18</v>
      </c>
    </row>
    <row r="1061" spans="1:3" x14ac:dyDescent="0.35">
      <c r="A1061">
        <v>17031140602</v>
      </c>
      <c r="B1061" t="s">
        <v>1588</v>
      </c>
      <c r="C1061">
        <v>18</v>
      </c>
    </row>
    <row r="1062" spans="1:3" x14ac:dyDescent="0.35">
      <c r="A1062">
        <v>17097862000</v>
      </c>
      <c r="B1062" t="s">
        <v>1589</v>
      </c>
      <c r="C1062">
        <v>18</v>
      </c>
    </row>
    <row r="1063" spans="1:3" x14ac:dyDescent="0.35">
      <c r="A1063">
        <v>17031821402</v>
      </c>
      <c r="B1063" t="s">
        <v>1590</v>
      </c>
      <c r="C1063">
        <v>18</v>
      </c>
    </row>
    <row r="1064" spans="1:3" x14ac:dyDescent="0.35">
      <c r="A1064">
        <v>18089042703</v>
      </c>
      <c r="B1064" t="s">
        <v>1591</v>
      </c>
      <c r="C1064">
        <v>18</v>
      </c>
    </row>
    <row r="1065" spans="1:3" x14ac:dyDescent="0.35">
      <c r="A1065">
        <v>17111871404</v>
      </c>
      <c r="B1065" t="s">
        <v>1592</v>
      </c>
      <c r="C1065">
        <v>18</v>
      </c>
    </row>
    <row r="1066" spans="1:3" x14ac:dyDescent="0.35">
      <c r="A1066">
        <v>17089853001</v>
      </c>
      <c r="B1066" t="s">
        <v>1593</v>
      </c>
      <c r="C1066">
        <v>18</v>
      </c>
    </row>
    <row r="1067" spans="1:3" x14ac:dyDescent="0.35">
      <c r="A1067">
        <v>17031070300</v>
      </c>
      <c r="B1067" t="s">
        <v>1594</v>
      </c>
      <c r="C1067">
        <v>18</v>
      </c>
    </row>
    <row r="1068" spans="1:3" x14ac:dyDescent="0.35">
      <c r="A1068">
        <v>17031821700</v>
      </c>
      <c r="B1068" t="s">
        <v>1595</v>
      </c>
      <c r="C1068">
        <v>18</v>
      </c>
    </row>
    <row r="1069" spans="1:3" x14ac:dyDescent="0.35">
      <c r="A1069">
        <v>17043846315</v>
      </c>
      <c r="B1069" t="s">
        <v>1596</v>
      </c>
      <c r="C1069">
        <v>18</v>
      </c>
    </row>
    <row r="1070" spans="1:3" x14ac:dyDescent="0.35">
      <c r="A1070">
        <v>17111871202</v>
      </c>
      <c r="B1070" t="s">
        <v>1597</v>
      </c>
      <c r="C1070">
        <v>18</v>
      </c>
    </row>
    <row r="1071" spans="1:3" x14ac:dyDescent="0.35">
      <c r="A1071">
        <v>17031063301</v>
      </c>
      <c r="B1071" t="s">
        <v>1598</v>
      </c>
      <c r="C1071">
        <v>18</v>
      </c>
    </row>
    <row r="1072" spans="1:3" x14ac:dyDescent="0.35">
      <c r="A1072">
        <v>17111870903</v>
      </c>
      <c r="B1072" t="s">
        <v>1599</v>
      </c>
      <c r="C1072">
        <v>18</v>
      </c>
    </row>
    <row r="1073" spans="1:3" x14ac:dyDescent="0.35">
      <c r="A1073">
        <v>17031830008</v>
      </c>
      <c r="B1073" t="s">
        <v>1600</v>
      </c>
      <c r="C1073">
        <v>18</v>
      </c>
    </row>
    <row r="1074" spans="1:3" x14ac:dyDescent="0.35">
      <c r="A1074">
        <v>17031804711</v>
      </c>
      <c r="B1074" t="s">
        <v>1601</v>
      </c>
      <c r="C1074">
        <v>18</v>
      </c>
    </row>
    <row r="1075" spans="1:3" x14ac:dyDescent="0.35">
      <c r="A1075">
        <v>17043841307</v>
      </c>
      <c r="B1075" t="s">
        <v>1602</v>
      </c>
      <c r="C1075">
        <v>18</v>
      </c>
    </row>
    <row r="1076" spans="1:3" x14ac:dyDescent="0.35">
      <c r="A1076">
        <v>17043841110</v>
      </c>
      <c r="B1076" t="s">
        <v>1603</v>
      </c>
      <c r="C1076">
        <v>18</v>
      </c>
    </row>
    <row r="1077" spans="1:3" x14ac:dyDescent="0.35">
      <c r="A1077">
        <v>17043842704</v>
      </c>
      <c r="B1077" t="s">
        <v>1604</v>
      </c>
      <c r="C1077">
        <v>18</v>
      </c>
    </row>
    <row r="1078" spans="1:3" x14ac:dyDescent="0.35">
      <c r="A1078">
        <v>17031810302</v>
      </c>
      <c r="B1078" t="s">
        <v>1605</v>
      </c>
      <c r="C1078">
        <v>18</v>
      </c>
    </row>
    <row r="1079" spans="1:3" x14ac:dyDescent="0.35">
      <c r="A1079">
        <v>17031640600</v>
      </c>
      <c r="B1079" t="s">
        <v>1606</v>
      </c>
      <c r="C1079">
        <v>18</v>
      </c>
    </row>
    <row r="1080" spans="1:3" x14ac:dyDescent="0.35">
      <c r="A1080">
        <v>17031830201</v>
      </c>
      <c r="B1080" t="s">
        <v>1607</v>
      </c>
      <c r="C1080">
        <v>18</v>
      </c>
    </row>
    <row r="1081" spans="1:3" x14ac:dyDescent="0.35">
      <c r="A1081">
        <v>17089853005</v>
      </c>
      <c r="B1081" t="s">
        <v>1608</v>
      </c>
      <c r="C1081">
        <v>18</v>
      </c>
    </row>
    <row r="1082" spans="1:3" x14ac:dyDescent="0.35">
      <c r="A1082">
        <v>17031301801</v>
      </c>
      <c r="B1082" t="s">
        <v>1609</v>
      </c>
      <c r="C1082">
        <v>18</v>
      </c>
    </row>
    <row r="1083" spans="1:3" x14ac:dyDescent="0.35">
      <c r="A1083">
        <v>17031812100</v>
      </c>
      <c r="B1083" t="s">
        <v>1610</v>
      </c>
      <c r="C1083">
        <v>18</v>
      </c>
    </row>
    <row r="1084" spans="1:3" x14ac:dyDescent="0.35">
      <c r="A1084">
        <v>17197883100</v>
      </c>
      <c r="B1084" t="s">
        <v>1611</v>
      </c>
      <c r="C1084">
        <v>18</v>
      </c>
    </row>
    <row r="1085" spans="1:3" x14ac:dyDescent="0.35">
      <c r="A1085">
        <v>17031461000</v>
      </c>
      <c r="B1085" t="s">
        <v>1612</v>
      </c>
      <c r="C1085">
        <v>18</v>
      </c>
    </row>
    <row r="1086" spans="1:3" x14ac:dyDescent="0.35">
      <c r="A1086">
        <v>17031430700</v>
      </c>
      <c r="B1086" t="s">
        <v>1613</v>
      </c>
      <c r="C1086">
        <v>18</v>
      </c>
    </row>
    <row r="1087" spans="1:3" x14ac:dyDescent="0.35">
      <c r="A1087">
        <v>17097860101</v>
      </c>
      <c r="B1087" t="s">
        <v>1614</v>
      </c>
      <c r="C1087">
        <v>18</v>
      </c>
    </row>
    <row r="1088" spans="1:3" x14ac:dyDescent="0.35">
      <c r="A1088">
        <v>17043846308</v>
      </c>
      <c r="B1088" t="s">
        <v>1615</v>
      </c>
      <c r="C1088">
        <v>18</v>
      </c>
    </row>
    <row r="1089" spans="1:3" x14ac:dyDescent="0.35">
      <c r="A1089">
        <v>17031460400</v>
      </c>
      <c r="B1089" t="s">
        <v>1616</v>
      </c>
      <c r="C1089">
        <v>18</v>
      </c>
    </row>
    <row r="1090" spans="1:3" x14ac:dyDescent="0.35">
      <c r="A1090">
        <v>17031818800</v>
      </c>
      <c r="B1090" t="s">
        <v>1617</v>
      </c>
      <c r="C1090">
        <v>18</v>
      </c>
    </row>
    <row r="1091" spans="1:3" x14ac:dyDescent="0.35">
      <c r="A1091">
        <v>17031030601</v>
      </c>
      <c r="B1091" t="s">
        <v>1618</v>
      </c>
      <c r="C1091">
        <v>17</v>
      </c>
    </row>
    <row r="1092" spans="1:3" x14ac:dyDescent="0.35">
      <c r="A1092">
        <v>18089042609</v>
      </c>
      <c r="B1092" t="s">
        <v>1619</v>
      </c>
      <c r="C1092">
        <v>17</v>
      </c>
    </row>
    <row r="1093" spans="1:3" x14ac:dyDescent="0.35">
      <c r="A1093">
        <v>17043843500</v>
      </c>
      <c r="B1093" t="s">
        <v>1620</v>
      </c>
      <c r="C1093">
        <v>17</v>
      </c>
    </row>
    <row r="1094" spans="1:3" x14ac:dyDescent="0.35">
      <c r="A1094">
        <v>17031816900</v>
      </c>
      <c r="B1094" t="s">
        <v>1621</v>
      </c>
      <c r="C1094">
        <v>17</v>
      </c>
    </row>
    <row r="1095" spans="1:3" x14ac:dyDescent="0.35">
      <c r="A1095">
        <v>17031821102</v>
      </c>
      <c r="B1095" t="s">
        <v>1622</v>
      </c>
      <c r="C1095">
        <v>17</v>
      </c>
    </row>
    <row r="1096" spans="1:3" x14ac:dyDescent="0.35">
      <c r="A1096">
        <v>17197880119</v>
      </c>
      <c r="B1096" t="s">
        <v>1623</v>
      </c>
      <c r="C1096">
        <v>17</v>
      </c>
    </row>
    <row r="1097" spans="1:3" x14ac:dyDescent="0.35">
      <c r="A1097">
        <v>17089851907</v>
      </c>
      <c r="B1097" t="s">
        <v>1624</v>
      </c>
      <c r="C1097">
        <v>17</v>
      </c>
    </row>
    <row r="1098" spans="1:3" x14ac:dyDescent="0.35">
      <c r="A1098">
        <v>55059003001</v>
      </c>
      <c r="B1098" t="s">
        <v>1625</v>
      </c>
      <c r="C1098">
        <v>17</v>
      </c>
    </row>
    <row r="1099" spans="1:3" x14ac:dyDescent="0.35">
      <c r="A1099">
        <v>17031830500</v>
      </c>
      <c r="B1099" t="s">
        <v>1626</v>
      </c>
      <c r="C1099">
        <v>17</v>
      </c>
    </row>
    <row r="1100" spans="1:3" x14ac:dyDescent="0.35">
      <c r="A1100">
        <v>17031031300</v>
      </c>
      <c r="B1100" t="s">
        <v>1627</v>
      </c>
      <c r="C1100">
        <v>17</v>
      </c>
    </row>
    <row r="1101" spans="1:3" x14ac:dyDescent="0.35">
      <c r="A1101">
        <v>17111870703</v>
      </c>
      <c r="B1101" t="s">
        <v>1628</v>
      </c>
      <c r="C1101">
        <v>17</v>
      </c>
    </row>
    <row r="1102" spans="1:3" x14ac:dyDescent="0.35">
      <c r="A1102">
        <v>17031823604</v>
      </c>
      <c r="B1102" t="s">
        <v>1629</v>
      </c>
      <c r="C1102">
        <v>17</v>
      </c>
    </row>
    <row r="1103" spans="1:3" x14ac:dyDescent="0.35">
      <c r="A1103">
        <v>17031842400</v>
      </c>
      <c r="B1103" t="s">
        <v>1630</v>
      </c>
      <c r="C1103">
        <v>17</v>
      </c>
    </row>
    <row r="1104" spans="1:3" x14ac:dyDescent="0.35">
      <c r="A1104">
        <v>18089042501</v>
      </c>
      <c r="B1104" t="s">
        <v>1631</v>
      </c>
      <c r="C1104">
        <v>17</v>
      </c>
    </row>
    <row r="1105" spans="1:3" x14ac:dyDescent="0.35">
      <c r="A1105">
        <v>18089012500</v>
      </c>
      <c r="B1105" t="s">
        <v>1632</v>
      </c>
      <c r="C1105">
        <v>17</v>
      </c>
    </row>
    <row r="1106" spans="1:3" x14ac:dyDescent="0.35">
      <c r="A1106">
        <v>17197880118</v>
      </c>
      <c r="B1106" t="s">
        <v>1633</v>
      </c>
      <c r="C1106">
        <v>17</v>
      </c>
    </row>
    <row r="1107" spans="1:3" x14ac:dyDescent="0.35">
      <c r="A1107">
        <v>17043841314</v>
      </c>
      <c r="B1107" t="s">
        <v>1634</v>
      </c>
      <c r="C1107">
        <v>17</v>
      </c>
    </row>
    <row r="1108" spans="1:3" x14ac:dyDescent="0.35">
      <c r="A1108">
        <v>18089042802</v>
      </c>
      <c r="B1108" t="s">
        <v>1635</v>
      </c>
      <c r="C1108">
        <v>17</v>
      </c>
    </row>
    <row r="1109" spans="1:3" x14ac:dyDescent="0.35">
      <c r="A1109">
        <v>17197881113</v>
      </c>
      <c r="B1109" t="s">
        <v>1636</v>
      </c>
      <c r="C1109">
        <v>17</v>
      </c>
    </row>
    <row r="1110" spans="1:3" x14ac:dyDescent="0.35">
      <c r="A1110">
        <v>17089853007</v>
      </c>
      <c r="B1110" t="s">
        <v>1637</v>
      </c>
      <c r="C1110">
        <v>17</v>
      </c>
    </row>
    <row r="1111" spans="1:3" x14ac:dyDescent="0.35">
      <c r="A1111">
        <v>17197883521</v>
      </c>
      <c r="B1111" t="s">
        <v>1638</v>
      </c>
      <c r="C1111">
        <v>17</v>
      </c>
    </row>
    <row r="1112" spans="1:3" x14ac:dyDescent="0.35">
      <c r="A1112">
        <v>55059002800</v>
      </c>
      <c r="B1112" t="s">
        <v>1639</v>
      </c>
      <c r="C1112">
        <v>17</v>
      </c>
    </row>
    <row r="1113" spans="1:3" x14ac:dyDescent="0.35">
      <c r="A1113">
        <v>17031750500</v>
      </c>
      <c r="B1113" t="s">
        <v>1640</v>
      </c>
      <c r="C1113">
        <v>17</v>
      </c>
    </row>
    <row r="1114" spans="1:3" x14ac:dyDescent="0.35">
      <c r="A1114">
        <v>17031020301</v>
      </c>
      <c r="B1114" t="s">
        <v>1641</v>
      </c>
      <c r="C1114">
        <v>17</v>
      </c>
    </row>
    <row r="1115" spans="1:3" x14ac:dyDescent="0.35">
      <c r="A1115">
        <v>17197880305</v>
      </c>
      <c r="B1115" t="s">
        <v>1642</v>
      </c>
      <c r="C1115">
        <v>17</v>
      </c>
    </row>
    <row r="1116" spans="1:3" x14ac:dyDescent="0.35">
      <c r="A1116">
        <v>17031063400</v>
      </c>
      <c r="B1116" t="s">
        <v>1643</v>
      </c>
      <c r="C1116">
        <v>17</v>
      </c>
    </row>
    <row r="1117" spans="1:3" x14ac:dyDescent="0.35">
      <c r="A1117">
        <v>17031837100</v>
      </c>
      <c r="B1117" t="s">
        <v>1644</v>
      </c>
      <c r="C1117">
        <v>17</v>
      </c>
    </row>
    <row r="1118" spans="1:3" x14ac:dyDescent="0.35">
      <c r="A1118">
        <v>17197880411</v>
      </c>
      <c r="B1118" t="s">
        <v>1645</v>
      </c>
      <c r="C1118">
        <v>17</v>
      </c>
    </row>
    <row r="1119" spans="1:3" x14ac:dyDescent="0.35">
      <c r="A1119">
        <v>17031030604</v>
      </c>
      <c r="B1119" t="s">
        <v>1646</v>
      </c>
      <c r="C1119">
        <v>17</v>
      </c>
    </row>
    <row r="1120" spans="1:3" x14ac:dyDescent="0.35">
      <c r="A1120">
        <v>17037000700</v>
      </c>
      <c r="B1120" t="s">
        <v>1647</v>
      </c>
      <c r="C1120">
        <v>17</v>
      </c>
    </row>
    <row r="1121" spans="1:3" x14ac:dyDescent="0.35">
      <c r="A1121">
        <v>17031242500</v>
      </c>
      <c r="B1121" t="s">
        <v>1648</v>
      </c>
      <c r="C1121">
        <v>17</v>
      </c>
    </row>
    <row r="1122" spans="1:3" x14ac:dyDescent="0.35">
      <c r="A1122">
        <v>17031820606</v>
      </c>
      <c r="B1122" t="s">
        <v>1649</v>
      </c>
      <c r="C1122">
        <v>17</v>
      </c>
    </row>
    <row r="1123" spans="1:3" x14ac:dyDescent="0.35">
      <c r="A1123">
        <v>17031813400</v>
      </c>
      <c r="B1123" t="s">
        <v>1650</v>
      </c>
      <c r="C1123">
        <v>17</v>
      </c>
    </row>
    <row r="1124" spans="1:3" x14ac:dyDescent="0.35">
      <c r="A1124">
        <v>17031490400</v>
      </c>
      <c r="B1124" t="s">
        <v>1651</v>
      </c>
      <c r="C1124">
        <v>17</v>
      </c>
    </row>
    <row r="1125" spans="1:3" x14ac:dyDescent="0.35">
      <c r="A1125">
        <v>17031809000</v>
      </c>
      <c r="B1125" t="s">
        <v>1652</v>
      </c>
      <c r="C1125">
        <v>17</v>
      </c>
    </row>
    <row r="1126" spans="1:3" x14ac:dyDescent="0.35">
      <c r="A1126">
        <v>17037000100</v>
      </c>
      <c r="B1126" t="s">
        <v>1653</v>
      </c>
      <c r="C1126">
        <v>17</v>
      </c>
    </row>
    <row r="1127" spans="1:3" x14ac:dyDescent="0.35">
      <c r="A1127">
        <v>17031838000</v>
      </c>
      <c r="B1127" t="s">
        <v>1654</v>
      </c>
      <c r="C1127">
        <v>17</v>
      </c>
    </row>
    <row r="1128" spans="1:3" x14ac:dyDescent="0.35">
      <c r="A1128">
        <v>17031823002</v>
      </c>
      <c r="B1128" t="s">
        <v>1655</v>
      </c>
      <c r="C1128">
        <v>17</v>
      </c>
    </row>
    <row r="1129" spans="1:3" x14ac:dyDescent="0.35">
      <c r="A1129">
        <v>17031640300</v>
      </c>
      <c r="B1129" t="s">
        <v>1656</v>
      </c>
      <c r="C1129">
        <v>17</v>
      </c>
    </row>
    <row r="1130" spans="1:3" x14ac:dyDescent="0.35">
      <c r="A1130">
        <v>17031062200</v>
      </c>
      <c r="B1130" t="s">
        <v>1657</v>
      </c>
      <c r="C1130">
        <v>17</v>
      </c>
    </row>
    <row r="1131" spans="1:3" x14ac:dyDescent="0.35">
      <c r="A1131">
        <v>17031824119</v>
      </c>
      <c r="B1131" t="s">
        <v>1658</v>
      </c>
      <c r="C1131">
        <v>17</v>
      </c>
    </row>
    <row r="1132" spans="1:3" x14ac:dyDescent="0.35">
      <c r="A1132">
        <v>17031561100</v>
      </c>
      <c r="B1132" t="s">
        <v>1659</v>
      </c>
      <c r="C1132">
        <v>17</v>
      </c>
    </row>
    <row r="1133" spans="1:3" x14ac:dyDescent="0.35">
      <c r="A1133">
        <v>17031820902</v>
      </c>
      <c r="B1133" t="s">
        <v>1660</v>
      </c>
      <c r="C1133">
        <v>17</v>
      </c>
    </row>
    <row r="1134" spans="1:3" x14ac:dyDescent="0.35">
      <c r="A1134">
        <v>18089040900</v>
      </c>
      <c r="B1134" t="s">
        <v>1661</v>
      </c>
      <c r="C1134">
        <v>17</v>
      </c>
    </row>
    <row r="1135" spans="1:3" x14ac:dyDescent="0.35">
      <c r="A1135">
        <v>17031826500</v>
      </c>
      <c r="B1135" t="s">
        <v>1662</v>
      </c>
      <c r="C1135">
        <v>17</v>
      </c>
    </row>
    <row r="1136" spans="1:3" x14ac:dyDescent="0.35">
      <c r="A1136">
        <v>17031803017</v>
      </c>
      <c r="B1136" t="s">
        <v>1663</v>
      </c>
      <c r="C1136">
        <v>16</v>
      </c>
    </row>
    <row r="1137" spans="1:3" x14ac:dyDescent="0.35">
      <c r="A1137">
        <v>17031660600</v>
      </c>
      <c r="B1137" t="s">
        <v>1664</v>
      </c>
      <c r="C1137">
        <v>16</v>
      </c>
    </row>
    <row r="1138" spans="1:3" x14ac:dyDescent="0.35">
      <c r="A1138">
        <v>17031060300</v>
      </c>
      <c r="B1138" t="s">
        <v>1665</v>
      </c>
      <c r="C1138">
        <v>16</v>
      </c>
    </row>
    <row r="1139" spans="1:3" x14ac:dyDescent="0.35">
      <c r="A1139">
        <v>17031812700</v>
      </c>
      <c r="B1139" t="s">
        <v>1666</v>
      </c>
      <c r="C1139">
        <v>16</v>
      </c>
    </row>
    <row r="1140" spans="1:3" x14ac:dyDescent="0.35">
      <c r="A1140">
        <v>17111870604</v>
      </c>
      <c r="B1140" t="s">
        <v>1667</v>
      </c>
      <c r="C1140">
        <v>16</v>
      </c>
    </row>
    <row r="1141" spans="1:3" x14ac:dyDescent="0.35">
      <c r="A1141">
        <v>17031823904</v>
      </c>
      <c r="B1141" t="s">
        <v>1668</v>
      </c>
      <c r="C1141">
        <v>16</v>
      </c>
    </row>
    <row r="1142" spans="1:3" x14ac:dyDescent="0.35">
      <c r="A1142">
        <v>17197883700</v>
      </c>
      <c r="B1142" t="s">
        <v>1669</v>
      </c>
      <c r="C1142">
        <v>16</v>
      </c>
    </row>
    <row r="1143" spans="1:3" x14ac:dyDescent="0.35">
      <c r="A1143">
        <v>17031830003</v>
      </c>
      <c r="B1143" t="s">
        <v>1670</v>
      </c>
      <c r="C1143">
        <v>16</v>
      </c>
    </row>
    <row r="1144" spans="1:3" x14ac:dyDescent="0.35">
      <c r="A1144">
        <v>17097860904</v>
      </c>
      <c r="B1144" t="s">
        <v>1671</v>
      </c>
      <c r="C1144">
        <v>16</v>
      </c>
    </row>
    <row r="1145" spans="1:3" x14ac:dyDescent="0.35">
      <c r="A1145">
        <v>17031070101</v>
      </c>
      <c r="B1145" t="s">
        <v>1672</v>
      </c>
      <c r="C1145">
        <v>16</v>
      </c>
    </row>
    <row r="1146" spans="1:3" x14ac:dyDescent="0.35">
      <c r="A1146">
        <v>17031030706</v>
      </c>
      <c r="B1146" t="s">
        <v>1673</v>
      </c>
      <c r="C1146">
        <v>16</v>
      </c>
    </row>
    <row r="1147" spans="1:3" x14ac:dyDescent="0.35">
      <c r="A1147">
        <v>18089010302</v>
      </c>
      <c r="B1147" t="s">
        <v>1674</v>
      </c>
      <c r="C1147">
        <v>16</v>
      </c>
    </row>
    <row r="1148" spans="1:3" x14ac:dyDescent="0.35">
      <c r="A1148">
        <v>17031825302</v>
      </c>
      <c r="B1148" t="s">
        <v>1675</v>
      </c>
      <c r="C1148">
        <v>16</v>
      </c>
    </row>
    <row r="1149" spans="1:3" x14ac:dyDescent="0.35">
      <c r="A1149">
        <v>17031500200</v>
      </c>
      <c r="B1149" t="s">
        <v>1676</v>
      </c>
      <c r="C1149">
        <v>16</v>
      </c>
    </row>
    <row r="1150" spans="1:3" x14ac:dyDescent="0.35">
      <c r="A1150">
        <v>17031807000</v>
      </c>
      <c r="B1150" t="s">
        <v>1677</v>
      </c>
      <c r="C1150">
        <v>16</v>
      </c>
    </row>
    <row r="1151" spans="1:3" x14ac:dyDescent="0.35">
      <c r="A1151">
        <v>18089042605</v>
      </c>
      <c r="B1151" t="s">
        <v>1678</v>
      </c>
      <c r="C1151">
        <v>16</v>
      </c>
    </row>
    <row r="1152" spans="1:3" x14ac:dyDescent="0.35">
      <c r="A1152">
        <v>17031170200</v>
      </c>
      <c r="B1152" t="s">
        <v>1679</v>
      </c>
      <c r="C1152">
        <v>16</v>
      </c>
    </row>
    <row r="1153" spans="1:3" x14ac:dyDescent="0.35">
      <c r="A1153">
        <v>17031071400</v>
      </c>
      <c r="B1153" t="s">
        <v>1680</v>
      </c>
      <c r="C1153">
        <v>16</v>
      </c>
    </row>
    <row r="1154" spans="1:3" x14ac:dyDescent="0.35">
      <c r="A1154">
        <v>18089021100</v>
      </c>
      <c r="B1154" t="s">
        <v>1681</v>
      </c>
      <c r="C1154">
        <v>16</v>
      </c>
    </row>
    <row r="1155" spans="1:3" x14ac:dyDescent="0.35">
      <c r="A1155">
        <v>17043841206</v>
      </c>
      <c r="B1155" t="s">
        <v>1682</v>
      </c>
      <c r="C1155">
        <v>16</v>
      </c>
    </row>
    <row r="1156" spans="1:3" x14ac:dyDescent="0.35">
      <c r="A1156">
        <v>17031190300</v>
      </c>
      <c r="B1156" t="s">
        <v>1683</v>
      </c>
      <c r="C1156">
        <v>16</v>
      </c>
    </row>
    <row r="1157" spans="1:3" x14ac:dyDescent="0.35">
      <c r="A1157">
        <v>17043840303</v>
      </c>
      <c r="B1157" t="s">
        <v>1684</v>
      </c>
      <c r="C1157">
        <v>16</v>
      </c>
    </row>
    <row r="1158" spans="1:3" x14ac:dyDescent="0.35">
      <c r="A1158">
        <v>17097865600</v>
      </c>
      <c r="B1158" t="s">
        <v>1685</v>
      </c>
      <c r="C1158">
        <v>16</v>
      </c>
    </row>
    <row r="1159" spans="1:3" x14ac:dyDescent="0.35">
      <c r="A1159">
        <v>17031805002</v>
      </c>
      <c r="B1159" t="s">
        <v>1686</v>
      </c>
      <c r="C1159">
        <v>16</v>
      </c>
    </row>
    <row r="1160" spans="1:3" x14ac:dyDescent="0.35">
      <c r="A1160">
        <v>17031823801</v>
      </c>
      <c r="B1160" t="s">
        <v>1687</v>
      </c>
      <c r="C1160">
        <v>16</v>
      </c>
    </row>
    <row r="1161" spans="1:3" x14ac:dyDescent="0.35">
      <c r="A1161">
        <v>55059002906</v>
      </c>
      <c r="B1161" t="s">
        <v>1688</v>
      </c>
      <c r="C1161">
        <v>16</v>
      </c>
    </row>
    <row r="1162" spans="1:3" x14ac:dyDescent="0.35">
      <c r="A1162">
        <v>17031828503</v>
      </c>
      <c r="B1162" t="s">
        <v>1689</v>
      </c>
      <c r="C1162">
        <v>16</v>
      </c>
    </row>
    <row r="1163" spans="1:3" x14ac:dyDescent="0.35">
      <c r="A1163">
        <v>17031410700</v>
      </c>
      <c r="B1163" t="s">
        <v>1690</v>
      </c>
      <c r="C1163">
        <v>16</v>
      </c>
    </row>
    <row r="1164" spans="1:3" x14ac:dyDescent="0.35">
      <c r="A1164">
        <v>17031292500</v>
      </c>
      <c r="B1164" t="s">
        <v>1691</v>
      </c>
      <c r="C1164">
        <v>16</v>
      </c>
    </row>
    <row r="1165" spans="1:3" x14ac:dyDescent="0.35">
      <c r="A1165">
        <v>17043845402</v>
      </c>
      <c r="B1165" t="s">
        <v>1692</v>
      </c>
      <c r="C1165">
        <v>16</v>
      </c>
    </row>
    <row r="1166" spans="1:3" x14ac:dyDescent="0.35">
      <c r="A1166">
        <v>17031804611</v>
      </c>
      <c r="B1166" t="s">
        <v>1693</v>
      </c>
      <c r="C1166">
        <v>16</v>
      </c>
    </row>
    <row r="1167" spans="1:3" x14ac:dyDescent="0.35">
      <c r="A1167">
        <v>18089010500</v>
      </c>
      <c r="B1167" t="s">
        <v>1694</v>
      </c>
      <c r="C1167">
        <v>16</v>
      </c>
    </row>
    <row r="1168" spans="1:3" x14ac:dyDescent="0.35">
      <c r="A1168">
        <v>18127050604</v>
      </c>
      <c r="B1168" t="s">
        <v>1695</v>
      </c>
      <c r="C1168">
        <v>16</v>
      </c>
    </row>
    <row r="1169" spans="1:3" x14ac:dyDescent="0.35">
      <c r="A1169">
        <v>17031821001</v>
      </c>
      <c r="B1169" t="s">
        <v>1696</v>
      </c>
      <c r="C1169">
        <v>16</v>
      </c>
    </row>
    <row r="1170" spans="1:3" x14ac:dyDescent="0.35">
      <c r="A1170">
        <v>17111871107</v>
      </c>
      <c r="B1170" t="s">
        <v>1697</v>
      </c>
      <c r="C1170">
        <v>16</v>
      </c>
    </row>
    <row r="1171" spans="1:3" x14ac:dyDescent="0.35">
      <c r="A1171">
        <v>17031160800</v>
      </c>
      <c r="B1171" t="s">
        <v>1698</v>
      </c>
      <c r="C1171">
        <v>16</v>
      </c>
    </row>
    <row r="1172" spans="1:3" x14ac:dyDescent="0.35">
      <c r="A1172">
        <v>17037000400</v>
      </c>
      <c r="B1172" t="s">
        <v>1699</v>
      </c>
      <c r="C1172">
        <v>16</v>
      </c>
    </row>
    <row r="1173" spans="1:3" x14ac:dyDescent="0.35">
      <c r="A1173">
        <v>17031824701</v>
      </c>
      <c r="B1173" t="s">
        <v>1700</v>
      </c>
      <c r="C1173">
        <v>16</v>
      </c>
    </row>
    <row r="1174" spans="1:3" x14ac:dyDescent="0.35">
      <c r="A1174">
        <v>17197883209</v>
      </c>
      <c r="B1174" t="s">
        <v>1701</v>
      </c>
      <c r="C1174">
        <v>16</v>
      </c>
    </row>
    <row r="1175" spans="1:3" x14ac:dyDescent="0.35">
      <c r="A1175">
        <v>17089853006</v>
      </c>
      <c r="B1175" t="s">
        <v>1702</v>
      </c>
      <c r="C1175">
        <v>16</v>
      </c>
    </row>
    <row r="1176" spans="1:3" x14ac:dyDescent="0.35">
      <c r="A1176">
        <v>17031630800</v>
      </c>
      <c r="B1176" t="s">
        <v>1703</v>
      </c>
      <c r="C1176">
        <v>16</v>
      </c>
    </row>
    <row r="1177" spans="1:3" x14ac:dyDescent="0.35">
      <c r="A1177">
        <v>17031819300</v>
      </c>
      <c r="B1177" t="s">
        <v>1704</v>
      </c>
      <c r="C1177">
        <v>16</v>
      </c>
    </row>
    <row r="1178" spans="1:3" x14ac:dyDescent="0.35">
      <c r="A1178">
        <v>17097861013</v>
      </c>
      <c r="B1178" t="s">
        <v>1705</v>
      </c>
      <c r="C1178">
        <v>16</v>
      </c>
    </row>
    <row r="1179" spans="1:3" x14ac:dyDescent="0.35">
      <c r="A1179">
        <v>17197883210</v>
      </c>
      <c r="B1179" t="s">
        <v>1706</v>
      </c>
      <c r="C1179">
        <v>16</v>
      </c>
    </row>
    <row r="1180" spans="1:3" x14ac:dyDescent="0.35">
      <c r="A1180">
        <v>17031241600</v>
      </c>
      <c r="B1180" t="s">
        <v>1707</v>
      </c>
      <c r="C1180">
        <v>15</v>
      </c>
    </row>
    <row r="1181" spans="1:3" x14ac:dyDescent="0.35">
      <c r="A1181">
        <v>17031040300</v>
      </c>
      <c r="B1181" t="s">
        <v>1708</v>
      </c>
      <c r="C1181">
        <v>15</v>
      </c>
    </row>
    <row r="1182" spans="1:3" x14ac:dyDescent="0.35">
      <c r="A1182">
        <v>17031814500</v>
      </c>
      <c r="B1182" t="s">
        <v>1709</v>
      </c>
      <c r="C1182">
        <v>15</v>
      </c>
    </row>
    <row r="1183" spans="1:3" x14ac:dyDescent="0.35">
      <c r="A1183">
        <v>17031700501</v>
      </c>
      <c r="B1183" t="s">
        <v>1710</v>
      </c>
      <c r="C1183">
        <v>15</v>
      </c>
    </row>
    <row r="1184" spans="1:3" x14ac:dyDescent="0.35">
      <c r="A1184">
        <v>18089042000</v>
      </c>
      <c r="B1184" t="s">
        <v>1711</v>
      </c>
      <c r="C1184">
        <v>15</v>
      </c>
    </row>
    <row r="1185" spans="1:3" x14ac:dyDescent="0.35">
      <c r="A1185">
        <v>17031840300</v>
      </c>
      <c r="B1185" t="s">
        <v>1712</v>
      </c>
      <c r="C1185">
        <v>15</v>
      </c>
    </row>
    <row r="1186" spans="1:3" x14ac:dyDescent="0.35">
      <c r="A1186">
        <v>17043846522</v>
      </c>
      <c r="B1186" t="s">
        <v>1713</v>
      </c>
      <c r="C1186">
        <v>15</v>
      </c>
    </row>
    <row r="1187" spans="1:3" x14ac:dyDescent="0.35">
      <c r="A1187">
        <v>17031151100</v>
      </c>
      <c r="B1187" t="s">
        <v>1714</v>
      </c>
      <c r="C1187">
        <v>15</v>
      </c>
    </row>
    <row r="1188" spans="1:3" x14ac:dyDescent="0.35">
      <c r="A1188">
        <v>17031061200</v>
      </c>
      <c r="B1188" t="s">
        <v>1715</v>
      </c>
      <c r="C1188">
        <v>15</v>
      </c>
    </row>
    <row r="1189" spans="1:3" x14ac:dyDescent="0.35">
      <c r="A1189">
        <v>17043841607</v>
      </c>
      <c r="B1189" t="s">
        <v>1716</v>
      </c>
      <c r="C1189">
        <v>15</v>
      </c>
    </row>
    <row r="1190" spans="1:3" x14ac:dyDescent="0.35">
      <c r="A1190">
        <v>17031740100</v>
      </c>
      <c r="B1190" t="s">
        <v>1717</v>
      </c>
      <c r="C1190">
        <v>15</v>
      </c>
    </row>
    <row r="1191" spans="1:3" x14ac:dyDescent="0.35">
      <c r="A1191">
        <v>17063000800</v>
      </c>
      <c r="B1191" t="s">
        <v>1718</v>
      </c>
      <c r="C1191">
        <v>15</v>
      </c>
    </row>
    <row r="1192" spans="1:3" x14ac:dyDescent="0.35">
      <c r="A1192">
        <v>18073100902</v>
      </c>
      <c r="B1192" t="s">
        <v>1719</v>
      </c>
      <c r="C1192">
        <v>15</v>
      </c>
    </row>
    <row r="1193" spans="1:3" x14ac:dyDescent="0.35">
      <c r="A1193">
        <v>17089850800</v>
      </c>
      <c r="B1193" t="s">
        <v>1720</v>
      </c>
      <c r="C1193">
        <v>15</v>
      </c>
    </row>
    <row r="1194" spans="1:3" x14ac:dyDescent="0.35">
      <c r="A1194">
        <v>17031160900</v>
      </c>
      <c r="B1194" t="s">
        <v>1721</v>
      </c>
      <c r="C1194">
        <v>15</v>
      </c>
    </row>
    <row r="1195" spans="1:3" x14ac:dyDescent="0.35">
      <c r="A1195">
        <v>17031819900</v>
      </c>
      <c r="B1195" t="s">
        <v>1722</v>
      </c>
      <c r="C1195">
        <v>15</v>
      </c>
    </row>
    <row r="1196" spans="1:3" x14ac:dyDescent="0.35">
      <c r="A1196">
        <v>17031170300</v>
      </c>
      <c r="B1196" t="s">
        <v>1723</v>
      </c>
      <c r="C1196">
        <v>15</v>
      </c>
    </row>
    <row r="1197" spans="1:3" x14ac:dyDescent="0.35">
      <c r="A1197">
        <v>17089853100</v>
      </c>
      <c r="B1197" t="s">
        <v>1724</v>
      </c>
      <c r="C1197">
        <v>15</v>
      </c>
    </row>
    <row r="1198" spans="1:3" x14ac:dyDescent="0.35">
      <c r="A1198">
        <v>17031843000</v>
      </c>
      <c r="B1198" t="s">
        <v>1725</v>
      </c>
      <c r="C1198">
        <v>15</v>
      </c>
    </row>
    <row r="1199" spans="1:3" x14ac:dyDescent="0.35">
      <c r="A1199">
        <v>17043843302</v>
      </c>
      <c r="B1199" t="s">
        <v>1726</v>
      </c>
      <c r="C1199">
        <v>15</v>
      </c>
    </row>
    <row r="1200" spans="1:3" x14ac:dyDescent="0.35">
      <c r="A1200">
        <v>17031440300</v>
      </c>
      <c r="B1200" t="s">
        <v>1727</v>
      </c>
      <c r="C1200">
        <v>15</v>
      </c>
    </row>
    <row r="1201" spans="1:3" x14ac:dyDescent="0.35">
      <c r="A1201">
        <v>17031804706</v>
      </c>
      <c r="B1201" t="s">
        <v>1728</v>
      </c>
      <c r="C1201">
        <v>15</v>
      </c>
    </row>
    <row r="1202" spans="1:3" x14ac:dyDescent="0.35">
      <c r="A1202">
        <v>17031811401</v>
      </c>
      <c r="B1202" t="s">
        <v>1729</v>
      </c>
      <c r="C1202">
        <v>15</v>
      </c>
    </row>
    <row r="1203" spans="1:3" x14ac:dyDescent="0.35">
      <c r="A1203">
        <v>17031650301</v>
      </c>
      <c r="B1203" t="s">
        <v>1730</v>
      </c>
      <c r="C1203">
        <v>15</v>
      </c>
    </row>
    <row r="1204" spans="1:3" x14ac:dyDescent="0.35">
      <c r="A1204">
        <v>17031839700</v>
      </c>
      <c r="B1204" t="s">
        <v>1731</v>
      </c>
      <c r="C1204">
        <v>15</v>
      </c>
    </row>
    <row r="1205" spans="1:3" x14ac:dyDescent="0.35">
      <c r="A1205">
        <v>17031030102</v>
      </c>
      <c r="B1205" t="s">
        <v>1732</v>
      </c>
      <c r="C1205">
        <v>15</v>
      </c>
    </row>
    <row r="1206" spans="1:3" x14ac:dyDescent="0.35">
      <c r="A1206">
        <v>17111870401</v>
      </c>
      <c r="B1206" t="s">
        <v>1733</v>
      </c>
      <c r="C1206">
        <v>15</v>
      </c>
    </row>
    <row r="1207" spans="1:3" x14ac:dyDescent="0.35">
      <c r="A1207">
        <v>17031480500</v>
      </c>
      <c r="B1207" t="s">
        <v>1734</v>
      </c>
      <c r="C1207">
        <v>15</v>
      </c>
    </row>
    <row r="1208" spans="1:3" x14ac:dyDescent="0.35">
      <c r="A1208">
        <v>17031826202</v>
      </c>
      <c r="B1208" t="s">
        <v>1735</v>
      </c>
      <c r="C1208">
        <v>15</v>
      </c>
    </row>
    <row r="1209" spans="1:3" x14ac:dyDescent="0.35">
      <c r="A1209">
        <v>17031252201</v>
      </c>
      <c r="B1209" t="s">
        <v>1736</v>
      </c>
      <c r="C1209">
        <v>15</v>
      </c>
    </row>
    <row r="1210" spans="1:3" x14ac:dyDescent="0.35">
      <c r="A1210">
        <v>17031430600</v>
      </c>
      <c r="B1210" t="s">
        <v>1737</v>
      </c>
      <c r="C1210">
        <v>15</v>
      </c>
    </row>
    <row r="1211" spans="1:3" x14ac:dyDescent="0.35">
      <c r="A1211">
        <v>17111871207</v>
      </c>
      <c r="B1211" t="s">
        <v>1738</v>
      </c>
      <c r="C1211">
        <v>15</v>
      </c>
    </row>
    <row r="1212" spans="1:3" x14ac:dyDescent="0.35">
      <c r="A1212">
        <v>17031820604</v>
      </c>
      <c r="B1212" t="s">
        <v>1739</v>
      </c>
      <c r="C1212">
        <v>15</v>
      </c>
    </row>
    <row r="1213" spans="1:3" x14ac:dyDescent="0.35">
      <c r="A1213">
        <v>17031490600</v>
      </c>
      <c r="B1213" t="s">
        <v>1740</v>
      </c>
      <c r="C1213">
        <v>15</v>
      </c>
    </row>
    <row r="1214" spans="1:3" x14ac:dyDescent="0.35">
      <c r="A1214">
        <v>17031818900</v>
      </c>
      <c r="B1214" t="s">
        <v>1741</v>
      </c>
      <c r="C1214">
        <v>15</v>
      </c>
    </row>
    <row r="1215" spans="1:3" x14ac:dyDescent="0.35">
      <c r="A1215">
        <v>17031817102</v>
      </c>
      <c r="B1215" t="s">
        <v>1742</v>
      </c>
      <c r="C1215">
        <v>15</v>
      </c>
    </row>
    <row r="1216" spans="1:3" x14ac:dyDescent="0.35">
      <c r="A1216">
        <v>17031803014</v>
      </c>
      <c r="B1216" t="s">
        <v>1743</v>
      </c>
      <c r="C1216">
        <v>15</v>
      </c>
    </row>
    <row r="1217" spans="1:3" x14ac:dyDescent="0.35">
      <c r="A1217">
        <v>17031190900</v>
      </c>
      <c r="B1217" t="s">
        <v>1744</v>
      </c>
      <c r="C1217">
        <v>15</v>
      </c>
    </row>
    <row r="1218" spans="1:3" x14ac:dyDescent="0.35">
      <c r="A1218">
        <v>17031710100</v>
      </c>
      <c r="B1218" t="s">
        <v>1745</v>
      </c>
      <c r="C1218">
        <v>15</v>
      </c>
    </row>
    <row r="1219" spans="1:3" x14ac:dyDescent="0.35">
      <c r="A1219">
        <v>17031160501</v>
      </c>
      <c r="B1219" t="s">
        <v>1746</v>
      </c>
      <c r="C1219">
        <v>15</v>
      </c>
    </row>
    <row r="1220" spans="1:3" x14ac:dyDescent="0.35">
      <c r="A1220">
        <v>17031813802</v>
      </c>
      <c r="B1220" t="s">
        <v>1747</v>
      </c>
      <c r="C1220">
        <v>15</v>
      </c>
    </row>
    <row r="1221" spans="1:3" x14ac:dyDescent="0.35">
      <c r="A1221">
        <v>17031829301</v>
      </c>
      <c r="B1221" t="s">
        <v>1748</v>
      </c>
      <c r="C1221">
        <v>15</v>
      </c>
    </row>
    <row r="1222" spans="1:3" x14ac:dyDescent="0.35">
      <c r="A1222">
        <v>17197880503</v>
      </c>
      <c r="B1222" t="s">
        <v>1749</v>
      </c>
      <c r="C1222">
        <v>15</v>
      </c>
    </row>
    <row r="1223" spans="1:3" x14ac:dyDescent="0.35">
      <c r="A1223">
        <v>17031804607</v>
      </c>
      <c r="B1223" t="s">
        <v>1750</v>
      </c>
      <c r="C1223">
        <v>15</v>
      </c>
    </row>
    <row r="1224" spans="1:3" x14ac:dyDescent="0.35">
      <c r="A1224">
        <v>17031050300</v>
      </c>
      <c r="B1224" t="s">
        <v>1751</v>
      </c>
      <c r="C1224">
        <v>15</v>
      </c>
    </row>
    <row r="1225" spans="1:3" x14ac:dyDescent="0.35">
      <c r="A1225">
        <v>17031822900</v>
      </c>
      <c r="B1225" t="s">
        <v>1752</v>
      </c>
      <c r="C1225">
        <v>15</v>
      </c>
    </row>
    <row r="1226" spans="1:3" x14ac:dyDescent="0.35">
      <c r="A1226">
        <v>17031810702</v>
      </c>
      <c r="B1226" t="s">
        <v>1753</v>
      </c>
      <c r="C1226">
        <v>15</v>
      </c>
    </row>
    <row r="1227" spans="1:3" x14ac:dyDescent="0.35">
      <c r="A1227">
        <v>17037000500</v>
      </c>
      <c r="B1227" t="s">
        <v>1754</v>
      </c>
      <c r="C1227">
        <v>15</v>
      </c>
    </row>
    <row r="1228" spans="1:3" x14ac:dyDescent="0.35">
      <c r="A1228">
        <v>17031100400</v>
      </c>
      <c r="B1228" t="s">
        <v>1755</v>
      </c>
      <c r="C1228">
        <v>14</v>
      </c>
    </row>
    <row r="1229" spans="1:3" x14ac:dyDescent="0.35">
      <c r="A1229">
        <v>17031030500</v>
      </c>
      <c r="B1229" t="s">
        <v>1756</v>
      </c>
      <c r="C1229">
        <v>14</v>
      </c>
    </row>
    <row r="1230" spans="1:3" x14ac:dyDescent="0.35">
      <c r="A1230">
        <v>17197883902</v>
      </c>
      <c r="B1230" t="s">
        <v>1757</v>
      </c>
      <c r="C1230">
        <v>14</v>
      </c>
    </row>
    <row r="1231" spans="1:3" x14ac:dyDescent="0.35">
      <c r="A1231">
        <v>17031720200</v>
      </c>
      <c r="B1231" t="s">
        <v>1758</v>
      </c>
      <c r="C1231">
        <v>14</v>
      </c>
    </row>
    <row r="1232" spans="1:3" x14ac:dyDescent="0.35">
      <c r="A1232">
        <v>17043846314</v>
      </c>
      <c r="B1232" t="s">
        <v>1759</v>
      </c>
      <c r="C1232">
        <v>14</v>
      </c>
    </row>
    <row r="1233" spans="1:3" x14ac:dyDescent="0.35">
      <c r="A1233">
        <v>17031800100</v>
      </c>
      <c r="B1233" t="s">
        <v>1760</v>
      </c>
      <c r="C1233">
        <v>14</v>
      </c>
    </row>
    <row r="1234" spans="1:3" x14ac:dyDescent="0.35">
      <c r="A1234">
        <v>17097864204</v>
      </c>
      <c r="B1234" t="s">
        <v>1761</v>
      </c>
      <c r="C1234">
        <v>14</v>
      </c>
    </row>
    <row r="1235" spans="1:3" x14ac:dyDescent="0.35">
      <c r="A1235">
        <v>17031827300</v>
      </c>
      <c r="B1235" t="s">
        <v>1762</v>
      </c>
      <c r="C1235">
        <v>14</v>
      </c>
    </row>
    <row r="1236" spans="1:3" x14ac:dyDescent="0.35">
      <c r="A1236">
        <v>17031826201</v>
      </c>
      <c r="B1236" t="s">
        <v>1763</v>
      </c>
      <c r="C1236">
        <v>14</v>
      </c>
    </row>
    <row r="1237" spans="1:3" x14ac:dyDescent="0.35">
      <c r="A1237">
        <v>17197883809</v>
      </c>
      <c r="B1237" t="s">
        <v>1764</v>
      </c>
      <c r="C1237">
        <v>14</v>
      </c>
    </row>
    <row r="1238" spans="1:3" x14ac:dyDescent="0.35">
      <c r="A1238">
        <v>17043846701</v>
      </c>
      <c r="B1238" t="s">
        <v>1765</v>
      </c>
      <c r="C1238">
        <v>14</v>
      </c>
    </row>
    <row r="1239" spans="1:3" x14ac:dyDescent="0.35">
      <c r="A1239">
        <v>18127050501</v>
      </c>
      <c r="B1239" t="s">
        <v>1766</v>
      </c>
      <c r="C1239">
        <v>14</v>
      </c>
    </row>
    <row r="1240" spans="1:3" x14ac:dyDescent="0.35">
      <c r="A1240">
        <v>17097865300</v>
      </c>
      <c r="B1240" t="s">
        <v>1767</v>
      </c>
      <c r="C1240">
        <v>14</v>
      </c>
    </row>
    <row r="1241" spans="1:3" x14ac:dyDescent="0.35">
      <c r="A1241">
        <v>17031838800</v>
      </c>
      <c r="B1241" t="s">
        <v>1768</v>
      </c>
      <c r="C1241">
        <v>14</v>
      </c>
    </row>
    <row r="1242" spans="1:3" x14ac:dyDescent="0.35">
      <c r="A1242">
        <v>17197880901</v>
      </c>
      <c r="B1242" t="s">
        <v>1769</v>
      </c>
      <c r="C1242">
        <v>14</v>
      </c>
    </row>
    <row r="1243" spans="1:3" x14ac:dyDescent="0.35">
      <c r="A1243">
        <v>17031360200</v>
      </c>
      <c r="B1243" t="s">
        <v>1770</v>
      </c>
      <c r="C1243">
        <v>14</v>
      </c>
    </row>
    <row r="1244" spans="1:3" x14ac:dyDescent="0.35">
      <c r="A1244">
        <v>17031530300</v>
      </c>
      <c r="B1244" t="s">
        <v>1771</v>
      </c>
      <c r="C1244">
        <v>14</v>
      </c>
    </row>
    <row r="1245" spans="1:3" x14ac:dyDescent="0.35">
      <c r="A1245">
        <v>17031826304</v>
      </c>
      <c r="B1245" t="s">
        <v>1772</v>
      </c>
      <c r="C1245">
        <v>14</v>
      </c>
    </row>
    <row r="1246" spans="1:3" x14ac:dyDescent="0.35">
      <c r="A1246">
        <v>17031590700</v>
      </c>
      <c r="B1246" t="s">
        <v>1773</v>
      </c>
      <c r="C1246">
        <v>14</v>
      </c>
    </row>
    <row r="1247" spans="1:3" x14ac:dyDescent="0.35">
      <c r="A1247">
        <v>17043845510</v>
      </c>
      <c r="B1247" t="s">
        <v>1774</v>
      </c>
      <c r="C1247">
        <v>14</v>
      </c>
    </row>
    <row r="1248" spans="1:3" x14ac:dyDescent="0.35">
      <c r="A1248">
        <v>17031813302</v>
      </c>
      <c r="B1248" t="s">
        <v>1775</v>
      </c>
      <c r="C1248">
        <v>14</v>
      </c>
    </row>
    <row r="1249" spans="1:3" x14ac:dyDescent="0.35">
      <c r="A1249">
        <v>17043845508</v>
      </c>
      <c r="B1249" t="s">
        <v>1776</v>
      </c>
      <c r="C1249">
        <v>14</v>
      </c>
    </row>
    <row r="1250" spans="1:3" x14ac:dyDescent="0.35">
      <c r="A1250">
        <v>17031803902</v>
      </c>
      <c r="B1250" t="s">
        <v>1777</v>
      </c>
      <c r="C1250">
        <v>14</v>
      </c>
    </row>
    <row r="1251" spans="1:3" x14ac:dyDescent="0.35">
      <c r="A1251">
        <v>17031829200</v>
      </c>
      <c r="B1251" t="s">
        <v>1778</v>
      </c>
      <c r="C1251">
        <v>14</v>
      </c>
    </row>
    <row r="1252" spans="1:3" x14ac:dyDescent="0.35">
      <c r="A1252">
        <v>17031380700</v>
      </c>
      <c r="B1252" t="s">
        <v>1779</v>
      </c>
      <c r="C1252">
        <v>14</v>
      </c>
    </row>
    <row r="1253" spans="1:3" x14ac:dyDescent="0.35">
      <c r="A1253">
        <v>17031260200</v>
      </c>
      <c r="B1253" t="s">
        <v>1780</v>
      </c>
      <c r="C1253">
        <v>14</v>
      </c>
    </row>
    <row r="1254" spans="1:3" x14ac:dyDescent="0.35">
      <c r="A1254">
        <v>17031838300</v>
      </c>
      <c r="B1254" t="s">
        <v>1781</v>
      </c>
      <c r="C1254">
        <v>14</v>
      </c>
    </row>
    <row r="1255" spans="1:3" x14ac:dyDescent="0.35">
      <c r="A1255">
        <v>17031804710</v>
      </c>
      <c r="B1255" t="s">
        <v>1782</v>
      </c>
      <c r="C1255">
        <v>14</v>
      </c>
    </row>
    <row r="1256" spans="1:3" x14ac:dyDescent="0.35">
      <c r="A1256">
        <v>17031837300</v>
      </c>
      <c r="B1256" t="s">
        <v>1783</v>
      </c>
      <c r="C1256">
        <v>14</v>
      </c>
    </row>
    <row r="1257" spans="1:3" x14ac:dyDescent="0.35">
      <c r="A1257">
        <v>18089010201</v>
      </c>
      <c r="B1257" t="s">
        <v>1784</v>
      </c>
      <c r="C1257">
        <v>14</v>
      </c>
    </row>
    <row r="1258" spans="1:3" x14ac:dyDescent="0.35">
      <c r="A1258">
        <v>17111871209</v>
      </c>
      <c r="B1258" t="s">
        <v>1785</v>
      </c>
      <c r="C1258">
        <v>14</v>
      </c>
    </row>
    <row r="1259" spans="1:3" x14ac:dyDescent="0.35">
      <c r="A1259">
        <v>17031081202</v>
      </c>
      <c r="B1259" t="s">
        <v>1786</v>
      </c>
      <c r="C1259">
        <v>14</v>
      </c>
    </row>
    <row r="1260" spans="1:3" x14ac:dyDescent="0.35">
      <c r="A1260">
        <v>18089030700</v>
      </c>
      <c r="B1260" t="s">
        <v>1787</v>
      </c>
      <c r="C1260">
        <v>14</v>
      </c>
    </row>
    <row r="1261" spans="1:3" x14ac:dyDescent="0.35">
      <c r="A1261">
        <v>17031770902</v>
      </c>
      <c r="B1261" t="s">
        <v>1788</v>
      </c>
      <c r="C1261">
        <v>14</v>
      </c>
    </row>
    <row r="1262" spans="1:3" x14ac:dyDescent="0.35">
      <c r="A1262">
        <v>17031062800</v>
      </c>
      <c r="B1262" t="s">
        <v>1789</v>
      </c>
      <c r="C1262">
        <v>14</v>
      </c>
    </row>
    <row r="1263" spans="1:3" x14ac:dyDescent="0.35">
      <c r="A1263">
        <v>17031070103</v>
      </c>
      <c r="B1263" t="s">
        <v>1790</v>
      </c>
      <c r="C1263">
        <v>14</v>
      </c>
    </row>
    <row r="1264" spans="1:3" x14ac:dyDescent="0.35">
      <c r="A1264">
        <v>17031310700</v>
      </c>
      <c r="B1264" t="s">
        <v>1791</v>
      </c>
      <c r="C1264">
        <v>14</v>
      </c>
    </row>
    <row r="1265" spans="1:3" x14ac:dyDescent="0.35">
      <c r="A1265">
        <v>17031340400</v>
      </c>
      <c r="B1265" t="s">
        <v>1792</v>
      </c>
      <c r="C1265">
        <v>14</v>
      </c>
    </row>
    <row r="1266" spans="1:3" x14ac:dyDescent="0.35">
      <c r="A1266">
        <v>18127050402</v>
      </c>
      <c r="B1266" t="s">
        <v>1793</v>
      </c>
      <c r="C1266">
        <v>14</v>
      </c>
    </row>
    <row r="1267" spans="1:3" x14ac:dyDescent="0.35">
      <c r="A1267">
        <v>17031820603</v>
      </c>
      <c r="B1267" t="s">
        <v>1794</v>
      </c>
      <c r="C1267">
        <v>14</v>
      </c>
    </row>
    <row r="1268" spans="1:3" x14ac:dyDescent="0.35">
      <c r="A1268">
        <v>17031802801</v>
      </c>
      <c r="B1268" t="s">
        <v>1795</v>
      </c>
      <c r="C1268">
        <v>14</v>
      </c>
    </row>
    <row r="1269" spans="1:3" x14ac:dyDescent="0.35">
      <c r="A1269">
        <v>17031804406</v>
      </c>
      <c r="B1269" t="s">
        <v>1796</v>
      </c>
      <c r="C1269">
        <v>14</v>
      </c>
    </row>
    <row r="1270" spans="1:3" x14ac:dyDescent="0.35">
      <c r="A1270">
        <v>18089041001</v>
      </c>
      <c r="B1270" t="s">
        <v>1797</v>
      </c>
      <c r="C1270">
        <v>14</v>
      </c>
    </row>
    <row r="1271" spans="1:3" x14ac:dyDescent="0.35">
      <c r="A1271">
        <v>17197881105</v>
      </c>
      <c r="B1271" t="s">
        <v>1798</v>
      </c>
      <c r="C1271">
        <v>14</v>
      </c>
    </row>
    <row r="1272" spans="1:3" x14ac:dyDescent="0.35">
      <c r="A1272">
        <v>17031110200</v>
      </c>
      <c r="B1272" t="s">
        <v>1799</v>
      </c>
      <c r="C1272">
        <v>14</v>
      </c>
    </row>
    <row r="1273" spans="1:3" x14ac:dyDescent="0.35">
      <c r="A1273">
        <v>17031730700</v>
      </c>
      <c r="B1273" t="s">
        <v>1800</v>
      </c>
      <c r="C1273">
        <v>14</v>
      </c>
    </row>
    <row r="1274" spans="1:3" x14ac:dyDescent="0.35">
      <c r="A1274">
        <v>18089020700</v>
      </c>
      <c r="B1274" t="s">
        <v>1801</v>
      </c>
      <c r="C1274">
        <v>14</v>
      </c>
    </row>
    <row r="1275" spans="1:3" x14ac:dyDescent="0.35">
      <c r="A1275">
        <v>17031161000</v>
      </c>
      <c r="B1275" t="s">
        <v>1802</v>
      </c>
      <c r="C1275">
        <v>13</v>
      </c>
    </row>
    <row r="1276" spans="1:3" x14ac:dyDescent="0.35">
      <c r="A1276">
        <v>17031351400</v>
      </c>
      <c r="B1276" t="s">
        <v>1803</v>
      </c>
      <c r="C1276">
        <v>13</v>
      </c>
    </row>
    <row r="1277" spans="1:3" x14ac:dyDescent="0.35">
      <c r="A1277">
        <v>17031650200</v>
      </c>
      <c r="B1277" t="s">
        <v>1804</v>
      </c>
      <c r="C1277">
        <v>13</v>
      </c>
    </row>
    <row r="1278" spans="1:3" x14ac:dyDescent="0.35">
      <c r="A1278">
        <v>17031804404</v>
      </c>
      <c r="B1278" t="s">
        <v>1805</v>
      </c>
      <c r="C1278">
        <v>13</v>
      </c>
    </row>
    <row r="1279" spans="1:3" x14ac:dyDescent="0.35">
      <c r="A1279">
        <v>17197880303</v>
      </c>
      <c r="B1279" t="s">
        <v>1806</v>
      </c>
      <c r="C1279">
        <v>13</v>
      </c>
    </row>
    <row r="1280" spans="1:3" x14ac:dyDescent="0.35">
      <c r="A1280">
        <v>17031802607</v>
      </c>
      <c r="B1280" t="s">
        <v>1807</v>
      </c>
      <c r="C1280">
        <v>13</v>
      </c>
    </row>
    <row r="1281" spans="1:3" x14ac:dyDescent="0.35">
      <c r="A1281">
        <v>17031030702</v>
      </c>
      <c r="B1281" t="s">
        <v>1808</v>
      </c>
      <c r="C1281">
        <v>13</v>
      </c>
    </row>
    <row r="1282" spans="1:3" x14ac:dyDescent="0.35">
      <c r="A1282">
        <v>17031820104</v>
      </c>
      <c r="B1282" t="s">
        <v>1809</v>
      </c>
      <c r="C1282">
        <v>13</v>
      </c>
    </row>
    <row r="1283" spans="1:3" x14ac:dyDescent="0.35">
      <c r="A1283">
        <v>17031828602</v>
      </c>
      <c r="B1283" t="s">
        <v>1810</v>
      </c>
      <c r="C1283">
        <v>13</v>
      </c>
    </row>
    <row r="1284" spans="1:3" x14ac:dyDescent="0.35">
      <c r="A1284">
        <v>17031832400</v>
      </c>
      <c r="B1284" t="s">
        <v>1811</v>
      </c>
      <c r="C1284">
        <v>13</v>
      </c>
    </row>
    <row r="1285" spans="1:3" x14ac:dyDescent="0.35">
      <c r="A1285">
        <v>17031821002</v>
      </c>
      <c r="B1285" t="s">
        <v>1812</v>
      </c>
      <c r="C1285">
        <v>13</v>
      </c>
    </row>
    <row r="1286" spans="1:3" x14ac:dyDescent="0.35">
      <c r="A1286">
        <v>17043841112</v>
      </c>
      <c r="B1286" t="s">
        <v>1813</v>
      </c>
      <c r="C1286">
        <v>13</v>
      </c>
    </row>
    <row r="1287" spans="1:3" x14ac:dyDescent="0.35">
      <c r="A1287">
        <v>17043843900</v>
      </c>
      <c r="B1287" t="s">
        <v>1814</v>
      </c>
      <c r="C1287">
        <v>13</v>
      </c>
    </row>
    <row r="1288" spans="1:3" x14ac:dyDescent="0.35">
      <c r="A1288">
        <v>17197880414</v>
      </c>
      <c r="B1288" t="s">
        <v>1815</v>
      </c>
      <c r="C1288">
        <v>13</v>
      </c>
    </row>
    <row r="1289" spans="1:3" x14ac:dyDescent="0.35">
      <c r="A1289">
        <v>17031817200</v>
      </c>
      <c r="B1289" t="s">
        <v>1816</v>
      </c>
      <c r="C1289">
        <v>13</v>
      </c>
    </row>
    <row r="1290" spans="1:3" x14ac:dyDescent="0.35">
      <c r="A1290">
        <v>17111870702</v>
      </c>
      <c r="B1290" t="s">
        <v>1817</v>
      </c>
      <c r="C1290">
        <v>13</v>
      </c>
    </row>
    <row r="1291" spans="1:3" x14ac:dyDescent="0.35">
      <c r="A1291">
        <v>17031251000</v>
      </c>
      <c r="B1291" t="s">
        <v>1818</v>
      </c>
      <c r="C1291">
        <v>13</v>
      </c>
    </row>
    <row r="1292" spans="1:3" x14ac:dyDescent="0.35">
      <c r="A1292">
        <v>17031843500</v>
      </c>
      <c r="B1292" t="s">
        <v>1819</v>
      </c>
      <c r="C1292">
        <v>13</v>
      </c>
    </row>
    <row r="1293" spans="1:3" x14ac:dyDescent="0.35">
      <c r="A1293">
        <v>17031821900</v>
      </c>
      <c r="B1293" t="s">
        <v>1820</v>
      </c>
      <c r="C1293">
        <v>13</v>
      </c>
    </row>
    <row r="1294" spans="1:3" x14ac:dyDescent="0.35">
      <c r="A1294">
        <v>17031824900</v>
      </c>
      <c r="B1294" t="s">
        <v>1821</v>
      </c>
      <c r="C1294">
        <v>13</v>
      </c>
    </row>
    <row r="1295" spans="1:3" x14ac:dyDescent="0.35">
      <c r="A1295">
        <v>17031814200</v>
      </c>
      <c r="B1295" t="s">
        <v>1822</v>
      </c>
      <c r="C1295">
        <v>13</v>
      </c>
    </row>
    <row r="1296" spans="1:3" x14ac:dyDescent="0.35">
      <c r="A1296">
        <v>17031242700</v>
      </c>
      <c r="B1296" t="s">
        <v>1823</v>
      </c>
      <c r="C1296">
        <v>13</v>
      </c>
    </row>
    <row r="1297" spans="1:3" x14ac:dyDescent="0.35">
      <c r="A1297">
        <v>17031808600</v>
      </c>
      <c r="B1297" t="s">
        <v>1824</v>
      </c>
      <c r="C1297">
        <v>13</v>
      </c>
    </row>
    <row r="1298" spans="1:3" x14ac:dyDescent="0.35">
      <c r="A1298">
        <v>17197881800</v>
      </c>
      <c r="B1298" t="s">
        <v>1825</v>
      </c>
      <c r="C1298">
        <v>13</v>
      </c>
    </row>
    <row r="1299" spans="1:3" x14ac:dyDescent="0.35">
      <c r="A1299">
        <v>17031830600</v>
      </c>
      <c r="B1299" t="s">
        <v>1826</v>
      </c>
      <c r="C1299">
        <v>13</v>
      </c>
    </row>
    <row r="1300" spans="1:3" x14ac:dyDescent="0.35">
      <c r="A1300">
        <v>17031070200</v>
      </c>
      <c r="B1300" t="s">
        <v>1827</v>
      </c>
      <c r="C1300">
        <v>13</v>
      </c>
    </row>
    <row r="1301" spans="1:3" x14ac:dyDescent="0.35">
      <c r="A1301">
        <v>17031700200</v>
      </c>
      <c r="B1301" t="s">
        <v>1828</v>
      </c>
      <c r="C1301">
        <v>13</v>
      </c>
    </row>
    <row r="1302" spans="1:3" x14ac:dyDescent="0.35">
      <c r="A1302">
        <v>17031802404</v>
      </c>
      <c r="B1302" t="s">
        <v>1829</v>
      </c>
      <c r="C1302">
        <v>13</v>
      </c>
    </row>
    <row r="1303" spans="1:3" x14ac:dyDescent="0.35">
      <c r="A1303">
        <v>17031822400</v>
      </c>
      <c r="B1303" t="s">
        <v>1830</v>
      </c>
      <c r="C1303">
        <v>13</v>
      </c>
    </row>
    <row r="1304" spans="1:3" x14ac:dyDescent="0.35">
      <c r="A1304">
        <v>17031310900</v>
      </c>
      <c r="B1304" t="s">
        <v>1831</v>
      </c>
      <c r="C1304">
        <v>13</v>
      </c>
    </row>
    <row r="1305" spans="1:3" x14ac:dyDescent="0.35">
      <c r="A1305">
        <v>17031283800</v>
      </c>
      <c r="B1305" t="s">
        <v>1832</v>
      </c>
      <c r="C1305">
        <v>13</v>
      </c>
    </row>
    <row r="1306" spans="1:3" x14ac:dyDescent="0.35">
      <c r="A1306">
        <v>17031839600</v>
      </c>
      <c r="B1306" t="s">
        <v>1833</v>
      </c>
      <c r="C1306">
        <v>13</v>
      </c>
    </row>
    <row r="1307" spans="1:3" x14ac:dyDescent="0.35">
      <c r="A1307">
        <v>17031836600</v>
      </c>
      <c r="B1307" t="s">
        <v>1834</v>
      </c>
      <c r="C1307">
        <v>13</v>
      </c>
    </row>
    <row r="1308" spans="1:3" x14ac:dyDescent="0.35">
      <c r="A1308">
        <v>17043843602</v>
      </c>
      <c r="B1308" t="s">
        <v>1835</v>
      </c>
      <c r="C1308">
        <v>13</v>
      </c>
    </row>
    <row r="1309" spans="1:3" x14ac:dyDescent="0.35">
      <c r="A1309">
        <v>17031700401</v>
      </c>
      <c r="B1309" t="s">
        <v>1836</v>
      </c>
      <c r="C1309">
        <v>13</v>
      </c>
    </row>
    <row r="1310" spans="1:3" x14ac:dyDescent="0.35">
      <c r="A1310">
        <v>17097865501</v>
      </c>
      <c r="B1310" t="s">
        <v>1837</v>
      </c>
      <c r="C1310">
        <v>13</v>
      </c>
    </row>
    <row r="1311" spans="1:3" x14ac:dyDescent="0.35">
      <c r="A1311">
        <v>17197883505</v>
      </c>
      <c r="B1311" t="s">
        <v>1838</v>
      </c>
      <c r="C1311">
        <v>13</v>
      </c>
    </row>
    <row r="1312" spans="1:3" x14ac:dyDescent="0.35">
      <c r="A1312">
        <v>55059002400</v>
      </c>
      <c r="B1312" t="s">
        <v>1839</v>
      </c>
      <c r="C1312">
        <v>13</v>
      </c>
    </row>
    <row r="1313" spans="1:3" x14ac:dyDescent="0.35">
      <c r="A1313">
        <v>17111871108</v>
      </c>
      <c r="B1313" t="s">
        <v>1840</v>
      </c>
      <c r="C1313">
        <v>13</v>
      </c>
    </row>
    <row r="1314" spans="1:3" x14ac:dyDescent="0.35">
      <c r="A1314">
        <v>18089042901</v>
      </c>
      <c r="B1314" t="s">
        <v>1841</v>
      </c>
      <c r="C1314">
        <v>13</v>
      </c>
    </row>
    <row r="1315" spans="1:3" x14ac:dyDescent="0.35">
      <c r="A1315">
        <v>17031170400</v>
      </c>
      <c r="B1315" t="s">
        <v>1842</v>
      </c>
      <c r="C1315">
        <v>13</v>
      </c>
    </row>
    <row r="1316" spans="1:3" x14ac:dyDescent="0.35">
      <c r="A1316">
        <v>17031381200</v>
      </c>
      <c r="B1316" t="s">
        <v>1843</v>
      </c>
      <c r="C1316">
        <v>13</v>
      </c>
    </row>
    <row r="1317" spans="1:3" x14ac:dyDescent="0.35">
      <c r="A1317">
        <v>17031243300</v>
      </c>
      <c r="B1317" t="s">
        <v>1844</v>
      </c>
      <c r="C1317">
        <v>13</v>
      </c>
    </row>
    <row r="1318" spans="1:3" x14ac:dyDescent="0.35">
      <c r="A1318">
        <v>17097864515</v>
      </c>
      <c r="B1318" t="s">
        <v>1845</v>
      </c>
      <c r="C1318">
        <v>13</v>
      </c>
    </row>
    <row r="1319" spans="1:3" x14ac:dyDescent="0.35">
      <c r="A1319">
        <v>17031700301</v>
      </c>
      <c r="B1319" t="s">
        <v>1846</v>
      </c>
      <c r="C1319">
        <v>12</v>
      </c>
    </row>
    <row r="1320" spans="1:3" x14ac:dyDescent="0.35">
      <c r="A1320">
        <v>17031200300</v>
      </c>
      <c r="B1320" t="s">
        <v>1847</v>
      </c>
      <c r="C1320">
        <v>12</v>
      </c>
    </row>
    <row r="1321" spans="1:3" x14ac:dyDescent="0.35">
      <c r="A1321">
        <v>17031010201</v>
      </c>
      <c r="B1321" t="s">
        <v>1848</v>
      </c>
      <c r="C1321">
        <v>12</v>
      </c>
    </row>
    <row r="1322" spans="1:3" x14ac:dyDescent="0.35">
      <c r="A1322">
        <v>17031061902</v>
      </c>
      <c r="B1322" t="s">
        <v>1849</v>
      </c>
      <c r="C1322">
        <v>12</v>
      </c>
    </row>
    <row r="1323" spans="1:3" x14ac:dyDescent="0.35">
      <c r="A1323">
        <v>18089043001</v>
      </c>
      <c r="B1323" t="s">
        <v>1850</v>
      </c>
      <c r="C1323">
        <v>12</v>
      </c>
    </row>
    <row r="1324" spans="1:3" x14ac:dyDescent="0.35">
      <c r="A1324">
        <v>17031730201</v>
      </c>
      <c r="B1324" t="s">
        <v>1851</v>
      </c>
      <c r="C1324">
        <v>12</v>
      </c>
    </row>
    <row r="1325" spans="1:3" x14ac:dyDescent="0.35">
      <c r="A1325">
        <v>17031390400</v>
      </c>
      <c r="B1325" t="s">
        <v>1852</v>
      </c>
      <c r="C1325">
        <v>12</v>
      </c>
    </row>
    <row r="1326" spans="1:3" x14ac:dyDescent="0.35">
      <c r="A1326">
        <v>17043845702</v>
      </c>
      <c r="B1326" t="s">
        <v>1853</v>
      </c>
      <c r="C1326">
        <v>12</v>
      </c>
    </row>
    <row r="1327" spans="1:3" x14ac:dyDescent="0.35">
      <c r="A1327">
        <v>17197883904</v>
      </c>
      <c r="B1327" t="s">
        <v>1854</v>
      </c>
      <c r="C1327">
        <v>12</v>
      </c>
    </row>
    <row r="1328" spans="1:3" x14ac:dyDescent="0.35">
      <c r="A1328">
        <v>17031710200</v>
      </c>
      <c r="B1328" t="s">
        <v>1855</v>
      </c>
      <c r="C1328">
        <v>12</v>
      </c>
    </row>
    <row r="1329" spans="1:3" x14ac:dyDescent="0.35">
      <c r="A1329">
        <v>17031828506</v>
      </c>
      <c r="B1329" t="s">
        <v>1856</v>
      </c>
      <c r="C1329">
        <v>12</v>
      </c>
    </row>
    <row r="1330" spans="1:3" x14ac:dyDescent="0.35">
      <c r="A1330">
        <v>17031806001</v>
      </c>
      <c r="B1330" t="s">
        <v>1857</v>
      </c>
      <c r="C1330">
        <v>12</v>
      </c>
    </row>
    <row r="1331" spans="1:3" x14ac:dyDescent="0.35">
      <c r="A1331">
        <v>17197883305</v>
      </c>
      <c r="B1331" t="s">
        <v>1858</v>
      </c>
      <c r="C1331">
        <v>12</v>
      </c>
    </row>
    <row r="1332" spans="1:3" x14ac:dyDescent="0.35">
      <c r="A1332">
        <v>17031826402</v>
      </c>
      <c r="B1332" t="s">
        <v>1859</v>
      </c>
      <c r="C1332">
        <v>12</v>
      </c>
    </row>
    <row r="1333" spans="1:3" x14ac:dyDescent="0.35">
      <c r="A1333">
        <v>17031020702</v>
      </c>
      <c r="B1333" t="s">
        <v>1860</v>
      </c>
      <c r="C1333">
        <v>12</v>
      </c>
    </row>
    <row r="1334" spans="1:3" x14ac:dyDescent="0.35">
      <c r="A1334">
        <v>17037001600</v>
      </c>
      <c r="B1334" t="s">
        <v>1861</v>
      </c>
      <c r="C1334">
        <v>12</v>
      </c>
    </row>
    <row r="1335" spans="1:3" x14ac:dyDescent="0.35">
      <c r="A1335">
        <v>17031804804</v>
      </c>
      <c r="B1335" t="s">
        <v>1862</v>
      </c>
      <c r="C1335">
        <v>12</v>
      </c>
    </row>
    <row r="1336" spans="1:3" x14ac:dyDescent="0.35">
      <c r="A1336">
        <v>17031161100</v>
      </c>
      <c r="B1336" t="s">
        <v>1863</v>
      </c>
      <c r="C1336">
        <v>12</v>
      </c>
    </row>
    <row r="1337" spans="1:3" x14ac:dyDescent="0.35">
      <c r="A1337">
        <v>17093890301</v>
      </c>
      <c r="B1337" t="s">
        <v>1864</v>
      </c>
      <c r="C1337">
        <v>12</v>
      </c>
    </row>
    <row r="1338" spans="1:3" x14ac:dyDescent="0.35">
      <c r="A1338">
        <v>18089042401</v>
      </c>
      <c r="B1338" t="s">
        <v>1865</v>
      </c>
      <c r="C1338">
        <v>12</v>
      </c>
    </row>
    <row r="1339" spans="1:3" x14ac:dyDescent="0.35">
      <c r="A1339">
        <v>17097864510</v>
      </c>
      <c r="B1339" t="s">
        <v>1866</v>
      </c>
      <c r="C1339">
        <v>12</v>
      </c>
    </row>
    <row r="1340" spans="1:3" x14ac:dyDescent="0.35">
      <c r="A1340">
        <v>18089042902</v>
      </c>
      <c r="B1340" t="s">
        <v>1867</v>
      </c>
      <c r="C1340">
        <v>12</v>
      </c>
    </row>
    <row r="1341" spans="1:3" x14ac:dyDescent="0.35">
      <c r="A1341">
        <v>17031290900</v>
      </c>
      <c r="B1341" t="s">
        <v>1868</v>
      </c>
      <c r="C1341">
        <v>12</v>
      </c>
    </row>
    <row r="1342" spans="1:3" x14ac:dyDescent="0.35">
      <c r="A1342">
        <v>17031720500</v>
      </c>
      <c r="B1342" t="s">
        <v>1869</v>
      </c>
      <c r="C1342">
        <v>12</v>
      </c>
    </row>
    <row r="1343" spans="1:3" x14ac:dyDescent="0.35">
      <c r="A1343">
        <v>18089042608</v>
      </c>
      <c r="B1343" t="s">
        <v>1870</v>
      </c>
      <c r="C1343">
        <v>12</v>
      </c>
    </row>
    <row r="1344" spans="1:3" x14ac:dyDescent="0.35">
      <c r="A1344">
        <v>17031720400</v>
      </c>
      <c r="B1344" t="s">
        <v>1871</v>
      </c>
      <c r="C1344">
        <v>12</v>
      </c>
    </row>
    <row r="1345" spans="1:3" x14ac:dyDescent="0.35">
      <c r="A1345">
        <v>17031431302</v>
      </c>
      <c r="B1345" t="s">
        <v>1872</v>
      </c>
      <c r="C1345">
        <v>12</v>
      </c>
    </row>
    <row r="1346" spans="1:3" x14ac:dyDescent="0.35">
      <c r="A1346">
        <v>17031120100</v>
      </c>
      <c r="B1346" t="s">
        <v>1873</v>
      </c>
      <c r="C1346">
        <v>12</v>
      </c>
    </row>
    <row r="1347" spans="1:3" x14ac:dyDescent="0.35">
      <c r="A1347">
        <v>17043846523</v>
      </c>
      <c r="B1347" t="s">
        <v>1874</v>
      </c>
      <c r="C1347">
        <v>12</v>
      </c>
    </row>
    <row r="1348" spans="1:3" x14ac:dyDescent="0.35">
      <c r="A1348">
        <v>17197881007</v>
      </c>
      <c r="B1348" t="s">
        <v>1875</v>
      </c>
      <c r="C1348">
        <v>12</v>
      </c>
    </row>
    <row r="1349" spans="1:3" x14ac:dyDescent="0.35">
      <c r="A1349">
        <v>17031825900</v>
      </c>
      <c r="B1349" t="s">
        <v>1876</v>
      </c>
      <c r="C1349">
        <v>12</v>
      </c>
    </row>
    <row r="1350" spans="1:3" x14ac:dyDescent="0.35">
      <c r="A1350">
        <v>17197883804</v>
      </c>
      <c r="B1350" t="s">
        <v>1877</v>
      </c>
      <c r="C1350">
        <v>12</v>
      </c>
    </row>
    <row r="1351" spans="1:3" x14ac:dyDescent="0.35">
      <c r="A1351">
        <v>17043841109</v>
      </c>
      <c r="B1351" t="s">
        <v>1878</v>
      </c>
      <c r="C1351">
        <v>12</v>
      </c>
    </row>
    <row r="1352" spans="1:3" x14ac:dyDescent="0.35">
      <c r="A1352">
        <v>17031040900</v>
      </c>
      <c r="B1352" t="s">
        <v>1879</v>
      </c>
      <c r="C1352">
        <v>12</v>
      </c>
    </row>
    <row r="1353" spans="1:3" x14ac:dyDescent="0.35">
      <c r="A1353">
        <v>18073101300</v>
      </c>
      <c r="B1353" t="s">
        <v>1880</v>
      </c>
      <c r="C1353">
        <v>12</v>
      </c>
    </row>
    <row r="1354" spans="1:3" x14ac:dyDescent="0.35">
      <c r="A1354">
        <v>17043844304</v>
      </c>
      <c r="B1354" t="s">
        <v>1881</v>
      </c>
      <c r="C1354">
        <v>12</v>
      </c>
    </row>
    <row r="1355" spans="1:3" x14ac:dyDescent="0.35">
      <c r="A1355">
        <v>17031802609</v>
      </c>
      <c r="B1355" t="s">
        <v>1882</v>
      </c>
      <c r="C1355">
        <v>12</v>
      </c>
    </row>
    <row r="1356" spans="1:3" x14ac:dyDescent="0.35">
      <c r="A1356">
        <v>17043845401</v>
      </c>
      <c r="B1356" t="s">
        <v>1883</v>
      </c>
      <c r="C1356">
        <v>12</v>
      </c>
    </row>
    <row r="1357" spans="1:3" x14ac:dyDescent="0.35">
      <c r="A1357">
        <v>17031822702</v>
      </c>
      <c r="B1357" t="s">
        <v>1884</v>
      </c>
      <c r="C1357">
        <v>12</v>
      </c>
    </row>
    <row r="1358" spans="1:3" x14ac:dyDescent="0.35">
      <c r="A1358">
        <v>17031821600</v>
      </c>
      <c r="B1358" t="s">
        <v>1885</v>
      </c>
      <c r="C1358">
        <v>12</v>
      </c>
    </row>
    <row r="1359" spans="1:3" x14ac:dyDescent="0.35">
      <c r="A1359">
        <v>17031824108</v>
      </c>
      <c r="B1359" t="s">
        <v>1886</v>
      </c>
      <c r="C1359">
        <v>12</v>
      </c>
    </row>
    <row r="1360" spans="1:3" x14ac:dyDescent="0.35">
      <c r="A1360">
        <v>17031825802</v>
      </c>
      <c r="B1360" t="s">
        <v>1887</v>
      </c>
      <c r="C1360">
        <v>12</v>
      </c>
    </row>
    <row r="1361" spans="1:3" x14ac:dyDescent="0.35">
      <c r="A1361">
        <v>17031711200</v>
      </c>
      <c r="B1361" t="s">
        <v>1888</v>
      </c>
      <c r="C1361">
        <v>12</v>
      </c>
    </row>
    <row r="1362" spans="1:3" x14ac:dyDescent="0.35">
      <c r="A1362">
        <v>17031050800</v>
      </c>
      <c r="B1362" t="s">
        <v>1889</v>
      </c>
      <c r="C1362">
        <v>12</v>
      </c>
    </row>
    <row r="1363" spans="1:3" x14ac:dyDescent="0.35">
      <c r="A1363">
        <v>17031802003</v>
      </c>
      <c r="B1363" t="s">
        <v>1890</v>
      </c>
      <c r="C1363">
        <v>12</v>
      </c>
    </row>
    <row r="1364" spans="1:3" x14ac:dyDescent="0.35">
      <c r="A1364">
        <v>17031680500</v>
      </c>
      <c r="B1364" t="s">
        <v>1891</v>
      </c>
      <c r="C1364">
        <v>12</v>
      </c>
    </row>
    <row r="1365" spans="1:3" x14ac:dyDescent="0.35">
      <c r="A1365">
        <v>17031750400</v>
      </c>
      <c r="B1365" t="s">
        <v>1892</v>
      </c>
      <c r="C1365">
        <v>12</v>
      </c>
    </row>
    <row r="1366" spans="1:3" x14ac:dyDescent="0.35">
      <c r="A1366">
        <v>17089853900</v>
      </c>
      <c r="B1366" t="s">
        <v>1893</v>
      </c>
      <c r="C1366">
        <v>12</v>
      </c>
    </row>
    <row r="1367" spans="1:3" x14ac:dyDescent="0.35">
      <c r="A1367">
        <v>55059002100</v>
      </c>
      <c r="B1367" t="s">
        <v>1894</v>
      </c>
      <c r="C1367">
        <v>12</v>
      </c>
    </row>
    <row r="1368" spans="1:3" x14ac:dyDescent="0.35">
      <c r="A1368">
        <v>17031825700</v>
      </c>
      <c r="B1368" t="s">
        <v>1895</v>
      </c>
      <c r="C1368">
        <v>12</v>
      </c>
    </row>
    <row r="1369" spans="1:3" x14ac:dyDescent="0.35">
      <c r="A1369">
        <v>17031825505</v>
      </c>
      <c r="B1369" t="s">
        <v>1896</v>
      </c>
      <c r="C1369">
        <v>12</v>
      </c>
    </row>
    <row r="1370" spans="1:3" x14ac:dyDescent="0.35">
      <c r="A1370">
        <v>17089851302</v>
      </c>
      <c r="B1370" t="s">
        <v>1897</v>
      </c>
      <c r="C1370">
        <v>12</v>
      </c>
    </row>
    <row r="1371" spans="1:3" x14ac:dyDescent="0.35">
      <c r="A1371">
        <v>17063000103</v>
      </c>
      <c r="B1371" t="s">
        <v>1898</v>
      </c>
      <c r="C1371">
        <v>12</v>
      </c>
    </row>
    <row r="1372" spans="1:3" x14ac:dyDescent="0.35">
      <c r="A1372">
        <v>17031824800</v>
      </c>
      <c r="B1372" t="s">
        <v>1899</v>
      </c>
      <c r="C1372">
        <v>12</v>
      </c>
    </row>
    <row r="1373" spans="1:3" x14ac:dyDescent="0.35">
      <c r="A1373">
        <v>17031470100</v>
      </c>
      <c r="B1373" t="s">
        <v>1900</v>
      </c>
      <c r="C1373">
        <v>12</v>
      </c>
    </row>
    <row r="1374" spans="1:3" x14ac:dyDescent="0.35">
      <c r="A1374">
        <v>17031835000</v>
      </c>
      <c r="B1374" t="s">
        <v>1901</v>
      </c>
      <c r="C1374">
        <v>12</v>
      </c>
    </row>
    <row r="1375" spans="1:3" x14ac:dyDescent="0.35">
      <c r="A1375">
        <v>17031530100</v>
      </c>
      <c r="B1375" t="s">
        <v>1902</v>
      </c>
      <c r="C1375">
        <v>12</v>
      </c>
    </row>
    <row r="1376" spans="1:3" x14ac:dyDescent="0.35">
      <c r="A1376">
        <v>17031831700</v>
      </c>
      <c r="B1376" t="s">
        <v>1903</v>
      </c>
      <c r="C1376">
        <v>12</v>
      </c>
    </row>
    <row r="1377" spans="1:3" x14ac:dyDescent="0.35">
      <c r="A1377">
        <v>17031802701</v>
      </c>
      <c r="B1377" t="s">
        <v>1904</v>
      </c>
      <c r="C1377">
        <v>11</v>
      </c>
    </row>
    <row r="1378" spans="1:3" x14ac:dyDescent="0.35">
      <c r="A1378">
        <v>17043840102</v>
      </c>
      <c r="B1378" t="s">
        <v>1905</v>
      </c>
      <c r="C1378">
        <v>11</v>
      </c>
    </row>
    <row r="1379" spans="1:3" x14ac:dyDescent="0.35">
      <c r="A1379">
        <v>17031806300</v>
      </c>
      <c r="B1379" t="s">
        <v>1906</v>
      </c>
      <c r="C1379">
        <v>11</v>
      </c>
    </row>
    <row r="1380" spans="1:3" x14ac:dyDescent="0.35">
      <c r="A1380">
        <v>17097861007</v>
      </c>
      <c r="B1380" t="s">
        <v>1907</v>
      </c>
      <c r="C1380">
        <v>11</v>
      </c>
    </row>
    <row r="1381" spans="1:3" x14ac:dyDescent="0.35">
      <c r="A1381">
        <v>17031812802</v>
      </c>
      <c r="B1381" t="s">
        <v>1908</v>
      </c>
      <c r="C1381">
        <v>11</v>
      </c>
    </row>
    <row r="1382" spans="1:3" x14ac:dyDescent="0.35">
      <c r="A1382">
        <v>17089850301</v>
      </c>
      <c r="B1382" t="s">
        <v>1909</v>
      </c>
      <c r="C1382">
        <v>11</v>
      </c>
    </row>
    <row r="1383" spans="1:3" x14ac:dyDescent="0.35">
      <c r="A1383">
        <v>17031813801</v>
      </c>
      <c r="B1383" t="s">
        <v>1910</v>
      </c>
      <c r="C1383">
        <v>11</v>
      </c>
    </row>
    <row r="1384" spans="1:3" x14ac:dyDescent="0.35">
      <c r="A1384">
        <v>17031835200</v>
      </c>
      <c r="B1384" t="s">
        <v>1911</v>
      </c>
      <c r="C1384">
        <v>11</v>
      </c>
    </row>
    <row r="1385" spans="1:3" x14ac:dyDescent="0.35">
      <c r="A1385">
        <v>17031020601</v>
      </c>
      <c r="B1385" t="s">
        <v>1912</v>
      </c>
      <c r="C1385">
        <v>11</v>
      </c>
    </row>
    <row r="1386" spans="1:3" x14ac:dyDescent="0.35">
      <c r="A1386">
        <v>17031815500</v>
      </c>
      <c r="B1386" t="s">
        <v>1913</v>
      </c>
      <c r="C1386">
        <v>11</v>
      </c>
    </row>
    <row r="1387" spans="1:3" x14ac:dyDescent="0.35">
      <c r="A1387">
        <v>17031420300</v>
      </c>
      <c r="B1387" t="s">
        <v>1914</v>
      </c>
      <c r="C1387">
        <v>11</v>
      </c>
    </row>
    <row r="1388" spans="1:3" x14ac:dyDescent="0.35">
      <c r="A1388">
        <v>17043846311</v>
      </c>
      <c r="B1388" t="s">
        <v>1915</v>
      </c>
      <c r="C1388">
        <v>11</v>
      </c>
    </row>
    <row r="1389" spans="1:3" x14ac:dyDescent="0.35">
      <c r="A1389">
        <v>17031040800</v>
      </c>
      <c r="B1389" t="s">
        <v>1916</v>
      </c>
      <c r="C1389">
        <v>11</v>
      </c>
    </row>
    <row r="1390" spans="1:3" x14ac:dyDescent="0.35">
      <c r="A1390">
        <v>17031818402</v>
      </c>
      <c r="B1390" t="s">
        <v>1917</v>
      </c>
      <c r="C1390">
        <v>11</v>
      </c>
    </row>
    <row r="1391" spans="1:3" x14ac:dyDescent="0.35">
      <c r="A1391">
        <v>17031806201</v>
      </c>
      <c r="B1391" t="s">
        <v>1918</v>
      </c>
      <c r="C1391">
        <v>11</v>
      </c>
    </row>
    <row r="1392" spans="1:3" x14ac:dyDescent="0.35">
      <c r="A1392">
        <v>18089010203</v>
      </c>
      <c r="B1392" t="s">
        <v>1919</v>
      </c>
      <c r="C1392">
        <v>11</v>
      </c>
    </row>
    <row r="1393" spans="1:3" x14ac:dyDescent="0.35">
      <c r="A1393">
        <v>17031070600</v>
      </c>
      <c r="B1393" t="s">
        <v>1920</v>
      </c>
      <c r="C1393">
        <v>11</v>
      </c>
    </row>
    <row r="1394" spans="1:3" x14ac:dyDescent="0.35">
      <c r="A1394">
        <v>17031301803</v>
      </c>
      <c r="B1394" t="s">
        <v>1921</v>
      </c>
      <c r="C1394">
        <v>11</v>
      </c>
    </row>
    <row r="1395" spans="1:3" x14ac:dyDescent="0.35">
      <c r="A1395">
        <v>17197881111</v>
      </c>
      <c r="B1395" t="s">
        <v>1922</v>
      </c>
      <c r="C1395">
        <v>11</v>
      </c>
    </row>
    <row r="1396" spans="1:3" x14ac:dyDescent="0.35">
      <c r="A1396">
        <v>17031010503</v>
      </c>
      <c r="B1396" t="s">
        <v>1923</v>
      </c>
      <c r="C1396">
        <v>11</v>
      </c>
    </row>
    <row r="1397" spans="1:3" x14ac:dyDescent="0.35">
      <c r="A1397">
        <v>17031681200</v>
      </c>
      <c r="B1397" t="s">
        <v>1924</v>
      </c>
      <c r="C1397">
        <v>11</v>
      </c>
    </row>
    <row r="1398" spans="1:3" x14ac:dyDescent="0.35">
      <c r="A1398">
        <v>17031252102</v>
      </c>
      <c r="B1398" t="s">
        <v>1925</v>
      </c>
      <c r="C1398">
        <v>11</v>
      </c>
    </row>
    <row r="1399" spans="1:3" x14ac:dyDescent="0.35">
      <c r="A1399">
        <v>17031691200</v>
      </c>
      <c r="B1399" t="s">
        <v>1926</v>
      </c>
      <c r="C1399">
        <v>11</v>
      </c>
    </row>
    <row r="1400" spans="1:3" x14ac:dyDescent="0.35">
      <c r="A1400">
        <v>17031824114</v>
      </c>
      <c r="B1400" t="s">
        <v>1927</v>
      </c>
      <c r="C1400">
        <v>11</v>
      </c>
    </row>
    <row r="1401" spans="1:3" x14ac:dyDescent="0.35">
      <c r="A1401">
        <v>17111870200</v>
      </c>
      <c r="B1401" t="s">
        <v>1928</v>
      </c>
      <c r="C1401">
        <v>11</v>
      </c>
    </row>
    <row r="1402" spans="1:3" x14ac:dyDescent="0.35">
      <c r="A1402">
        <v>17031825801</v>
      </c>
      <c r="B1402" t="s">
        <v>1929</v>
      </c>
      <c r="C1402">
        <v>11</v>
      </c>
    </row>
    <row r="1403" spans="1:3" x14ac:dyDescent="0.35">
      <c r="A1403">
        <v>17031823400</v>
      </c>
      <c r="B1403" t="s">
        <v>1930</v>
      </c>
      <c r="C1403">
        <v>11</v>
      </c>
    </row>
    <row r="1404" spans="1:3" x14ac:dyDescent="0.35">
      <c r="A1404">
        <v>17031827600</v>
      </c>
      <c r="B1404" t="s">
        <v>1931</v>
      </c>
      <c r="C1404">
        <v>11</v>
      </c>
    </row>
    <row r="1405" spans="1:3" x14ac:dyDescent="0.35">
      <c r="A1405">
        <v>17031803100</v>
      </c>
      <c r="B1405" t="s">
        <v>1932</v>
      </c>
      <c r="C1405">
        <v>11</v>
      </c>
    </row>
    <row r="1406" spans="1:3" x14ac:dyDescent="0.35">
      <c r="A1406">
        <v>17037001400</v>
      </c>
      <c r="B1406" t="s">
        <v>1933</v>
      </c>
      <c r="C1406">
        <v>11</v>
      </c>
    </row>
    <row r="1407" spans="1:3" x14ac:dyDescent="0.35">
      <c r="A1407">
        <v>17031160602</v>
      </c>
      <c r="B1407" t="s">
        <v>1934</v>
      </c>
      <c r="C1407">
        <v>11</v>
      </c>
    </row>
    <row r="1408" spans="1:3" x14ac:dyDescent="0.35">
      <c r="A1408">
        <v>17043842300</v>
      </c>
      <c r="B1408" t="s">
        <v>1935</v>
      </c>
      <c r="C1408">
        <v>11</v>
      </c>
    </row>
    <row r="1409" spans="1:3" x14ac:dyDescent="0.35">
      <c r="A1409">
        <v>17031243100</v>
      </c>
      <c r="B1409" t="s">
        <v>1936</v>
      </c>
      <c r="C1409">
        <v>11</v>
      </c>
    </row>
    <row r="1410" spans="1:3" x14ac:dyDescent="0.35">
      <c r="A1410">
        <v>17111871106</v>
      </c>
      <c r="B1410" t="s">
        <v>1937</v>
      </c>
      <c r="C1410">
        <v>11</v>
      </c>
    </row>
    <row r="1411" spans="1:3" x14ac:dyDescent="0.35">
      <c r="A1411">
        <v>17031700302</v>
      </c>
      <c r="B1411" t="s">
        <v>1938</v>
      </c>
      <c r="C1411">
        <v>11</v>
      </c>
    </row>
    <row r="1412" spans="1:3" x14ac:dyDescent="0.35">
      <c r="A1412">
        <v>18089010400</v>
      </c>
      <c r="B1412" t="s">
        <v>1939</v>
      </c>
      <c r="C1412">
        <v>11</v>
      </c>
    </row>
    <row r="1413" spans="1:3" x14ac:dyDescent="0.35">
      <c r="A1413">
        <v>18089041600</v>
      </c>
      <c r="B1413" t="s">
        <v>1940</v>
      </c>
      <c r="C1413">
        <v>11</v>
      </c>
    </row>
    <row r="1414" spans="1:3" x14ac:dyDescent="0.35">
      <c r="A1414">
        <v>17097860103</v>
      </c>
      <c r="B1414" t="s">
        <v>1941</v>
      </c>
      <c r="C1414">
        <v>11</v>
      </c>
    </row>
    <row r="1415" spans="1:3" x14ac:dyDescent="0.35">
      <c r="A1415">
        <v>17197880419</v>
      </c>
      <c r="B1415" t="s">
        <v>1942</v>
      </c>
      <c r="C1415">
        <v>11</v>
      </c>
    </row>
    <row r="1416" spans="1:3" x14ac:dyDescent="0.35">
      <c r="A1416">
        <v>17197881002</v>
      </c>
      <c r="B1416" t="s">
        <v>1943</v>
      </c>
      <c r="C1416">
        <v>11</v>
      </c>
    </row>
    <row r="1417" spans="1:3" x14ac:dyDescent="0.35">
      <c r="A1417">
        <v>17097864206</v>
      </c>
      <c r="B1417" t="s">
        <v>1944</v>
      </c>
      <c r="C1417">
        <v>10</v>
      </c>
    </row>
    <row r="1418" spans="1:3" x14ac:dyDescent="0.35">
      <c r="A1418">
        <v>17031690300</v>
      </c>
      <c r="B1418" t="s">
        <v>1945</v>
      </c>
      <c r="C1418">
        <v>10</v>
      </c>
    </row>
    <row r="1419" spans="1:3" x14ac:dyDescent="0.35">
      <c r="A1419">
        <v>17031031200</v>
      </c>
      <c r="B1419" t="s">
        <v>1946</v>
      </c>
      <c r="C1419">
        <v>10</v>
      </c>
    </row>
    <row r="1420" spans="1:3" x14ac:dyDescent="0.35">
      <c r="A1420">
        <v>17031190200</v>
      </c>
      <c r="B1420" t="s">
        <v>1947</v>
      </c>
      <c r="C1420">
        <v>10</v>
      </c>
    </row>
    <row r="1421" spans="1:3" x14ac:dyDescent="0.35">
      <c r="A1421">
        <v>17031271400</v>
      </c>
      <c r="B1421" t="s">
        <v>1948</v>
      </c>
      <c r="C1421">
        <v>10</v>
      </c>
    </row>
    <row r="1422" spans="1:3" x14ac:dyDescent="0.35">
      <c r="A1422">
        <v>17197881005</v>
      </c>
      <c r="B1422" t="s">
        <v>1949</v>
      </c>
      <c r="C1422">
        <v>10</v>
      </c>
    </row>
    <row r="1423" spans="1:3" x14ac:dyDescent="0.35">
      <c r="A1423">
        <v>17031060500</v>
      </c>
      <c r="B1423" t="s">
        <v>1950</v>
      </c>
      <c r="C1423">
        <v>10</v>
      </c>
    </row>
    <row r="1424" spans="1:3" x14ac:dyDescent="0.35">
      <c r="A1424">
        <v>17089853600</v>
      </c>
      <c r="B1424" t="s">
        <v>1951</v>
      </c>
      <c r="C1424">
        <v>10</v>
      </c>
    </row>
    <row r="1425" spans="1:3" x14ac:dyDescent="0.35">
      <c r="A1425">
        <v>17031650302</v>
      </c>
      <c r="B1425" t="s">
        <v>1952</v>
      </c>
      <c r="C1425">
        <v>10</v>
      </c>
    </row>
    <row r="1426" spans="1:3" x14ac:dyDescent="0.35">
      <c r="A1426">
        <v>17097861303</v>
      </c>
      <c r="B1426" t="s">
        <v>1953</v>
      </c>
      <c r="C1426">
        <v>10</v>
      </c>
    </row>
    <row r="1427" spans="1:3" x14ac:dyDescent="0.35">
      <c r="A1427">
        <v>17063000300</v>
      </c>
      <c r="B1427" t="s">
        <v>1954</v>
      </c>
      <c r="C1427">
        <v>10</v>
      </c>
    </row>
    <row r="1428" spans="1:3" x14ac:dyDescent="0.35">
      <c r="A1428">
        <v>17031150402</v>
      </c>
      <c r="B1428" t="s">
        <v>1955</v>
      </c>
      <c r="C1428">
        <v>10</v>
      </c>
    </row>
    <row r="1429" spans="1:3" x14ac:dyDescent="0.35">
      <c r="A1429">
        <v>17031826600</v>
      </c>
      <c r="B1429" t="s">
        <v>1956</v>
      </c>
      <c r="C1429">
        <v>10</v>
      </c>
    </row>
    <row r="1430" spans="1:3" x14ac:dyDescent="0.35">
      <c r="A1430">
        <v>17031020500</v>
      </c>
      <c r="B1430" t="s">
        <v>1957</v>
      </c>
      <c r="C1430">
        <v>10</v>
      </c>
    </row>
    <row r="1431" spans="1:3" x14ac:dyDescent="0.35">
      <c r="A1431">
        <v>18089040100</v>
      </c>
      <c r="B1431" t="s">
        <v>1958</v>
      </c>
      <c r="C1431">
        <v>10</v>
      </c>
    </row>
    <row r="1432" spans="1:3" x14ac:dyDescent="0.35">
      <c r="A1432">
        <v>17031071500</v>
      </c>
      <c r="B1432" t="s">
        <v>1959</v>
      </c>
      <c r="C1432">
        <v>10</v>
      </c>
    </row>
    <row r="1433" spans="1:3" x14ac:dyDescent="0.35">
      <c r="A1433">
        <v>17043845808</v>
      </c>
      <c r="B1433" t="s">
        <v>1960</v>
      </c>
      <c r="C1433">
        <v>10</v>
      </c>
    </row>
    <row r="1434" spans="1:3" x14ac:dyDescent="0.35">
      <c r="A1434">
        <v>18089020300</v>
      </c>
      <c r="B1434" t="s">
        <v>1961</v>
      </c>
      <c r="C1434">
        <v>10</v>
      </c>
    </row>
    <row r="1435" spans="1:3" x14ac:dyDescent="0.35">
      <c r="A1435">
        <v>17031801400</v>
      </c>
      <c r="B1435" t="s">
        <v>1962</v>
      </c>
      <c r="C1435">
        <v>10</v>
      </c>
    </row>
    <row r="1436" spans="1:3" x14ac:dyDescent="0.35">
      <c r="A1436">
        <v>17031220300</v>
      </c>
      <c r="B1436" t="s">
        <v>1963</v>
      </c>
      <c r="C1436">
        <v>10</v>
      </c>
    </row>
    <row r="1437" spans="1:3" x14ac:dyDescent="0.35">
      <c r="A1437">
        <v>17043841404</v>
      </c>
      <c r="B1437" t="s">
        <v>1964</v>
      </c>
      <c r="C1437">
        <v>10</v>
      </c>
    </row>
    <row r="1438" spans="1:3" x14ac:dyDescent="0.35">
      <c r="A1438">
        <v>17031221000</v>
      </c>
      <c r="B1438" t="s">
        <v>1965</v>
      </c>
      <c r="C1438">
        <v>10</v>
      </c>
    </row>
    <row r="1439" spans="1:3" x14ac:dyDescent="0.35">
      <c r="A1439">
        <v>18127050603</v>
      </c>
      <c r="B1439" t="s">
        <v>1966</v>
      </c>
      <c r="C1439">
        <v>10</v>
      </c>
    </row>
    <row r="1440" spans="1:3" x14ac:dyDescent="0.35">
      <c r="A1440">
        <v>17031820300</v>
      </c>
      <c r="B1440" t="s">
        <v>1967</v>
      </c>
      <c r="C1440">
        <v>10</v>
      </c>
    </row>
    <row r="1441" spans="1:3" x14ac:dyDescent="0.35">
      <c r="A1441">
        <v>17031710700</v>
      </c>
      <c r="B1441" t="s">
        <v>1968</v>
      </c>
      <c r="C1441">
        <v>10</v>
      </c>
    </row>
    <row r="1442" spans="1:3" x14ac:dyDescent="0.35">
      <c r="A1442">
        <v>17197880601</v>
      </c>
      <c r="B1442" t="s">
        <v>1969</v>
      </c>
      <c r="C1442">
        <v>10</v>
      </c>
    </row>
    <row r="1443" spans="1:3" x14ac:dyDescent="0.35">
      <c r="A1443">
        <v>18089030400</v>
      </c>
      <c r="B1443" t="s">
        <v>1970</v>
      </c>
      <c r="C1443">
        <v>10</v>
      </c>
    </row>
    <row r="1444" spans="1:3" x14ac:dyDescent="0.35">
      <c r="A1444">
        <v>17197880903</v>
      </c>
      <c r="B1444" t="s">
        <v>1971</v>
      </c>
      <c r="C1444">
        <v>10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E84F2-2AC6-4A62-8D08-0F9E037B0208}">
  <dimension ref="A1:E12"/>
  <sheetViews>
    <sheetView zoomScale="66" zoomScaleNormal="66" workbookViewId="0">
      <selection activeCell="E31" sqref="E31"/>
    </sheetView>
  </sheetViews>
  <sheetFormatPr defaultRowHeight="14.5" x14ac:dyDescent="0.35"/>
  <cols>
    <col min="1" max="1" width="8.1796875" customWidth="1"/>
    <col min="2" max="2" width="62.6328125" customWidth="1"/>
    <col min="5" max="5" width="42.1796875" customWidth="1"/>
  </cols>
  <sheetData>
    <row r="1" spans="1:5" x14ac:dyDescent="0.35">
      <c r="A1" t="s">
        <v>43</v>
      </c>
      <c r="B1" t="s">
        <v>33</v>
      </c>
      <c r="D1" t="s">
        <v>277</v>
      </c>
      <c r="E1" t="s">
        <v>278</v>
      </c>
    </row>
    <row r="2" spans="1:5" x14ac:dyDescent="0.35">
      <c r="A2" s="7" t="s">
        <v>44</v>
      </c>
      <c r="B2" s="7" t="s">
        <v>36</v>
      </c>
      <c r="D2">
        <v>11</v>
      </c>
      <c r="E2" t="s">
        <v>279</v>
      </c>
    </row>
    <row r="3" spans="1:5" x14ac:dyDescent="0.35">
      <c r="A3" s="7" t="s">
        <v>45</v>
      </c>
      <c r="B3" s="7" t="s">
        <v>37</v>
      </c>
      <c r="C3" s="5"/>
      <c r="D3">
        <v>14.09</v>
      </c>
      <c r="E3" s="6" t="s">
        <v>280</v>
      </c>
    </row>
    <row r="4" spans="1:5" x14ac:dyDescent="0.35">
      <c r="A4" s="7" t="s">
        <v>46</v>
      </c>
      <c r="B4" s="7" t="s">
        <v>38</v>
      </c>
      <c r="C4" s="5"/>
      <c r="E4" s="6"/>
    </row>
    <row r="5" spans="1:5" x14ac:dyDescent="0.35">
      <c r="A5" s="7" t="s">
        <v>47</v>
      </c>
      <c r="B5" s="7" t="s">
        <v>35</v>
      </c>
      <c r="E5" s="6"/>
    </row>
    <row r="6" spans="1:5" x14ac:dyDescent="0.35">
      <c r="A6" s="7" t="s">
        <v>48</v>
      </c>
      <c r="B6" s="7" t="s">
        <v>39</v>
      </c>
      <c r="E6" s="6"/>
    </row>
    <row r="7" spans="1:5" x14ac:dyDescent="0.35">
      <c r="A7" s="7" t="s">
        <v>49</v>
      </c>
      <c r="B7" s="7" t="s">
        <v>41</v>
      </c>
      <c r="E7" s="6"/>
    </row>
    <row r="8" spans="1:5" x14ac:dyDescent="0.35">
      <c r="A8" s="7" t="s">
        <v>50</v>
      </c>
      <c r="B8" s="7" t="s">
        <v>34</v>
      </c>
      <c r="E8" s="6"/>
    </row>
    <row r="9" spans="1:5" x14ac:dyDescent="0.35">
      <c r="A9" s="7" t="s">
        <v>51</v>
      </c>
      <c r="B9" s="7" t="s">
        <v>42</v>
      </c>
      <c r="E9" s="6"/>
    </row>
    <row r="10" spans="1:5" x14ac:dyDescent="0.35">
      <c r="A10" s="7" t="s">
        <v>52</v>
      </c>
      <c r="B10" s="7" t="s">
        <v>40</v>
      </c>
    </row>
    <row r="11" spans="1:5" x14ac:dyDescent="0.35">
      <c r="A11" s="7" t="s">
        <v>55</v>
      </c>
      <c r="B11" s="7" t="s">
        <v>53</v>
      </c>
    </row>
    <row r="12" spans="1:5" x14ac:dyDescent="0.35">
      <c r="A12" s="7" t="s">
        <v>56</v>
      </c>
      <c r="B12" s="7" t="s">
        <v>54</v>
      </c>
    </row>
  </sheetData>
  <pageMargins left="0.7" right="0.7" top="0.75" bottom="0.75" header="0.3" footer="0.3"/>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9906D-C4E5-4F62-A5D7-C6BB18E08038}">
  <dimension ref="A1:H21"/>
  <sheetViews>
    <sheetView workbookViewId="0">
      <selection activeCell="B2" sqref="B2"/>
    </sheetView>
  </sheetViews>
  <sheetFormatPr defaultRowHeight="14.5" x14ac:dyDescent="0.35"/>
  <cols>
    <col min="1" max="1" width="41.54296875" customWidth="1"/>
    <col min="2" max="2" width="20.90625" customWidth="1"/>
    <col min="3" max="3" width="11.6328125" customWidth="1"/>
    <col min="4" max="4" width="7.1796875" customWidth="1"/>
    <col min="5" max="5" width="9.26953125" customWidth="1"/>
  </cols>
  <sheetData>
    <row r="1" spans="1:8" x14ac:dyDescent="0.35">
      <c r="A1" t="s">
        <v>6</v>
      </c>
      <c r="B1" t="s">
        <v>76</v>
      </c>
      <c r="C1" t="s">
        <v>67</v>
      </c>
      <c r="D1" t="s">
        <v>2</v>
      </c>
      <c r="E1" t="s">
        <v>3</v>
      </c>
      <c r="F1" t="s">
        <v>79</v>
      </c>
      <c r="G1" t="s">
        <v>80</v>
      </c>
      <c r="H1" t="s">
        <v>81</v>
      </c>
    </row>
    <row r="2" spans="1:8" x14ac:dyDescent="0.35">
      <c r="A2" s="9" t="s">
        <v>68</v>
      </c>
      <c r="B2" t="s">
        <v>77</v>
      </c>
      <c r="C2" t="s">
        <v>32</v>
      </c>
    </row>
    <row r="3" spans="1:8" x14ac:dyDescent="0.35">
      <c r="A3" s="10" t="s">
        <v>69</v>
      </c>
      <c r="B3" t="s">
        <v>77</v>
      </c>
      <c r="C3" t="s">
        <v>32</v>
      </c>
    </row>
    <row r="4" spans="1:8" x14ac:dyDescent="0.35">
      <c r="A4" s="9" t="s">
        <v>74</v>
      </c>
      <c r="B4" t="s">
        <v>77</v>
      </c>
      <c r="C4" t="s">
        <v>78</v>
      </c>
    </row>
    <row r="5" spans="1:8" x14ac:dyDescent="0.35">
      <c r="A5" s="9" t="s">
        <v>75</v>
      </c>
      <c r="B5" t="s">
        <v>77</v>
      </c>
      <c r="C5" t="s">
        <v>78</v>
      </c>
    </row>
    <row r="6" spans="1:8" x14ac:dyDescent="0.35">
      <c r="A6" s="9" t="s">
        <v>70</v>
      </c>
      <c r="B6" t="s">
        <v>77</v>
      </c>
      <c r="C6" t="s">
        <v>78</v>
      </c>
    </row>
    <row r="7" spans="1:8" x14ac:dyDescent="0.35">
      <c r="A7" s="9" t="s">
        <v>71</v>
      </c>
      <c r="B7" t="s">
        <v>77</v>
      </c>
      <c r="C7" t="s">
        <v>78</v>
      </c>
    </row>
    <row r="8" spans="1:8" x14ac:dyDescent="0.35">
      <c r="A8" s="11" t="s">
        <v>72</v>
      </c>
      <c r="B8" t="s">
        <v>77</v>
      </c>
      <c r="C8" t="s">
        <v>78</v>
      </c>
    </row>
    <row r="9" spans="1:8" x14ac:dyDescent="0.35">
      <c r="A9" s="9" t="s">
        <v>73</v>
      </c>
      <c r="B9" t="s">
        <v>77</v>
      </c>
      <c r="C9" t="s">
        <v>78</v>
      </c>
    </row>
    <row r="10" spans="1:8" x14ac:dyDescent="0.35">
      <c r="A10" s="9"/>
    </row>
    <row r="11" spans="1:8" x14ac:dyDescent="0.35">
      <c r="A11" s="9"/>
      <c r="G11" s="9"/>
      <c r="H11" s="9"/>
    </row>
    <row r="12" spans="1:8" x14ac:dyDescent="0.35">
      <c r="A12" s="9" t="s">
        <v>6</v>
      </c>
      <c r="B12" t="s">
        <v>76</v>
      </c>
      <c r="C12" t="s">
        <v>67</v>
      </c>
      <c r="D12" t="s">
        <v>81</v>
      </c>
      <c r="G12" s="9"/>
      <c r="H12" s="9"/>
    </row>
    <row r="13" spans="1:8" x14ac:dyDescent="0.35">
      <c r="A13" s="9" t="s">
        <v>82</v>
      </c>
      <c r="B13" t="s">
        <v>77</v>
      </c>
      <c r="C13" t="s">
        <v>78</v>
      </c>
      <c r="G13" s="9"/>
      <c r="H13" s="9"/>
    </row>
    <row r="14" spans="1:8" x14ac:dyDescent="0.35">
      <c r="A14" t="s">
        <v>83</v>
      </c>
      <c r="B14" t="s">
        <v>77</v>
      </c>
      <c r="C14" t="s">
        <v>32</v>
      </c>
      <c r="G14" s="9"/>
      <c r="H14" s="9"/>
    </row>
    <row r="15" spans="1:8" x14ac:dyDescent="0.35">
      <c r="G15" s="9"/>
      <c r="H15" s="11"/>
    </row>
    <row r="16" spans="1:8" x14ac:dyDescent="0.35">
      <c r="G16" s="9"/>
      <c r="H16" s="9"/>
    </row>
    <row r="17" spans="7:8" x14ac:dyDescent="0.35">
      <c r="G17" s="9"/>
      <c r="H17" s="9"/>
    </row>
    <row r="18" spans="7:8" x14ac:dyDescent="0.35">
      <c r="G18" s="9"/>
      <c r="H18" s="9"/>
    </row>
    <row r="19" spans="7:8" x14ac:dyDescent="0.35">
      <c r="G19" s="9"/>
      <c r="H19" s="9"/>
    </row>
    <row r="20" spans="7:8" x14ac:dyDescent="0.35">
      <c r="G20" s="9"/>
      <c r="H20" s="9"/>
    </row>
    <row r="21" spans="7:8" x14ac:dyDescent="0.35">
      <c r="G21" s="9"/>
      <c r="H21" s="9"/>
    </row>
  </sheetData>
  <phoneticPr fontId="4"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3FFEB-935D-4837-B241-6EA3D54120C0}">
  <dimension ref="A1:D17"/>
  <sheetViews>
    <sheetView zoomScale="115" zoomScaleNormal="115" workbookViewId="0">
      <selection activeCell="A2" sqref="A2"/>
    </sheetView>
  </sheetViews>
  <sheetFormatPr defaultRowHeight="14.5" x14ac:dyDescent="0.35"/>
  <cols>
    <col min="1" max="1" width="10.453125" customWidth="1"/>
    <col min="3" max="3" width="123.26953125" customWidth="1"/>
    <col min="4" max="4" width="16.26953125" customWidth="1"/>
  </cols>
  <sheetData>
    <row r="1" spans="1:4" x14ac:dyDescent="0.35">
      <c r="A1" s="146" t="s">
        <v>84</v>
      </c>
      <c r="B1" s="146"/>
      <c r="C1" s="146"/>
      <c r="D1" s="146"/>
    </row>
    <row r="2" spans="1:4" x14ac:dyDescent="0.35">
      <c r="A2" s="4" t="s">
        <v>8</v>
      </c>
      <c r="B2" s="4" t="s">
        <v>9</v>
      </c>
      <c r="C2" s="4" t="s">
        <v>10</v>
      </c>
      <c r="D2" s="4" t="s">
        <v>11</v>
      </c>
    </row>
    <row r="3" spans="1:4" ht="16.5" x14ac:dyDescent="0.45">
      <c r="A3" s="4" t="s">
        <v>13</v>
      </c>
      <c r="B3" s="4">
        <v>0.67799999999999994</v>
      </c>
      <c r="C3" s="4" t="s">
        <v>21</v>
      </c>
      <c r="D3" s="4" t="s">
        <v>23</v>
      </c>
    </row>
    <row r="4" spans="1:4" ht="16.5" x14ac:dyDescent="0.45">
      <c r="A4" s="4" t="s">
        <v>14</v>
      </c>
      <c r="B4" s="4">
        <v>0.24049999999999999</v>
      </c>
      <c r="C4" s="4" t="s">
        <v>20</v>
      </c>
      <c r="D4" s="4" t="s">
        <v>23</v>
      </c>
    </row>
    <row r="5" spans="1:4" x14ac:dyDescent="0.35">
      <c r="A5" s="4" t="s">
        <v>15</v>
      </c>
      <c r="B5" s="4">
        <v>0.32800000000000001</v>
      </c>
      <c r="C5" s="4" t="s">
        <v>22</v>
      </c>
      <c r="D5" s="4" t="s">
        <v>24</v>
      </c>
    </row>
    <row r="6" spans="1:4" ht="16.5" x14ac:dyDescent="0.45">
      <c r="A6" s="4" t="s">
        <v>16</v>
      </c>
      <c r="B6" s="4">
        <v>4800</v>
      </c>
      <c r="C6" s="4" t="s">
        <v>19</v>
      </c>
      <c r="D6" s="4" t="s">
        <v>25</v>
      </c>
    </row>
    <row r="7" spans="1:4" ht="16.5" x14ac:dyDescent="0.45">
      <c r="A7" s="4" t="s">
        <v>17</v>
      </c>
      <c r="B7" s="4">
        <v>19200</v>
      </c>
      <c r="C7" s="4" t="s">
        <v>18</v>
      </c>
      <c r="D7" s="4" t="s">
        <v>25</v>
      </c>
    </row>
    <row r="8" spans="1:4" x14ac:dyDescent="0.35">
      <c r="A8" s="4" t="s">
        <v>28</v>
      </c>
      <c r="B8" s="4">
        <f>ROUND((B3-B4)/((SQRT(B5*(1-B5)*((1/B6) + (1/B7))))),1)</f>
        <v>57.7</v>
      </c>
      <c r="C8" s="4" t="s">
        <v>30</v>
      </c>
      <c r="D8" s="4"/>
    </row>
    <row r="9" spans="1:4" x14ac:dyDescent="0.35">
      <c r="A9" s="4" t="s">
        <v>29</v>
      </c>
      <c r="B9" s="4">
        <v>1.96</v>
      </c>
      <c r="C9" s="4" t="s">
        <v>27</v>
      </c>
      <c r="D9" s="4" t="s">
        <v>24</v>
      </c>
    </row>
    <row r="10" spans="1:4" x14ac:dyDescent="0.35">
      <c r="A10" s="4" t="s">
        <v>26</v>
      </c>
      <c r="B10" s="4">
        <f>ROUND(B8/B9,0)</f>
        <v>29</v>
      </c>
      <c r="C10" s="4" t="s">
        <v>31</v>
      </c>
      <c r="D10" s="4" t="s">
        <v>24</v>
      </c>
    </row>
    <row r="11" spans="1:4" x14ac:dyDescent="0.35">
      <c r="B11" s="4"/>
    </row>
    <row r="13" spans="1:4" x14ac:dyDescent="0.35">
      <c r="A13" t="s">
        <v>12</v>
      </c>
    </row>
    <row r="17" spans="1:4" x14ac:dyDescent="0.35">
      <c r="A17" s="4"/>
      <c r="B17" s="4"/>
      <c r="C17" s="4"/>
      <c r="D17" s="4"/>
    </row>
  </sheetData>
  <mergeCells count="1">
    <mergeCell ref="A1:D1"/>
  </mergeCells>
  <phoneticPr fontId="4" type="noConversion"/>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Metric Framework</vt:lpstr>
      <vt:lpstr>Dashboard</vt:lpstr>
      <vt:lpstr>Dashboard for Monday</vt:lpstr>
      <vt:lpstr>Significance Tests for Monday</vt:lpstr>
      <vt:lpstr>Different Scaled Numbers</vt:lpstr>
      <vt:lpstr>Significance Tests</vt:lpstr>
      <vt:lpstr>Questions</vt:lpstr>
      <vt:lpstr>Raw Data</vt:lpstr>
      <vt:lpstr>df_parametrics_v3</vt:lpstr>
      <vt:lpstr>Demographics Data</vt:lpstr>
      <vt:lpstr>R Dataset</vt:lpstr>
      <vt:lpstr>MAD</vt:lpstr>
      <vt:lpstr>MAD Updated</vt:lpstr>
      <vt:lpstr>Visualization data</vt:lpstr>
      <vt:lpstr>data_viz</vt:lpstr>
      <vt:lpstr>visual_data</vt:lpstr>
      <vt:lpstr>Tables</vt:lpstr>
      <vt:lpstr>Census jobs Chicago MSA</vt:lpstr>
      <vt:lpstr>Tech Jobs List</vt:lpstr>
      <vt:lpstr>ISBE table</vt:lpstr>
      <vt:lpstr>Math 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Reid</dc:creator>
  <cp:lastModifiedBy>Sebastian Reid</cp:lastModifiedBy>
  <cp:lastPrinted>2022-07-22T20:31:46Z</cp:lastPrinted>
  <dcterms:created xsi:type="dcterms:W3CDTF">2022-06-29T17:41:54Z</dcterms:created>
  <dcterms:modified xsi:type="dcterms:W3CDTF">2022-08-10T15:56:32Z</dcterms:modified>
</cp:coreProperties>
</file>