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33chicago-my.sharepoint.com/personal/sebastian_reid_p33chicago_com/Documents/"/>
    </mc:Choice>
  </mc:AlternateContent>
  <xr:revisionPtr revIDLastSave="2358" documentId="8_{AF5B9A90-6BA9-454B-9E90-60190B2C4D4B}" xr6:coauthVersionLast="47" xr6:coauthVersionMax="47" xr10:uidLastSave="{D4B28957-9B8C-48F5-878E-CBA6F73A18BB}"/>
  <bookViews>
    <workbookView xWindow="-110" yWindow="-110" windowWidth="19420" windowHeight="10420" firstSheet="6" activeTab="10" xr2:uid="{B404EADF-A012-4B9E-8F3B-B0D1CF220633}"/>
  </bookViews>
  <sheets>
    <sheet name="Metric Weights" sheetId="3" r:id="rId1"/>
    <sheet name="Metrics and Framework Simple" sheetId="1" r:id="rId2"/>
    <sheet name="Metrics breakdown" sheetId="2" r:id="rId3"/>
    <sheet name="Gender Data" sheetId="8" r:id="rId4"/>
    <sheet name="Raw Data" sheetId="4" r:id="rId5"/>
    <sheet name="Demographics Data" sheetId="5" r:id="rId6"/>
    <sheet name="Economic Impact" sheetId="12" r:id="rId7"/>
    <sheet name="Metric Importance" sheetId="13" r:id="rId8"/>
    <sheet name="Metrics Data" sheetId="6" r:id="rId9"/>
    <sheet name="Equity Index" sheetId="10" r:id="rId10"/>
    <sheet name="Deep Dive Tables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0" i="7" l="1"/>
  <c r="X11" i="7"/>
  <c r="X12" i="7"/>
  <c r="X13" i="7"/>
  <c r="W11" i="7"/>
  <c r="W12" i="7"/>
  <c r="W13" i="7"/>
  <c r="W10" i="7"/>
  <c r="Y13" i="7"/>
  <c r="Y12" i="7"/>
  <c r="X3" i="7"/>
  <c r="X4" i="7"/>
  <c r="X5" i="7"/>
  <c r="Y5" i="7" s="1"/>
  <c r="X6" i="7"/>
  <c r="W4" i="7"/>
  <c r="W5" i="7"/>
  <c r="W6" i="7"/>
  <c r="W3" i="7"/>
  <c r="Y6" i="7"/>
  <c r="Y4" i="7"/>
  <c r="Q45" i="7"/>
  <c r="Q46" i="7"/>
  <c r="Q47" i="7"/>
  <c r="S45" i="7" s="1"/>
  <c r="Q48" i="7"/>
  <c r="P46" i="7"/>
  <c r="P47" i="7"/>
  <c r="P48" i="7"/>
  <c r="R48" i="7" s="1"/>
  <c r="P45" i="7"/>
  <c r="S46" i="7"/>
  <c r="Q38" i="7"/>
  <c r="Q39" i="7"/>
  <c r="R39" i="7" s="1"/>
  <c r="Q40" i="7"/>
  <c r="Q41" i="7"/>
  <c r="P39" i="7"/>
  <c r="P40" i="7"/>
  <c r="P41" i="7"/>
  <c r="R41" i="7" s="1"/>
  <c r="P38" i="7"/>
  <c r="S38" i="7"/>
  <c r="Q31" i="7"/>
  <c r="Q32" i="7"/>
  <c r="Q33" i="7"/>
  <c r="S32" i="7" s="1"/>
  <c r="Q34" i="7"/>
  <c r="P32" i="7"/>
  <c r="P33" i="7"/>
  <c r="P34" i="7"/>
  <c r="R34" i="7" s="1"/>
  <c r="P31" i="7"/>
  <c r="R31" i="7" s="1"/>
  <c r="R32" i="7"/>
  <c r="Q24" i="7"/>
  <c r="Q25" i="7"/>
  <c r="Q26" i="7"/>
  <c r="Q27" i="7"/>
  <c r="P25" i="7"/>
  <c r="P26" i="7"/>
  <c r="P27" i="7"/>
  <c r="R27" i="7" s="1"/>
  <c r="P24" i="7"/>
  <c r="S25" i="7"/>
  <c r="T25" i="7" s="1"/>
  <c r="R25" i="7"/>
  <c r="S24" i="7"/>
  <c r="Q17" i="7"/>
  <c r="Q18" i="7"/>
  <c r="R18" i="7" s="1"/>
  <c r="Q19" i="7"/>
  <c r="Q20" i="7"/>
  <c r="P18" i="7"/>
  <c r="P19" i="7"/>
  <c r="R19" i="7" s="1"/>
  <c r="P20" i="7"/>
  <c r="R20" i="7" s="1"/>
  <c r="P17" i="7"/>
  <c r="S17" i="7"/>
  <c r="Q10" i="7"/>
  <c r="Q11" i="7"/>
  <c r="Q12" i="7"/>
  <c r="S11" i="7" s="1"/>
  <c r="Q13" i="7"/>
  <c r="P11" i="7"/>
  <c r="P12" i="7"/>
  <c r="P13" i="7"/>
  <c r="P10" i="7"/>
  <c r="Q3" i="7"/>
  <c r="Q4" i="7"/>
  <c r="Q5" i="7"/>
  <c r="Q6" i="7"/>
  <c r="P4" i="7"/>
  <c r="P5" i="7"/>
  <c r="R5" i="7" s="1"/>
  <c r="P6" i="7"/>
  <c r="R6" i="7" s="1"/>
  <c r="P3" i="7"/>
  <c r="S4" i="7"/>
  <c r="R3" i="7"/>
  <c r="L60" i="7"/>
  <c r="L59" i="7"/>
  <c r="L53" i="7"/>
  <c r="L52" i="7"/>
  <c r="L45" i="7"/>
  <c r="J59" i="7"/>
  <c r="J60" i="7"/>
  <c r="K60" i="7" s="1"/>
  <c r="M60" i="7" s="1"/>
  <c r="J61" i="7"/>
  <c r="J62" i="7"/>
  <c r="I60" i="7"/>
  <c r="I61" i="7"/>
  <c r="I62" i="7"/>
  <c r="K62" i="7" s="1"/>
  <c r="I59" i="7"/>
  <c r="J53" i="7"/>
  <c r="J54" i="7"/>
  <c r="J55" i="7"/>
  <c r="J52" i="7"/>
  <c r="I53" i="7"/>
  <c r="I54" i="7"/>
  <c r="K54" i="7" s="1"/>
  <c r="I55" i="7"/>
  <c r="K55" i="7" s="1"/>
  <c r="I52" i="7"/>
  <c r="K53" i="7"/>
  <c r="J46" i="7"/>
  <c r="J47" i="7"/>
  <c r="J48" i="7"/>
  <c r="J45" i="7"/>
  <c r="I46" i="7"/>
  <c r="I47" i="7"/>
  <c r="I48" i="7"/>
  <c r="I45" i="7"/>
  <c r="M39" i="7"/>
  <c r="M38" i="7"/>
  <c r="M32" i="7"/>
  <c r="M31" i="7"/>
  <c r="M25" i="7"/>
  <c r="M24" i="7"/>
  <c r="M18" i="7"/>
  <c r="M17" i="7"/>
  <c r="M11" i="7"/>
  <c r="M10" i="7"/>
  <c r="M4" i="7"/>
  <c r="M3" i="7"/>
  <c r="K10" i="12"/>
  <c r="K11" i="12"/>
  <c r="B39" i="12"/>
  <c r="AB7" i="12"/>
  <c r="AK11" i="12"/>
  <c r="AH11" i="12" s="1"/>
  <c r="AE11" i="12"/>
  <c r="AB11" i="12"/>
  <c r="Y11" i="12"/>
  <c r="AH10" i="12"/>
  <c r="AE10" i="12"/>
  <c r="AB10" i="12"/>
  <c r="Y10" i="12"/>
  <c r="Y3" i="12" s="1"/>
  <c r="W7" i="12"/>
  <c r="Y4" i="12"/>
  <c r="E10" i="12"/>
  <c r="B37" i="12"/>
  <c r="C37" i="12" s="1"/>
  <c r="D37" i="12" s="1"/>
  <c r="B36" i="12"/>
  <c r="B38" i="12" s="1"/>
  <c r="B15" i="12"/>
  <c r="Q11" i="12"/>
  <c r="N11" i="12" s="1"/>
  <c r="E11" i="12"/>
  <c r="E4" i="12" s="1"/>
  <c r="N10" i="12"/>
  <c r="H11" i="12"/>
  <c r="H10" i="12"/>
  <c r="E3" i="12"/>
  <c r="J38" i="7"/>
  <c r="J39" i="7"/>
  <c r="J40" i="7"/>
  <c r="J41" i="7"/>
  <c r="I39" i="7"/>
  <c r="I40" i="7"/>
  <c r="I41" i="7"/>
  <c r="I38" i="7"/>
  <c r="J31" i="7"/>
  <c r="J32" i="7"/>
  <c r="J33" i="7"/>
  <c r="J34" i="7"/>
  <c r="I32" i="7"/>
  <c r="I33" i="7"/>
  <c r="I34" i="7"/>
  <c r="I31" i="7"/>
  <c r="J24" i="7"/>
  <c r="J25" i="7"/>
  <c r="J26" i="7"/>
  <c r="J27" i="7"/>
  <c r="I25" i="7"/>
  <c r="I26" i="7"/>
  <c r="I27" i="7"/>
  <c r="I24" i="7"/>
  <c r="I20" i="7"/>
  <c r="J20" i="7"/>
  <c r="I18" i="7"/>
  <c r="J18" i="7"/>
  <c r="I19" i="7"/>
  <c r="J19" i="7"/>
  <c r="J17" i="7"/>
  <c r="I17" i="7"/>
  <c r="J10" i="7"/>
  <c r="J11" i="7"/>
  <c r="J12" i="7"/>
  <c r="J13" i="7"/>
  <c r="I11" i="7"/>
  <c r="I12" i="7"/>
  <c r="I13" i="7"/>
  <c r="I10" i="7"/>
  <c r="J3" i="7"/>
  <c r="J4" i="7"/>
  <c r="J5" i="7"/>
  <c r="J6" i="7"/>
  <c r="I4" i="7"/>
  <c r="I5" i="7"/>
  <c r="I6" i="7"/>
  <c r="I3" i="7"/>
  <c r="B55" i="7"/>
  <c r="B54" i="7"/>
  <c r="D54" i="7" s="1"/>
  <c r="B53" i="7"/>
  <c r="B52" i="7"/>
  <c r="C53" i="7"/>
  <c r="C54" i="7"/>
  <c r="C55" i="7"/>
  <c r="C52" i="7"/>
  <c r="C45" i="7"/>
  <c r="B46" i="7"/>
  <c r="C46" i="7"/>
  <c r="B47" i="7"/>
  <c r="C47" i="7"/>
  <c r="B48" i="7"/>
  <c r="C48" i="7"/>
  <c r="B45" i="7"/>
  <c r="C38" i="7"/>
  <c r="B39" i="7"/>
  <c r="C39" i="7"/>
  <c r="B40" i="7"/>
  <c r="C40" i="7"/>
  <c r="B41" i="7"/>
  <c r="C41" i="7"/>
  <c r="B38" i="7"/>
  <c r="B32" i="7"/>
  <c r="C32" i="7"/>
  <c r="B33" i="7"/>
  <c r="C33" i="7"/>
  <c r="B34" i="7"/>
  <c r="C34" i="7"/>
  <c r="C31" i="7"/>
  <c r="B31" i="7"/>
  <c r="C25" i="7"/>
  <c r="C26" i="7"/>
  <c r="C27" i="7"/>
  <c r="C24" i="7"/>
  <c r="B24" i="7"/>
  <c r="B27" i="7"/>
  <c r="B26" i="7"/>
  <c r="B25" i="7"/>
  <c r="C17" i="7"/>
  <c r="C18" i="7"/>
  <c r="C19" i="7"/>
  <c r="C20" i="7"/>
  <c r="B18" i="7"/>
  <c r="B19" i="7"/>
  <c r="B20" i="7"/>
  <c r="B17" i="7"/>
  <c r="C10" i="7"/>
  <c r="C11" i="7"/>
  <c r="C12" i="7"/>
  <c r="C13" i="7"/>
  <c r="B11" i="7"/>
  <c r="B12" i="7"/>
  <c r="B13" i="7"/>
  <c r="B10" i="7"/>
  <c r="C3" i="7"/>
  <c r="C4" i="7"/>
  <c r="C5" i="7"/>
  <c r="C6" i="7"/>
  <c r="B4" i="7"/>
  <c r="B5" i="7"/>
  <c r="B6" i="7"/>
  <c r="B3" i="7"/>
  <c r="O29" i="10"/>
  <c r="J31" i="10"/>
  <c r="K31" i="10" s="1"/>
  <c r="L31" i="10" s="1"/>
  <c r="M31" i="10" s="1"/>
  <c r="I31" i="10"/>
  <c r="H31" i="10"/>
  <c r="G31" i="10"/>
  <c r="F31" i="10"/>
  <c r="I118" i="6"/>
  <c r="I119" i="6"/>
  <c r="I120" i="6"/>
  <c r="I121" i="6"/>
  <c r="G119" i="6"/>
  <c r="G120" i="6"/>
  <c r="G121" i="6"/>
  <c r="G118" i="6"/>
  <c r="C66" i="5"/>
  <c r="C66" i="4"/>
  <c r="H47" i="10"/>
  <c r="I47" i="10"/>
  <c r="Y11" i="7" l="1"/>
  <c r="Y10" i="7"/>
  <c r="Z10" i="7"/>
  <c r="Z11" i="7"/>
  <c r="AA11" i="7" s="1"/>
  <c r="Z3" i="7"/>
  <c r="Z4" i="7"/>
  <c r="AA4" i="7" s="1"/>
  <c r="Y3" i="7"/>
  <c r="R47" i="7"/>
  <c r="R45" i="7"/>
  <c r="T45" i="7"/>
  <c r="R46" i="7"/>
  <c r="T46" i="7" s="1"/>
  <c r="R40" i="7"/>
  <c r="T38" i="7"/>
  <c r="S39" i="7"/>
  <c r="T39" i="7" s="1"/>
  <c r="R38" i="7"/>
  <c r="R33" i="7"/>
  <c r="T32" i="7"/>
  <c r="S31" i="7"/>
  <c r="T31" i="7" s="1"/>
  <c r="R26" i="7"/>
  <c r="R24" i="7"/>
  <c r="T24" i="7" s="1"/>
  <c r="S18" i="7"/>
  <c r="T18" i="7" s="1"/>
  <c r="R17" i="7"/>
  <c r="T17" i="7" s="1"/>
  <c r="R11" i="7"/>
  <c r="T11" i="7" s="1"/>
  <c r="R12" i="7"/>
  <c r="R13" i="7"/>
  <c r="S10" i="7"/>
  <c r="R10" i="7"/>
  <c r="S3" i="7"/>
  <c r="T3" i="7" s="1"/>
  <c r="R4" i="7"/>
  <c r="T4" i="7" s="1"/>
  <c r="M53" i="7"/>
  <c r="K61" i="7"/>
  <c r="K59" i="7"/>
  <c r="M59" i="7" s="1"/>
  <c r="K52" i="7"/>
  <c r="M52" i="7" s="1"/>
  <c r="K47" i="7"/>
  <c r="K48" i="7"/>
  <c r="K46" i="7"/>
  <c r="M46" i="7" s="1"/>
  <c r="K45" i="7"/>
  <c r="M45" i="7" s="1"/>
  <c r="L32" i="7"/>
  <c r="L39" i="7"/>
  <c r="L10" i="7"/>
  <c r="L24" i="7"/>
  <c r="D41" i="7"/>
  <c r="D20" i="7"/>
  <c r="D48" i="7"/>
  <c r="K17" i="7"/>
  <c r="L38" i="7"/>
  <c r="D4" i="7"/>
  <c r="D11" i="7"/>
  <c r="D18" i="7"/>
  <c r="E46" i="7"/>
  <c r="F46" i="7" s="1"/>
  <c r="L11" i="7"/>
  <c r="L25" i="7"/>
  <c r="K19" i="7"/>
  <c r="K33" i="7"/>
  <c r="D46" i="7"/>
  <c r="E53" i="7"/>
  <c r="D27" i="7"/>
  <c r="E39" i="7"/>
  <c r="D25" i="7"/>
  <c r="K20" i="7"/>
  <c r="K13" i="7"/>
  <c r="D31" i="7"/>
  <c r="K41" i="7"/>
  <c r="E45" i="7"/>
  <c r="K32" i="7"/>
  <c r="K27" i="7"/>
  <c r="D34" i="7"/>
  <c r="D40" i="7"/>
  <c r="D10" i="7"/>
  <c r="D3" i="7"/>
  <c r="K5" i="7"/>
  <c r="D6" i="7"/>
  <c r="D53" i="7"/>
  <c r="E4" i="7"/>
  <c r="F4" i="7" s="1"/>
  <c r="D13" i="7"/>
  <c r="D5" i="7"/>
  <c r="D12" i="7"/>
  <c r="K6" i="7"/>
  <c r="K12" i="7"/>
  <c r="K34" i="7"/>
  <c r="K39" i="7"/>
  <c r="L31" i="7"/>
  <c r="K40" i="7"/>
  <c r="E10" i="7"/>
  <c r="F10" i="7" s="1"/>
  <c r="D33" i="7"/>
  <c r="D55" i="7"/>
  <c r="E25" i="7"/>
  <c r="F25" i="7" s="1"/>
  <c r="K3" i="7"/>
  <c r="AB3" i="12"/>
  <c r="AB4" i="12"/>
  <c r="AE4" i="12"/>
  <c r="C36" i="12"/>
  <c r="D36" i="12" s="1"/>
  <c r="D38" i="12" s="1"/>
  <c r="D15" i="12"/>
  <c r="E37" i="12"/>
  <c r="F37" i="12" s="1"/>
  <c r="E36" i="12"/>
  <c r="E38" i="12" s="1"/>
  <c r="H3" i="12"/>
  <c r="K3" i="12" s="1"/>
  <c r="E7" i="12"/>
  <c r="A15" i="12" s="1"/>
  <c r="A17" i="12" s="1"/>
  <c r="H4" i="12"/>
  <c r="K4" i="12" s="1"/>
  <c r="K38" i="7"/>
  <c r="K31" i="7"/>
  <c r="K26" i="7"/>
  <c r="K25" i="7"/>
  <c r="K24" i="7"/>
  <c r="K18" i="7"/>
  <c r="K11" i="7"/>
  <c r="K10" i="7"/>
  <c r="L3" i="7"/>
  <c r="L4" i="7"/>
  <c r="K4" i="7"/>
  <c r="D52" i="7"/>
  <c r="E52" i="7"/>
  <c r="F52" i="7" s="1"/>
  <c r="D47" i="7"/>
  <c r="D45" i="7"/>
  <c r="D39" i="7"/>
  <c r="D38" i="7"/>
  <c r="E38" i="7" s="1"/>
  <c r="F38" i="7" s="1"/>
  <c r="E31" i="7"/>
  <c r="F31" i="7" s="1"/>
  <c r="E11" i="7"/>
  <c r="F11" i="7" s="1"/>
  <c r="E3" i="7"/>
  <c r="F3" i="7" s="1"/>
  <c r="D26" i="7"/>
  <c r="E32" i="7"/>
  <c r="D24" i="7"/>
  <c r="D32" i="7"/>
  <c r="E24" i="7"/>
  <c r="D17" i="7"/>
  <c r="E17" i="7"/>
  <c r="E18" i="7"/>
  <c r="D19" i="7"/>
  <c r="H181" i="6"/>
  <c r="I181" i="6" s="1"/>
  <c r="I46" i="10" s="1"/>
  <c r="H179" i="6"/>
  <c r="I179" i="6" s="1"/>
  <c r="G46" i="10" s="1"/>
  <c r="H180" i="6"/>
  <c r="I180" i="6" s="1"/>
  <c r="H46" i="10" s="1"/>
  <c r="H178" i="6"/>
  <c r="I178" i="6" s="1"/>
  <c r="F46" i="10" s="1"/>
  <c r="AA10" i="7" l="1"/>
  <c r="AA3" i="7"/>
  <c r="T10" i="7"/>
  <c r="F17" i="7"/>
  <c r="F24" i="7"/>
  <c r="F39" i="7"/>
  <c r="F32" i="7"/>
  <c r="F45" i="7"/>
  <c r="F53" i="7"/>
  <c r="F18" i="7"/>
  <c r="AH4" i="12"/>
  <c r="AK4" i="12" s="1"/>
  <c r="AE3" i="12"/>
  <c r="AE7" i="12" s="1"/>
  <c r="C38" i="12"/>
  <c r="F36" i="12"/>
  <c r="F38" i="12" s="1"/>
  <c r="A38" i="12" s="1"/>
  <c r="C7" i="12" s="1"/>
  <c r="N3" i="12"/>
  <c r="Q3" i="12" s="1"/>
  <c r="N4" i="12"/>
  <c r="Q4" i="12" s="1"/>
  <c r="H7" i="12"/>
  <c r="K7" i="12"/>
  <c r="J46" i="10"/>
  <c r="K46" i="10" s="1"/>
  <c r="L46" i="10" s="1"/>
  <c r="H138" i="6"/>
  <c r="I138" i="6" s="1"/>
  <c r="F36" i="10" s="1"/>
  <c r="H139" i="6"/>
  <c r="I139" i="6" s="1"/>
  <c r="G36" i="10" s="1"/>
  <c r="H141" i="6"/>
  <c r="I141" i="6" s="1"/>
  <c r="I36" i="10" s="1"/>
  <c r="H140" i="6"/>
  <c r="I140" i="6" s="1"/>
  <c r="H36" i="10" s="1"/>
  <c r="C15" i="12" l="1"/>
  <c r="C17" i="12" s="1"/>
  <c r="AH3" i="12"/>
  <c r="F15" i="12"/>
  <c r="Q7" i="12"/>
  <c r="N7" i="12"/>
  <c r="J36" i="10"/>
  <c r="K36" i="10" s="1"/>
  <c r="L36" i="10" s="1"/>
  <c r="N53" i="10"/>
  <c r="N52" i="10"/>
  <c r="N51" i="10"/>
  <c r="N50" i="10"/>
  <c r="N49" i="10"/>
  <c r="N48" i="10"/>
  <c r="N47" i="10"/>
  <c r="N46" i="10"/>
  <c r="N45" i="10"/>
  <c r="N44" i="10"/>
  <c r="N43" i="10"/>
  <c r="N42" i="10"/>
  <c r="N41" i="10"/>
  <c r="N40" i="10"/>
  <c r="N39" i="10"/>
  <c r="N38" i="10"/>
  <c r="N35" i="10"/>
  <c r="N36" i="10"/>
  <c r="N37" i="10"/>
  <c r="N34" i="10"/>
  <c r="N33" i="10"/>
  <c r="N32" i="10"/>
  <c r="N30" i="10"/>
  <c r="N31" i="10"/>
  <c r="N29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3" i="10"/>
  <c r="N4" i="10"/>
  <c r="N2" i="10"/>
  <c r="H54" i="10"/>
  <c r="F53" i="10"/>
  <c r="G53" i="10"/>
  <c r="H53" i="10"/>
  <c r="I53" i="10"/>
  <c r="F52" i="10"/>
  <c r="G52" i="10"/>
  <c r="H51" i="10"/>
  <c r="F50" i="10"/>
  <c r="G50" i="10"/>
  <c r="H49" i="10"/>
  <c r="F48" i="10"/>
  <c r="G48" i="10"/>
  <c r="F45" i="10"/>
  <c r="G45" i="10"/>
  <c r="H45" i="10"/>
  <c r="I45" i="10"/>
  <c r="F44" i="10"/>
  <c r="G44" i="10"/>
  <c r="H44" i="10"/>
  <c r="I44" i="10"/>
  <c r="H43" i="10"/>
  <c r="I42" i="10"/>
  <c r="F40" i="10"/>
  <c r="G40" i="10"/>
  <c r="H40" i="10"/>
  <c r="I40" i="10"/>
  <c r="F38" i="10"/>
  <c r="G38" i="10"/>
  <c r="H38" i="10"/>
  <c r="I38" i="10"/>
  <c r="F37" i="10"/>
  <c r="G37" i="10"/>
  <c r="H37" i="10"/>
  <c r="I37" i="10"/>
  <c r="F35" i="10"/>
  <c r="G35" i="10"/>
  <c r="H35" i="10"/>
  <c r="I35" i="10"/>
  <c r="F34" i="10"/>
  <c r="G34" i="10"/>
  <c r="H34" i="10"/>
  <c r="I34" i="10"/>
  <c r="I17" i="10"/>
  <c r="G14" i="10"/>
  <c r="F14" i="10"/>
  <c r="G12" i="10"/>
  <c r="F12" i="10"/>
  <c r="H11" i="10"/>
  <c r="G10" i="10"/>
  <c r="F10" i="10"/>
  <c r="H4" i="10"/>
  <c r="G3" i="10"/>
  <c r="G5" i="10"/>
  <c r="F5" i="10"/>
  <c r="I53" i="8"/>
  <c r="I52" i="8"/>
  <c r="I51" i="8"/>
  <c r="I50" i="8"/>
  <c r="H45" i="8"/>
  <c r="I45" i="8" s="1"/>
  <c r="H44" i="8"/>
  <c r="I44" i="8" s="1"/>
  <c r="H43" i="8"/>
  <c r="G43" i="8"/>
  <c r="I43" i="8" s="1"/>
  <c r="H42" i="8"/>
  <c r="G42" i="8"/>
  <c r="I42" i="8" s="1"/>
  <c r="I41" i="8"/>
  <c r="I40" i="8"/>
  <c r="H39" i="8"/>
  <c r="G39" i="8"/>
  <c r="I39" i="8" s="1"/>
  <c r="H38" i="8"/>
  <c r="G38" i="8"/>
  <c r="I38" i="8" s="1"/>
  <c r="H35" i="8"/>
  <c r="I35" i="8" s="1"/>
  <c r="H34" i="8"/>
  <c r="I34" i="8" s="1"/>
  <c r="H31" i="8"/>
  <c r="I31" i="8" s="1"/>
  <c r="H30" i="8"/>
  <c r="I30" i="8" s="1"/>
  <c r="I29" i="8"/>
  <c r="I28" i="8"/>
  <c r="I25" i="8"/>
  <c r="I24" i="8"/>
  <c r="I21" i="8"/>
  <c r="I20" i="8"/>
  <c r="H13" i="8"/>
  <c r="I13" i="8" s="1"/>
  <c r="H12" i="8"/>
  <c r="I12" i="8" s="1"/>
  <c r="H11" i="8"/>
  <c r="I11" i="8" s="1"/>
  <c r="H10" i="8"/>
  <c r="I10" i="8" s="1"/>
  <c r="H9" i="8"/>
  <c r="I9" i="8" s="1"/>
  <c r="H8" i="8"/>
  <c r="I8" i="8" s="1"/>
  <c r="I7" i="8"/>
  <c r="I6" i="8"/>
  <c r="H5" i="8"/>
  <c r="I5" i="8" s="1"/>
  <c r="H4" i="8"/>
  <c r="I4" i="8" s="1"/>
  <c r="H3" i="8"/>
  <c r="I3" i="8" s="1"/>
  <c r="H2" i="8"/>
  <c r="I2" i="8" s="1"/>
  <c r="I249" i="6"/>
  <c r="I248" i="6"/>
  <c r="I247" i="6"/>
  <c r="I246" i="6"/>
  <c r="I241" i="6"/>
  <c r="I240" i="6"/>
  <c r="I239" i="6"/>
  <c r="I238" i="6"/>
  <c r="I229" i="6"/>
  <c r="I228" i="6"/>
  <c r="I227" i="6"/>
  <c r="I226" i="6"/>
  <c r="I217" i="6"/>
  <c r="I55" i="10" s="1"/>
  <c r="I216" i="6"/>
  <c r="H55" i="10" s="1"/>
  <c r="I215" i="6"/>
  <c r="G55" i="10" s="1"/>
  <c r="I214" i="6"/>
  <c r="F55" i="10" s="1"/>
  <c r="I213" i="6"/>
  <c r="I54" i="10" s="1"/>
  <c r="I212" i="6"/>
  <c r="I211" i="6"/>
  <c r="G54" i="10" s="1"/>
  <c r="I210" i="6"/>
  <c r="F54" i="10" s="1"/>
  <c r="I205" i="6"/>
  <c r="I52" i="10" s="1"/>
  <c r="I204" i="6"/>
  <c r="H52" i="10" s="1"/>
  <c r="I203" i="6"/>
  <c r="I202" i="6"/>
  <c r="I201" i="6"/>
  <c r="I51" i="10" s="1"/>
  <c r="I200" i="6"/>
  <c r="I199" i="6"/>
  <c r="G51" i="10" s="1"/>
  <c r="I198" i="6"/>
  <c r="F51" i="10" s="1"/>
  <c r="I197" i="6"/>
  <c r="I50" i="10" s="1"/>
  <c r="I196" i="6"/>
  <c r="H50" i="10" s="1"/>
  <c r="I195" i="6"/>
  <c r="I194" i="6"/>
  <c r="I193" i="6"/>
  <c r="I49" i="10" s="1"/>
  <c r="I192" i="6"/>
  <c r="I191" i="6"/>
  <c r="G49" i="10" s="1"/>
  <c r="I190" i="6"/>
  <c r="F49" i="10" s="1"/>
  <c r="I189" i="6"/>
  <c r="I48" i="10" s="1"/>
  <c r="I188" i="6"/>
  <c r="H48" i="10" s="1"/>
  <c r="I187" i="6"/>
  <c r="I186" i="6"/>
  <c r="I185" i="6"/>
  <c r="H185" i="6"/>
  <c r="I184" i="6"/>
  <c r="I183" i="6"/>
  <c r="G47" i="10" s="1"/>
  <c r="I182" i="6"/>
  <c r="F47" i="10" s="1"/>
  <c r="I169" i="6"/>
  <c r="I43" i="10" s="1"/>
  <c r="I168" i="6"/>
  <c r="I167" i="6"/>
  <c r="G43" i="10" s="1"/>
  <c r="I166" i="6"/>
  <c r="F43" i="10" s="1"/>
  <c r="I165" i="6"/>
  <c r="I164" i="6"/>
  <c r="H42" i="10" s="1"/>
  <c r="I163" i="6"/>
  <c r="G42" i="10" s="1"/>
  <c r="I162" i="6"/>
  <c r="F42" i="10" s="1"/>
  <c r="H161" i="6"/>
  <c r="I161" i="6" s="1"/>
  <c r="I41" i="10" s="1"/>
  <c r="H160" i="6"/>
  <c r="I160" i="6" s="1"/>
  <c r="H41" i="10" s="1"/>
  <c r="H159" i="6"/>
  <c r="I159" i="6" s="1"/>
  <c r="G41" i="10" s="1"/>
  <c r="H158" i="6"/>
  <c r="I158" i="6" s="1"/>
  <c r="F41" i="10" s="1"/>
  <c r="I153" i="6"/>
  <c r="I39" i="10" s="1"/>
  <c r="I152" i="6"/>
  <c r="H39" i="10" s="1"/>
  <c r="I151" i="6"/>
  <c r="G39" i="10" s="1"/>
  <c r="I150" i="6"/>
  <c r="F39" i="10" s="1"/>
  <c r="H149" i="6"/>
  <c r="H148" i="6"/>
  <c r="H147" i="6"/>
  <c r="H146" i="6"/>
  <c r="I129" i="6"/>
  <c r="I33" i="10" s="1"/>
  <c r="I128" i="6"/>
  <c r="H33" i="10" s="1"/>
  <c r="I127" i="6"/>
  <c r="G33" i="10" s="1"/>
  <c r="I126" i="6"/>
  <c r="F33" i="10" s="1"/>
  <c r="I125" i="6"/>
  <c r="I32" i="10" s="1"/>
  <c r="I124" i="6"/>
  <c r="H32" i="10" s="1"/>
  <c r="I123" i="6"/>
  <c r="G32" i="10" s="1"/>
  <c r="I122" i="6"/>
  <c r="F32" i="10" s="1"/>
  <c r="I117" i="6"/>
  <c r="I30" i="10" s="1"/>
  <c r="I116" i="6"/>
  <c r="H30" i="10" s="1"/>
  <c r="I115" i="6"/>
  <c r="G30" i="10" s="1"/>
  <c r="I114" i="6"/>
  <c r="F30" i="10" s="1"/>
  <c r="I113" i="6"/>
  <c r="I29" i="10" s="1"/>
  <c r="I112" i="6"/>
  <c r="H29" i="10" s="1"/>
  <c r="I111" i="6"/>
  <c r="G29" i="10" s="1"/>
  <c r="I110" i="6"/>
  <c r="F29" i="10" s="1"/>
  <c r="I109" i="6"/>
  <c r="I28" i="10" s="1"/>
  <c r="I108" i="6"/>
  <c r="H28" i="10" s="1"/>
  <c r="I107" i="6"/>
  <c r="G28" i="10" s="1"/>
  <c r="I106" i="6"/>
  <c r="F28" i="10" s="1"/>
  <c r="I105" i="6"/>
  <c r="I27" i="10" s="1"/>
  <c r="I104" i="6"/>
  <c r="H27" i="10" s="1"/>
  <c r="I103" i="6"/>
  <c r="G27" i="10" s="1"/>
  <c r="I102" i="6"/>
  <c r="F27" i="10" s="1"/>
  <c r="I101" i="6"/>
  <c r="I26" i="10" s="1"/>
  <c r="I100" i="6"/>
  <c r="H26" i="10" s="1"/>
  <c r="I99" i="6"/>
  <c r="G26" i="10" s="1"/>
  <c r="I98" i="6"/>
  <c r="F26" i="10" s="1"/>
  <c r="I97" i="6"/>
  <c r="I25" i="10" s="1"/>
  <c r="I96" i="6"/>
  <c r="H25" i="10" s="1"/>
  <c r="I95" i="6"/>
  <c r="G25" i="10" s="1"/>
  <c r="I94" i="6"/>
  <c r="F25" i="10" s="1"/>
  <c r="I93" i="6"/>
  <c r="I24" i="10" s="1"/>
  <c r="I92" i="6"/>
  <c r="H24" i="10" s="1"/>
  <c r="I91" i="6"/>
  <c r="G24" i="10" s="1"/>
  <c r="I90" i="6"/>
  <c r="F24" i="10" s="1"/>
  <c r="I89" i="6"/>
  <c r="I23" i="10" s="1"/>
  <c r="I88" i="6"/>
  <c r="H23" i="10" s="1"/>
  <c r="I87" i="6"/>
  <c r="G23" i="10" s="1"/>
  <c r="I86" i="6"/>
  <c r="F23" i="10" s="1"/>
  <c r="I85" i="6"/>
  <c r="I22" i="10" s="1"/>
  <c r="I84" i="6"/>
  <c r="H22" i="10" s="1"/>
  <c r="I83" i="6"/>
  <c r="G22" i="10" s="1"/>
  <c r="I82" i="6"/>
  <c r="F22" i="10" s="1"/>
  <c r="I81" i="6"/>
  <c r="I21" i="10" s="1"/>
  <c r="I80" i="6"/>
  <c r="H21" i="10" s="1"/>
  <c r="I79" i="6"/>
  <c r="G21" i="10" s="1"/>
  <c r="I78" i="6"/>
  <c r="F21" i="10" s="1"/>
  <c r="I77" i="6"/>
  <c r="I20" i="10" s="1"/>
  <c r="I76" i="6"/>
  <c r="H20" i="10" s="1"/>
  <c r="I75" i="6"/>
  <c r="G20" i="10" s="1"/>
  <c r="I74" i="6"/>
  <c r="F20" i="10" s="1"/>
  <c r="I73" i="6"/>
  <c r="I19" i="10" s="1"/>
  <c r="I72" i="6"/>
  <c r="H19" i="10" s="1"/>
  <c r="I71" i="6"/>
  <c r="G19" i="10" s="1"/>
  <c r="I70" i="6"/>
  <c r="F19" i="10" s="1"/>
  <c r="I69" i="6"/>
  <c r="I18" i="10" s="1"/>
  <c r="I68" i="6"/>
  <c r="H18" i="10" s="1"/>
  <c r="I67" i="6"/>
  <c r="G18" i="10" s="1"/>
  <c r="I66" i="6"/>
  <c r="F18" i="10" s="1"/>
  <c r="I65" i="6"/>
  <c r="I64" i="6"/>
  <c r="H17" i="10" s="1"/>
  <c r="I63" i="6"/>
  <c r="G17" i="10" s="1"/>
  <c r="I62" i="6"/>
  <c r="F17" i="10" s="1"/>
  <c r="I61" i="6"/>
  <c r="I16" i="10" s="1"/>
  <c r="I60" i="6"/>
  <c r="H16" i="10" s="1"/>
  <c r="I59" i="6"/>
  <c r="G16" i="10" s="1"/>
  <c r="I58" i="6"/>
  <c r="F16" i="10" s="1"/>
  <c r="H58" i="6"/>
  <c r="G58" i="6"/>
  <c r="I57" i="6"/>
  <c r="I15" i="10" s="1"/>
  <c r="I56" i="6"/>
  <c r="H15" i="10" s="1"/>
  <c r="I55" i="6"/>
  <c r="G15" i="10" s="1"/>
  <c r="H54" i="6"/>
  <c r="I54" i="6" s="1"/>
  <c r="F15" i="10" s="1"/>
  <c r="I53" i="6"/>
  <c r="I14" i="10" s="1"/>
  <c r="I52" i="6"/>
  <c r="H14" i="10" s="1"/>
  <c r="I51" i="6"/>
  <c r="I50" i="6"/>
  <c r="I49" i="6"/>
  <c r="I13" i="10" s="1"/>
  <c r="I48" i="6"/>
  <c r="H13" i="10" s="1"/>
  <c r="I47" i="6"/>
  <c r="G13" i="10" s="1"/>
  <c r="I46" i="6"/>
  <c r="F13" i="10" s="1"/>
  <c r="I45" i="6"/>
  <c r="I12" i="10" s="1"/>
  <c r="I44" i="6"/>
  <c r="H12" i="10" s="1"/>
  <c r="I43" i="6"/>
  <c r="H42" i="6"/>
  <c r="I42" i="6" s="1"/>
  <c r="I41" i="6"/>
  <c r="I11" i="10" s="1"/>
  <c r="I40" i="6"/>
  <c r="I39" i="6"/>
  <c r="G11" i="10" s="1"/>
  <c r="I38" i="6"/>
  <c r="F11" i="10" s="1"/>
  <c r="I37" i="6"/>
  <c r="I10" i="10" s="1"/>
  <c r="I36" i="6"/>
  <c r="H10" i="10" s="1"/>
  <c r="I35" i="6"/>
  <c r="I34" i="6"/>
  <c r="I33" i="6"/>
  <c r="I9" i="10" s="1"/>
  <c r="I32" i="6"/>
  <c r="H9" i="10" s="1"/>
  <c r="I31" i="6"/>
  <c r="G9" i="10" s="1"/>
  <c r="I30" i="6"/>
  <c r="F9" i="10" s="1"/>
  <c r="I25" i="6"/>
  <c r="I7" i="10" s="1"/>
  <c r="I24" i="6"/>
  <c r="H7" i="10" s="1"/>
  <c r="I23" i="6"/>
  <c r="G7" i="10" s="1"/>
  <c r="I22" i="6"/>
  <c r="F7" i="10" s="1"/>
  <c r="I21" i="6"/>
  <c r="I6" i="10" s="1"/>
  <c r="I20" i="6"/>
  <c r="H6" i="10" s="1"/>
  <c r="I19" i="6"/>
  <c r="G6" i="10" s="1"/>
  <c r="I18" i="6"/>
  <c r="F6" i="10" s="1"/>
  <c r="I17" i="6"/>
  <c r="I5" i="10" s="1"/>
  <c r="I16" i="6"/>
  <c r="H5" i="10" s="1"/>
  <c r="I15" i="6"/>
  <c r="I14" i="6"/>
  <c r="I13" i="6"/>
  <c r="I4" i="10" s="1"/>
  <c r="I12" i="6"/>
  <c r="I11" i="6"/>
  <c r="G4" i="10" s="1"/>
  <c r="I10" i="6"/>
  <c r="F4" i="10" s="1"/>
  <c r="I9" i="6"/>
  <c r="I3" i="10" s="1"/>
  <c r="I8" i="6"/>
  <c r="H3" i="10" s="1"/>
  <c r="I7" i="6"/>
  <c r="I6" i="6"/>
  <c r="F3" i="10" s="1"/>
  <c r="I5" i="6"/>
  <c r="I2" i="10" s="1"/>
  <c r="I4" i="6"/>
  <c r="H2" i="10" s="1"/>
  <c r="I3" i="6"/>
  <c r="G2" i="10" s="1"/>
  <c r="I2" i="6"/>
  <c r="F2" i="10" s="1"/>
  <c r="AH7" i="12" l="1"/>
  <c r="U7" i="12" s="1"/>
  <c r="U10" i="12" s="1"/>
  <c r="AK3" i="12"/>
  <c r="AK7" i="12" s="1"/>
  <c r="E15" i="12"/>
  <c r="E17" i="12" s="1"/>
  <c r="A7" i="12"/>
  <c r="A10" i="12" s="1"/>
  <c r="J7" i="10"/>
  <c r="K7" i="10" s="1"/>
  <c r="L7" i="10" s="1"/>
  <c r="J22" i="10"/>
  <c r="K22" i="10" s="1"/>
  <c r="L22" i="10" s="1"/>
  <c r="J24" i="10"/>
  <c r="K24" i="10" s="1"/>
  <c r="L24" i="10" s="1"/>
  <c r="J33" i="10"/>
  <c r="K33" i="10" s="1"/>
  <c r="L33" i="10" s="1"/>
  <c r="J37" i="10"/>
  <c r="K37" i="10" s="1"/>
  <c r="L37" i="10" s="1"/>
  <c r="J39" i="10"/>
  <c r="K39" i="10" s="1"/>
  <c r="L39" i="10" s="1"/>
  <c r="J45" i="10"/>
  <c r="K45" i="10" s="1"/>
  <c r="L45" i="10" s="1"/>
  <c r="J47" i="10"/>
  <c r="K47" i="10" s="1"/>
  <c r="L47" i="10" s="1"/>
  <c r="J49" i="10"/>
  <c r="K49" i="10" s="1"/>
  <c r="L49" i="10" s="1"/>
  <c r="J53" i="10"/>
  <c r="K53" i="10" s="1"/>
  <c r="L53" i="10" s="1"/>
  <c r="J55" i="10"/>
  <c r="K55" i="10" s="1"/>
  <c r="L55" i="10" s="1"/>
  <c r="J16" i="10"/>
  <c r="K16" i="10" s="1"/>
  <c r="L16" i="10" s="1"/>
  <c r="J42" i="10"/>
  <c r="K42" i="10" s="1"/>
  <c r="L42" i="10" s="1"/>
  <c r="J11" i="10"/>
  <c r="K11" i="10" s="1"/>
  <c r="L11" i="10" s="1"/>
  <c r="J17" i="10"/>
  <c r="K17" i="10" s="1"/>
  <c r="L17" i="10" s="1"/>
  <c r="J23" i="10"/>
  <c r="K23" i="10" s="1"/>
  <c r="L23" i="10" s="1"/>
  <c r="J9" i="10"/>
  <c r="K9" i="10" s="1"/>
  <c r="L9" i="10" s="1"/>
  <c r="J15" i="10"/>
  <c r="K15" i="10" s="1"/>
  <c r="L15" i="10" s="1"/>
  <c r="J28" i="10"/>
  <c r="K28" i="10" s="1"/>
  <c r="L28" i="10" s="1"/>
  <c r="J6" i="10"/>
  <c r="K6" i="10" s="1"/>
  <c r="L6" i="10" s="1"/>
  <c r="J10" i="10"/>
  <c r="K10" i="10" s="1"/>
  <c r="L10" i="10" s="1"/>
  <c r="J32" i="10"/>
  <c r="K32" i="10" s="1"/>
  <c r="L32" i="10" s="1"/>
  <c r="J34" i="10"/>
  <c r="K34" i="10" s="1"/>
  <c r="L34" i="10" s="1"/>
  <c r="J38" i="10"/>
  <c r="K38" i="10" s="1"/>
  <c r="L38" i="10" s="1"/>
  <c r="J44" i="10"/>
  <c r="K44" i="10" s="1"/>
  <c r="L44" i="10" s="1"/>
  <c r="J50" i="10"/>
  <c r="K50" i="10" s="1"/>
  <c r="L50" i="10" s="1"/>
  <c r="J52" i="10"/>
  <c r="K52" i="10" s="1"/>
  <c r="L52" i="10" s="1"/>
  <c r="J54" i="10"/>
  <c r="K54" i="10" s="1"/>
  <c r="L54" i="10" s="1"/>
  <c r="J2" i="10"/>
  <c r="K2" i="10" s="1"/>
  <c r="L2" i="10" s="1"/>
  <c r="J3" i="10"/>
  <c r="K3" i="10" s="1"/>
  <c r="L3" i="10" s="1"/>
  <c r="J25" i="10"/>
  <c r="K25" i="10" s="1"/>
  <c r="L25" i="10" s="1"/>
  <c r="J29" i="10"/>
  <c r="K29" i="10" s="1"/>
  <c r="L29" i="10" s="1"/>
  <c r="J43" i="10"/>
  <c r="K43" i="10" s="1"/>
  <c r="L43" i="10" s="1"/>
  <c r="J51" i="10"/>
  <c r="K51" i="10" s="1"/>
  <c r="L51" i="10" s="1"/>
  <c r="J26" i="10"/>
  <c r="K26" i="10" s="1"/>
  <c r="L26" i="10" s="1"/>
  <c r="J4" i="10"/>
  <c r="K4" i="10" s="1"/>
  <c r="L4" i="10" s="1"/>
  <c r="J13" i="10"/>
  <c r="K13" i="10" s="1"/>
  <c r="L13" i="10" s="1"/>
  <c r="J19" i="10"/>
  <c r="K19" i="10" s="1"/>
  <c r="L19" i="10" s="1"/>
  <c r="J41" i="10"/>
  <c r="K41" i="10" s="1"/>
  <c r="L41" i="10" s="1"/>
  <c r="J18" i="10"/>
  <c r="K18" i="10" s="1"/>
  <c r="L18" i="10" s="1"/>
  <c r="J14" i="10"/>
  <c r="K14" i="10" s="1"/>
  <c r="L14" i="10" s="1"/>
  <c r="J21" i="10"/>
  <c r="K21" i="10" s="1"/>
  <c r="L21" i="10" s="1"/>
  <c r="J27" i="10"/>
  <c r="K27" i="10" s="1"/>
  <c r="L27" i="10" s="1"/>
  <c r="J5" i="10"/>
  <c r="K5" i="10" s="1"/>
  <c r="L5" i="10" s="1"/>
  <c r="J12" i="10"/>
  <c r="K12" i="10" s="1"/>
  <c r="L12" i="10" s="1"/>
  <c r="J20" i="10"/>
  <c r="K20" i="10" s="1"/>
  <c r="L20" i="10" s="1"/>
  <c r="J48" i="10"/>
  <c r="K48" i="10" s="1"/>
  <c r="L48" i="10" s="1"/>
  <c r="J30" i="10"/>
  <c r="K30" i="10" s="1"/>
  <c r="L30" i="10" s="1"/>
  <c r="M46" i="10" l="1"/>
  <c r="M36" i="10"/>
  <c r="M14" i="10"/>
  <c r="M44" i="10"/>
  <c r="M50" i="10"/>
  <c r="M13" i="10"/>
  <c r="M2" i="10"/>
  <c r="M3" i="10"/>
  <c r="M21" i="10"/>
  <c r="M52" i="10"/>
  <c r="M16" i="10"/>
  <c r="M47" i="10"/>
  <c r="M45" i="10"/>
  <c r="M54" i="10"/>
  <c r="O54" i="10" s="1"/>
  <c r="M42" i="10"/>
  <c r="M48" i="10"/>
  <c r="M22" i="10"/>
  <c r="M51" i="10"/>
  <c r="M26" i="10"/>
  <c r="M39" i="10"/>
  <c r="M25" i="10"/>
  <c r="M28" i="10"/>
  <c r="O28" i="10" s="1"/>
  <c r="M18" i="10"/>
  <c r="M33" i="10"/>
  <c r="M38" i="10"/>
  <c r="M43" i="10"/>
  <c r="M19" i="10"/>
  <c r="M15" i="10"/>
  <c r="M34" i="10"/>
  <c r="M55" i="10"/>
  <c r="O55" i="10" s="1"/>
  <c r="M6" i="10"/>
  <c r="M11" i="10"/>
  <c r="M27" i="10"/>
  <c r="O27" i="10" s="1"/>
  <c r="M20" i="10"/>
  <c r="M12" i="10"/>
  <c r="M9" i="10"/>
  <c r="M10" i="10"/>
  <c r="M24" i="10"/>
  <c r="M30" i="10"/>
  <c r="M41" i="10"/>
  <c r="M23" i="10"/>
  <c r="M17" i="10"/>
  <c r="M32" i="10"/>
  <c r="M4" i="10"/>
  <c r="M49" i="10"/>
  <c r="M53" i="10"/>
  <c r="M5" i="10"/>
  <c r="M29" i="10"/>
  <c r="M37" i="10"/>
  <c r="M7" i="10"/>
  <c r="O34" i="10" l="1"/>
  <c r="O43" i="10"/>
  <c r="O49" i="10"/>
  <c r="O14" i="10"/>
  <c r="O20" i="10"/>
  <c r="O32" i="10"/>
  <c r="O47" i="10"/>
  <c r="O25" i="10"/>
  <c r="O7" i="10"/>
  <c r="Q27" i="10"/>
  <c r="O52" i="10"/>
  <c r="O16" i="10"/>
  <c r="O38" i="10"/>
  <c r="O22" i="10"/>
  <c r="O41" i="10"/>
  <c r="O11" i="10"/>
  <c r="O5" i="10"/>
  <c r="O2" i="10"/>
  <c r="Q54" i="10"/>
  <c r="Q47" i="10" l="1"/>
  <c r="Q20" i="10"/>
  <c r="Q29" i="10"/>
  <c r="Q2" i="10"/>
  <c r="Q11" i="10"/>
  <c r="Q38" i="10"/>
  <c r="B16" i="3" l="1"/>
  <c r="B17" i="3"/>
  <c r="B18" i="3"/>
  <c r="B15" i="3"/>
  <c r="B13" i="3"/>
  <c r="B14" i="3"/>
  <c r="B11" i="3"/>
  <c r="B12" i="3"/>
  <c r="B10" i="3"/>
  <c r="B9" i="3"/>
  <c r="B8" i="3"/>
  <c r="B7" i="3"/>
  <c r="B4" i="3"/>
  <c r="B3" i="3"/>
  <c r="B2" i="3"/>
</calcChain>
</file>

<file path=xl/sharedStrings.xml><?xml version="1.0" encoding="utf-8"?>
<sst xmlns="http://schemas.openxmlformats.org/spreadsheetml/2006/main" count="3338" uniqueCount="396">
  <si>
    <t>K-8</t>
  </si>
  <si>
    <t>High School</t>
  </si>
  <si>
    <t>College</t>
  </si>
  <si>
    <t>Employment</t>
  </si>
  <si>
    <t>Geography</t>
  </si>
  <si>
    <t>Chicago (CPS)</t>
  </si>
  <si>
    <t>Illinois</t>
  </si>
  <si>
    <t>Chicago MSA</t>
  </si>
  <si>
    <t>Proficiency</t>
  </si>
  <si>
    <t>4th Grade Math Proficiency (NAEP)</t>
  </si>
  <si>
    <t>SAT Math Proficiency (SAT)</t>
  </si>
  <si>
    <t>CS/Computing Degree Persistance (IBHE)</t>
  </si>
  <si>
    <t>Employment in top 11 tech jobs (P33 Survey; Lightcast)</t>
  </si>
  <si>
    <t>8th Grade Math Proficiency (NAEP)</t>
  </si>
  <si>
    <t>CS/Computing Degree Conferral (IBHE)</t>
  </si>
  <si>
    <t>Students completing Calculus in Freshman year *</t>
  </si>
  <si>
    <t>Students completing CS in Freshman year *</t>
  </si>
  <si>
    <t>Excellence</t>
  </si>
  <si>
    <t>4th Grade Math "Advanced" (NAEP)</t>
  </si>
  <si>
    <t>SAT Math Advanced (SAT)</t>
  </si>
  <si>
    <t>CS/Computing Degree Persistance for Top Three Universities (IBHE)</t>
  </si>
  <si>
    <t>Employment in top 3 tech jobs (Lightcast)</t>
  </si>
  <si>
    <t>8th Grade Math "Advanced" (NAEP)</t>
  </si>
  <si>
    <t>AP CS Pass with 5 +  (College Board)</t>
  </si>
  <si>
    <t>CS/Computing Degree Conferral for Top Three Universities  (IBHE)</t>
  </si>
  <si>
    <t>Access</t>
  </si>
  <si>
    <t>STEM Magnet School Enrollment (CPS) ^</t>
  </si>
  <si>
    <t>CS/Computing Degree Enrollment (IBHE)</t>
  </si>
  <si>
    <t>Geographic location of out-of-school time STEM programs*</t>
  </si>
  <si>
    <t>STEM Magnet High School Enrollment (CPS)</t>
  </si>
  <si>
    <t>8th grade STEM Interest (Naviance)*</t>
  </si>
  <si>
    <t>Footnotes</t>
  </si>
  <si>
    <t>^ Not included in national score due to lack of comparable data</t>
  </si>
  <si>
    <t>* Planned metric; not currently included in local or national scores due to lack of data</t>
  </si>
  <si>
    <t>+ Chicago/Illinois data unavailable; data only used for national scores</t>
  </si>
  <si>
    <t>Metric</t>
  </si>
  <si>
    <t>Weight</t>
  </si>
  <si>
    <t>Framework</t>
  </si>
  <si>
    <t>Life Stage</t>
  </si>
  <si>
    <t>4th grade math proficiency and above</t>
  </si>
  <si>
    <t>8th grade math proficiency and above</t>
  </si>
  <si>
    <t>4th grade math advanced</t>
  </si>
  <si>
    <t>8th grade math advanced</t>
  </si>
  <si>
    <t>k-8 stem magnet school enrollment</t>
  </si>
  <si>
    <t>11th grade sat math proficiency and above</t>
  </si>
  <si>
    <t>Highschool</t>
  </si>
  <si>
    <t>11th grade sat math advanced</t>
  </si>
  <si>
    <t>HS stem magnet school enrollment</t>
  </si>
  <si>
    <t>Illinois cs degree persistence</t>
  </si>
  <si>
    <t>Illinois cs degree conferral</t>
  </si>
  <si>
    <t>Illinois top 3 cs degree conferral</t>
  </si>
  <si>
    <t>Illinois top 3 cs degree enrollment</t>
  </si>
  <si>
    <t>Illinois top 3 cs degree persistence</t>
  </si>
  <si>
    <t>Illinois cs degree enrollment</t>
  </si>
  <si>
    <t>Chicago msa tech employee demographics</t>
  </si>
  <si>
    <t>Chicago msa top 3 jobs employee demographics</t>
  </si>
  <si>
    <t>Life Point</t>
  </si>
  <si>
    <t>Metrics</t>
  </si>
  <si>
    <t>Black</t>
  </si>
  <si>
    <t>Hispanic</t>
  </si>
  <si>
    <t xml:space="preserve">White </t>
  </si>
  <si>
    <t>Asian</t>
  </si>
  <si>
    <t>Description</t>
  </si>
  <si>
    <t>8th grade algebra 1 enrollment</t>
  </si>
  <si>
    <t>Proportion of CPS 8th graders passing algebra by race/ethnicity</t>
  </si>
  <si>
    <t>Proportion of CPS 4th graders advanced in math by race/ethnicity</t>
  </si>
  <si>
    <t>Proportion of CPS 8th graders advanced in math by race/ethnicity</t>
  </si>
  <si>
    <t>Proportion of CPS 4th graders at or above math proficiency by race/ethnicity</t>
  </si>
  <si>
    <t>Proportion of CPS 8th graders at or above math proficiency by race/ethnicity</t>
  </si>
  <si>
    <t>Proportion of CPS K-8 students enrolled into a STEM magnet school by race/ethnicity</t>
  </si>
  <si>
    <t>Proportion of CPS 8th graders enrolled into algebra 1 by race/ethnicity</t>
  </si>
  <si>
    <t>Proporiton of students lacking internet access by race/ethnicity</t>
  </si>
  <si>
    <t>HS</t>
  </si>
  <si>
    <t>Advanced Math Enrollment</t>
  </si>
  <si>
    <t>Proportion of CPS SAT takers at or above math standards by race/ethnicity</t>
  </si>
  <si>
    <t>Proportion of CPS AP CS students scoring a 3 or higher by race/ethnicity</t>
  </si>
  <si>
    <t>Proportion of CPS HS students obtaining dual credit by race/ethnicity</t>
  </si>
  <si>
    <t>Proportion of CPS SAT takers exceeding standards by race/ethnicity</t>
  </si>
  <si>
    <t>Proportion of CPS AP CS students scoring a 5 by race/ethnicity</t>
  </si>
  <si>
    <t>Proportion of CPS HS studnets enrolled in AP CS</t>
  </si>
  <si>
    <t>Proportion of CPS HS students enrolled into a STEM magnet school by race/ethnicity</t>
  </si>
  <si>
    <t>Proportion of CPS HS students indicating interest in an CS/IT career</t>
  </si>
  <si>
    <t>Proportion of CPS HS students enrolled in an advanced math course</t>
  </si>
  <si>
    <t>Proportion of Illinois college students that enrolled and obtained a CS/Computing degree by race/ethnicity</t>
  </si>
  <si>
    <t>Proportion of Illinois college students enrolled into a CS/Computing degree by race/ethnicity</t>
  </si>
  <si>
    <t>Proportion of degrees conferred by top 3 Illinois institutions that are CS/Computing degrees by race/ethnicity</t>
  </si>
  <si>
    <t>Proportion of Illinois degrees conferred that are CS/Computing degrees by race/ethnicity</t>
  </si>
  <si>
    <t>Proportion of college students that enrolled into a top 3 Illinois university and obtained a CS/Computing degree by race/ethnicity</t>
  </si>
  <si>
    <t>Proportion of college students enrolled into a CS/Computing degree at a top 3 Illinois university by race/ethnicity</t>
  </si>
  <si>
    <t>Proportion of Illinois High School graduates that immediately enroll into college by race/ethnicity</t>
  </si>
  <si>
    <t>Proportion of Chicago MSA degree holders working in a top 11 tech occupation</t>
  </si>
  <si>
    <t>Proportion of Chicago MSA degree holders working in the three highest paying tech occupations</t>
  </si>
  <si>
    <t>CPS 4th grade math Proficiency and above (NAEP 2019)</t>
  </si>
  <si>
    <t>CPS 8th grade math Proficiency and above (NAEP 2019)</t>
  </si>
  <si>
    <t>CPS 8th grade passing algebra (OCR 2017)</t>
  </si>
  <si>
    <t>CPS 4th grade math advanced (NAEP 2019)</t>
  </si>
  <si>
    <t>CPS 8th grade math advanced (NAEP 2019)</t>
  </si>
  <si>
    <t>CPS K-8 STEM Magnet School Enrollment (CPS 2021)</t>
  </si>
  <si>
    <t>8th grade algebra 1 enrollment (OCR 2017)</t>
  </si>
  <si>
    <t>lack of Internet Access (Uchicago 2020)</t>
  </si>
  <si>
    <t xml:space="preserve">CPS HS SAT Math Proficiency and Above (CPS 2021) </t>
  </si>
  <si>
    <t>CPS AP CS 3 or higher (CPS 2021)</t>
  </si>
  <si>
    <t>CS Dual Credit Completion (CPS 2021)</t>
  </si>
  <si>
    <t>CPS SAT Math Advanced (CPS 2021)</t>
  </si>
  <si>
    <t>CPS AP CS 5 (CPS 2021)</t>
  </si>
  <si>
    <t>CPS AP CS Enrollment (CPS 2021)</t>
  </si>
  <si>
    <t>CPS HS STEM Magnet School Enrollment (CPS 2021)</t>
  </si>
  <si>
    <t>CS Interest (CPS 2021)</t>
  </si>
  <si>
    <t>Advanced Math Enrollment (OCR 2017)</t>
  </si>
  <si>
    <t>Illinois CS/Computing Degree Persistance (IBHE 2021)</t>
  </si>
  <si>
    <t>Illinois CS/Computing Degree Conferral (IBHE 2021)</t>
  </si>
  <si>
    <t>Illinois CS/Computing Degree Conferral for Top Three Universities (IBHE 2021)</t>
  </si>
  <si>
    <t>Illinois CS/Computing Degree Enrollment for Top Three Universities (IBHE 2022)</t>
  </si>
  <si>
    <t>Illinois CS/Computing Degree Persistence for Top Three Universities (IBHE 2021)</t>
  </si>
  <si>
    <t>Illinois CS/Computing Degree Enrollment (IBHE 2022)</t>
  </si>
  <si>
    <t>Chicago MSA Employee Demographics for tech jobs (2022 Lightcast)</t>
  </si>
  <si>
    <t>Chicago MSA Employee Demographics for high paying tech jobs (2022 Lightcast)</t>
  </si>
  <si>
    <t>Career</t>
  </si>
  <si>
    <t xml:space="preserve">8th grade passing algebra 1 </t>
  </si>
  <si>
    <t>Lack of Internet Access</t>
  </si>
  <si>
    <t>AP CS 3 or higher</t>
  </si>
  <si>
    <t>CS Dual Enrollment</t>
  </si>
  <si>
    <t>AP CS 5 or higher</t>
  </si>
  <si>
    <t>AP CS enrollment</t>
  </si>
  <si>
    <t>CS Career Interest</t>
  </si>
  <si>
    <t>Illinois immediate college enrollment</t>
  </si>
  <si>
    <t>Illinois Immediate College Enrollment Rates (IBHE 2019)</t>
  </si>
  <si>
    <t>8th Graders Passing Algebra ^</t>
  </si>
  <si>
    <t>AP CS Pass with 3 or Higher (College Board)</t>
  </si>
  <si>
    <t>Students receiving College Credit in CS</t>
  </si>
  <si>
    <t>Homes with Internet Access</t>
  </si>
  <si>
    <t>AP CS Enrollment (College Board)</t>
  </si>
  <si>
    <t>10th grade interest in CS/IT (Naviance)</t>
  </si>
  <si>
    <t>Advanced Math Enrollment ^</t>
  </si>
  <si>
    <t>CS/Computing Degree Enrollment for Top Three Universities  (IBHE)</t>
  </si>
  <si>
    <t>Immediate College enrollment (IBHE, NCES)</t>
  </si>
  <si>
    <t>All</t>
  </si>
  <si>
    <t>White</t>
  </si>
  <si>
    <t>4th grade proficient in Math (NAEP)</t>
  </si>
  <si>
    <t>No</t>
  </si>
  <si>
    <t>NA</t>
  </si>
  <si>
    <t>4th grade Advanced in Math (NAEP)</t>
  </si>
  <si>
    <t>8th grade Advanced in math (NAEP)</t>
  </si>
  <si>
    <t>K-8 STEM Magnet School Enrollment (CPS School Directory)</t>
  </si>
  <si>
    <t>AP CS enrollment (P33 Excel)</t>
  </si>
  <si>
    <t>AP CS Pass (P33 Excel)</t>
  </si>
  <si>
    <t>CS/Computing enrollment (IBHE)</t>
  </si>
  <si>
    <t>CS/Computing conferral (IBHE)</t>
  </si>
  <si>
    <t>3 year CS/Computing conferral (EMSI)</t>
  </si>
  <si>
    <t>Yes</t>
  </si>
  <si>
    <t>19-24 year olds in tech workforce (EMSI)</t>
  </si>
  <si>
    <t>USA 4th grade math Proficient and above (NAEP)</t>
  </si>
  <si>
    <t>USA 4th grade math advanced (NAEP)</t>
  </si>
  <si>
    <t>USA 8th grade math proficient and above (NAEP)</t>
  </si>
  <si>
    <t>USA 8th grade math advanced (NAEP)</t>
  </si>
  <si>
    <t>USA CS/Computing Conferral (EMSI)</t>
  </si>
  <si>
    <t>USA Employment Demographics for 11 top tech jobs (EMSI)</t>
  </si>
  <si>
    <t>USA SAT Math bench mark and above (College Board)</t>
  </si>
  <si>
    <t>USA SAT Exceeds (College Board)</t>
  </si>
  <si>
    <t>USA AP CS Enroll (P33 Excel)</t>
  </si>
  <si>
    <t>USA AP CS Pass (P33 Excel)</t>
  </si>
  <si>
    <t>Top 3 Highest Paying CS Jobs Chicago MSA (EMSI)</t>
  </si>
  <si>
    <t>Top 3 highest Paying CS Jobs USA (EMSI)</t>
  </si>
  <si>
    <t>USA Degree Conferral (NCES)</t>
  </si>
  <si>
    <t>Top Three USA Universities CS Enrollment (Collected individually from School's website)</t>
  </si>
  <si>
    <t>Top Three USA Universities CS conferral (EMSI)</t>
  </si>
  <si>
    <t>Top Three USA Universities Enrollment (IPEDS)</t>
  </si>
  <si>
    <t>Top Three USA Universities Conferral (IPEDS)</t>
  </si>
  <si>
    <t>USA Universities CS Enrollment (EMSI Estimate)</t>
  </si>
  <si>
    <t>USA Universities Enrollment (IPEDS)</t>
  </si>
  <si>
    <t>USA 19-24 Employee Demographics (EMSI)</t>
  </si>
  <si>
    <t>Carnegie Mellon CS Enrollment Demographics (College Factual)</t>
  </si>
  <si>
    <t>MIT CS Enrollment (EECS MIT Report)</t>
  </si>
  <si>
    <t>USA 3 year CS degree Conferral (EMSI)</t>
  </si>
  <si>
    <t>MIT Enrollment (MIT website)</t>
  </si>
  <si>
    <t>Stanford Enrollment (Stanford Website)</t>
  </si>
  <si>
    <t>Carnegie Mellon Enrollment (College Website)</t>
  </si>
  <si>
    <t>USA AP CS scored 5 (P33 Excel)</t>
  </si>
  <si>
    <t>NO</t>
  </si>
  <si>
    <t>4th graders with elementary schools offering CS USA (Amazon Survey)</t>
  </si>
  <si>
    <t>USA interest in CS 5th-8th grade (Amazon Survey)</t>
  </si>
  <si>
    <t>USA interest in CS 9th-12th grade (Amazon Survey)</t>
  </si>
  <si>
    <t>USA HS offering CS (Amazon Survey)</t>
  </si>
  <si>
    <t>Stanford CS Enrollment Demographcis (Stanford Student Project)</t>
  </si>
  <si>
    <t>Top Three Illinois universities CS 2021 Conferral (ISBE)</t>
  </si>
  <si>
    <t>CPS SAT Exceeds in Math (ISBE report card)</t>
  </si>
  <si>
    <t>YES</t>
  </si>
  <si>
    <t>Top Three Illinois universities CS 2022 Enrollment (ISBE)</t>
  </si>
  <si>
    <t>8th grade proficient in Math (NAEP)</t>
  </si>
  <si>
    <t>CPS SAT Benchmark (ISBE)</t>
  </si>
  <si>
    <t>CPS SAT Meets and Exceeds in Math (ISBE report card)</t>
  </si>
  <si>
    <t>4th grade Below Basic in Math (NAEP)</t>
  </si>
  <si>
    <t>8th grade basic in math (NAEP)</t>
  </si>
  <si>
    <t>4th grade Basic in Math (NAEP)</t>
  </si>
  <si>
    <t>8th grade below basic in Math (NAEP)</t>
  </si>
  <si>
    <t>Top Three Illinois Universities 2021 Conferral (ISBE)</t>
  </si>
  <si>
    <t>CPS STEM Magnet HS Enrollment (CPS School directory)</t>
  </si>
  <si>
    <t>computer and information systems managers, computer network architects, and computer hardware engineers</t>
  </si>
  <si>
    <t>USA AP CS scored 3 or 4 (P33 Excel)</t>
  </si>
  <si>
    <t>Top Three Illinois Universities 2022 Enrollment (ISBE)</t>
  </si>
  <si>
    <t>Employee Demographics (EMSI) Number of employees in the 11 most common tech jobs for the Chicago MSA by race/ethnicity</t>
  </si>
  <si>
    <t>Illinois HS Graduates (ISBE)</t>
  </si>
  <si>
    <t>aged 5-17 Number of students without internet access (NCES)</t>
  </si>
  <si>
    <t>CPS HS students interested in Computer Science (FOIA)</t>
  </si>
  <si>
    <t>CPS hs Dual Credit Completion in CS (FOIA)</t>
  </si>
  <si>
    <t>CPS 8th grade CPS failing Algebra (OCR)</t>
  </si>
  <si>
    <t>CPS HS Enrolled in Advanced Math (OCR)</t>
  </si>
  <si>
    <t>CPS 8th graders enrolled in algebra (OCR 2017)</t>
  </si>
  <si>
    <t>Year</t>
  </si>
  <si>
    <t>Note</t>
  </si>
  <si>
    <t>CPS 4th grade population (CPS 2021-2022)</t>
  </si>
  <si>
    <t>CPS 8th grade population (CPS 2021-2022)</t>
  </si>
  <si>
    <t>CPS k-8 population (CPS 2021-2022)</t>
  </si>
  <si>
    <t>CPS 9th grade population (CPS 2021-2022)</t>
  </si>
  <si>
    <t>CPS 10th grade population (CPS 2021-2022)</t>
  </si>
  <si>
    <t>CPS 11th grade population (CPS 2021-2022)</t>
  </si>
  <si>
    <t>CPS 12th grade population (CPS 2021-2022)</t>
  </si>
  <si>
    <t>CPS HS population (CPS 2021-2022)</t>
  </si>
  <si>
    <t>Illinois HS Seniors (ISBE 2021-2022)</t>
  </si>
  <si>
    <t>Illinois HS Graduates (ISBE 2020-2021)</t>
  </si>
  <si>
    <t>All Highschool Students in Illinois (ISBE 2021-2022)</t>
  </si>
  <si>
    <t>All College Students enrolled in Illinois (IBHE 2021-2022)</t>
  </si>
  <si>
    <t>All Degrees conferred in Illinois (ISBE 2020-2021)</t>
  </si>
  <si>
    <t>All People in Chicago (Census 2020)</t>
  </si>
  <si>
    <t>Yes(rounding)</t>
  </si>
  <si>
    <t>Illinois 18-24 Population (EMSI 2022)</t>
  </si>
  <si>
    <t>Chicago MSA 20-64 Demographics (EMSI 2022)</t>
  </si>
  <si>
    <t>2021 SAT takers in USA (College Board 2021)</t>
  </si>
  <si>
    <t>2021 SAT takers in CPS (CPS)</t>
  </si>
  <si>
    <t>National 4th grader demographics (NAEP)</t>
  </si>
  <si>
    <t>National 8th grader demographics (NAEP)</t>
  </si>
  <si>
    <t>Chicago 4th grader demographics (NAEP 2019)</t>
  </si>
  <si>
    <t>Chicago 8th grader demographics (NAEP 2019)</t>
  </si>
  <si>
    <t>US 4th grade population (NCES 2020)</t>
  </si>
  <si>
    <t>Yes (rounding)</t>
  </si>
  <si>
    <t>US 8th grade population (NCES 2020)</t>
  </si>
  <si>
    <t>US Highschool Population (NCES 2020)</t>
  </si>
  <si>
    <t>US Population (USA Census 2020)</t>
  </si>
  <si>
    <t>US 20-64 Population (EMSI 2022)</t>
  </si>
  <si>
    <t>US 18-24 year old population (NCES 2021)</t>
  </si>
  <si>
    <t>US Highschool Graduates (NCES 2021-2022)</t>
  </si>
  <si>
    <t>Chicago MSA Degree Holders (EMSI 2021-2022)</t>
  </si>
  <si>
    <t>USA Degree Holders (EMSI 2021-2022)</t>
  </si>
  <si>
    <t>CPS Highschool population (OCR 2017)</t>
  </si>
  <si>
    <t>Var_Est</t>
  </si>
  <si>
    <t>Var_Sample</t>
  </si>
  <si>
    <t>Location</t>
  </si>
  <si>
    <t>Race</t>
  </si>
  <si>
    <t>Subset</t>
  </si>
  <si>
    <t>Population</t>
  </si>
  <si>
    <t>Proportion</t>
  </si>
  <si>
    <t>Estimation</t>
  </si>
  <si>
    <t>Subset Source</t>
  </si>
  <si>
    <t>Population Source</t>
  </si>
  <si>
    <t>Proportion Source (If necessary)</t>
  </si>
  <si>
    <t>Chicago/Illinois</t>
  </si>
  <si>
    <t>4th grade math at or above proficiency</t>
  </si>
  <si>
    <t>8th grade math at or above proficiency</t>
  </si>
  <si>
    <t>8th grade passing algebra</t>
  </si>
  <si>
    <t>K-8 STEM magnet school enrollment</t>
  </si>
  <si>
    <t>STEM Enrichment Opportunities</t>
  </si>
  <si>
    <t>SAT math at or above proficiency</t>
  </si>
  <si>
    <t>AP CS 3 and above</t>
  </si>
  <si>
    <t>CS Dual Credit Completion</t>
  </si>
  <si>
    <t>SAT math advanced</t>
  </si>
  <si>
    <t>AP CS 5</t>
  </si>
  <si>
    <t>AP CS Enrollment</t>
  </si>
  <si>
    <t>HS STEM magnet school enrollment</t>
  </si>
  <si>
    <t>CS interest</t>
  </si>
  <si>
    <t>Uni</t>
  </si>
  <si>
    <t xml:space="preserve">CS/Computing Degree Persistance </t>
  </si>
  <si>
    <t>CS/Computing Degree Conferral</t>
  </si>
  <si>
    <t xml:space="preserve">CS/Computing Degree Conferral for Top Three Universities </t>
  </si>
  <si>
    <t xml:space="preserve">CS/Computing Degree Enrollment for Top Three Universities </t>
  </si>
  <si>
    <t>CS/Computing Degree Persistence for Top Three Universities</t>
  </si>
  <si>
    <t>CS/Computing Degree Enrollment</t>
  </si>
  <si>
    <t>Immediate College Enrollment Rates</t>
  </si>
  <si>
    <t>Employ</t>
  </si>
  <si>
    <t>Tech Workforce Demographics</t>
  </si>
  <si>
    <t>Tech Workforce Demographics High Paying Jobs</t>
  </si>
  <si>
    <t>USA</t>
  </si>
  <si>
    <t>K-8 schools offering CS</t>
  </si>
  <si>
    <t>HS offering CS</t>
  </si>
  <si>
    <t>NY</t>
  </si>
  <si>
    <t>https://nces.ed.gov/nationsreportcard/subject/publications/dst2019/pdf/2020015xn4.pdf</t>
  </si>
  <si>
    <t>https://nces.ed.gov/nationsreportcard/subject/publications/dst2019/pdf/2020015xn8.pdf</t>
  </si>
  <si>
    <t>https://ocrdata.ed.gov/flex/Reports.aspx?type=district</t>
  </si>
  <si>
    <t>https://infohub.nyced.org/reports/school-quality/information-and-data-overview</t>
  </si>
  <si>
    <t>Gender</t>
  </si>
  <si>
    <t>Subset Data Extraction</t>
  </si>
  <si>
    <t>Population Data Extraction</t>
  </si>
  <si>
    <t>Female</t>
  </si>
  <si>
    <t>https://nces.ed.gov/nationsreportcard/subject/publications/dst2019/pdf/2020015XC4.pdf</t>
  </si>
  <si>
    <t>Estimated from Race</t>
  </si>
  <si>
    <t>Periodically Updated PDF</t>
  </si>
  <si>
    <t xml:space="preserve">Annually Updated Excel </t>
  </si>
  <si>
    <t>Male</t>
  </si>
  <si>
    <t>https://nces.ed.gov/nationsreportcard/subject/publications/dst2019/pdf/2020015xc8.pdf</t>
  </si>
  <si>
    <t>Bi annually upated csv</t>
  </si>
  <si>
    <t>Estimated from internet</t>
  </si>
  <si>
    <t>STEM Interest</t>
  </si>
  <si>
    <t>https://www.heartlandalliance.org/heartland-alliance/research-and-policy/data-reports/chicago-data-dashboards/education/</t>
  </si>
  <si>
    <t>https://robparal.com/chicago-data/</t>
  </si>
  <si>
    <t>CPS SAT math at or above proficiency</t>
  </si>
  <si>
    <t>https://www.cps.edu/globalassets/cps-pages/about-cps/district-data/metrics/assessment-reports/assessment_psatsat_schoollevel_2021.xls</t>
  </si>
  <si>
    <t>CPS AP CS 3 or higher</t>
  </si>
  <si>
    <t>CPS SAT math advanced</t>
  </si>
  <si>
    <t>CPS AP CS 5</t>
  </si>
  <si>
    <t>CPS AP CS Enrollment</t>
  </si>
  <si>
    <t>IT interest</t>
  </si>
  <si>
    <t>http://www.ibhe.org/EnrollmentsDegrees/Search.aspx</t>
  </si>
  <si>
    <t>https://a.economicmodeling.com/analyst/?t=3tWRz#h=hRT0m&amp;page=historical_occ_demographics_table&amp;vertical=edo&amp;nation=us</t>
  </si>
  <si>
    <t>https://a.economicmodeling.com/analyst/?t=3tWRz#h=hRRth&amp;page=educational_capital&amp;vertical=edo&amp;nation=us</t>
  </si>
  <si>
    <t>https://a.economicmodeling.com/analyst/?t=3tWRz#h=hRT65&amp;page=historical_occ_demographics_table&amp;vertical=edo&amp;nation=us</t>
  </si>
  <si>
    <t>Geometric Mean</t>
  </si>
  <si>
    <t>Equity Index</t>
  </si>
  <si>
    <t>Equity Index Scaled</t>
  </si>
  <si>
    <t>Comments</t>
  </si>
  <si>
    <t>Numbers seem off, should we include?</t>
  </si>
  <si>
    <t>Should I flip these numbers to be who has internet access?</t>
  </si>
  <si>
    <t xml:space="preserve">Numbers are very low, should we include this in the analysis? </t>
  </si>
  <si>
    <t>Equity Index SQRT</t>
  </si>
  <si>
    <t>Framework Weight</t>
  </si>
  <si>
    <t>Framework Score</t>
  </si>
  <si>
    <t>Life Stage Weight</t>
  </si>
  <si>
    <t>Life Stage Score</t>
  </si>
  <si>
    <t>USA 8th graders passing algebra (OCR 2017)</t>
  </si>
  <si>
    <t>USA 8th graders enrolled into algebra (OCR 2017)</t>
  </si>
  <si>
    <t>Race/Ethnic group</t>
  </si>
  <si>
    <t>Population Size</t>
  </si>
  <si>
    <t>Percent of Students Proficient or above</t>
  </si>
  <si>
    <t>4th grade math proficiency or above</t>
  </si>
  <si>
    <t>Where we are at</t>
  </si>
  <si>
    <t xml:space="preserve">Where we need to be </t>
  </si>
  <si>
    <t>8th grade passing algebra 1</t>
  </si>
  <si>
    <t>Percent of Students Passing Algebra 1</t>
  </si>
  <si>
    <t>Percent of Students Advanced</t>
  </si>
  <si>
    <t>K-8 STEM Magnet School Enrollment</t>
  </si>
  <si>
    <t>Percent of Students Enrolled in a STEM magnet school</t>
  </si>
  <si>
    <t>Percent of Students Enrolled in Algebra 1</t>
  </si>
  <si>
    <t>Students with limited internet access</t>
  </si>
  <si>
    <t>SAT math proficiency or above</t>
  </si>
  <si>
    <t>Percent of Students with limited Internet Access</t>
  </si>
  <si>
    <t>Percent of Students scoring a 3 or higher in AP CS</t>
  </si>
  <si>
    <t>Percent of Students completing a CS Dual Credit program</t>
  </si>
  <si>
    <t>SAT Math Advanced</t>
  </si>
  <si>
    <t>Percent of Students Scoring a 5 in AP CS</t>
  </si>
  <si>
    <t>Percent of Students Enrolled in AP CS</t>
  </si>
  <si>
    <t>K-12</t>
  </si>
  <si>
    <t xml:space="preserve">Black </t>
  </si>
  <si>
    <t>CPS cohort</t>
  </si>
  <si>
    <t>HS Dropout</t>
  </si>
  <si>
    <t>HS Graduate &amp; No College</t>
  </si>
  <si>
    <t>Economic Impact:</t>
  </si>
  <si>
    <t>Potential Economic Impact:</t>
  </si>
  <si>
    <t>Possible Growth:</t>
  </si>
  <si>
    <t>HS Dropout Rate:</t>
  </si>
  <si>
    <t>HS Graduate &amp; No College Rate:</t>
  </si>
  <si>
    <t>Race/Ethnicity</t>
  </si>
  <si>
    <t>College Dropout Rate:</t>
  </si>
  <si>
    <t>Prop of Non CS Grads:</t>
  </si>
  <si>
    <t>Prop of CS Grads:</t>
  </si>
  <si>
    <t>College Dropouts</t>
  </si>
  <si>
    <t>Number of Non CS Grads:</t>
  </si>
  <si>
    <t>Number of CS Grads</t>
  </si>
  <si>
    <t>Current Economic Impact:</t>
  </si>
  <si>
    <t>Transition</t>
  </si>
  <si>
    <t>CPS Cohort</t>
  </si>
  <si>
    <t>HS Grad &amp; No College</t>
  </si>
  <si>
    <t>College Dropout</t>
  </si>
  <si>
    <t>College Non CS Grad</t>
  </si>
  <si>
    <t>College CS Grad</t>
  </si>
  <si>
    <t>Fix the Ones Highlighted in Red</t>
  </si>
  <si>
    <t>The Cost of Not Graduating Students</t>
  </si>
  <si>
    <t>The Cost to Fix the Problem</t>
  </si>
  <si>
    <t>Fact of Importance</t>
  </si>
  <si>
    <t>Source</t>
  </si>
  <si>
    <t>Total Gap</t>
  </si>
  <si>
    <t>Percent of Students Enrolled in a STEM Magnet School</t>
  </si>
  <si>
    <t>HS Students interested in Computer Science</t>
  </si>
  <si>
    <t>Percent of Students interested in Computer Science</t>
  </si>
  <si>
    <t>Percent of Students Enrolled in an Advanced Math Course</t>
  </si>
  <si>
    <t>HS Students enrolled into an advanced math course</t>
  </si>
  <si>
    <t>CS/Computing Degree Persistence</t>
  </si>
  <si>
    <t>Percent of degrees that were CS/Computing</t>
  </si>
  <si>
    <t>Percent of Students that persisted through a CS/Computing degree</t>
  </si>
  <si>
    <t>CS/Computing Degree Conferral for top 3 Universities</t>
  </si>
  <si>
    <t>CS/Computing Degree Enrollment for top 3 Universities</t>
  </si>
  <si>
    <t>Percent of Students that enrolled into a CS/Computing Degree</t>
  </si>
  <si>
    <t>CS/Computing Degree Persistence for top 3 Universities</t>
  </si>
  <si>
    <t>Percent of Students that persisted through a CS/Computing Degree</t>
  </si>
  <si>
    <t>Percent of Students that immediately enrolled into college</t>
  </si>
  <si>
    <t>Employment Demographics</t>
  </si>
  <si>
    <t>Percent of Degree holders with a tech job</t>
  </si>
  <si>
    <t>Employment Demographics for top 3 jobs</t>
  </si>
  <si>
    <t>Percent of Degree holders with a tech job in top 3 jobs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</si>
</sst>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&quot;$&quot;#,##0"/>
    <numFmt numFmtId="166" formatCode="&quot;$&quot;#,##0.00"/>
  </numFmts>
  <fonts count="3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FFFF"/>
      <name val="Times LT Std"/>
      <family val="1"/>
    </font>
    <font>
      <b/>
      <sz val="12"/>
      <color rgb="FFFFFFFF"/>
      <name val="Times LT Std"/>
      <family val="1"/>
    </font>
    <font>
      <sz val="12"/>
      <color rgb="FF000000"/>
      <name val="Times LT Std"/>
      <family val="1"/>
    </font>
    <font>
      <sz val="11"/>
      <color rgb="FF000000"/>
      <name val="Times LT Std"/>
      <family val="1"/>
    </font>
    <font>
      <sz val="11"/>
      <name val="Times LT Std"/>
      <family val="1"/>
    </font>
    <font>
      <i/>
      <sz val="11"/>
      <name val="Times LT Std"/>
      <family val="1"/>
    </font>
    <font>
      <i/>
      <sz val="11"/>
      <color rgb="FF000000"/>
      <name val="Times LT Std"/>
      <family val="1"/>
    </font>
    <font>
      <sz val="11"/>
      <color rgb="FF000000"/>
      <name val="Calibri"/>
      <family val="2"/>
    </font>
    <font>
      <b/>
      <i/>
      <sz val="11"/>
      <name val="Times LT Std"/>
      <family val="1"/>
    </font>
    <font>
      <i/>
      <sz val="9"/>
      <name val="Times LT Std"/>
      <family val="1"/>
    </font>
    <font>
      <b/>
      <i/>
      <sz val="9"/>
      <name val="Times LT Std"/>
      <family val="1"/>
    </font>
    <font>
      <sz val="9"/>
      <name val="Times LT Std"/>
      <family val="1"/>
    </font>
    <font>
      <i/>
      <sz val="11"/>
      <color rgb="FF000000"/>
      <name val="Calibri"/>
      <family val="2"/>
    </font>
    <font>
      <b/>
      <sz val="14"/>
      <color rgb="FFFFFFFF"/>
      <name val="Segoe UI"/>
      <family val="2"/>
    </font>
    <font>
      <b/>
      <sz val="9"/>
      <color rgb="FF000000"/>
      <name val="Segoe UI"/>
      <family val="2"/>
    </font>
    <font>
      <b/>
      <sz val="14"/>
      <color rgb="FF000000"/>
      <name val="Segoe UI"/>
      <family val="2"/>
    </font>
    <font>
      <b/>
      <sz val="11"/>
      <color theme="0"/>
      <name val="Segoe UI"/>
      <family val="2"/>
    </font>
    <font>
      <b/>
      <sz val="9"/>
      <color rgb="FF000000"/>
      <name val="Segoe UI"/>
      <family val="2"/>
    </font>
    <font>
      <sz val="11"/>
      <name val="Times LT Std"/>
    </font>
    <font>
      <sz val="11"/>
      <color rgb="FF000000"/>
      <name val="Times LT Std"/>
    </font>
    <font>
      <i/>
      <sz val="11"/>
      <color rgb="FF000000"/>
      <name val="Times LT Std"/>
    </font>
    <font>
      <i/>
      <sz val="11"/>
      <name val="Times LT Std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24292F"/>
      <name val="Segoe UI"/>
      <family val="2"/>
    </font>
    <font>
      <sz val="11"/>
      <color theme="1"/>
      <name val="Segoe UI"/>
      <family val="2"/>
    </font>
    <font>
      <sz val="11"/>
      <name val="Calibri"/>
      <family val="2"/>
    </font>
    <font>
      <b/>
      <sz val="11"/>
      <color theme="1"/>
      <name val="Segoe U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000000"/>
        <bgColor indexed="64"/>
      </patternFill>
    </fill>
    <fill>
      <patternFill patternType="solid">
        <fgColor rgb="FFC5E0B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9D18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4C7E7"/>
        <bgColor indexed="64"/>
      </patternFill>
    </fill>
    <fill>
      <patternFill patternType="solid">
        <fgColor rgb="FF2E75B6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8FAADC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C55A11"/>
        <bgColor indexed="64"/>
      </patternFill>
    </fill>
    <fill>
      <patternFill patternType="solid">
        <fgColor rgb="FFF4B183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C1C1C1"/>
      </right>
      <top/>
      <bottom style="thin">
        <color rgb="FFC1C1C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43" fontId="24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/>
    <xf numFmtId="44" fontId="24" fillId="0" borderId="0" applyFont="0" applyFill="0" applyBorder="0" applyAlignment="0" applyProtection="0"/>
    <xf numFmtId="9" fontId="24" fillId="0" borderId="0" applyFont="0" applyFill="0" applyBorder="0" applyAlignment="0" applyProtection="0"/>
  </cellStyleXfs>
  <cellXfs count="242">
    <xf numFmtId="0" fontId="0" fillId="0" borderId="0" xfId="0"/>
    <xf numFmtId="0" fontId="2" fillId="2" borderId="1" xfId="0" applyFont="1" applyFill="1" applyBorder="1" applyAlignment="1">
      <alignment horizontal="left" vertical="top" wrapText="1" readingOrder="1"/>
    </xf>
    <xf numFmtId="0" fontId="2" fillId="2" borderId="2" xfId="0" applyFont="1" applyFill="1" applyBorder="1" applyAlignment="1">
      <alignment horizontal="center" wrapText="1" readingOrder="1"/>
    </xf>
    <xf numFmtId="0" fontId="2" fillId="2" borderId="3" xfId="0" applyFont="1" applyFill="1" applyBorder="1" applyAlignment="1">
      <alignment horizontal="center" wrapText="1" readingOrder="1"/>
    </xf>
    <xf numFmtId="0" fontId="2" fillId="2" borderId="4" xfId="0" applyFont="1" applyFill="1" applyBorder="1" applyAlignment="1">
      <alignment horizontal="center" wrapText="1" readingOrder="1"/>
    </xf>
    <xf numFmtId="0" fontId="3" fillId="2" borderId="5" xfId="0" applyFont="1" applyFill="1" applyBorder="1" applyAlignment="1">
      <alignment horizontal="center" vertical="center" wrapText="1" readingOrder="1"/>
    </xf>
    <xf numFmtId="0" fontId="3" fillId="2" borderId="6" xfId="0" applyFont="1" applyFill="1" applyBorder="1" applyAlignment="1">
      <alignment horizontal="center" vertical="center" wrapText="1" readingOrder="1"/>
    </xf>
    <xf numFmtId="0" fontId="3" fillId="2" borderId="7" xfId="0" applyFont="1" applyFill="1" applyBorder="1" applyAlignment="1">
      <alignment horizontal="center" vertical="center" wrapText="1" readingOrder="1"/>
    </xf>
    <xf numFmtId="0" fontId="5" fillId="3" borderId="8" xfId="0" applyFont="1" applyFill="1" applyBorder="1" applyAlignment="1">
      <alignment horizontal="left" vertical="center" wrapText="1" readingOrder="1"/>
    </xf>
    <xf numFmtId="0" fontId="6" fillId="3" borderId="9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vertical="center" wrapText="1"/>
    </xf>
    <xf numFmtId="0" fontId="5" fillId="3" borderId="11" xfId="0" applyFont="1" applyFill="1" applyBorder="1" applyAlignment="1">
      <alignment horizontal="left" vertical="center" wrapText="1" readingOrder="1"/>
    </xf>
    <xf numFmtId="0" fontId="6" fillId="3" borderId="12" xfId="0" applyFont="1" applyFill="1" applyBorder="1" applyAlignment="1">
      <alignment vertical="center" wrapText="1"/>
    </xf>
    <xf numFmtId="0" fontId="6" fillId="3" borderId="13" xfId="0" applyFont="1" applyFill="1" applyBorder="1" applyAlignment="1">
      <alignment vertical="center" wrapText="1"/>
    </xf>
    <xf numFmtId="0" fontId="8" fillId="0" borderId="13" xfId="0" applyFont="1" applyBorder="1"/>
    <xf numFmtId="0" fontId="7" fillId="3" borderId="14" xfId="0" applyFont="1" applyFill="1" applyBorder="1" applyAlignment="1">
      <alignment vertical="center" wrapText="1"/>
    </xf>
    <xf numFmtId="0" fontId="9" fillId="0" borderId="15" xfId="0" applyFont="1" applyBorder="1"/>
    <xf numFmtId="0" fontId="9" fillId="0" borderId="16" xfId="0" applyFont="1" applyBorder="1"/>
    <xf numFmtId="0" fontId="4" fillId="2" borderId="10" xfId="0" applyFont="1" applyFill="1" applyBorder="1" applyAlignment="1">
      <alignment horizontal="center" vertical="center" wrapText="1" readingOrder="1"/>
    </xf>
    <xf numFmtId="0" fontId="5" fillId="2" borderId="17" xfId="0" applyFont="1" applyFill="1" applyBorder="1" applyAlignment="1">
      <alignment horizontal="left" vertical="center" wrapText="1" readingOrder="1"/>
    </xf>
    <xf numFmtId="0" fontId="10" fillId="2" borderId="10" xfId="0" applyFont="1" applyFill="1" applyBorder="1" applyAlignment="1">
      <alignment vertical="center" wrapText="1"/>
    </xf>
    <xf numFmtId="0" fontId="6" fillId="2" borderId="10" xfId="0" applyFont="1" applyFill="1" applyBorder="1" applyAlignment="1">
      <alignment vertical="center" wrapText="1"/>
    </xf>
    <xf numFmtId="0" fontId="6" fillId="2" borderId="17" xfId="0" applyFont="1" applyFill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7" fillId="0" borderId="19" xfId="0" applyFont="1" applyBorder="1" applyAlignment="1">
      <alignment vertical="center" wrapText="1"/>
    </xf>
    <xf numFmtId="0" fontId="6" fillId="0" borderId="19" xfId="0" applyFont="1" applyBorder="1" applyAlignment="1">
      <alignment vertical="center" wrapText="1"/>
    </xf>
    <xf numFmtId="0" fontId="7" fillId="0" borderId="20" xfId="0" applyFont="1" applyBorder="1" applyAlignment="1">
      <alignment horizontal="left" vertical="center" wrapText="1" readingOrder="1"/>
    </xf>
    <xf numFmtId="0" fontId="6" fillId="0" borderId="13" xfId="0" applyFont="1" applyBorder="1" applyAlignment="1">
      <alignment vertical="center" wrapText="1"/>
    </xf>
    <xf numFmtId="0" fontId="7" fillId="3" borderId="20" xfId="0" applyFont="1" applyFill="1" applyBorder="1" applyAlignment="1">
      <alignment vertical="center" wrapText="1"/>
    </xf>
    <xf numFmtId="0" fontId="6" fillId="3" borderId="20" xfId="0" applyFont="1" applyFill="1" applyBorder="1" applyAlignment="1">
      <alignment vertical="center" wrapText="1"/>
    </xf>
    <xf numFmtId="0" fontId="6" fillId="3" borderId="19" xfId="0" applyFont="1" applyFill="1" applyBorder="1" applyAlignment="1">
      <alignment vertical="center" wrapText="1"/>
    </xf>
    <xf numFmtId="0" fontId="6" fillId="3" borderId="18" xfId="0" applyFont="1" applyFill="1" applyBorder="1" applyAlignment="1">
      <alignment vertical="center" wrapText="1"/>
    </xf>
    <xf numFmtId="0" fontId="4" fillId="2" borderId="21" xfId="0" applyFont="1" applyFill="1" applyBorder="1" applyAlignment="1">
      <alignment horizontal="center" vertical="center" wrapText="1" readingOrder="1"/>
    </xf>
    <xf numFmtId="0" fontId="11" fillId="2" borderId="22" xfId="0" applyFont="1" applyFill="1" applyBorder="1" applyAlignment="1">
      <alignment horizontal="left" vertical="center" wrapText="1" readingOrder="1"/>
    </xf>
    <xf numFmtId="0" fontId="12" fillId="2" borderId="22" xfId="0" applyFont="1" applyFill="1" applyBorder="1" applyAlignment="1">
      <alignment vertical="center" wrapText="1"/>
    </xf>
    <xf numFmtId="0" fontId="13" fillId="2" borderId="22" xfId="0" applyFont="1" applyFill="1" applyBorder="1" applyAlignment="1">
      <alignment vertical="center" wrapText="1"/>
    </xf>
    <xf numFmtId="0" fontId="13" fillId="2" borderId="23" xfId="0" applyFont="1" applyFill="1" applyBorder="1" applyAlignment="1">
      <alignment vertical="center" wrapText="1"/>
    </xf>
    <xf numFmtId="0" fontId="15" fillId="4" borderId="29" xfId="0" applyFont="1" applyFill="1" applyBorder="1" applyAlignment="1">
      <alignment horizontal="center" vertical="center" wrapText="1" readingOrder="1"/>
    </xf>
    <xf numFmtId="0" fontId="16" fillId="5" borderId="30" xfId="0" applyFont="1" applyFill="1" applyBorder="1" applyAlignment="1">
      <alignment horizontal="center" wrapText="1" readingOrder="1"/>
    </xf>
    <xf numFmtId="0" fontId="17" fillId="5" borderId="30" xfId="0" applyFont="1" applyFill="1" applyBorder="1" applyAlignment="1">
      <alignment horizontal="center" vertical="center" wrapText="1" readingOrder="1"/>
    </xf>
    <xf numFmtId="0" fontId="16" fillId="7" borderId="30" xfId="0" applyFont="1" applyFill="1" applyBorder="1" applyAlignment="1">
      <alignment horizontal="center" wrapText="1" readingOrder="1"/>
    </xf>
    <xf numFmtId="0" fontId="17" fillId="7" borderId="30" xfId="0" applyFont="1" applyFill="1" applyBorder="1" applyAlignment="1">
      <alignment horizontal="center" vertical="center" wrapText="1" readingOrder="1"/>
    </xf>
    <xf numFmtId="0" fontId="16" fillId="8" borderId="30" xfId="0" applyFont="1" applyFill="1" applyBorder="1" applyAlignment="1">
      <alignment horizontal="center" wrapText="1" readingOrder="1"/>
    </xf>
    <xf numFmtId="0" fontId="17" fillId="8" borderId="30" xfId="0" applyFont="1" applyFill="1" applyBorder="1" applyAlignment="1">
      <alignment horizontal="center" vertical="center" wrapText="1" readingOrder="1"/>
    </xf>
    <xf numFmtId="0" fontId="16" fillId="9" borderId="30" xfId="0" applyFont="1" applyFill="1" applyBorder="1" applyAlignment="1">
      <alignment horizontal="center" wrapText="1" readingOrder="1"/>
    </xf>
    <xf numFmtId="0" fontId="17" fillId="9" borderId="30" xfId="0" applyFont="1" applyFill="1" applyBorder="1" applyAlignment="1">
      <alignment horizontal="center" vertical="center" wrapText="1" readingOrder="1"/>
    </xf>
    <xf numFmtId="0" fontId="16" fillId="11" borderId="30" xfId="0" applyFont="1" applyFill="1" applyBorder="1" applyAlignment="1">
      <alignment horizontal="center" wrapText="1" readingOrder="1"/>
    </xf>
    <xf numFmtId="0" fontId="17" fillId="11" borderId="30" xfId="0" applyFont="1" applyFill="1" applyBorder="1" applyAlignment="1">
      <alignment horizontal="center" vertical="center" wrapText="1" readingOrder="1"/>
    </xf>
    <xf numFmtId="0" fontId="16" fillId="12" borderId="30" xfId="0" applyFont="1" applyFill="1" applyBorder="1" applyAlignment="1">
      <alignment horizontal="center" wrapText="1" readingOrder="1"/>
    </xf>
    <xf numFmtId="0" fontId="17" fillId="12" borderId="30" xfId="0" applyFont="1" applyFill="1" applyBorder="1" applyAlignment="1">
      <alignment horizontal="center" vertical="center" wrapText="1" readingOrder="1"/>
    </xf>
    <xf numFmtId="0" fontId="16" fillId="13" borderId="30" xfId="0" applyFont="1" applyFill="1" applyBorder="1" applyAlignment="1">
      <alignment horizontal="center" wrapText="1" readingOrder="1"/>
    </xf>
    <xf numFmtId="0" fontId="17" fillId="13" borderId="30" xfId="0" applyFont="1" applyFill="1" applyBorder="1" applyAlignment="1">
      <alignment horizontal="center" vertical="center" wrapText="1" readingOrder="1"/>
    </xf>
    <xf numFmtId="0" fontId="16" fillId="15" borderId="30" xfId="0" applyFont="1" applyFill="1" applyBorder="1" applyAlignment="1">
      <alignment horizontal="center" wrapText="1" readingOrder="1"/>
    </xf>
    <xf numFmtId="0" fontId="17" fillId="15" borderId="30" xfId="0" applyFont="1" applyFill="1" applyBorder="1" applyAlignment="1">
      <alignment horizontal="center" vertical="center" wrapText="1" readingOrder="1"/>
    </xf>
    <xf numFmtId="0" fontId="16" fillId="16" borderId="30" xfId="0" applyFont="1" applyFill="1" applyBorder="1" applyAlignment="1">
      <alignment horizontal="center" wrapText="1" readingOrder="1"/>
    </xf>
    <xf numFmtId="0" fontId="17" fillId="16" borderId="30" xfId="0" applyFont="1" applyFill="1" applyBorder="1" applyAlignment="1">
      <alignment horizontal="center" vertical="center" wrapText="1" readingOrder="1"/>
    </xf>
    <xf numFmtId="0" fontId="16" fillId="17" borderId="30" xfId="0" applyFont="1" applyFill="1" applyBorder="1" applyAlignment="1">
      <alignment horizontal="center" wrapText="1" readingOrder="1"/>
    </xf>
    <xf numFmtId="0" fontId="17" fillId="17" borderId="30" xfId="0" applyFont="1" applyFill="1" applyBorder="1" applyAlignment="1">
      <alignment horizontal="center" vertical="center" wrapText="1" readingOrder="1"/>
    </xf>
    <xf numFmtId="0" fontId="17" fillId="18" borderId="30" xfId="0" applyFont="1" applyFill="1" applyBorder="1" applyAlignment="1">
      <alignment horizontal="center" vertical="center" wrapText="1" readingOrder="1"/>
    </xf>
    <xf numFmtId="0" fontId="16" fillId="19" borderId="34" xfId="0" applyFont="1" applyFill="1" applyBorder="1" applyAlignment="1">
      <alignment horizontal="center" wrapText="1" readingOrder="1"/>
    </xf>
    <xf numFmtId="0" fontId="17" fillId="19" borderId="34" xfId="0" applyFont="1" applyFill="1" applyBorder="1" applyAlignment="1">
      <alignment horizontal="center" vertical="center" wrapText="1" readingOrder="1"/>
    </xf>
    <xf numFmtId="0" fontId="17" fillId="18" borderId="35" xfId="0" applyFont="1" applyFill="1" applyBorder="1" applyAlignment="1">
      <alignment horizontal="center" vertical="center" wrapText="1" readingOrder="1"/>
    </xf>
    <xf numFmtId="0" fontId="0" fillId="0" borderId="36" xfId="0" applyBorder="1"/>
    <xf numFmtId="0" fontId="0" fillId="0" borderId="0" xfId="0" applyAlignment="1">
      <alignment horizontal="center"/>
    </xf>
    <xf numFmtId="0" fontId="1" fillId="0" borderId="0" xfId="0" applyFont="1"/>
    <xf numFmtId="0" fontId="18" fillId="20" borderId="36" xfId="0" applyFont="1" applyFill="1" applyBorder="1" applyAlignment="1">
      <alignment horizontal="center"/>
    </xf>
    <xf numFmtId="0" fontId="19" fillId="5" borderId="30" xfId="0" applyFont="1" applyFill="1" applyBorder="1" applyAlignment="1">
      <alignment horizontal="center" wrapText="1" readingOrder="1"/>
    </xf>
    <xf numFmtId="0" fontId="19" fillId="8" borderId="30" xfId="0" applyFont="1" applyFill="1" applyBorder="1" applyAlignment="1">
      <alignment horizontal="center" wrapText="1" readingOrder="1"/>
    </xf>
    <xf numFmtId="0" fontId="19" fillId="9" borderId="30" xfId="0" applyFont="1" applyFill="1" applyBorder="1" applyAlignment="1">
      <alignment horizontal="center" wrapText="1" readingOrder="1"/>
    </xf>
    <xf numFmtId="0" fontId="19" fillId="11" borderId="30" xfId="0" applyFont="1" applyFill="1" applyBorder="1" applyAlignment="1">
      <alignment horizontal="center" wrapText="1" readingOrder="1"/>
    </xf>
    <xf numFmtId="0" fontId="19" fillId="12" borderId="30" xfId="0" applyFont="1" applyFill="1" applyBorder="1" applyAlignment="1">
      <alignment horizontal="center" wrapText="1" readingOrder="1"/>
    </xf>
    <xf numFmtId="0" fontId="19" fillId="16" borderId="30" xfId="0" applyFont="1" applyFill="1" applyBorder="1" applyAlignment="1">
      <alignment horizontal="center" wrapText="1" readingOrder="1"/>
    </xf>
    <xf numFmtId="0" fontId="20" fillId="0" borderId="12" xfId="0" applyFont="1" applyBorder="1" applyAlignment="1">
      <alignment vertical="center" wrapText="1"/>
    </xf>
    <xf numFmtId="0" fontId="21" fillId="0" borderId="13" xfId="0" applyFont="1" applyBorder="1"/>
    <xf numFmtId="0" fontId="20" fillId="0" borderId="18" xfId="0" applyFont="1" applyBorder="1" applyAlignment="1">
      <alignment horizontal="left" vertical="center" wrapText="1" readingOrder="1"/>
    </xf>
    <xf numFmtId="0" fontId="22" fillId="3" borderId="8" xfId="0" applyFont="1" applyFill="1" applyBorder="1" applyAlignment="1">
      <alignment horizontal="left" vertical="center" wrapText="1" readingOrder="1"/>
    </xf>
    <xf numFmtId="0" fontId="20" fillId="0" borderId="9" xfId="0" applyFont="1" applyBorder="1" applyAlignment="1">
      <alignment vertical="center" wrapText="1"/>
    </xf>
    <xf numFmtId="0" fontId="20" fillId="3" borderId="13" xfId="0" applyFont="1" applyFill="1" applyBorder="1" applyAlignment="1">
      <alignment vertical="center" wrapText="1"/>
    </xf>
    <xf numFmtId="0" fontId="23" fillId="3" borderId="19" xfId="0" applyFont="1" applyFill="1" applyBorder="1" applyAlignment="1">
      <alignment vertical="center" wrapText="1"/>
    </xf>
    <xf numFmtId="0" fontId="5" fillId="0" borderId="7" xfId="0" applyFont="1" applyBorder="1" applyAlignment="1">
      <alignment horizontal="left" vertical="center" wrapText="1" readingOrder="1"/>
    </xf>
    <xf numFmtId="0" fontId="5" fillId="0" borderId="19" xfId="0" applyFont="1" applyBorder="1" applyAlignment="1">
      <alignment horizontal="left" vertical="center" wrapText="1" readingOrder="1"/>
    </xf>
    <xf numFmtId="0" fontId="5" fillId="0" borderId="12" xfId="0" applyFont="1" applyBorder="1" applyAlignment="1">
      <alignment horizontal="left" vertical="center" wrapText="1" readingOrder="1"/>
    </xf>
    <xf numFmtId="0" fontId="7" fillId="0" borderId="16" xfId="0" applyFont="1" applyBorder="1" applyAlignment="1">
      <alignment vertical="center" wrapText="1"/>
    </xf>
    <xf numFmtId="0" fontId="25" fillId="0" borderId="0" xfId="2"/>
    <xf numFmtId="0" fontId="0" fillId="0" borderId="0" xfId="1" applyNumberFormat="1" applyFont="1" applyBorder="1"/>
    <xf numFmtId="0" fontId="26" fillId="0" borderId="0" xfId="0" applyFont="1"/>
    <xf numFmtId="0" fontId="0" fillId="0" borderId="0" xfId="0" applyFill="1"/>
    <xf numFmtId="0" fontId="27" fillId="0" borderId="0" xfId="0" applyFont="1" applyFill="1" applyAlignment="1">
      <alignment horizontal="left" vertical="center"/>
    </xf>
    <xf numFmtId="0" fontId="28" fillId="0" borderId="0" xfId="0" applyFont="1"/>
    <xf numFmtId="0" fontId="0" fillId="0" borderId="0" xfId="0" applyFont="1" applyFill="1"/>
    <xf numFmtId="0" fontId="28" fillId="0" borderId="0" xfId="0" applyFont="1" applyFill="1"/>
    <xf numFmtId="0" fontId="0" fillId="0" borderId="0" xfId="0" quotePrefix="1"/>
    <xf numFmtId="1" fontId="0" fillId="0" borderId="0" xfId="0" applyNumberFormat="1"/>
    <xf numFmtId="0" fontId="29" fillId="0" borderId="40" xfId="0" applyFont="1" applyBorder="1" applyAlignment="1">
      <alignment horizontal="right" wrapText="1"/>
    </xf>
    <xf numFmtId="0" fontId="0" fillId="0" borderId="0" xfId="0" applyFill="1" applyBorder="1"/>
    <xf numFmtId="0" fontId="0" fillId="0" borderId="36" xfId="0" quotePrefix="1" applyBorder="1"/>
    <xf numFmtId="0" fontId="0" fillId="0" borderId="36" xfId="0" applyFill="1" applyBorder="1"/>
    <xf numFmtId="0" fontId="0" fillId="0" borderId="36" xfId="0" applyBorder="1" applyAlignment="1">
      <alignment horizontal="center" vertical="center"/>
    </xf>
    <xf numFmtId="0" fontId="28" fillId="0" borderId="0" xfId="0" applyFont="1" applyAlignment="1">
      <alignment horizontal="left"/>
    </xf>
    <xf numFmtId="0" fontId="0" fillId="0" borderId="0" xfId="0" applyAlignment="1">
      <alignment horizontal="left"/>
    </xf>
    <xf numFmtId="0" fontId="28" fillId="22" borderId="36" xfId="0" applyFont="1" applyFill="1" applyBorder="1" applyAlignment="1">
      <alignment horizontal="center" vertical="center"/>
    </xf>
    <xf numFmtId="9" fontId="28" fillId="22" borderId="36" xfId="0" applyNumberFormat="1" applyFont="1" applyFill="1" applyBorder="1" applyAlignment="1">
      <alignment horizontal="center" vertical="center"/>
    </xf>
    <xf numFmtId="1" fontId="28" fillId="22" borderId="36" xfId="0" applyNumberFormat="1" applyFont="1" applyFill="1" applyBorder="1" applyAlignment="1">
      <alignment horizontal="center" vertical="center"/>
    </xf>
    <xf numFmtId="164" fontId="28" fillId="22" borderId="3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2" fillId="0" borderId="0" xfId="0" applyFont="1" applyFill="1"/>
    <xf numFmtId="0" fontId="32" fillId="0" borderId="44" xfId="0" applyFont="1" applyFill="1" applyBorder="1"/>
    <xf numFmtId="0" fontId="32" fillId="0" borderId="45" xfId="0" applyFont="1" applyFill="1" applyBorder="1"/>
    <xf numFmtId="165" fontId="32" fillId="0" borderId="44" xfId="0" applyNumberFormat="1" applyFont="1" applyFill="1" applyBorder="1"/>
    <xf numFmtId="0" fontId="32" fillId="23" borderId="0" xfId="0" applyFont="1" applyFill="1"/>
    <xf numFmtId="166" fontId="32" fillId="23" borderId="0" xfId="0" applyNumberFormat="1" applyFont="1" applyFill="1"/>
    <xf numFmtId="0" fontId="32" fillId="23" borderId="0" xfId="0" applyFont="1" applyFill="1" applyBorder="1"/>
    <xf numFmtId="1" fontId="32" fillId="0" borderId="0" xfId="0" applyNumberFormat="1" applyFont="1" applyFill="1"/>
    <xf numFmtId="165" fontId="32" fillId="0" borderId="0" xfId="0" applyNumberFormat="1" applyFont="1" applyFill="1"/>
    <xf numFmtId="165" fontId="32" fillId="25" borderId="45" xfId="0" applyNumberFormat="1" applyFont="1" applyFill="1" applyBorder="1"/>
    <xf numFmtId="165" fontId="32" fillId="25" borderId="45" xfId="4" applyNumberFormat="1" applyFont="1" applyFill="1" applyBorder="1"/>
    <xf numFmtId="0" fontId="32" fillId="25" borderId="0" xfId="0" applyFont="1" applyFill="1"/>
    <xf numFmtId="0" fontId="0" fillId="0" borderId="0" xfId="0" applyBorder="1"/>
    <xf numFmtId="0" fontId="0" fillId="21" borderId="0" xfId="0" applyFill="1" applyAlignment="1">
      <alignment horizontal="center" vertical="center"/>
    </xf>
    <xf numFmtId="9" fontId="28" fillId="22" borderId="36" xfId="5" applyFont="1" applyFill="1" applyBorder="1" applyAlignment="1">
      <alignment horizontal="center" vertical="center"/>
    </xf>
    <xf numFmtId="164" fontId="28" fillId="22" borderId="36" xfId="5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17" fillId="10" borderId="31" xfId="0" applyFont="1" applyFill="1" applyBorder="1" applyAlignment="1">
      <alignment horizontal="center" vertical="center" wrapText="1" readingOrder="1"/>
    </xf>
    <xf numFmtId="0" fontId="17" fillId="10" borderId="33" xfId="0" applyFont="1" applyFill="1" applyBorder="1" applyAlignment="1">
      <alignment horizontal="center" vertical="center" wrapText="1" readingOrder="1"/>
    </xf>
    <xf numFmtId="0" fontId="17" fillId="10" borderId="32" xfId="0" applyFont="1" applyFill="1" applyBorder="1" applyAlignment="1">
      <alignment horizontal="center" vertical="center" wrapText="1" readingOrder="1"/>
    </xf>
    <xf numFmtId="0" fontId="17" fillId="14" borderId="31" xfId="0" applyFont="1" applyFill="1" applyBorder="1" applyAlignment="1">
      <alignment horizontal="center" vertical="center" wrapText="1" readingOrder="1"/>
    </xf>
    <xf numFmtId="0" fontId="17" fillId="14" borderId="32" xfId="0" applyFont="1" applyFill="1" applyBorder="1" applyAlignment="1">
      <alignment horizontal="center" vertical="center" wrapText="1" readingOrder="1"/>
    </xf>
    <xf numFmtId="0" fontId="17" fillId="7" borderId="31" xfId="0" applyFont="1" applyFill="1" applyBorder="1" applyAlignment="1">
      <alignment horizontal="center" vertical="center" wrapText="1" readingOrder="1"/>
    </xf>
    <xf numFmtId="0" fontId="17" fillId="7" borderId="32" xfId="0" applyFont="1" applyFill="1" applyBorder="1" applyAlignment="1">
      <alignment horizontal="center" vertical="center" wrapText="1" readingOrder="1"/>
    </xf>
    <xf numFmtId="0" fontId="17" fillId="6" borderId="31" xfId="0" applyFont="1" applyFill="1" applyBorder="1" applyAlignment="1">
      <alignment horizontal="center" vertical="center" wrapText="1" readingOrder="1"/>
    </xf>
    <xf numFmtId="0" fontId="17" fillId="6" borderId="32" xfId="0" applyFont="1" applyFill="1" applyBorder="1" applyAlignment="1">
      <alignment horizontal="center" vertical="center" wrapText="1" readingOrder="1"/>
    </xf>
    <xf numFmtId="0" fontId="17" fillId="12" borderId="31" xfId="0" applyFont="1" applyFill="1" applyBorder="1" applyAlignment="1">
      <alignment horizontal="center" vertical="center" wrapText="1" readingOrder="1"/>
    </xf>
    <xf numFmtId="0" fontId="17" fillId="12" borderId="33" xfId="0" applyFont="1" applyFill="1" applyBorder="1" applyAlignment="1">
      <alignment horizontal="center" vertical="center" wrapText="1" readingOrder="1"/>
    </xf>
    <xf numFmtId="0" fontId="17" fillId="12" borderId="32" xfId="0" applyFont="1" applyFill="1" applyBorder="1" applyAlignment="1">
      <alignment horizontal="center" vertical="center" wrapText="1" readingOrder="1"/>
    </xf>
    <xf numFmtId="0" fontId="17" fillId="18" borderId="31" xfId="0" applyFont="1" applyFill="1" applyBorder="1" applyAlignment="1">
      <alignment horizontal="center" vertical="center" wrapText="1" readingOrder="1"/>
    </xf>
    <xf numFmtId="0" fontId="17" fillId="18" borderId="32" xfId="0" applyFont="1" applyFill="1" applyBorder="1" applyAlignment="1">
      <alignment horizontal="center" vertical="center" wrapText="1" readingOrder="1"/>
    </xf>
    <xf numFmtId="0" fontId="17" fillId="5" borderId="31" xfId="0" applyFont="1" applyFill="1" applyBorder="1" applyAlignment="1">
      <alignment horizontal="center" vertical="center" wrapText="1" readingOrder="1"/>
    </xf>
    <xf numFmtId="0" fontId="17" fillId="5" borderId="33" xfId="0" applyFont="1" applyFill="1" applyBorder="1" applyAlignment="1">
      <alignment horizontal="center" vertical="center" wrapText="1" readingOrder="1"/>
    </xf>
    <xf numFmtId="0" fontId="17" fillId="5" borderId="32" xfId="0" applyFont="1" applyFill="1" applyBorder="1" applyAlignment="1">
      <alignment horizontal="center" vertical="center" wrapText="1" readingOrder="1"/>
    </xf>
    <xf numFmtId="0" fontId="17" fillId="6" borderId="33" xfId="0" applyFont="1" applyFill="1" applyBorder="1" applyAlignment="1">
      <alignment horizontal="center" vertical="center" wrapText="1" readingOrder="1"/>
    </xf>
    <xf numFmtId="0" fontId="17" fillId="8" borderId="31" xfId="0" applyFont="1" applyFill="1" applyBorder="1" applyAlignment="1">
      <alignment horizontal="center" vertical="center" wrapText="1" readingOrder="1"/>
    </xf>
    <xf numFmtId="0" fontId="17" fillId="8" borderId="33" xfId="0" applyFont="1" applyFill="1" applyBorder="1" applyAlignment="1">
      <alignment horizontal="center" vertical="center" wrapText="1" readingOrder="1"/>
    </xf>
    <xf numFmtId="0" fontId="17" fillId="8" borderId="32" xfId="0" applyFont="1" applyFill="1" applyBorder="1" applyAlignment="1">
      <alignment horizontal="center" vertical="center" wrapText="1" readingOrder="1"/>
    </xf>
    <xf numFmtId="0" fontId="17" fillId="9" borderId="31" xfId="0" applyFont="1" applyFill="1" applyBorder="1" applyAlignment="1">
      <alignment horizontal="center" vertical="center" wrapText="1" readingOrder="1"/>
    </xf>
    <xf numFmtId="0" fontId="17" fillId="9" borderId="33" xfId="0" applyFont="1" applyFill="1" applyBorder="1" applyAlignment="1">
      <alignment horizontal="center" vertical="center" wrapText="1" readingOrder="1"/>
    </xf>
    <xf numFmtId="0" fontId="17" fillId="9" borderId="32" xfId="0" applyFont="1" applyFill="1" applyBorder="1" applyAlignment="1">
      <alignment horizontal="center" vertical="center" wrapText="1" readingOrder="1"/>
    </xf>
    <xf numFmtId="0" fontId="17" fillId="11" borderId="31" xfId="0" applyFont="1" applyFill="1" applyBorder="1" applyAlignment="1">
      <alignment horizontal="center" vertical="center" wrapText="1" readingOrder="1"/>
    </xf>
    <xf numFmtId="0" fontId="17" fillId="11" borderId="32" xfId="0" applyFont="1" applyFill="1" applyBorder="1" applyAlignment="1">
      <alignment horizontal="center" vertical="center" wrapText="1" readingOrder="1"/>
    </xf>
    <xf numFmtId="0" fontId="17" fillId="13" borderId="31" xfId="0" applyFont="1" applyFill="1" applyBorder="1" applyAlignment="1">
      <alignment horizontal="center" vertical="center" wrapText="1" readingOrder="1"/>
    </xf>
    <xf numFmtId="0" fontId="17" fillId="13" borderId="32" xfId="0" applyFont="1" applyFill="1" applyBorder="1" applyAlignment="1">
      <alignment horizontal="center" vertical="center" wrapText="1" readingOrder="1"/>
    </xf>
    <xf numFmtId="0" fontId="17" fillId="14" borderId="33" xfId="0" applyFont="1" applyFill="1" applyBorder="1" applyAlignment="1">
      <alignment horizontal="center" vertical="center" wrapText="1" readingOrder="1"/>
    </xf>
    <xf numFmtId="0" fontId="17" fillId="15" borderId="31" xfId="0" applyFont="1" applyFill="1" applyBorder="1" applyAlignment="1">
      <alignment horizontal="center" vertical="center" wrapText="1" readingOrder="1"/>
    </xf>
    <xf numFmtId="0" fontId="17" fillId="15" borderId="33" xfId="0" applyFont="1" applyFill="1" applyBorder="1" applyAlignment="1">
      <alignment horizontal="center" vertical="center" wrapText="1" readingOrder="1"/>
    </xf>
    <xf numFmtId="0" fontId="17" fillId="15" borderId="32" xfId="0" applyFont="1" applyFill="1" applyBorder="1" applyAlignment="1">
      <alignment horizontal="center" vertical="center" wrapText="1" readingOrder="1"/>
    </xf>
    <xf numFmtId="0" fontId="17" fillId="16" borderId="31" xfId="0" applyFont="1" applyFill="1" applyBorder="1" applyAlignment="1">
      <alignment horizontal="center" vertical="center" wrapText="1" readingOrder="1"/>
    </xf>
    <xf numFmtId="0" fontId="17" fillId="16" borderId="32" xfId="0" applyFont="1" applyFill="1" applyBorder="1" applyAlignment="1">
      <alignment horizontal="center" vertical="center" wrapText="1" readingOrder="1"/>
    </xf>
    <xf numFmtId="0" fontId="4" fillId="3" borderId="5" xfId="0" applyFont="1" applyFill="1" applyBorder="1" applyAlignment="1">
      <alignment horizontal="center" vertical="center" wrapText="1" readingOrder="1"/>
    </xf>
    <xf numFmtId="0" fontId="4" fillId="3" borderId="10" xfId="0" applyFont="1" applyFill="1" applyBorder="1" applyAlignment="1">
      <alignment horizontal="center" vertical="center" wrapText="1" readingOrder="1"/>
    </xf>
    <xf numFmtId="0" fontId="4" fillId="3" borderId="15" xfId="0" applyFont="1" applyFill="1" applyBorder="1" applyAlignment="1">
      <alignment horizontal="center" vertical="center" wrapText="1" readingOrder="1"/>
    </xf>
    <xf numFmtId="0" fontId="14" fillId="0" borderId="24" xfId="0" applyFont="1" applyBorder="1" applyAlignment="1">
      <alignment horizontal="center" vertical="top"/>
    </xf>
    <xf numFmtId="0" fontId="14" fillId="0" borderId="25" xfId="0" applyFont="1" applyBorder="1" applyAlignment="1">
      <alignment horizontal="center" vertical="top"/>
    </xf>
    <xf numFmtId="0" fontId="14" fillId="0" borderId="26" xfId="0" applyFont="1" applyBorder="1" applyAlignment="1">
      <alignment horizontal="center" vertical="top"/>
    </xf>
    <xf numFmtId="0" fontId="13" fillId="0" borderId="6" xfId="0" applyFont="1" applyBorder="1" applyAlignment="1">
      <alignment horizontal="left" vertical="center" wrapText="1" readingOrder="1"/>
    </xf>
    <xf numFmtId="0" fontId="13" fillId="0" borderId="7" xfId="0" applyFont="1" applyBorder="1" applyAlignment="1">
      <alignment horizontal="left" vertical="center" wrapText="1" readingOrder="1"/>
    </xf>
    <xf numFmtId="0" fontId="13" fillId="0" borderId="0" xfId="0" applyFont="1" applyAlignment="1">
      <alignment horizontal="left" vertical="center" wrapText="1" readingOrder="1"/>
    </xf>
    <xf numFmtId="0" fontId="13" fillId="0" borderId="17" xfId="0" applyFont="1" applyBorder="1" applyAlignment="1">
      <alignment horizontal="left" vertical="center" wrapText="1" readingOrder="1"/>
    </xf>
    <xf numFmtId="0" fontId="13" fillId="0" borderId="27" xfId="0" applyFont="1" applyBorder="1" applyAlignment="1">
      <alignment horizontal="left" vertical="center" wrapText="1" readingOrder="1"/>
    </xf>
    <xf numFmtId="0" fontId="13" fillId="0" borderId="28" xfId="0" applyFont="1" applyBorder="1" applyAlignment="1">
      <alignment horizontal="left" vertical="center" wrapText="1" readingOrder="1"/>
    </xf>
    <xf numFmtId="0" fontId="4" fillId="0" borderId="5" xfId="0" applyFont="1" applyBorder="1" applyAlignment="1">
      <alignment horizontal="center" vertical="center" wrapText="1" readingOrder="1"/>
    </xf>
    <xf numFmtId="0" fontId="4" fillId="0" borderId="25" xfId="0" applyFont="1" applyBorder="1" applyAlignment="1">
      <alignment horizontal="center" vertical="center" wrapText="1" readingOrder="1"/>
    </xf>
    <xf numFmtId="0" fontId="18" fillId="20" borderId="36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2" fillId="0" borderId="41" xfId="0" applyFont="1" applyFill="1" applyBorder="1" applyAlignment="1">
      <alignment horizontal="center"/>
    </xf>
    <xf numFmtId="0" fontId="32" fillId="0" borderId="42" xfId="0" applyFont="1" applyFill="1" applyBorder="1" applyAlignment="1">
      <alignment horizontal="center"/>
    </xf>
    <xf numFmtId="0" fontId="32" fillId="0" borderId="43" xfId="0" applyFont="1" applyFill="1" applyBorder="1" applyAlignment="1">
      <alignment horizontal="center"/>
    </xf>
    <xf numFmtId="165" fontId="32" fillId="18" borderId="44" xfId="4" applyNumberFormat="1" applyFont="1" applyFill="1" applyBorder="1" applyAlignment="1">
      <alignment horizontal="center" vertical="center"/>
    </xf>
    <xf numFmtId="165" fontId="32" fillId="18" borderId="36" xfId="4" applyNumberFormat="1" applyFont="1" applyFill="1" applyBorder="1" applyAlignment="1">
      <alignment horizontal="center" vertical="center"/>
    </xf>
    <xf numFmtId="165" fontId="32" fillId="18" borderId="54" xfId="4" applyNumberFormat="1" applyFont="1" applyFill="1" applyBorder="1" applyAlignment="1">
      <alignment horizontal="center" vertical="center"/>
    </xf>
    <xf numFmtId="165" fontId="32" fillId="18" borderId="46" xfId="4" applyNumberFormat="1" applyFont="1" applyFill="1" applyBorder="1" applyAlignment="1">
      <alignment horizontal="center" vertical="center"/>
    </xf>
    <xf numFmtId="165" fontId="32" fillId="18" borderId="47" xfId="4" applyNumberFormat="1" applyFont="1" applyFill="1" applyBorder="1" applyAlignment="1">
      <alignment horizontal="center" vertical="center"/>
    </xf>
    <xf numFmtId="165" fontId="32" fillId="18" borderId="53" xfId="4" applyNumberFormat="1" applyFont="1" applyFill="1" applyBorder="1" applyAlignment="1">
      <alignment horizontal="center" vertical="center"/>
    </xf>
    <xf numFmtId="9" fontId="32" fillId="24" borderId="44" xfId="5" applyFont="1" applyFill="1" applyBorder="1" applyAlignment="1">
      <alignment horizontal="center"/>
    </xf>
    <xf numFmtId="9" fontId="32" fillId="24" borderId="36" xfId="5" applyFont="1" applyFill="1" applyBorder="1" applyAlignment="1">
      <alignment horizontal="center"/>
    </xf>
    <xf numFmtId="9" fontId="32" fillId="24" borderId="45" xfId="5" applyFont="1" applyFill="1" applyBorder="1" applyAlignment="1">
      <alignment horizontal="center"/>
    </xf>
    <xf numFmtId="9" fontId="32" fillId="24" borderId="54" xfId="5" applyFont="1" applyFill="1" applyBorder="1" applyAlignment="1">
      <alignment horizontal="center"/>
    </xf>
    <xf numFmtId="164" fontId="32" fillId="24" borderId="44" xfId="5" applyNumberFormat="1" applyFont="1" applyFill="1" applyBorder="1" applyAlignment="1">
      <alignment horizontal="center"/>
    </xf>
    <xf numFmtId="164" fontId="32" fillId="24" borderId="36" xfId="5" applyNumberFormat="1" applyFont="1" applyFill="1" applyBorder="1" applyAlignment="1">
      <alignment horizontal="center"/>
    </xf>
    <xf numFmtId="164" fontId="32" fillId="24" borderId="45" xfId="5" applyNumberFormat="1" applyFont="1" applyFill="1" applyBorder="1" applyAlignment="1">
      <alignment horizontal="center"/>
    </xf>
    <xf numFmtId="9" fontId="32" fillId="24" borderId="46" xfId="5" applyFont="1" applyFill="1" applyBorder="1" applyAlignment="1">
      <alignment horizontal="center"/>
    </xf>
    <xf numFmtId="9" fontId="32" fillId="24" borderId="47" xfId="5" applyFont="1" applyFill="1" applyBorder="1" applyAlignment="1">
      <alignment horizontal="center"/>
    </xf>
    <xf numFmtId="9" fontId="32" fillId="24" borderId="48" xfId="5" applyFont="1" applyFill="1" applyBorder="1" applyAlignment="1">
      <alignment horizontal="center"/>
    </xf>
    <xf numFmtId="9" fontId="32" fillId="24" borderId="53" xfId="5" applyFont="1" applyFill="1" applyBorder="1" applyAlignment="1">
      <alignment horizontal="center"/>
    </xf>
    <xf numFmtId="164" fontId="32" fillId="24" borderId="46" xfId="5" applyNumberFormat="1" applyFont="1" applyFill="1" applyBorder="1" applyAlignment="1">
      <alignment horizontal="center"/>
    </xf>
    <xf numFmtId="164" fontId="32" fillId="24" borderId="47" xfId="5" applyNumberFormat="1" applyFont="1" applyFill="1" applyBorder="1" applyAlignment="1">
      <alignment horizontal="center"/>
    </xf>
    <xf numFmtId="164" fontId="32" fillId="24" borderId="48" xfId="5" applyNumberFormat="1" applyFont="1" applyFill="1" applyBorder="1" applyAlignment="1">
      <alignment horizontal="center"/>
    </xf>
    <xf numFmtId="0" fontId="32" fillId="23" borderId="41" xfId="0" applyFont="1" applyFill="1" applyBorder="1" applyAlignment="1">
      <alignment horizontal="center"/>
    </xf>
    <xf numFmtId="0" fontId="32" fillId="23" borderId="42" xfId="0" applyFont="1" applyFill="1" applyBorder="1" applyAlignment="1">
      <alignment horizontal="center"/>
    </xf>
    <xf numFmtId="0" fontId="32" fillId="23" borderId="52" xfId="0" applyFont="1" applyFill="1" applyBorder="1" applyAlignment="1">
      <alignment horizontal="center"/>
    </xf>
    <xf numFmtId="0" fontId="32" fillId="0" borderId="52" xfId="0" applyFont="1" applyFill="1" applyBorder="1" applyAlignment="1">
      <alignment horizontal="center"/>
    </xf>
    <xf numFmtId="165" fontId="32" fillId="18" borderId="46" xfId="4" applyNumberFormat="1" applyFont="1" applyFill="1" applyBorder="1" applyAlignment="1">
      <alignment horizontal="center"/>
    </xf>
    <xf numFmtId="165" fontId="32" fillId="18" borderId="48" xfId="4" applyNumberFormat="1" applyFont="1" applyFill="1" applyBorder="1" applyAlignment="1">
      <alignment horizontal="center"/>
    </xf>
    <xf numFmtId="165" fontId="32" fillId="6" borderId="46" xfId="4" applyNumberFormat="1" applyFont="1" applyFill="1" applyBorder="1" applyAlignment="1">
      <alignment horizontal="center"/>
    </xf>
    <xf numFmtId="165" fontId="32" fillId="6" borderId="48" xfId="4" applyNumberFormat="1" applyFont="1" applyFill="1" applyBorder="1" applyAlignment="1">
      <alignment horizontal="center"/>
    </xf>
    <xf numFmtId="165" fontId="32" fillId="0" borderId="46" xfId="4" applyNumberFormat="1" applyFont="1" applyFill="1" applyBorder="1" applyAlignment="1">
      <alignment horizontal="center"/>
    </xf>
    <xf numFmtId="165" fontId="32" fillId="0" borderId="47" xfId="4" applyNumberFormat="1" applyFont="1" applyFill="1" applyBorder="1" applyAlignment="1">
      <alignment horizontal="center"/>
    </xf>
    <xf numFmtId="165" fontId="32" fillId="0" borderId="48" xfId="4" applyNumberFormat="1" applyFont="1" applyFill="1" applyBorder="1" applyAlignment="1">
      <alignment horizontal="center"/>
    </xf>
    <xf numFmtId="0" fontId="32" fillId="23" borderId="43" xfId="0" applyFont="1" applyFill="1" applyBorder="1" applyAlignment="1">
      <alignment horizontal="center"/>
    </xf>
    <xf numFmtId="1" fontId="32" fillId="0" borderId="44" xfId="0" applyNumberFormat="1" applyFont="1" applyFill="1" applyBorder="1" applyAlignment="1">
      <alignment horizontal="center"/>
    </xf>
    <xf numFmtId="1" fontId="32" fillId="0" borderId="36" xfId="0" applyNumberFormat="1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/>
    </xf>
    <xf numFmtId="0" fontId="32" fillId="0" borderId="36" xfId="0" applyFont="1" applyFill="1" applyBorder="1" applyAlignment="1">
      <alignment horizontal="center"/>
    </xf>
    <xf numFmtId="0" fontId="32" fillId="0" borderId="45" xfId="0" applyFont="1" applyFill="1" applyBorder="1" applyAlignment="1">
      <alignment horizontal="center"/>
    </xf>
    <xf numFmtId="0" fontId="32" fillId="23" borderId="46" xfId="0" applyFont="1" applyFill="1" applyBorder="1" applyAlignment="1">
      <alignment horizontal="center"/>
    </xf>
    <xf numFmtId="0" fontId="32" fillId="23" borderId="48" xfId="0" applyFont="1" applyFill="1" applyBorder="1" applyAlignment="1">
      <alignment horizontal="center"/>
    </xf>
    <xf numFmtId="0" fontId="32" fillId="23" borderId="51" xfId="0" applyFont="1" applyFill="1" applyBorder="1" applyAlignment="1">
      <alignment horizontal="center"/>
    </xf>
    <xf numFmtId="1" fontId="32" fillId="0" borderId="51" xfId="0" applyNumberFormat="1" applyFont="1" applyFill="1" applyBorder="1" applyAlignment="1">
      <alignment horizontal="center"/>
    </xf>
    <xf numFmtId="1" fontId="32" fillId="0" borderId="47" xfId="0" applyNumberFormat="1" applyFont="1" applyFill="1" applyBorder="1" applyAlignment="1">
      <alignment horizontal="center"/>
    </xf>
    <xf numFmtId="1" fontId="32" fillId="0" borderId="53" xfId="0" applyNumberFormat="1" applyFont="1" applyFill="1" applyBorder="1" applyAlignment="1">
      <alignment horizontal="center"/>
    </xf>
    <xf numFmtId="1" fontId="32" fillId="0" borderId="46" xfId="0" applyNumberFormat="1" applyFont="1" applyFill="1" applyBorder="1" applyAlignment="1">
      <alignment horizontal="center"/>
    </xf>
    <xf numFmtId="1" fontId="32" fillId="0" borderId="48" xfId="0" applyNumberFormat="1" applyFont="1" applyFill="1" applyBorder="1" applyAlignment="1">
      <alignment horizontal="center"/>
    </xf>
    <xf numFmtId="0" fontId="32" fillId="0" borderId="47" xfId="0" applyFont="1" applyFill="1" applyBorder="1" applyAlignment="1">
      <alignment horizontal="center"/>
    </xf>
    <xf numFmtId="0" fontId="32" fillId="0" borderId="48" xfId="0" applyFont="1" applyFill="1" applyBorder="1" applyAlignment="1">
      <alignment horizontal="center"/>
    </xf>
    <xf numFmtId="0" fontId="32" fillId="23" borderId="44" xfId="0" applyFont="1" applyFill="1" applyBorder="1" applyAlignment="1">
      <alignment horizontal="center"/>
    </xf>
    <xf numFmtId="0" fontId="32" fillId="23" borderId="45" xfId="0" applyFont="1" applyFill="1" applyBorder="1" applyAlignment="1">
      <alignment horizontal="center"/>
    </xf>
    <xf numFmtId="0" fontId="32" fillId="23" borderId="50" xfId="0" applyFont="1" applyFill="1" applyBorder="1" applyAlignment="1">
      <alignment horizontal="center"/>
    </xf>
    <xf numFmtId="1" fontId="32" fillId="0" borderId="50" xfId="0" applyNumberFormat="1" applyFont="1" applyFill="1" applyBorder="1" applyAlignment="1">
      <alignment horizontal="center"/>
    </xf>
    <xf numFmtId="1" fontId="32" fillId="0" borderId="54" xfId="0" applyNumberFormat="1" applyFont="1" applyFill="1" applyBorder="1" applyAlignment="1">
      <alignment horizontal="center"/>
    </xf>
    <xf numFmtId="0" fontId="33" fillId="21" borderId="0" xfId="0" applyFont="1" applyFill="1" applyAlignment="1">
      <alignment horizontal="center"/>
    </xf>
    <xf numFmtId="0" fontId="32" fillId="23" borderId="49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center"/>
    </xf>
    <xf numFmtId="0" fontId="32" fillId="0" borderId="44" xfId="0" applyFont="1" applyFill="1" applyBorder="1" applyAlignment="1">
      <alignment horizontal="center"/>
    </xf>
    <xf numFmtId="165" fontId="32" fillId="0" borderId="46" xfId="0" applyNumberFormat="1" applyFont="1" applyFill="1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18" fillId="21" borderId="55" xfId="0" applyFont="1" applyFill="1" applyBorder="1" applyAlignment="1">
      <alignment horizontal="center" vertical="center"/>
    </xf>
    <xf numFmtId="0" fontId="18" fillId="21" borderId="56" xfId="0" applyFont="1" applyFill="1" applyBorder="1" applyAlignment="1">
      <alignment horizontal="center" vertical="center"/>
    </xf>
    <xf numFmtId="0" fontId="18" fillId="21" borderId="0" xfId="0" applyFont="1" applyFill="1" applyAlignment="1">
      <alignment horizontal="center" vertical="center"/>
    </xf>
    <xf numFmtId="0" fontId="30" fillId="21" borderId="0" xfId="0" applyFont="1" applyFill="1" applyAlignment="1">
      <alignment horizontal="center" vertical="center"/>
    </xf>
  </cellXfs>
  <cellStyles count="6">
    <cellStyle name="Comma" xfId="1" builtinId="3"/>
    <cellStyle name="Currency" xfId="4" builtinId="4"/>
    <cellStyle name="Hyperlink" xfId="2" builtinId="8"/>
    <cellStyle name="Normal" xfId="0" builtinId="0"/>
    <cellStyle name="Normal 3" xfId="3" xr:uid="{8B3A087C-16B5-4C50-8186-B2E56EEF8185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nces.ed.gov/nationsreportcard/subject/publications/dst2019/pdf/2020015XC4.pdf" TargetMode="External"/><Relationship Id="rId13" Type="http://schemas.openxmlformats.org/officeDocument/2006/relationships/hyperlink" Target="https://www.cps.edu/globalassets/cps-pages/about-cps/district-data/metrics/assessment-reports/assessment_psatsat_schoollevel_2021.xls" TargetMode="External"/><Relationship Id="rId18" Type="http://schemas.openxmlformats.org/officeDocument/2006/relationships/hyperlink" Target="https://a.economicmodeling.com/analyst/?t=3tWRz" TargetMode="External"/><Relationship Id="rId26" Type="http://schemas.openxmlformats.org/officeDocument/2006/relationships/hyperlink" Target="http://www.ibhe.org/EnrollmentsDegrees/Search.aspx" TargetMode="External"/><Relationship Id="rId3" Type="http://schemas.openxmlformats.org/officeDocument/2006/relationships/hyperlink" Target="https://nces.ed.gov/nationsreportcard/subject/publications/dst2019/pdf/2020015xc8.pdf" TargetMode="External"/><Relationship Id="rId21" Type="http://schemas.openxmlformats.org/officeDocument/2006/relationships/hyperlink" Target="https://a.economicmodeling.com/analyst/?t=3tWRz" TargetMode="External"/><Relationship Id="rId7" Type="http://schemas.openxmlformats.org/officeDocument/2006/relationships/hyperlink" Target="https://nces.ed.gov/nationsreportcard/subject/publications/dst2019/pdf/2020015XC4.pdf" TargetMode="External"/><Relationship Id="rId12" Type="http://schemas.openxmlformats.org/officeDocument/2006/relationships/hyperlink" Target="http://www.ibhe.org/EnrollmentsDegrees/Search.aspx" TargetMode="External"/><Relationship Id="rId17" Type="http://schemas.openxmlformats.org/officeDocument/2006/relationships/hyperlink" Target="https://a.economicmodeling.com/analyst/?t=3tWRz" TargetMode="External"/><Relationship Id="rId25" Type="http://schemas.openxmlformats.org/officeDocument/2006/relationships/hyperlink" Target="http://www.ibhe.org/EnrollmentsDegrees/Search.aspx" TargetMode="External"/><Relationship Id="rId2" Type="http://schemas.openxmlformats.org/officeDocument/2006/relationships/hyperlink" Target="https://nces.ed.gov/nationsreportcard/subject/publications/dst2019/pdf/2020015xc8.pdf" TargetMode="External"/><Relationship Id="rId16" Type="http://schemas.openxmlformats.org/officeDocument/2006/relationships/hyperlink" Target="https://www.cps.edu/globalassets/cps-pages/about-cps/district-data/metrics/assessment-reports/assessment_psatsat_schoollevel_2021.xls" TargetMode="External"/><Relationship Id="rId20" Type="http://schemas.openxmlformats.org/officeDocument/2006/relationships/hyperlink" Target="https://a.economicmodeling.com/analyst/?t=3tWRz" TargetMode="External"/><Relationship Id="rId29" Type="http://schemas.openxmlformats.org/officeDocument/2006/relationships/hyperlink" Target="https://robparal.com/chicago-data/" TargetMode="External"/><Relationship Id="rId1" Type="http://schemas.openxmlformats.org/officeDocument/2006/relationships/hyperlink" Target="https://nces.ed.gov/nationsreportcard/subject/publications/dst2019/pdf/2020015xc8.pdf" TargetMode="External"/><Relationship Id="rId6" Type="http://schemas.openxmlformats.org/officeDocument/2006/relationships/hyperlink" Target="https://nces.ed.gov/nationsreportcard/subject/publications/dst2019/pdf/2020015XC4.pdf" TargetMode="External"/><Relationship Id="rId11" Type="http://schemas.openxmlformats.org/officeDocument/2006/relationships/hyperlink" Target="http://www.ibhe.org/EnrollmentsDegrees/Search.aspx" TargetMode="External"/><Relationship Id="rId24" Type="http://schemas.openxmlformats.org/officeDocument/2006/relationships/hyperlink" Target="http://www.ibhe.org/EnrollmentsDegrees/Search.aspx" TargetMode="External"/><Relationship Id="rId5" Type="http://schemas.openxmlformats.org/officeDocument/2006/relationships/hyperlink" Target="https://nces.ed.gov/nationsreportcard/subject/publications/dst2019/pdf/2020015XC4.pdf" TargetMode="External"/><Relationship Id="rId15" Type="http://schemas.openxmlformats.org/officeDocument/2006/relationships/hyperlink" Target="https://www.cps.edu/globalassets/cps-pages/about-cps/district-data/metrics/assessment-reports/assessment_psatsat_schoollevel_2021.xls" TargetMode="External"/><Relationship Id="rId23" Type="http://schemas.openxmlformats.org/officeDocument/2006/relationships/hyperlink" Target="http://www.ibhe.org/EnrollmentsDegrees/Search.aspx" TargetMode="External"/><Relationship Id="rId28" Type="http://schemas.openxmlformats.org/officeDocument/2006/relationships/hyperlink" Target="https://www.heartlandalliance.org/heartland-alliance/research-and-policy/data-reports/chicago-data-dashboards/education/" TargetMode="External"/><Relationship Id="rId10" Type="http://schemas.openxmlformats.org/officeDocument/2006/relationships/hyperlink" Target="http://www.ibhe.org/EnrollmentsDegrees/Search.aspx" TargetMode="External"/><Relationship Id="rId19" Type="http://schemas.openxmlformats.org/officeDocument/2006/relationships/hyperlink" Target="https://a.economicmodeling.com/analyst/?t=3tWRz" TargetMode="External"/><Relationship Id="rId4" Type="http://schemas.openxmlformats.org/officeDocument/2006/relationships/hyperlink" Target="https://nces.ed.gov/nationsreportcard/subject/publications/dst2019/pdf/2020015xc8.pdf" TargetMode="External"/><Relationship Id="rId9" Type="http://schemas.openxmlformats.org/officeDocument/2006/relationships/hyperlink" Target="http://www.ibhe.org/EnrollmentsDegrees/Search.aspx" TargetMode="External"/><Relationship Id="rId14" Type="http://schemas.openxmlformats.org/officeDocument/2006/relationships/hyperlink" Target="https://www.cps.edu/globalassets/cps-pages/about-cps/district-data/metrics/assessment-reports/assessment_psatsat_schoollevel_2021.xls" TargetMode="External"/><Relationship Id="rId22" Type="http://schemas.openxmlformats.org/officeDocument/2006/relationships/hyperlink" Target="https://a.economicmodeling.com/analyst/?t=3tWRz" TargetMode="External"/><Relationship Id="rId27" Type="http://schemas.openxmlformats.org/officeDocument/2006/relationships/hyperlink" Target="https://www.heartlandalliance.org/heartland-alliance/research-and-policy/data-reports/chicago-data-dashboards/education/" TargetMode="External"/><Relationship Id="rId30" Type="http://schemas.openxmlformats.org/officeDocument/2006/relationships/hyperlink" Target="https://robparal.com/chicago-data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ocrdata.ed.gov/flex/Reports.aspx?type=district" TargetMode="External"/><Relationship Id="rId13" Type="http://schemas.openxmlformats.org/officeDocument/2006/relationships/hyperlink" Target="https://nces.ed.gov/nationsreportcard/subject/publications/dst2019/pdf/2020015xn4.pdf" TargetMode="External"/><Relationship Id="rId18" Type="http://schemas.openxmlformats.org/officeDocument/2006/relationships/hyperlink" Target="https://nces.ed.gov/nationsreportcard/subject/publications/dst2019/pdf/2020015xn8.pdf" TargetMode="External"/><Relationship Id="rId3" Type="http://schemas.openxmlformats.org/officeDocument/2006/relationships/hyperlink" Target="https://ocrdata.ed.gov/flex/Reports.aspx?type=district" TargetMode="External"/><Relationship Id="rId21" Type="http://schemas.openxmlformats.org/officeDocument/2006/relationships/hyperlink" Target="https://infohub.nyced.org/reports/school-quality/information-and-data-overview" TargetMode="External"/><Relationship Id="rId7" Type="http://schemas.openxmlformats.org/officeDocument/2006/relationships/hyperlink" Target="https://ocrdata.ed.gov/flex/Reports.aspx?type=district" TargetMode="External"/><Relationship Id="rId12" Type="http://schemas.openxmlformats.org/officeDocument/2006/relationships/hyperlink" Target="https://nces.ed.gov/nationsreportcard/subject/publications/dst2019/pdf/2020015xn4.pdf" TargetMode="External"/><Relationship Id="rId17" Type="http://schemas.openxmlformats.org/officeDocument/2006/relationships/hyperlink" Target="https://nces.ed.gov/nationsreportcard/subject/publications/dst2019/pdf/2020015xn8.pdf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https://ocrdata.ed.gov/flex/Reports.aspx?type=district" TargetMode="External"/><Relationship Id="rId16" Type="http://schemas.openxmlformats.org/officeDocument/2006/relationships/hyperlink" Target="https://nces.ed.gov/nationsreportcard/subject/publications/dst2019/pdf/2020015xn8.pdf" TargetMode="External"/><Relationship Id="rId20" Type="http://schemas.openxmlformats.org/officeDocument/2006/relationships/hyperlink" Target="https://infohub.nyced.org/reports/school-quality/information-and-data-overview" TargetMode="External"/><Relationship Id="rId1" Type="http://schemas.openxmlformats.org/officeDocument/2006/relationships/hyperlink" Target="https://ocrdata.ed.gov/flex/Reports.aspx?type=district" TargetMode="External"/><Relationship Id="rId6" Type="http://schemas.openxmlformats.org/officeDocument/2006/relationships/hyperlink" Target="https://ocrdata.ed.gov/flex/Reports.aspx?type=district" TargetMode="External"/><Relationship Id="rId11" Type="http://schemas.openxmlformats.org/officeDocument/2006/relationships/hyperlink" Target="https://nces.ed.gov/nationsreportcard/subject/publications/dst2019/pdf/2020015xn4.pdf" TargetMode="External"/><Relationship Id="rId24" Type="http://schemas.openxmlformats.org/officeDocument/2006/relationships/hyperlink" Target="https://infohub.nyced.org/reports/school-quality/information-and-data-overview" TargetMode="External"/><Relationship Id="rId5" Type="http://schemas.openxmlformats.org/officeDocument/2006/relationships/hyperlink" Target="https://ocrdata.ed.gov/flex/Reports.aspx?type=district" TargetMode="External"/><Relationship Id="rId15" Type="http://schemas.openxmlformats.org/officeDocument/2006/relationships/hyperlink" Target="https://nces.ed.gov/nationsreportcard/subject/publications/dst2019/pdf/2020015xn8.pdf" TargetMode="External"/><Relationship Id="rId23" Type="http://schemas.openxmlformats.org/officeDocument/2006/relationships/hyperlink" Target="https://infohub.nyced.org/reports/school-quality/information-and-data-overview" TargetMode="External"/><Relationship Id="rId10" Type="http://schemas.openxmlformats.org/officeDocument/2006/relationships/hyperlink" Target="https://nces.ed.gov/nationsreportcard/subject/publications/dst2019/pdf/2020015xn4.pdf" TargetMode="External"/><Relationship Id="rId19" Type="http://schemas.openxmlformats.org/officeDocument/2006/relationships/hyperlink" Target="https://infohub.nyced.org/reports/school-quality/information-and-data-overview" TargetMode="External"/><Relationship Id="rId4" Type="http://schemas.openxmlformats.org/officeDocument/2006/relationships/hyperlink" Target="https://ocrdata.ed.gov/flex/Reports.aspx?type=district" TargetMode="External"/><Relationship Id="rId9" Type="http://schemas.openxmlformats.org/officeDocument/2006/relationships/hyperlink" Target="https://nces.ed.gov/nationsreportcard/subject/publications/dst2019/pdf/2020015xn4.pdf" TargetMode="External"/><Relationship Id="rId14" Type="http://schemas.openxmlformats.org/officeDocument/2006/relationships/hyperlink" Target="https://nces.ed.gov/nationsreportcard/subject/publications/dst2019/pdf/2020015xn4.pdf" TargetMode="External"/><Relationship Id="rId22" Type="http://schemas.openxmlformats.org/officeDocument/2006/relationships/hyperlink" Target="https://infohub.nyced.org/reports/school-quality/information-and-data-over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06FEB-4247-4DA7-9EE0-ED3A3098BB11}">
  <dimension ref="A1:E27"/>
  <sheetViews>
    <sheetView topLeftCell="A16" workbookViewId="0">
      <selection activeCell="B2" sqref="B2:E27"/>
    </sheetView>
  </sheetViews>
  <sheetFormatPr defaultRowHeight="14.5"/>
  <cols>
    <col min="1" max="1" width="38.6328125" bestFit="1" customWidth="1"/>
    <col min="2" max="2" width="16.36328125" bestFit="1" customWidth="1"/>
    <col min="3" max="3" width="14.54296875" bestFit="1" customWidth="1"/>
    <col min="4" max="4" width="9.7265625" bestFit="1" customWidth="1"/>
    <col min="5" max="5" width="16.26953125" bestFit="1" customWidth="1"/>
  </cols>
  <sheetData>
    <row r="1" spans="1:5" ht="21.5" thickBot="1">
      <c r="A1" s="38" t="s">
        <v>35</v>
      </c>
      <c r="B1" s="38" t="s">
        <v>36</v>
      </c>
      <c r="C1" s="38" t="s">
        <v>37</v>
      </c>
      <c r="D1" s="38" t="s">
        <v>36</v>
      </c>
      <c r="E1" s="38" t="s">
        <v>38</v>
      </c>
    </row>
    <row r="2" spans="1:5" ht="22" thickTop="1" thickBot="1">
      <c r="A2" s="39" t="s">
        <v>39</v>
      </c>
      <c r="B2" s="40">
        <f>1/3</f>
        <v>0.33333333333333331</v>
      </c>
      <c r="C2" s="139" t="s">
        <v>8</v>
      </c>
      <c r="D2" s="132">
        <v>0.4</v>
      </c>
      <c r="E2" s="132" t="s">
        <v>0</v>
      </c>
    </row>
    <row r="3" spans="1:5" ht="22" thickTop="1" thickBot="1">
      <c r="A3" s="39" t="s">
        <v>40</v>
      </c>
      <c r="B3" s="40">
        <f>1/3</f>
        <v>0.33333333333333331</v>
      </c>
      <c r="C3" s="140"/>
      <c r="D3" s="142"/>
      <c r="E3" s="142"/>
    </row>
    <row r="4" spans="1:5" ht="22" thickTop="1" thickBot="1">
      <c r="A4" s="67" t="s">
        <v>118</v>
      </c>
      <c r="B4" s="40">
        <f>1/3</f>
        <v>0.33333333333333331</v>
      </c>
      <c r="C4" s="141"/>
      <c r="D4" s="133"/>
      <c r="E4" s="142"/>
    </row>
    <row r="5" spans="1:5" ht="22" thickTop="1" thickBot="1">
      <c r="A5" s="41" t="s">
        <v>41</v>
      </c>
      <c r="B5" s="42">
        <v>0.5</v>
      </c>
      <c r="C5" s="130" t="s">
        <v>17</v>
      </c>
      <c r="D5" s="132">
        <v>0.4</v>
      </c>
      <c r="E5" s="142"/>
    </row>
    <row r="6" spans="1:5" ht="22" thickTop="1" thickBot="1">
      <c r="A6" s="41" t="s">
        <v>42</v>
      </c>
      <c r="B6" s="42">
        <v>0.5</v>
      </c>
      <c r="C6" s="131"/>
      <c r="D6" s="133"/>
      <c r="E6" s="142"/>
    </row>
    <row r="7" spans="1:5" ht="22" thickTop="1" thickBot="1">
      <c r="A7" s="43" t="s">
        <v>43</v>
      </c>
      <c r="B7" s="44">
        <f>1/3</f>
        <v>0.33333333333333331</v>
      </c>
      <c r="C7" s="143" t="s">
        <v>25</v>
      </c>
      <c r="D7" s="132">
        <v>0.2</v>
      </c>
      <c r="E7" s="142"/>
    </row>
    <row r="8" spans="1:5" ht="22" thickTop="1" thickBot="1">
      <c r="A8" s="68" t="s">
        <v>63</v>
      </c>
      <c r="B8" s="44">
        <f>1/3</f>
        <v>0.33333333333333331</v>
      </c>
      <c r="C8" s="144"/>
      <c r="D8" s="142"/>
      <c r="E8" s="142"/>
    </row>
    <row r="9" spans="1:5" ht="22" thickTop="1" thickBot="1">
      <c r="A9" s="68" t="s">
        <v>119</v>
      </c>
      <c r="B9" s="44">
        <f>1/3</f>
        <v>0.33333333333333331</v>
      </c>
      <c r="C9" s="145"/>
      <c r="D9" s="133"/>
      <c r="E9" s="133"/>
    </row>
    <row r="10" spans="1:5" ht="22" thickTop="1" thickBot="1">
      <c r="A10" s="45" t="s">
        <v>44</v>
      </c>
      <c r="B10" s="46">
        <f>1/3</f>
        <v>0.33333333333333331</v>
      </c>
      <c r="C10" s="146" t="s">
        <v>8</v>
      </c>
      <c r="D10" s="125">
        <v>0.4</v>
      </c>
      <c r="E10" s="125" t="s">
        <v>45</v>
      </c>
    </row>
    <row r="11" spans="1:5" ht="22" thickTop="1" thickBot="1">
      <c r="A11" s="69" t="s">
        <v>120</v>
      </c>
      <c r="B11" s="46">
        <f t="shared" ref="B11:B12" si="0">1/3</f>
        <v>0.33333333333333331</v>
      </c>
      <c r="C11" s="147"/>
      <c r="D11" s="126"/>
      <c r="E11" s="126"/>
    </row>
    <row r="12" spans="1:5" ht="22" thickTop="1" thickBot="1">
      <c r="A12" s="69" t="s">
        <v>121</v>
      </c>
      <c r="B12" s="46">
        <f t="shared" si="0"/>
        <v>0.33333333333333331</v>
      </c>
      <c r="C12" s="148"/>
      <c r="D12" s="127"/>
      <c r="E12" s="126"/>
    </row>
    <row r="13" spans="1:5" ht="22" thickTop="1" thickBot="1">
      <c r="A13" s="47" t="s">
        <v>46</v>
      </c>
      <c r="B13" s="48">
        <f>0.5</f>
        <v>0.5</v>
      </c>
      <c r="C13" s="149" t="s">
        <v>17</v>
      </c>
      <c r="D13" s="125">
        <v>0.4</v>
      </c>
      <c r="E13" s="126"/>
    </row>
    <row r="14" spans="1:5" ht="22" thickTop="1" thickBot="1">
      <c r="A14" s="70" t="s">
        <v>122</v>
      </c>
      <c r="B14" s="48">
        <f>0.5</f>
        <v>0.5</v>
      </c>
      <c r="C14" s="150"/>
      <c r="D14" s="127"/>
      <c r="E14" s="126"/>
    </row>
    <row r="15" spans="1:5" ht="22" thickTop="1" thickBot="1">
      <c r="A15" s="49" t="s">
        <v>47</v>
      </c>
      <c r="B15" s="50">
        <f>0.25</f>
        <v>0.25</v>
      </c>
      <c r="C15" s="134" t="s">
        <v>25</v>
      </c>
      <c r="D15" s="125">
        <v>0.2</v>
      </c>
      <c r="E15" s="126"/>
    </row>
    <row r="16" spans="1:5" ht="22" thickTop="1" thickBot="1">
      <c r="A16" s="71" t="s">
        <v>123</v>
      </c>
      <c r="B16" s="50">
        <f t="shared" ref="B16:B18" si="1">0.25</f>
        <v>0.25</v>
      </c>
      <c r="C16" s="135"/>
      <c r="D16" s="126"/>
      <c r="E16" s="126"/>
    </row>
    <row r="17" spans="1:5" ht="22" thickTop="1" thickBot="1">
      <c r="A17" s="71" t="s">
        <v>124</v>
      </c>
      <c r="B17" s="50">
        <f t="shared" si="1"/>
        <v>0.25</v>
      </c>
      <c r="C17" s="135"/>
      <c r="D17" s="126"/>
      <c r="E17" s="126"/>
    </row>
    <row r="18" spans="1:5" ht="22" thickTop="1" thickBot="1">
      <c r="A18" s="71" t="s">
        <v>73</v>
      </c>
      <c r="B18" s="50">
        <f t="shared" si="1"/>
        <v>0.25</v>
      </c>
      <c r="C18" s="136"/>
      <c r="D18" s="127"/>
      <c r="E18" s="127"/>
    </row>
    <row r="19" spans="1:5" ht="22" thickTop="1" thickBot="1">
      <c r="A19" s="51" t="s">
        <v>48</v>
      </c>
      <c r="B19" s="52">
        <v>0.5</v>
      </c>
      <c r="C19" s="151" t="s">
        <v>8</v>
      </c>
      <c r="D19" s="128">
        <v>0.4</v>
      </c>
      <c r="E19" s="128" t="s">
        <v>2</v>
      </c>
    </row>
    <row r="20" spans="1:5" ht="22" thickTop="1" thickBot="1">
      <c r="A20" s="51" t="s">
        <v>49</v>
      </c>
      <c r="B20" s="52">
        <v>0.5</v>
      </c>
      <c r="C20" s="152"/>
      <c r="D20" s="129"/>
      <c r="E20" s="153"/>
    </row>
    <row r="21" spans="1:5" ht="22" thickTop="1" thickBot="1">
      <c r="A21" s="53" t="s">
        <v>50</v>
      </c>
      <c r="B21" s="54">
        <v>0.33300000000000002</v>
      </c>
      <c r="C21" s="154" t="s">
        <v>17</v>
      </c>
      <c r="D21" s="128">
        <v>0.4</v>
      </c>
      <c r="E21" s="153"/>
    </row>
    <row r="22" spans="1:5" ht="22" thickTop="1" thickBot="1">
      <c r="A22" s="53" t="s">
        <v>51</v>
      </c>
      <c r="B22" s="54">
        <v>0.33300000000000002</v>
      </c>
      <c r="C22" s="155"/>
      <c r="D22" s="153"/>
      <c r="E22" s="153"/>
    </row>
    <row r="23" spans="1:5" ht="22" thickTop="1" thickBot="1">
      <c r="A23" s="53" t="s">
        <v>52</v>
      </c>
      <c r="B23" s="54">
        <v>0.33300000000000002</v>
      </c>
      <c r="C23" s="156"/>
      <c r="D23" s="129"/>
      <c r="E23" s="153"/>
    </row>
    <row r="24" spans="1:5" ht="22" thickTop="1" thickBot="1">
      <c r="A24" s="55" t="s">
        <v>53</v>
      </c>
      <c r="B24" s="56">
        <v>0.5</v>
      </c>
      <c r="C24" s="157" t="s">
        <v>25</v>
      </c>
      <c r="D24" s="128">
        <v>0.2</v>
      </c>
      <c r="E24" s="153"/>
    </row>
    <row r="25" spans="1:5" ht="22" thickTop="1" thickBot="1">
      <c r="A25" s="72" t="s">
        <v>125</v>
      </c>
      <c r="B25" s="56">
        <v>0.5</v>
      </c>
      <c r="C25" s="158"/>
      <c r="D25" s="129"/>
      <c r="E25" s="129"/>
    </row>
    <row r="26" spans="1:5" ht="22" thickTop="1" thickBot="1">
      <c r="A26" s="57" t="s">
        <v>54</v>
      </c>
      <c r="B26" s="58">
        <v>1</v>
      </c>
      <c r="C26" s="58" t="s">
        <v>8</v>
      </c>
      <c r="D26" s="59">
        <v>0.5</v>
      </c>
      <c r="E26" s="137" t="s">
        <v>3</v>
      </c>
    </row>
    <row r="27" spans="1:5" ht="22" thickTop="1" thickBot="1">
      <c r="A27" s="60" t="s">
        <v>55</v>
      </c>
      <c r="B27" s="61">
        <v>1</v>
      </c>
      <c r="C27" s="61" t="s">
        <v>17</v>
      </c>
      <c r="D27" s="62">
        <v>0.5</v>
      </c>
      <c r="E27" s="138"/>
    </row>
  </sheetData>
  <mergeCells count="22">
    <mergeCell ref="E26:E27"/>
    <mergeCell ref="C2:C4"/>
    <mergeCell ref="D2:D4"/>
    <mergeCell ref="D7:D9"/>
    <mergeCell ref="E2:E9"/>
    <mergeCell ref="C7:C9"/>
    <mergeCell ref="D10:D12"/>
    <mergeCell ref="C10:C12"/>
    <mergeCell ref="C13:C14"/>
    <mergeCell ref="D13:D14"/>
    <mergeCell ref="C19:C20"/>
    <mergeCell ref="D19:D20"/>
    <mergeCell ref="E19:E25"/>
    <mergeCell ref="C21:C23"/>
    <mergeCell ref="D21:D23"/>
    <mergeCell ref="C24:C25"/>
    <mergeCell ref="E10:E18"/>
    <mergeCell ref="D24:D25"/>
    <mergeCell ref="C5:C6"/>
    <mergeCell ref="D5:D6"/>
    <mergeCell ref="C15:C18"/>
    <mergeCell ref="D15:D1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4926E-AC05-455F-8728-7FA78C283DA1}">
  <dimension ref="A1:R55"/>
  <sheetViews>
    <sheetView topLeftCell="A16" workbookViewId="0">
      <selection activeCell="E28" sqref="E28"/>
    </sheetView>
  </sheetViews>
  <sheetFormatPr defaultRowHeight="14.5"/>
  <cols>
    <col min="1" max="1" width="4.81640625" bestFit="1" customWidth="1"/>
    <col min="2" max="2" width="13.54296875" bestFit="1" customWidth="1"/>
    <col min="3" max="3" width="8.453125" bestFit="1" customWidth="1"/>
    <col min="4" max="4" width="10.26953125" bestFit="1" customWidth="1"/>
    <col min="5" max="5" width="52" bestFit="1" customWidth="1"/>
    <col min="6" max="6" width="5.81640625" bestFit="1" customWidth="1"/>
    <col min="7" max="7" width="7.81640625" bestFit="1" customWidth="1"/>
    <col min="8" max="8" width="6.26953125" bestFit="1" customWidth="1"/>
    <col min="9" max="9" width="5.81640625" bestFit="1" customWidth="1"/>
    <col min="10" max="10" width="14.81640625" bestFit="1" customWidth="1"/>
    <col min="11" max="11" width="11.08984375" bestFit="1" customWidth="1"/>
    <col min="12" max="12" width="16" bestFit="1" customWidth="1"/>
    <col min="13" max="13" width="17" bestFit="1" customWidth="1"/>
    <col min="14" max="17" width="17" customWidth="1"/>
    <col min="18" max="18" width="52.90625" bestFit="1" customWidth="1"/>
  </cols>
  <sheetData>
    <row r="1" spans="1:18">
      <c r="A1" s="63" t="s">
        <v>208</v>
      </c>
      <c r="B1" s="63" t="s">
        <v>246</v>
      </c>
      <c r="C1" s="63" t="s">
        <v>56</v>
      </c>
      <c r="D1" s="63" t="s">
        <v>37</v>
      </c>
      <c r="E1" s="63" t="s">
        <v>35</v>
      </c>
      <c r="F1" s="63" t="s">
        <v>58</v>
      </c>
      <c r="G1" s="63" t="s">
        <v>59</v>
      </c>
      <c r="H1" s="63" t="s">
        <v>60</v>
      </c>
      <c r="I1" s="63" t="s">
        <v>61</v>
      </c>
      <c r="J1" s="63" t="s">
        <v>314</v>
      </c>
      <c r="K1" s="63" t="s">
        <v>315</v>
      </c>
      <c r="L1" s="63" t="s">
        <v>321</v>
      </c>
      <c r="M1" s="63" t="s">
        <v>316</v>
      </c>
      <c r="N1" s="63" t="s">
        <v>322</v>
      </c>
      <c r="O1" s="63" t="s">
        <v>323</v>
      </c>
      <c r="P1" s="63" t="s">
        <v>324</v>
      </c>
      <c r="Q1" s="63" t="s">
        <v>325</v>
      </c>
      <c r="R1" s="63" t="s">
        <v>317</v>
      </c>
    </row>
    <row r="2" spans="1:18">
      <c r="A2" s="63">
        <v>2019</v>
      </c>
      <c r="B2" s="63" t="s">
        <v>255</v>
      </c>
      <c r="C2" s="63" t="s">
        <v>0</v>
      </c>
      <c r="D2" s="63" t="s">
        <v>8</v>
      </c>
      <c r="E2" s="63" t="s">
        <v>256</v>
      </c>
      <c r="F2" s="63">
        <f>'Metrics Data'!I2</f>
        <v>0.18</v>
      </c>
      <c r="G2" s="63">
        <f>'Metrics Data'!I3</f>
        <v>0.28999999999999998</v>
      </c>
      <c r="H2" s="63">
        <f>'Metrics Data'!I4</f>
        <v>0.65</v>
      </c>
      <c r="I2" s="63">
        <f>'Metrics Data'!I5</f>
        <v>0.72</v>
      </c>
      <c r="J2" s="63">
        <f t="shared" ref="J2:J7" si="0">ROUND(GEOMEAN(F2:I2),3)</f>
        <v>0.39500000000000002</v>
      </c>
      <c r="K2" s="63">
        <f>ROUND(100*(((ABS(F2-J2)+ABS(G2-J2)+ABS(H2-J2)+ABS(I2-J2))/(J2*COUNT(F2:I2)))),1)</f>
        <v>57</v>
      </c>
      <c r="L2" s="63">
        <f>ROUND(SQRT(K2),3)</f>
        <v>7.55</v>
      </c>
      <c r="M2" s="63">
        <f>100-ROUND(100*((L2)/(MAX(L$2:L$56))),1)</f>
        <v>48.2</v>
      </c>
      <c r="N2" s="63">
        <f>1/3</f>
        <v>0.33333333333333331</v>
      </c>
      <c r="O2" s="237">
        <f>ROUND(GEOMEAN(M2:M4),1)</f>
        <v>59.1</v>
      </c>
      <c r="P2" s="237">
        <v>0.4</v>
      </c>
      <c r="Q2" s="237">
        <f>ROUND(O2^P2*O5^P5*O7^P7,1)</f>
        <v>38.700000000000003</v>
      </c>
      <c r="R2" s="63"/>
    </row>
    <row r="3" spans="1:18">
      <c r="A3" s="63">
        <v>2019</v>
      </c>
      <c r="B3" s="63" t="s">
        <v>255</v>
      </c>
      <c r="C3" s="96" t="s">
        <v>0</v>
      </c>
      <c r="D3" s="63" t="s">
        <v>8</v>
      </c>
      <c r="E3" s="63" t="s">
        <v>257</v>
      </c>
      <c r="F3" s="63">
        <f>'Metrics Data'!I6</f>
        <v>0.15</v>
      </c>
      <c r="G3" s="63">
        <f>'Metrics Data'!I7</f>
        <v>0.27</v>
      </c>
      <c r="H3" s="63">
        <f>'Metrics Data'!I8</f>
        <v>0.56000000000000005</v>
      </c>
      <c r="I3" s="63">
        <f>'Metrics Data'!I9</f>
        <v>0.71</v>
      </c>
      <c r="J3" s="63">
        <f t="shared" si="0"/>
        <v>0.35599999999999998</v>
      </c>
      <c r="K3" s="63">
        <f t="shared" ref="K3:K55" si="1">ROUND(100*(((ABS(F3-J3)+ABS(G3-J3)+ABS(H3-J3)+ABS(I3-J3))/(J3*COUNT(F3:I3)))),1)</f>
        <v>59.7</v>
      </c>
      <c r="L3" s="63">
        <f t="shared" ref="L3:L36" si="2">ROUND(SQRT(K3),3)</f>
        <v>7.7270000000000003</v>
      </c>
      <c r="M3" s="63">
        <f t="shared" ref="M3:M55" si="3">100-ROUND(100*((L3)/(MAX(L$2:L$56))),1)</f>
        <v>47</v>
      </c>
      <c r="N3" s="63">
        <f t="shared" ref="N3:N4" si="4">1/3</f>
        <v>0.33333333333333331</v>
      </c>
      <c r="O3" s="237"/>
      <c r="P3" s="237"/>
      <c r="Q3" s="237"/>
      <c r="R3" s="63"/>
    </row>
    <row r="4" spans="1:18">
      <c r="A4" s="63">
        <v>2017</v>
      </c>
      <c r="B4" s="63" t="s">
        <v>255</v>
      </c>
      <c r="C4" s="63" t="s">
        <v>0</v>
      </c>
      <c r="D4" s="63" t="s">
        <v>8</v>
      </c>
      <c r="E4" s="63" t="s">
        <v>258</v>
      </c>
      <c r="F4" s="63">
        <f>'Metrics Data'!I10</f>
        <v>0.95199999999999996</v>
      </c>
      <c r="G4" s="63">
        <f>'Metrics Data'!I11</f>
        <v>0.99</v>
      </c>
      <c r="H4" s="63">
        <f>'Metrics Data'!I12</f>
        <v>0.997</v>
      </c>
      <c r="I4" s="63">
        <f>'Metrics Data'!I13</f>
        <v>1</v>
      </c>
      <c r="J4" s="63">
        <f t="shared" si="0"/>
        <v>0.98499999999999999</v>
      </c>
      <c r="K4" s="63">
        <f t="shared" si="1"/>
        <v>1.6</v>
      </c>
      <c r="L4" s="63">
        <f t="shared" si="2"/>
        <v>1.2649999999999999</v>
      </c>
      <c r="M4" s="63">
        <f t="shared" si="3"/>
        <v>91.3</v>
      </c>
      <c r="N4" s="63">
        <f t="shared" si="4"/>
        <v>0.33333333333333331</v>
      </c>
      <c r="O4" s="237"/>
      <c r="P4" s="237"/>
      <c r="Q4" s="237"/>
      <c r="R4" s="63" t="s">
        <v>318</v>
      </c>
    </row>
    <row r="5" spans="1:18">
      <c r="A5" s="63">
        <v>2019</v>
      </c>
      <c r="B5" s="63" t="s">
        <v>255</v>
      </c>
      <c r="C5" s="63" t="s">
        <v>0</v>
      </c>
      <c r="D5" s="63" t="s">
        <v>17</v>
      </c>
      <c r="E5" s="63" t="s">
        <v>41</v>
      </c>
      <c r="F5" s="63">
        <f>'Metrics Data'!I14</f>
        <v>0.02</v>
      </c>
      <c r="G5" s="63">
        <f>'Metrics Data'!I15</f>
        <v>0.04</v>
      </c>
      <c r="H5" s="63">
        <f>'Metrics Data'!I16</f>
        <v>0.2</v>
      </c>
      <c r="I5" s="63">
        <f>'Metrics Data'!I17</f>
        <v>0.32</v>
      </c>
      <c r="J5" s="63">
        <f t="shared" si="0"/>
        <v>8.5000000000000006E-2</v>
      </c>
      <c r="K5" s="63">
        <f t="shared" si="1"/>
        <v>135.30000000000001</v>
      </c>
      <c r="L5" s="63">
        <f t="shared" si="2"/>
        <v>11.632</v>
      </c>
      <c r="M5" s="63">
        <f t="shared" si="3"/>
        <v>20.200000000000003</v>
      </c>
      <c r="N5" s="63">
        <f>1/2</f>
        <v>0.5</v>
      </c>
      <c r="O5" s="237">
        <f>ROUND(GEOMEAN(M5:M6),1)</f>
        <v>21.1</v>
      </c>
      <c r="P5" s="237">
        <v>0.4</v>
      </c>
      <c r="Q5" s="237"/>
      <c r="R5" s="63"/>
    </row>
    <row r="6" spans="1:18">
      <c r="A6" s="63">
        <v>2019</v>
      </c>
      <c r="B6" s="63" t="s">
        <v>255</v>
      </c>
      <c r="C6" s="63" t="s">
        <v>0</v>
      </c>
      <c r="D6" s="63" t="s">
        <v>17</v>
      </c>
      <c r="E6" s="63" t="s">
        <v>42</v>
      </c>
      <c r="F6" s="63">
        <f>'Metrics Data'!I18</f>
        <v>0.02</v>
      </c>
      <c r="G6" s="63">
        <f>'Metrics Data'!I19</f>
        <v>0.06</v>
      </c>
      <c r="H6" s="63">
        <f>'Metrics Data'!I20</f>
        <v>0.22</v>
      </c>
      <c r="I6" s="63">
        <f>'Metrics Data'!I21</f>
        <v>0.37</v>
      </c>
      <c r="J6" s="63">
        <f t="shared" si="0"/>
        <v>9.9000000000000005E-2</v>
      </c>
      <c r="K6" s="63">
        <f t="shared" si="1"/>
        <v>128.80000000000001</v>
      </c>
      <c r="L6" s="63">
        <f t="shared" si="2"/>
        <v>11.349</v>
      </c>
      <c r="M6" s="63">
        <f t="shared" si="3"/>
        <v>22.099999999999994</v>
      </c>
      <c r="N6" s="63">
        <f>1/2</f>
        <v>0.5</v>
      </c>
      <c r="O6" s="237"/>
      <c r="P6" s="237"/>
      <c r="Q6" s="237"/>
      <c r="R6" s="63"/>
    </row>
    <row r="7" spans="1:18">
      <c r="A7" s="63">
        <v>2021</v>
      </c>
      <c r="B7" s="63" t="s">
        <v>255</v>
      </c>
      <c r="C7" s="63" t="s">
        <v>0</v>
      </c>
      <c r="D7" s="63" t="s">
        <v>25</v>
      </c>
      <c r="E7" s="63" t="s">
        <v>259</v>
      </c>
      <c r="F7" s="63">
        <f>'Metrics Data'!I22</f>
        <v>0.13200000000000001</v>
      </c>
      <c r="G7" s="63">
        <f>'Metrics Data'!I23</f>
        <v>7.9000000000000001E-2</v>
      </c>
      <c r="H7" s="63">
        <f>'Metrics Data'!I24</f>
        <v>5.5E-2</v>
      </c>
      <c r="I7" s="63">
        <f>'Metrics Data'!I25</f>
        <v>0.14399999999999999</v>
      </c>
      <c r="J7" s="63">
        <f t="shared" si="0"/>
        <v>9.5000000000000001E-2</v>
      </c>
      <c r="K7" s="63">
        <f t="shared" si="1"/>
        <v>37.4</v>
      </c>
      <c r="L7" s="63">
        <f t="shared" si="2"/>
        <v>6.1159999999999997</v>
      </c>
      <c r="M7" s="63">
        <f t="shared" si="3"/>
        <v>58</v>
      </c>
      <c r="N7" s="63">
        <f>1/4</f>
        <v>0.25</v>
      </c>
      <c r="O7" s="237">
        <f>ROUND(GEOMEAN(M7,M9:M10),1)</f>
        <v>55.7</v>
      </c>
      <c r="P7" s="237">
        <v>0.2</v>
      </c>
      <c r="Q7" s="237"/>
      <c r="R7" s="63"/>
    </row>
    <row r="8" spans="1:18">
      <c r="A8" s="63" t="s">
        <v>140</v>
      </c>
      <c r="B8" s="63" t="s">
        <v>255</v>
      </c>
      <c r="C8" s="63" t="s">
        <v>0</v>
      </c>
      <c r="D8" s="63" t="s">
        <v>25</v>
      </c>
      <c r="E8" s="63" t="s">
        <v>260</v>
      </c>
      <c r="F8" s="63" t="s">
        <v>140</v>
      </c>
      <c r="G8" s="63" t="s">
        <v>140</v>
      </c>
      <c r="H8" s="63" t="s">
        <v>140</v>
      </c>
      <c r="I8" s="63" t="s">
        <v>140</v>
      </c>
      <c r="J8" s="63" t="s">
        <v>140</v>
      </c>
      <c r="K8" s="63" t="s">
        <v>140</v>
      </c>
      <c r="L8" s="63" t="s">
        <v>140</v>
      </c>
      <c r="M8" s="63" t="s">
        <v>140</v>
      </c>
      <c r="N8" s="63">
        <f>1/4</f>
        <v>0.25</v>
      </c>
      <c r="O8" s="237"/>
      <c r="P8" s="237"/>
      <c r="Q8" s="237"/>
      <c r="R8" s="63"/>
    </row>
    <row r="9" spans="1:18">
      <c r="A9" s="63">
        <v>2017</v>
      </c>
      <c r="B9" s="63" t="s">
        <v>255</v>
      </c>
      <c r="C9" s="63" t="s">
        <v>0</v>
      </c>
      <c r="D9" s="63" t="s">
        <v>25</v>
      </c>
      <c r="E9" s="63" t="s">
        <v>63</v>
      </c>
      <c r="F9" s="63">
        <f>'Metrics Data'!I30</f>
        <v>0.121</v>
      </c>
      <c r="G9" s="63">
        <f>'Metrics Data'!I31</f>
        <v>0.222</v>
      </c>
      <c r="H9" s="63">
        <f>'Metrics Data'!I32</f>
        <v>0.501</v>
      </c>
      <c r="I9" s="63">
        <f>'Metrics Data'!I33</f>
        <v>0.53500000000000003</v>
      </c>
      <c r="J9" s="63">
        <f t="shared" ref="J9:J22" si="5">ROUND(GEOMEAN(F9:I9),3)</f>
        <v>0.29099999999999998</v>
      </c>
      <c r="K9" s="63">
        <f t="shared" si="1"/>
        <v>59.5</v>
      </c>
      <c r="L9" s="63">
        <f t="shared" si="2"/>
        <v>7.7140000000000004</v>
      </c>
      <c r="M9" s="63">
        <f t="shared" si="3"/>
        <v>47.1</v>
      </c>
      <c r="N9" s="63">
        <f>1/4</f>
        <v>0.25</v>
      </c>
      <c r="O9" s="237"/>
      <c r="P9" s="237"/>
      <c r="Q9" s="237"/>
      <c r="R9" s="63"/>
    </row>
    <row r="10" spans="1:18">
      <c r="A10" s="63">
        <v>2020</v>
      </c>
      <c r="B10" s="63" t="s">
        <v>255</v>
      </c>
      <c r="C10" s="63" t="s">
        <v>0</v>
      </c>
      <c r="D10" s="63" t="s">
        <v>25</v>
      </c>
      <c r="E10" s="63" t="s">
        <v>119</v>
      </c>
      <c r="F10" s="63">
        <f>'Metrics Data'!I34</f>
        <v>0.24099999999999999</v>
      </c>
      <c r="G10" s="63">
        <f>'Metrics Data'!I35</f>
        <v>0.187</v>
      </c>
      <c r="H10" s="63">
        <f>'Metrics Data'!I36</f>
        <v>0.11799999999999999</v>
      </c>
      <c r="I10" s="63">
        <f>'Metrics Data'!I37</f>
        <v>0.127</v>
      </c>
      <c r="J10" s="63">
        <f t="shared" si="5"/>
        <v>0.161</v>
      </c>
      <c r="K10" s="63">
        <f t="shared" si="1"/>
        <v>28.4</v>
      </c>
      <c r="L10" s="63">
        <f t="shared" si="2"/>
        <v>5.3289999999999997</v>
      </c>
      <c r="M10" s="63">
        <f t="shared" si="3"/>
        <v>63.4</v>
      </c>
      <c r="N10" s="63">
        <f>1/4</f>
        <v>0.25</v>
      </c>
      <c r="O10" s="237"/>
      <c r="P10" s="237"/>
      <c r="Q10" s="237"/>
      <c r="R10" s="63" t="s">
        <v>319</v>
      </c>
    </row>
    <row r="11" spans="1:18">
      <c r="A11" s="63">
        <v>2021</v>
      </c>
      <c r="B11" s="63" t="s">
        <v>255</v>
      </c>
      <c r="C11" s="63" t="s">
        <v>72</v>
      </c>
      <c r="D11" s="63" t="s">
        <v>8</v>
      </c>
      <c r="E11" s="63" t="s">
        <v>261</v>
      </c>
      <c r="F11" s="63">
        <f>'Metrics Data'!I38</f>
        <v>0.113</v>
      </c>
      <c r="G11" s="63">
        <f>'Metrics Data'!I39</f>
        <v>0.19</v>
      </c>
      <c r="H11" s="63">
        <f>'Metrics Data'!I40</f>
        <v>0.63600000000000001</v>
      </c>
      <c r="I11" s="63">
        <f>'Metrics Data'!I41</f>
        <v>0.52700000000000002</v>
      </c>
      <c r="J11" s="63">
        <f t="shared" si="5"/>
        <v>0.29099999999999998</v>
      </c>
      <c r="K11" s="63">
        <f t="shared" si="1"/>
        <v>73.900000000000006</v>
      </c>
      <c r="L11" s="63">
        <f t="shared" si="2"/>
        <v>8.5969999999999995</v>
      </c>
      <c r="M11" s="63">
        <f t="shared" si="3"/>
        <v>41</v>
      </c>
      <c r="N11" s="97">
        <f>1/3</f>
        <v>0.33333333333333331</v>
      </c>
      <c r="O11" s="237">
        <f>ROUND(GEOMEAN(M11:M13),1)</f>
        <v>49.4</v>
      </c>
      <c r="P11" s="237">
        <v>0.4</v>
      </c>
      <c r="Q11" s="237">
        <f>ROUND(O11^P11*O14^P14*O16^P16,1)</f>
        <v>18.399999999999999</v>
      </c>
      <c r="R11" s="63"/>
    </row>
    <row r="12" spans="1:18">
      <c r="A12" s="63">
        <v>2021</v>
      </c>
      <c r="B12" s="63" t="s">
        <v>255</v>
      </c>
      <c r="C12" s="63" t="s">
        <v>72</v>
      </c>
      <c r="D12" s="63" t="s">
        <v>8</v>
      </c>
      <c r="E12" s="63" t="s">
        <v>262</v>
      </c>
      <c r="F12" s="63">
        <f>'Metrics Data'!I42</f>
        <v>0.17199999999999999</v>
      </c>
      <c r="G12" s="63">
        <f>'Metrics Data'!I43</f>
        <v>0.32300000000000001</v>
      </c>
      <c r="H12" s="63">
        <f>'Metrics Data'!I44</f>
        <v>0.69199999999999995</v>
      </c>
      <c r="I12" s="63">
        <f>'Metrics Data'!I45</f>
        <v>0.61799999999999999</v>
      </c>
      <c r="J12" s="63">
        <f t="shared" si="5"/>
        <v>0.39300000000000002</v>
      </c>
      <c r="K12" s="63">
        <f t="shared" si="1"/>
        <v>51.8</v>
      </c>
      <c r="L12" s="63">
        <f t="shared" si="2"/>
        <v>7.1970000000000001</v>
      </c>
      <c r="M12" s="63">
        <f t="shared" si="3"/>
        <v>50.6</v>
      </c>
      <c r="N12" s="97">
        <f>1/3</f>
        <v>0.33333333333333331</v>
      </c>
      <c r="O12" s="237"/>
      <c r="P12" s="237"/>
      <c r="Q12" s="237"/>
      <c r="R12" s="63"/>
    </row>
    <row r="13" spans="1:18">
      <c r="A13" s="63">
        <v>2021</v>
      </c>
      <c r="B13" s="63" t="s">
        <v>255</v>
      </c>
      <c r="C13" s="63" t="s">
        <v>72</v>
      </c>
      <c r="D13" s="63" t="s">
        <v>8</v>
      </c>
      <c r="E13" s="63" t="s">
        <v>263</v>
      </c>
      <c r="F13" s="63">
        <f>'Metrics Data'!I46</f>
        <v>4.0000000000000001E-3</v>
      </c>
      <c r="G13" s="63">
        <f>'Metrics Data'!I47</f>
        <v>2E-3</v>
      </c>
      <c r="H13" s="63">
        <f>'Metrics Data'!I48</f>
        <v>2E-3</v>
      </c>
      <c r="I13" s="63">
        <f>'Metrics Data'!I49</f>
        <v>1E-3</v>
      </c>
      <c r="J13" s="63">
        <f t="shared" si="5"/>
        <v>2E-3</v>
      </c>
      <c r="K13" s="63">
        <f t="shared" si="1"/>
        <v>37.5</v>
      </c>
      <c r="L13" s="63">
        <f t="shared" si="2"/>
        <v>6.1239999999999997</v>
      </c>
      <c r="M13" s="63">
        <f t="shared" si="3"/>
        <v>58</v>
      </c>
      <c r="N13" s="63">
        <f>1/3</f>
        <v>0.33333333333333331</v>
      </c>
      <c r="O13" s="237"/>
      <c r="P13" s="237"/>
      <c r="Q13" s="237"/>
      <c r="R13" s="63" t="s">
        <v>320</v>
      </c>
    </row>
    <row r="14" spans="1:18">
      <c r="A14" s="63">
        <v>2021</v>
      </c>
      <c r="B14" s="63" t="s">
        <v>255</v>
      </c>
      <c r="C14" s="63" t="s">
        <v>72</v>
      </c>
      <c r="D14" s="63" t="s">
        <v>17</v>
      </c>
      <c r="E14" s="63" t="s">
        <v>264</v>
      </c>
      <c r="F14" s="63">
        <f>'Metrics Data'!I50</f>
        <v>7.0000000000000001E-3</v>
      </c>
      <c r="G14" s="63">
        <f>'Metrics Data'!I51</f>
        <v>1.7999999999999999E-2</v>
      </c>
      <c r="H14" s="63">
        <f>'Metrics Data'!I52</f>
        <v>0.223</v>
      </c>
      <c r="I14" s="63">
        <f>'Metrics Data'!I53</f>
        <v>0.23499999999999999</v>
      </c>
      <c r="J14" s="63">
        <f t="shared" si="5"/>
        <v>5.0999999999999997E-2</v>
      </c>
      <c r="K14" s="63">
        <f t="shared" si="1"/>
        <v>212.3</v>
      </c>
      <c r="L14" s="63">
        <f t="shared" si="2"/>
        <v>14.571</v>
      </c>
      <c r="M14" s="63">
        <f>100-ROUND(100*((L14)/(MAX(L$2:L$56))),1) + 1</f>
        <v>1</v>
      </c>
      <c r="N14" s="63">
        <f>1/2</f>
        <v>0.5</v>
      </c>
      <c r="O14" s="237">
        <f>ROUND(GEOMEAN(M14:M15),1)</f>
        <v>4.2</v>
      </c>
      <c r="P14" s="237">
        <v>0.4</v>
      </c>
      <c r="Q14" s="237"/>
      <c r="R14" s="63"/>
    </row>
    <row r="15" spans="1:18">
      <c r="A15" s="63">
        <v>2021</v>
      </c>
      <c r="B15" s="63" t="s">
        <v>255</v>
      </c>
      <c r="C15" s="63" t="s">
        <v>72</v>
      </c>
      <c r="D15" s="63" t="s">
        <v>17</v>
      </c>
      <c r="E15" s="63" t="s">
        <v>265</v>
      </c>
      <c r="F15" s="63">
        <f>'Metrics Data'!I54</f>
        <v>1.2E-2</v>
      </c>
      <c r="G15" s="63">
        <f>'Metrics Data'!I55</f>
        <v>2.9000000000000001E-2</v>
      </c>
      <c r="H15" s="63">
        <f>'Metrics Data'!I56</f>
        <v>0.20899999999999999</v>
      </c>
      <c r="I15" s="63">
        <f>'Metrics Data'!I57</f>
        <v>0.18</v>
      </c>
      <c r="J15" s="63">
        <f t="shared" si="5"/>
        <v>0.06</v>
      </c>
      <c r="K15" s="63">
        <f t="shared" si="1"/>
        <v>145</v>
      </c>
      <c r="L15" s="63">
        <f t="shared" si="2"/>
        <v>12.042</v>
      </c>
      <c r="M15" s="63">
        <f t="shared" si="3"/>
        <v>17.400000000000006</v>
      </c>
      <c r="N15" s="63">
        <f>1/2</f>
        <v>0.5</v>
      </c>
      <c r="O15" s="237"/>
      <c r="P15" s="237"/>
      <c r="Q15" s="237"/>
      <c r="R15" s="63"/>
    </row>
    <row r="16" spans="1:18">
      <c r="A16" s="63">
        <v>2021</v>
      </c>
      <c r="B16" s="63" t="s">
        <v>255</v>
      </c>
      <c r="C16" s="63" t="s">
        <v>72</v>
      </c>
      <c r="D16" s="63" t="s">
        <v>25</v>
      </c>
      <c r="E16" s="63" t="s">
        <v>266</v>
      </c>
      <c r="F16" s="63">
        <f>'Metrics Data'!I58</f>
        <v>1.0999999999999999E-2</v>
      </c>
      <c r="G16" s="63">
        <f>'Metrics Data'!I59</f>
        <v>0.02</v>
      </c>
      <c r="H16" s="63">
        <f>'Metrics Data'!I60</f>
        <v>6.4000000000000001E-2</v>
      </c>
      <c r="I16" s="63">
        <f>'Metrics Data'!I61</f>
        <v>7.9000000000000001E-2</v>
      </c>
      <c r="J16" s="63">
        <f t="shared" si="5"/>
        <v>3.2000000000000001E-2</v>
      </c>
      <c r="K16" s="63">
        <f t="shared" si="1"/>
        <v>87.5</v>
      </c>
      <c r="L16" s="63">
        <f t="shared" si="2"/>
        <v>9.3539999999999992</v>
      </c>
      <c r="M16" s="63">
        <f t="shared" si="3"/>
        <v>35.799999999999997</v>
      </c>
      <c r="N16" s="63">
        <f>1/4</f>
        <v>0.25</v>
      </c>
      <c r="O16" s="237">
        <f>ROUND(GEOMEAN(M16,M18:M19),1)</f>
        <v>49.6</v>
      </c>
      <c r="P16" s="237">
        <v>0.2</v>
      </c>
      <c r="Q16" s="237"/>
      <c r="R16" s="63"/>
    </row>
    <row r="17" spans="1:18">
      <c r="A17" s="63">
        <v>2021</v>
      </c>
      <c r="B17" s="63" t="s">
        <v>255</v>
      </c>
      <c r="C17" s="63" t="s">
        <v>72</v>
      </c>
      <c r="D17" s="63" t="s">
        <v>25</v>
      </c>
      <c r="E17" s="63" t="s">
        <v>267</v>
      </c>
      <c r="F17" s="63">
        <f>'Metrics Data'!I62</f>
        <v>8.7999999999999995E-2</v>
      </c>
      <c r="G17" s="63">
        <f>'Metrics Data'!I63</f>
        <v>0.19700000000000001</v>
      </c>
      <c r="H17" s="63">
        <f>'Metrics Data'!I64</f>
        <v>0.13600000000000001</v>
      </c>
      <c r="I17" s="63">
        <f>'Metrics Data'!I65</f>
        <v>0.19800000000000001</v>
      </c>
      <c r="J17" s="63">
        <f t="shared" si="5"/>
        <v>0.14699999999999999</v>
      </c>
      <c r="K17" s="63">
        <f t="shared" si="1"/>
        <v>29.1</v>
      </c>
      <c r="L17" s="63">
        <f t="shared" si="2"/>
        <v>5.3940000000000001</v>
      </c>
      <c r="M17" s="63">
        <f t="shared" si="3"/>
        <v>63</v>
      </c>
      <c r="N17" s="63">
        <f>1/4</f>
        <v>0.25</v>
      </c>
      <c r="O17" s="237"/>
      <c r="P17" s="237"/>
      <c r="Q17" s="237"/>
      <c r="R17" s="63"/>
    </row>
    <row r="18" spans="1:18">
      <c r="A18" s="63">
        <v>2021</v>
      </c>
      <c r="B18" s="63" t="s">
        <v>255</v>
      </c>
      <c r="C18" s="63" t="s">
        <v>72</v>
      </c>
      <c r="D18" s="63" t="s">
        <v>25</v>
      </c>
      <c r="E18" s="63" t="s">
        <v>268</v>
      </c>
      <c r="F18" s="63">
        <f>'Metrics Data'!I66</f>
        <v>5.5E-2</v>
      </c>
      <c r="G18" s="63">
        <f>'Metrics Data'!I67</f>
        <v>9.2999999999999999E-2</v>
      </c>
      <c r="H18" s="63">
        <f>'Metrics Data'!I68</f>
        <v>0.19600000000000001</v>
      </c>
      <c r="I18" s="63">
        <f>'Metrics Data'!I69</f>
        <v>0.254</v>
      </c>
      <c r="J18" s="63">
        <f t="shared" si="5"/>
        <v>0.126</v>
      </c>
      <c r="K18" s="63">
        <f t="shared" si="1"/>
        <v>59.9</v>
      </c>
      <c r="L18" s="63">
        <f t="shared" si="2"/>
        <v>7.74</v>
      </c>
      <c r="M18" s="63">
        <f t="shared" si="3"/>
        <v>46.9</v>
      </c>
      <c r="N18" s="63">
        <f>1/4</f>
        <v>0.25</v>
      </c>
      <c r="O18" s="237"/>
      <c r="P18" s="237"/>
      <c r="Q18" s="237"/>
      <c r="R18" s="63"/>
    </row>
    <row r="19" spans="1:18">
      <c r="A19" s="63">
        <v>2017</v>
      </c>
      <c r="B19" s="63" t="s">
        <v>255</v>
      </c>
      <c r="C19" s="63" t="s">
        <v>72</v>
      </c>
      <c r="D19" s="63" t="s">
        <v>25</v>
      </c>
      <c r="E19" s="63" t="s">
        <v>73</v>
      </c>
      <c r="F19" s="63">
        <f>'Metrics Data'!I70</f>
        <v>0.29399999999999998</v>
      </c>
      <c r="G19" s="63">
        <f>'Metrics Data'!I71</f>
        <v>0.29799999999999999</v>
      </c>
      <c r="H19" s="63">
        <f>'Metrics Data'!I72</f>
        <v>0.38300000000000001</v>
      </c>
      <c r="I19" s="63">
        <f>'Metrics Data'!I73</f>
        <v>0.433</v>
      </c>
      <c r="J19" s="63">
        <f t="shared" si="5"/>
        <v>0.34699999999999998</v>
      </c>
      <c r="K19" s="63">
        <f t="shared" si="1"/>
        <v>16.100000000000001</v>
      </c>
      <c r="L19" s="63">
        <f t="shared" si="2"/>
        <v>4.0119999999999996</v>
      </c>
      <c r="M19" s="63">
        <f t="shared" si="3"/>
        <v>72.5</v>
      </c>
      <c r="N19" s="63">
        <f>1/4</f>
        <v>0.25</v>
      </c>
      <c r="O19" s="237"/>
      <c r="P19" s="237"/>
      <c r="Q19" s="237"/>
      <c r="R19" s="63"/>
    </row>
    <row r="20" spans="1:18">
      <c r="A20" s="63">
        <v>2021</v>
      </c>
      <c r="B20" s="63" t="s">
        <v>255</v>
      </c>
      <c r="C20" s="63" t="s">
        <v>269</v>
      </c>
      <c r="D20" s="63" t="s">
        <v>8</v>
      </c>
      <c r="E20" s="63" t="s">
        <v>270</v>
      </c>
      <c r="F20" s="63">
        <f>'Metrics Data'!I74</f>
        <v>0.18099999999999999</v>
      </c>
      <c r="G20" s="63">
        <f>'Metrics Data'!I75</f>
        <v>0.21</v>
      </c>
      <c r="H20" s="63">
        <f>'Metrics Data'!I76</f>
        <v>0.27300000000000002</v>
      </c>
      <c r="I20" s="63">
        <f>'Metrics Data'!I77</f>
        <v>0.26500000000000001</v>
      </c>
      <c r="J20" s="63">
        <f t="shared" si="5"/>
        <v>0.22900000000000001</v>
      </c>
      <c r="K20" s="63">
        <f t="shared" si="1"/>
        <v>16</v>
      </c>
      <c r="L20" s="63">
        <f t="shared" si="2"/>
        <v>4</v>
      </c>
      <c r="M20" s="63">
        <f t="shared" si="3"/>
        <v>72.5</v>
      </c>
      <c r="N20" s="97">
        <f>1/2</f>
        <v>0.5</v>
      </c>
      <c r="O20" s="237">
        <f>ROUND(GEOMEAN(M20:M21),1)</f>
        <v>58.2</v>
      </c>
      <c r="P20" s="237">
        <v>0.4</v>
      </c>
      <c r="Q20" s="237">
        <f>ROUND(O20^P20*O22^P22*O25^P25,1)</f>
        <v>54.9</v>
      </c>
      <c r="R20" s="63"/>
    </row>
    <row r="21" spans="1:18">
      <c r="A21" s="63">
        <v>2021</v>
      </c>
      <c r="B21" s="63" t="s">
        <v>255</v>
      </c>
      <c r="C21" s="63" t="s">
        <v>269</v>
      </c>
      <c r="D21" s="63" t="s">
        <v>8</v>
      </c>
      <c r="E21" s="63" t="s">
        <v>271</v>
      </c>
      <c r="F21" s="63">
        <f>'Metrics Data'!I78</f>
        <v>3.2000000000000001E-2</v>
      </c>
      <c r="G21" s="63">
        <f>'Metrics Data'!I79</f>
        <v>3.9E-2</v>
      </c>
      <c r="H21" s="63">
        <f>'Metrics Data'!I80</f>
        <v>3.9E-2</v>
      </c>
      <c r="I21" s="63">
        <f>'Metrics Data'!I81</f>
        <v>0.13</v>
      </c>
      <c r="J21" s="63">
        <f t="shared" si="5"/>
        <v>0.05</v>
      </c>
      <c r="K21" s="63">
        <f t="shared" si="1"/>
        <v>60</v>
      </c>
      <c r="L21" s="63">
        <f t="shared" si="2"/>
        <v>7.7460000000000004</v>
      </c>
      <c r="M21" s="63">
        <f t="shared" si="3"/>
        <v>46.8</v>
      </c>
      <c r="N21" s="97">
        <f>1/2</f>
        <v>0.5</v>
      </c>
      <c r="O21" s="237"/>
      <c r="P21" s="237"/>
      <c r="Q21" s="237"/>
      <c r="R21" s="63"/>
    </row>
    <row r="22" spans="1:18">
      <c r="A22" s="63">
        <v>2021</v>
      </c>
      <c r="B22" s="63" t="s">
        <v>255</v>
      </c>
      <c r="C22" s="63" t="s">
        <v>269</v>
      </c>
      <c r="D22" s="63" t="s">
        <v>17</v>
      </c>
      <c r="E22" s="63" t="s">
        <v>272</v>
      </c>
      <c r="F22" s="63">
        <f>'Metrics Data'!I82</f>
        <v>2.8000000000000001E-2</v>
      </c>
      <c r="G22" s="63">
        <f>'Metrics Data'!I83</f>
        <v>4.4999999999999998E-2</v>
      </c>
      <c r="H22" s="63">
        <f>'Metrics Data'!I84</f>
        <v>4.9000000000000002E-2</v>
      </c>
      <c r="I22" s="63">
        <f>'Metrics Data'!I85</f>
        <v>0.16</v>
      </c>
      <c r="J22" s="63">
        <f t="shared" si="5"/>
        <v>5.6000000000000001E-2</v>
      </c>
      <c r="K22" s="63">
        <f t="shared" si="1"/>
        <v>67</v>
      </c>
      <c r="L22" s="63">
        <f t="shared" si="2"/>
        <v>8.1850000000000005</v>
      </c>
      <c r="M22" s="63">
        <f t="shared" si="3"/>
        <v>43.8</v>
      </c>
      <c r="N22" s="63">
        <f>1/3</f>
        <v>0.33333333333333331</v>
      </c>
      <c r="O22" s="237">
        <f>ROUND(GEOMEAN(M22:M24),1)</f>
        <v>52.1</v>
      </c>
      <c r="P22" s="237">
        <v>0.4</v>
      </c>
      <c r="Q22" s="237"/>
      <c r="R22" s="63"/>
    </row>
    <row r="23" spans="1:18">
      <c r="A23" s="63">
        <v>2022</v>
      </c>
      <c r="B23" s="63" t="s">
        <v>255</v>
      </c>
      <c r="C23" s="63" t="s">
        <v>269</v>
      </c>
      <c r="D23" s="63" t="s">
        <v>17</v>
      </c>
      <c r="E23" s="63" t="s">
        <v>273</v>
      </c>
      <c r="F23" s="63">
        <f>'Metrics Data'!I86</f>
        <v>3.2000000000000001E-2</v>
      </c>
      <c r="G23" s="63">
        <f>'Metrics Data'!I87</f>
        <v>0.04</v>
      </c>
      <c r="H23" s="63">
        <f>'Metrics Data'!I88</f>
        <v>0.05</v>
      </c>
      <c r="I23" s="63">
        <f>'Metrics Data'!I89</f>
        <v>0.17299999999999999</v>
      </c>
      <c r="J23" s="63">
        <f t="shared" ref="J23:J55" si="6">ROUND(GEOMEAN(F23:I23),3)</f>
        <v>5.8000000000000003E-2</v>
      </c>
      <c r="K23" s="63">
        <f t="shared" si="1"/>
        <v>72</v>
      </c>
      <c r="L23" s="63">
        <f t="shared" si="2"/>
        <v>8.4849999999999994</v>
      </c>
      <c r="M23" s="63">
        <f t="shared" si="3"/>
        <v>41.8</v>
      </c>
      <c r="N23" s="63">
        <f>1/3</f>
        <v>0.33333333333333331</v>
      </c>
      <c r="O23" s="237"/>
      <c r="P23" s="237"/>
      <c r="Q23" s="237"/>
      <c r="R23" s="63"/>
    </row>
    <row r="24" spans="1:18">
      <c r="A24" s="63">
        <v>2021</v>
      </c>
      <c r="B24" s="63" t="s">
        <v>255</v>
      </c>
      <c r="C24" s="63" t="s">
        <v>269</v>
      </c>
      <c r="D24" s="63" t="s">
        <v>17</v>
      </c>
      <c r="E24" s="63" t="s">
        <v>274</v>
      </c>
      <c r="F24" s="63">
        <f>'Metrics Data'!I90</f>
        <v>0.19600000000000001</v>
      </c>
      <c r="G24" s="63">
        <f>'Metrics Data'!I91</f>
        <v>0.23</v>
      </c>
      <c r="H24" s="63">
        <f>'Metrics Data'!I92</f>
        <v>0.26600000000000001</v>
      </c>
      <c r="I24" s="63">
        <f>'Metrics Data'!I93</f>
        <v>0.20399999999999999</v>
      </c>
      <c r="J24" s="63">
        <f t="shared" si="6"/>
        <v>0.222</v>
      </c>
      <c r="K24" s="63">
        <f t="shared" si="1"/>
        <v>10.8</v>
      </c>
      <c r="L24" s="63">
        <f t="shared" si="2"/>
        <v>3.286</v>
      </c>
      <c r="M24" s="63">
        <f t="shared" si="3"/>
        <v>77.400000000000006</v>
      </c>
      <c r="N24" s="63">
        <f>1/3</f>
        <v>0.33333333333333331</v>
      </c>
      <c r="O24" s="237"/>
      <c r="P24" s="237"/>
      <c r="Q24" s="237"/>
      <c r="R24" s="63"/>
    </row>
    <row r="25" spans="1:18">
      <c r="A25" s="63">
        <v>2022</v>
      </c>
      <c r="B25" s="63" t="s">
        <v>255</v>
      </c>
      <c r="C25" s="63" t="s">
        <v>269</v>
      </c>
      <c r="D25" s="63" t="s">
        <v>25</v>
      </c>
      <c r="E25" s="63" t="s">
        <v>275</v>
      </c>
      <c r="F25" s="63">
        <f>'Metrics Data'!I94</f>
        <v>3.7999999999999999E-2</v>
      </c>
      <c r="G25" s="63">
        <f>'Metrics Data'!I95</f>
        <v>4.2000000000000003E-2</v>
      </c>
      <c r="H25" s="63">
        <f>'Metrics Data'!I96</f>
        <v>0.04</v>
      </c>
      <c r="I25" s="63">
        <f>'Metrics Data'!I97</f>
        <v>0.14099999999999999</v>
      </c>
      <c r="J25" s="63">
        <f t="shared" si="6"/>
        <v>5.5E-2</v>
      </c>
      <c r="K25" s="63">
        <f t="shared" si="1"/>
        <v>59.5</v>
      </c>
      <c r="L25" s="63">
        <f t="shared" si="2"/>
        <v>7.7140000000000004</v>
      </c>
      <c r="M25" s="63">
        <f t="shared" si="3"/>
        <v>47.1</v>
      </c>
      <c r="N25" s="63">
        <f>1/2</f>
        <v>0.5</v>
      </c>
      <c r="O25" s="237">
        <f>ROUND(GEOMEAN(M25:M26),1)</f>
        <v>54.3</v>
      </c>
      <c r="P25" s="237">
        <v>0.2</v>
      </c>
      <c r="Q25" s="237"/>
      <c r="R25" s="63"/>
    </row>
    <row r="26" spans="1:18">
      <c r="A26" s="63">
        <v>2019</v>
      </c>
      <c r="B26" s="63" t="s">
        <v>255</v>
      </c>
      <c r="C26" s="63" t="s">
        <v>269</v>
      </c>
      <c r="D26" s="63" t="s">
        <v>25</v>
      </c>
      <c r="E26" s="63" t="s">
        <v>276</v>
      </c>
      <c r="F26" s="63">
        <f>'Metrics Data'!I98</f>
        <v>0.32800000000000001</v>
      </c>
      <c r="G26" s="63">
        <f>'Metrics Data'!I99</f>
        <v>0.26700000000000002</v>
      </c>
      <c r="H26" s="63">
        <f>'Metrics Data'!I100</f>
        <v>0.438</v>
      </c>
      <c r="I26" s="63">
        <f>'Metrics Data'!I101</f>
        <v>0.622</v>
      </c>
      <c r="J26" s="63">
        <f t="shared" si="6"/>
        <v>0.39300000000000002</v>
      </c>
      <c r="K26" s="63">
        <f t="shared" si="1"/>
        <v>29.6</v>
      </c>
      <c r="L26" s="63">
        <f t="shared" si="2"/>
        <v>5.4409999999999998</v>
      </c>
      <c r="M26" s="63">
        <f t="shared" si="3"/>
        <v>62.7</v>
      </c>
      <c r="N26" s="63">
        <f>1/2</f>
        <v>0.5</v>
      </c>
      <c r="O26" s="237"/>
      <c r="P26" s="237"/>
      <c r="Q26" s="237"/>
      <c r="R26" s="63"/>
    </row>
    <row r="27" spans="1:18">
      <c r="A27" s="63">
        <v>2022</v>
      </c>
      <c r="B27" s="63" t="s">
        <v>255</v>
      </c>
      <c r="C27" s="63" t="s">
        <v>277</v>
      </c>
      <c r="D27" s="63" t="s">
        <v>8</v>
      </c>
      <c r="E27" s="63" t="s">
        <v>278</v>
      </c>
      <c r="F27" s="63">
        <f>'Metrics Data'!I102</f>
        <v>2.5000000000000001E-2</v>
      </c>
      <c r="G27" s="63">
        <f>'Metrics Data'!I103</f>
        <v>3.5999999999999997E-2</v>
      </c>
      <c r="H27" s="63">
        <f>'Metrics Data'!I104</f>
        <v>3.5999999999999997E-2</v>
      </c>
      <c r="I27" s="63">
        <f>'Metrics Data'!I105</f>
        <v>9.8000000000000004E-2</v>
      </c>
      <c r="J27" s="63">
        <f t="shared" si="6"/>
        <v>4.2000000000000003E-2</v>
      </c>
      <c r="K27" s="63">
        <f t="shared" si="1"/>
        <v>50.6</v>
      </c>
      <c r="L27" s="63">
        <f t="shared" si="2"/>
        <v>7.1130000000000004</v>
      </c>
      <c r="M27" s="63">
        <f t="shared" si="3"/>
        <v>51.2</v>
      </c>
      <c r="N27" s="63">
        <v>1</v>
      </c>
      <c r="O27" s="98">
        <f>M27</f>
        <v>51.2</v>
      </c>
      <c r="P27" s="98">
        <v>0.5</v>
      </c>
      <c r="Q27" s="237">
        <f>ROUND(GEOMEAN(O27:O28),1)</f>
        <v>56.9</v>
      </c>
      <c r="R27" s="63"/>
    </row>
    <row r="28" spans="1:18">
      <c r="A28" s="63">
        <v>2022</v>
      </c>
      <c r="B28" s="63" t="s">
        <v>255</v>
      </c>
      <c r="C28" s="63" t="s">
        <v>277</v>
      </c>
      <c r="D28" s="63" t="s">
        <v>17</v>
      </c>
      <c r="E28" s="63" t="s">
        <v>279</v>
      </c>
      <c r="F28" s="63">
        <f>'Metrics Data'!I106</f>
        <v>4.0000000000000001E-3</v>
      </c>
      <c r="G28" s="63">
        <f>'Metrics Data'!I107</f>
        <v>7.0000000000000001E-3</v>
      </c>
      <c r="H28" s="63">
        <f>'Metrics Data'!I108</f>
        <v>7.0000000000000001E-3</v>
      </c>
      <c r="I28" s="63">
        <f>'Metrics Data'!I109</f>
        <v>1.2E-2</v>
      </c>
      <c r="J28" s="63">
        <f t="shared" si="6"/>
        <v>7.0000000000000001E-3</v>
      </c>
      <c r="K28" s="63">
        <f t="shared" si="1"/>
        <v>28.6</v>
      </c>
      <c r="L28" s="63">
        <f t="shared" si="2"/>
        <v>5.3479999999999999</v>
      </c>
      <c r="M28" s="63">
        <f t="shared" si="3"/>
        <v>63.3</v>
      </c>
      <c r="N28" s="63">
        <v>1</v>
      </c>
      <c r="O28" s="98">
        <f>M28</f>
        <v>63.3</v>
      </c>
      <c r="P28" s="98">
        <v>0.5</v>
      </c>
      <c r="Q28" s="237"/>
      <c r="R28" s="63"/>
    </row>
    <row r="29" spans="1:18">
      <c r="A29" s="63">
        <v>2019</v>
      </c>
      <c r="B29" s="63" t="s">
        <v>280</v>
      </c>
      <c r="C29" s="63" t="s">
        <v>0</v>
      </c>
      <c r="D29" s="63" t="s">
        <v>8</v>
      </c>
      <c r="E29" s="63" t="s">
        <v>256</v>
      </c>
      <c r="F29" s="63">
        <f>'Metrics Data'!I110</f>
        <v>0.2</v>
      </c>
      <c r="G29" s="63">
        <f>'Metrics Data'!I111</f>
        <v>0.28000000000000003</v>
      </c>
      <c r="H29" s="63">
        <f>'Metrics Data'!I112</f>
        <v>0.52</v>
      </c>
      <c r="I29" s="63">
        <f>'Metrics Data'!I113</f>
        <v>0.7</v>
      </c>
      <c r="J29" s="63">
        <f t="shared" si="6"/>
        <v>0.378</v>
      </c>
      <c r="K29" s="63">
        <f t="shared" si="1"/>
        <v>48.9</v>
      </c>
      <c r="L29" s="63">
        <f t="shared" si="2"/>
        <v>6.9930000000000003</v>
      </c>
      <c r="M29" s="63">
        <f t="shared" si="3"/>
        <v>52</v>
      </c>
      <c r="N29" s="97">
        <f>1/3</f>
        <v>0.33333333333333331</v>
      </c>
      <c r="O29" s="237">
        <f>ROUND(GEOMEAN(M29:M31),1)</f>
        <v>54.9</v>
      </c>
      <c r="P29" s="237">
        <v>0.4</v>
      </c>
      <c r="Q29" s="237">
        <f>ROUND(O29^P29*O32^P32*O34^P34,1)</f>
        <v>36.5</v>
      </c>
      <c r="R29" s="63"/>
    </row>
    <row r="30" spans="1:18">
      <c r="A30" s="63">
        <v>2019</v>
      </c>
      <c r="B30" s="63" t="s">
        <v>280</v>
      </c>
      <c r="C30" s="96" t="s">
        <v>0</v>
      </c>
      <c r="D30" s="63" t="s">
        <v>8</v>
      </c>
      <c r="E30" s="63" t="s">
        <v>257</v>
      </c>
      <c r="F30" s="63">
        <f>'Metrics Data'!I114</f>
        <v>0.13</v>
      </c>
      <c r="G30" s="63">
        <f>'Metrics Data'!I115</f>
        <v>0.19</v>
      </c>
      <c r="H30" s="63">
        <f>'Metrics Data'!I116</f>
        <v>0.43</v>
      </c>
      <c r="I30" s="63">
        <f>'Metrics Data'!I117</f>
        <v>0.64</v>
      </c>
      <c r="J30" s="63">
        <f t="shared" si="6"/>
        <v>0.28699999999999998</v>
      </c>
      <c r="K30" s="63">
        <f t="shared" si="1"/>
        <v>65.3</v>
      </c>
      <c r="L30" s="63">
        <f t="shared" si="2"/>
        <v>8.0809999999999995</v>
      </c>
      <c r="M30" s="63">
        <f t="shared" si="3"/>
        <v>44.5</v>
      </c>
      <c r="N30" s="97">
        <f t="shared" ref="N30:N31" si="7">1/3</f>
        <v>0.33333333333333331</v>
      </c>
      <c r="O30" s="237"/>
      <c r="P30" s="237"/>
      <c r="Q30" s="237"/>
      <c r="R30" s="63"/>
    </row>
    <row r="31" spans="1:18">
      <c r="A31" s="63">
        <v>2017</v>
      </c>
      <c r="B31" s="63" t="s">
        <v>280</v>
      </c>
      <c r="C31" s="63" t="s">
        <v>0</v>
      </c>
      <c r="D31" s="63" t="s">
        <v>8</v>
      </c>
      <c r="E31" s="63" t="s">
        <v>258</v>
      </c>
      <c r="F31" s="63">
        <f>'Metrics Data'!I118</f>
        <v>0.67100000000000004</v>
      </c>
      <c r="G31" s="63">
        <f>'Metrics Data'!I119</f>
        <v>0.41</v>
      </c>
      <c r="H31" s="63">
        <f>'Metrics Data'!I120</f>
        <v>0.71299999999999997</v>
      </c>
      <c r="I31" s="63">
        <f>'Metrics Data'!I121</f>
        <v>0.61499999999999999</v>
      </c>
      <c r="J31" s="63">
        <f t="shared" ref="J31" si="8">ROUND(GEOMEAN(F31:I31),3)</f>
        <v>0.58899999999999997</v>
      </c>
      <c r="K31" s="63">
        <f t="shared" ref="K31" si="9">ROUND(100*(((ABS(F31-J31)+ABS(G31-J31)+ABS(H31-J31)+ABS(I31-J31))/(J31*COUNT(F31:I31)))),1)</f>
        <v>17.399999999999999</v>
      </c>
      <c r="L31" s="63">
        <f t="shared" ref="L31" si="10">ROUND(SQRT(K31),3)</f>
        <v>4.1710000000000003</v>
      </c>
      <c r="M31" s="63">
        <f t="shared" ref="M31" si="11">100-ROUND(100*((L31)/(MAX(L$2:L$56))),1)</f>
        <v>71.400000000000006</v>
      </c>
      <c r="N31" s="97">
        <f t="shared" si="7"/>
        <v>0.33333333333333331</v>
      </c>
      <c r="O31" s="237"/>
      <c r="P31" s="237"/>
      <c r="Q31" s="237"/>
      <c r="R31" s="63"/>
    </row>
    <row r="32" spans="1:18">
      <c r="A32" s="63">
        <v>2019</v>
      </c>
      <c r="B32" s="63" t="s">
        <v>280</v>
      </c>
      <c r="C32" s="63" t="s">
        <v>0</v>
      </c>
      <c r="D32" s="63" t="s">
        <v>17</v>
      </c>
      <c r="E32" s="63" t="s">
        <v>41</v>
      </c>
      <c r="F32" s="63">
        <f>'Metrics Data'!I122</f>
        <v>0.02</v>
      </c>
      <c r="G32" s="63">
        <f>'Metrics Data'!I123</f>
        <v>0.03</v>
      </c>
      <c r="H32" s="63">
        <f>'Metrics Data'!I124</f>
        <v>0.12</v>
      </c>
      <c r="I32" s="63">
        <f>'Metrics Data'!I125</f>
        <v>0.28999999999999998</v>
      </c>
      <c r="J32" s="63">
        <f t="shared" si="6"/>
        <v>6.8000000000000005E-2</v>
      </c>
      <c r="K32" s="63">
        <f t="shared" si="1"/>
        <v>132.4</v>
      </c>
      <c r="L32" s="63">
        <f t="shared" si="2"/>
        <v>11.507</v>
      </c>
      <c r="M32" s="63">
        <f t="shared" si="3"/>
        <v>21</v>
      </c>
      <c r="N32" s="63">
        <f>1/2</f>
        <v>0.5</v>
      </c>
      <c r="O32" s="237">
        <f>ROUND(GEOMEAN(M32:M33),1)</f>
        <v>19.2</v>
      </c>
      <c r="P32" s="237">
        <v>0.4</v>
      </c>
      <c r="Q32" s="237"/>
      <c r="R32" s="63"/>
    </row>
    <row r="33" spans="1:18">
      <c r="A33" s="63">
        <v>2019</v>
      </c>
      <c r="B33" s="63" t="s">
        <v>280</v>
      </c>
      <c r="C33" s="63" t="s">
        <v>0</v>
      </c>
      <c r="D33" s="63" t="s">
        <v>17</v>
      </c>
      <c r="E33" s="63" t="s">
        <v>42</v>
      </c>
      <c r="F33" s="63">
        <f>'Metrics Data'!I126</f>
        <v>0.02</v>
      </c>
      <c r="G33" s="63">
        <f>'Metrics Data'!I127</f>
        <v>0.03</v>
      </c>
      <c r="H33" s="63">
        <f>'Metrics Data'!I128</f>
        <v>0.13</v>
      </c>
      <c r="I33" s="63">
        <f>'Metrics Data'!I129</f>
        <v>0.33</v>
      </c>
      <c r="J33" s="63">
        <f t="shared" si="6"/>
        <v>7.0999999999999994E-2</v>
      </c>
      <c r="K33" s="63">
        <f t="shared" si="1"/>
        <v>144.4</v>
      </c>
      <c r="L33" s="63">
        <f t="shared" si="2"/>
        <v>12.016999999999999</v>
      </c>
      <c r="M33" s="63">
        <f t="shared" si="3"/>
        <v>17.5</v>
      </c>
      <c r="N33" s="63">
        <f>1/2</f>
        <v>0.5</v>
      </c>
      <c r="O33" s="237"/>
      <c r="P33" s="237"/>
      <c r="Q33" s="237"/>
      <c r="R33" s="63"/>
    </row>
    <row r="34" spans="1:18">
      <c r="A34" s="63">
        <v>2021</v>
      </c>
      <c r="B34" s="63" t="s">
        <v>280</v>
      </c>
      <c r="C34" s="63" t="s">
        <v>0</v>
      </c>
      <c r="D34" s="63" t="s">
        <v>25</v>
      </c>
      <c r="E34" s="63" t="s">
        <v>281</v>
      </c>
      <c r="F34" s="63">
        <f>'Metrics Data'!I130</f>
        <v>0.26</v>
      </c>
      <c r="G34" s="63">
        <f>'Metrics Data'!I131</f>
        <v>0.35</v>
      </c>
      <c r="H34" s="63">
        <f>'Metrics Data'!I132</f>
        <v>0.36</v>
      </c>
      <c r="I34" s="63">
        <f>'Metrics Data'!I133</f>
        <v>0.43</v>
      </c>
      <c r="J34" s="63">
        <f t="shared" si="6"/>
        <v>0.34499999999999997</v>
      </c>
      <c r="K34" s="63">
        <f t="shared" si="1"/>
        <v>13.8</v>
      </c>
      <c r="L34" s="63">
        <f t="shared" si="2"/>
        <v>3.7149999999999999</v>
      </c>
      <c r="M34" s="63">
        <f t="shared" si="3"/>
        <v>74.5</v>
      </c>
      <c r="N34" s="63">
        <f>1/4</f>
        <v>0.25</v>
      </c>
      <c r="O34" s="237">
        <f>ROUND(GEOMEAN(M34,M37,M36),1)</f>
        <v>58.7</v>
      </c>
      <c r="P34" s="237">
        <v>0.2</v>
      </c>
      <c r="Q34" s="237"/>
      <c r="R34" s="63"/>
    </row>
    <row r="35" spans="1:18">
      <c r="A35" s="63" t="s">
        <v>140</v>
      </c>
      <c r="B35" s="63" t="s">
        <v>280</v>
      </c>
      <c r="C35" s="63" t="s">
        <v>0</v>
      </c>
      <c r="D35" s="63" t="s">
        <v>25</v>
      </c>
      <c r="E35" s="63" t="s">
        <v>260</v>
      </c>
      <c r="F35" s="63" t="str">
        <f>'Metrics Data'!I134</f>
        <v>NA</v>
      </c>
      <c r="G35" s="63" t="str">
        <f>'Metrics Data'!I135</f>
        <v>NA</v>
      </c>
      <c r="H35" s="63" t="str">
        <f>'Metrics Data'!I136</f>
        <v>NA</v>
      </c>
      <c r="I35" s="63" t="str">
        <f>'Metrics Data'!I137</f>
        <v>NA</v>
      </c>
      <c r="J35" s="63" t="s">
        <v>140</v>
      </c>
      <c r="K35" s="63" t="s">
        <v>140</v>
      </c>
      <c r="L35" s="63" t="s">
        <v>140</v>
      </c>
      <c r="M35" s="63" t="s">
        <v>140</v>
      </c>
      <c r="N35" s="63">
        <f t="shared" ref="N35:N37" si="12">1/4</f>
        <v>0.25</v>
      </c>
      <c r="O35" s="237"/>
      <c r="P35" s="237"/>
      <c r="Q35" s="237"/>
      <c r="R35" s="63"/>
    </row>
    <row r="36" spans="1:18">
      <c r="A36" s="63">
        <v>2017</v>
      </c>
      <c r="B36" s="63" t="s">
        <v>280</v>
      </c>
      <c r="C36" s="63" t="s">
        <v>0</v>
      </c>
      <c r="D36" s="63" t="s">
        <v>25</v>
      </c>
      <c r="E36" s="63" t="s">
        <v>63</v>
      </c>
      <c r="F36" s="63">
        <f>'Metrics Data'!I138</f>
        <v>0.158</v>
      </c>
      <c r="G36" s="63">
        <f>'Metrics Data'!I139</f>
        <v>0.191</v>
      </c>
      <c r="H36" s="63">
        <f>'Metrics Data'!I140</f>
        <v>0.29799999999999999</v>
      </c>
      <c r="I36" s="63">
        <f>'Metrics Data'!I141</f>
        <v>0.39300000000000002</v>
      </c>
      <c r="J36" s="63">
        <f t="shared" ref="J36" si="13">ROUND(GEOMEAN(F36:I36),3)</f>
        <v>0.24399999999999999</v>
      </c>
      <c r="K36" s="63">
        <f t="shared" ref="K36" si="14">ROUND(100*(((ABS(F36-J36)+ABS(G36-J36)+ABS(H36-J36)+ABS(I36-J36))/(J36*COUNT(F36:I36)))),1)</f>
        <v>35</v>
      </c>
      <c r="L36" s="63">
        <f t="shared" si="2"/>
        <v>5.9160000000000004</v>
      </c>
      <c r="M36" s="63">
        <f t="shared" si="3"/>
        <v>59.4</v>
      </c>
      <c r="N36" s="63">
        <f t="shared" si="12"/>
        <v>0.25</v>
      </c>
      <c r="O36" s="237"/>
      <c r="P36" s="237"/>
      <c r="Q36" s="237"/>
      <c r="R36" s="63"/>
    </row>
    <row r="37" spans="1:18">
      <c r="A37" s="63">
        <v>2019</v>
      </c>
      <c r="B37" s="63" t="s">
        <v>280</v>
      </c>
      <c r="C37" s="63" t="s">
        <v>0</v>
      </c>
      <c r="D37" s="63" t="s">
        <v>25</v>
      </c>
      <c r="E37" s="63" t="s">
        <v>119</v>
      </c>
      <c r="F37" s="63">
        <f>'Metrics Data'!I142</f>
        <v>7.4999999999999997E-2</v>
      </c>
      <c r="G37" s="63">
        <f>'Metrics Data'!I143</f>
        <v>6.9000000000000006E-2</v>
      </c>
      <c r="H37" s="63">
        <f>'Metrics Data'!I144</f>
        <v>3.2000000000000001E-2</v>
      </c>
      <c r="I37" s="63">
        <f>'Metrics Data'!I145</f>
        <v>1.4E-2</v>
      </c>
      <c r="J37" s="63">
        <f t="shared" si="6"/>
        <v>3.9E-2</v>
      </c>
      <c r="K37" s="63">
        <f t="shared" si="1"/>
        <v>62.8</v>
      </c>
      <c r="L37" s="63">
        <f t="shared" ref="L37:L55" si="15">ROUND(SQRT(K37),3)</f>
        <v>7.9249999999999998</v>
      </c>
      <c r="M37" s="63">
        <f t="shared" si="3"/>
        <v>45.6</v>
      </c>
      <c r="N37" s="63">
        <f t="shared" si="12"/>
        <v>0.25</v>
      </c>
      <c r="O37" s="237"/>
      <c r="P37" s="237"/>
      <c r="Q37" s="237"/>
      <c r="R37" s="63"/>
    </row>
    <row r="38" spans="1:18">
      <c r="A38" s="63">
        <v>2021</v>
      </c>
      <c r="B38" s="63" t="s">
        <v>280</v>
      </c>
      <c r="C38" s="63" t="s">
        <v>72</v>
      </c>
      <c r="D38" s="63" t="s">
        <v>8</v>
      </c>
      <c r="E38" s="63" t="s">
        <v>261</v>
      </c>
      <c r="F38" s="63">
        <f>'Metrics Data'!I146</f>
        <v>0.23</v>
      </c>
      <c r="G38" s="63">
        <f>'Metrics Data'!I147</f>
        <v>0.3</v>
      </c>
      <c r="H38" s="63">
        <f>'Metrics Data'!I148</f>
        <v>0.59</v>
      </c>
      <c r="I38" s="63">
        <f>'Metrics Data'!I149</f>
        <v>0.83</v>
      </c>
      <c r="J38" s="63">
        <f t="shared" si="6"/>
        <v>0.42899999999999999</v>
      </c>
      <c r="K38" s="63">
        <f t="shared" si="1"/>
        <v>51.9</v>
      </c>
      <c r="L38" s="63">
        <f t="shared" si="15"/>
        <v>7.2039999999999997</v>
      </c>
      <c r="M38" s="63">
        <f t="shared" si="3"/>
        <v>50.6</v>
      </c>
      <c r="N38" s="97">
        <f>1/3</f>
        <v>0.33333333333333331</v>
      </c>
      <c r="O38" s="237">
        <f>ROUND(GEOMEAN(M38:M39),1)</f>
        <v>60.1</v>
      </c>
      <c r="P38" s="237">
        <v>0.4</v>
      </c>
      <c r="Q38" s="237">
        <f>ROUND(O38^P38*O41^P41*O43^P43,1)</f>
        <v>50.5</v>
      </c>
      <c r="R38" s="63"/>
    </row>
    <row r="39" spans="1:18">
      <c r="A39" s="63">
        <v>2020</v>
      </c>
      <c r="B39" s="63" t="s">
        <v>280</v>
      </c>
      <c r="C39" s="63" t="s">
        <v>72</v>
      </c>
      <c r="D39" s="63" t="s">
        <v>8</v>
      </c>
      <c r="E39" s="63" t="s">
        <v>262</v>
      </c>
      <c r="F39" s="63">
        <f>'Metrics Data'!I150</f>
        <v>0.497</v>
      </c>
      <c r="G39" s="63">
        <f>'Metrics Data'!I151</f>
        <v>0.58499999999999996</v>
      </c>
      <c r="H39" s="63">
        <f>'Metrics Data'!I152</f>
        <v>0.71499999999999997</v>
      </c>
      <c r="I39" s="63">
        <f>'Metrics Data'!I153</f>
        <v>0.81</v>
      </c>
      <c r="J39" s="63">
        <f t="shared" si="6"/>
        <v>0.64100000000000001</v>
      </c>
      <c r="K39" s="63">
        <f t="shared" si="1"/>
        <v>17.3</v>
      </c>
      <c r="L39" s="63">
        <f t="shared" si="15"/>
        <v>4.1589999999999998</v>
      </c>
      <c r="M39" s="63">
        <f t="shared" si="3"/>
        <v>71.5</v>
      </c>
      <c r="N39" s="97">
        <f>1/3</f>
        <v>0.33333333333333331</v>
      </c>
      <c r="O39" s="237"/>
      <c r="P39" s="237"/>
      <c r="Q39" s="237"/>
      <c r="R39" s="63"/>
    </row>
    <row r="40" spans="1:18">
      <c r="A40" s="63" t="s">
        <v>140</v>
      </c>
      <c r="B40" s="63" t="s">
        <v>280</v>
      </c>
      <c r="C40" s="63" t="s">
        <v>72</v>
      </c>
      <c r="D40" s="63" t="s">
        <v>8</v>
      </c>
      <c r="E40" s="63" t="s">
        <v>263</v>
      </c>
      <c r="F40" s="63" t="str">
        <f>'Metrics Data'!I154</f>
        <v>NA</v>
      </c>
      <c r="G40" s="63" t="str">
        <f>'Metrics Data'!I155</f>
        <v>NA</v>
      </c>
      <c r="H40" s="63" t="str">
        <f>'Metrics Data'!I156</f>
        <v>NA</v>
      </c>
      <c r="I40" s="63" t="str">
        <f>'Metrics Data'!I157</f>
        <v>NA</v>
      </c>
      <c r="J40" s="63" t="s">
        <v>140</v>
      </c>
      <c r="K40" s="63" t="s">
        <v>140</v>
      </c>
      <c r="L40" s="63" t="s">
        <v>140</v>
      </c>
      <c r="M40" s="63" t="s">
        <v>140</v>
      </c>
      <c r="N40" s="63">
        <f>1/3</f>
        <v>0.33333333333333331</v>
      </c>
      <c r="O40" s="237"/>
      <c r="P40" s="237"/>
      <c r="Q40" s="237"/>
      <c r="R40" s="63"/>
    </row>
    <row r="41" spans="1:18">
      <c r="A41" s="63">
        <v>2021</v>
      </c>
      <c r="B41" s="63" t="s">
        <v>280</v>
      </c>
      <c r="C41" s="63" t="s">
        <v>72</v>
      </c>
      <c r="D41" s="63" t="s">
        <v>17</v>
      </c>
      <c r="E41" s="63" t="s">
        <v>264</v>
      </c>
      <c r="F41" s="63">
        <f>'Metrics Data'!I158</f>
        <v>0.05</v>
      </c>
      <c r="G41" s="63">
        <f>'Metrics Data'!I159</f>
        <v>7.0000000000000007E-2</v>
      </c>
      <c r="H41" s="63">
        <f>'Metrics Data'!I160</f>
        <v>0.16</v>
      </c>
      <c r="I41" s="63">
        <f>'Metrics Data'!I161</f>
        <v>0.47</v>
      </c>
      <c r="J41" s="63">
        <f t="shared" si="6"/>
        <v>0.127</v>
      </c>
      <c r="K41" s="63">
        <f t="shared" si="1"/>
        <v>100.4</v>
      </c>
      <c r="L41" s="63">
        <f t="shared" si="15"/>
        <v>10.02</v>
      </c>
      <c r="M41" s="63">
        <f t="shared" si="3"/>
        <v>31.200000000000003</v>
      </c>
      <c r="N41" s="63">
        <f>1/2</f>
        <v>0.5</v>
      </c>
      <c r="O41" s="237">
        <f>ROUND(GEOMEAN(M41:M42),1)</f>
        <v>39.299999999999997</v>
      </c>
      <c r="P41" s="237">
        <v>0.4</v>
      </c>
      <c r="Q41" s="237"/>
      <c r="R41" s="63"/>
    </row>
    <row r="42" spans="1:18">
      <c r="A42" s="63">
        <v>2020</v>
      </c>
      <c r="B42" s="63" t="s">
        <v>280</v>
      </c>
      <c r="C42" s="63" t="s">
        <v>72</v>
      </c>
      <c r="D42" s="63" t="s">
        <v>17</v>
      </c>
      <c r="E42" s="63" t="s">
        <v>265</v>
      </c>
      <c r="F42" s="63">
        <f>'Metrics Data'!I162</f>
        <v>5.5E-2</v>
      </c>
      <c r="G42" s="63">
        <f>'Metrics Data'!I163</f>
        <v>8.6999999999999994E-2</v>
      </c>
      <c r="H42" s="63">
        <f>'Metrics Data'!I164</f>
        <v>0.15</v>
      </c>
      <c r="I42" s="63">
        <f>'Metrics Data'!I165</f>
        <v>0.23899999999999999</v>
      </c>
      <c r="J42" s="63">
        <f t="shared" si="6"/>
        <v>0.114</v>
      </c>
      <c r="K42" s="63">
        <f t="shared" si="1"/>
        <v>54.2</v>
      </c>
      <c r="L42" s="63">
        <f t="shared" si="15"/>
        <v>7.3620000000000001</v>
      </c>
      <c r="M42" s="63">
        <f t="shared" si="3"/>
        <v>49.5</v>
      </c>
      <c r="N42" s="63">
        <f>1/2</f>
        <v>0.5</v>
      </c>
      <c r="O42" s="237"/>
      <c r="P42" s="237"/>
      <c r="Q42" s="237"/>
      <c r="R42" s="63"/>
    </row>
    <row r="43" spans="1:18">
      <c r="A43" s="63">
        <v>2020</v>
      </c>
      <c r="B43" s="63" t="s">
        <v>280</v>
      </c>
      <c r="C43" s="63" t="s">
        <v>72</v>
      </c>
      <c r="D43" s="63" t="s">
        <v>25</v>
      </c>
      <c r="E43" s="63" t="s">
        <v>266</v>
      </c>
      <c r="F43" s="63">
        <f>'Metrics Data'!I166</f>
        <v>5.0000000000000001E-3</v>
      </c>
      <c r="G43" s="63">
        <f>'Metrics Data'!I167</f>
        <v>7.0000000000000001E-3</v>
      </c>
      <c r="H43" s="63">
        <f>'Metrics Data'!I168</f>
        <v>1.0999999999999999E-2</v>
      </c>
      <c r="I43" s="63">
        <f>'Metrics Data'!I169</f>
        <v>5.5E-2</v>
      </c>
      <c r="J43" s="63">
        <f t="shared" si="6"/>
        <v>1.2E-2</v>
      </c>
      <c r="K43" s="63">
        <f t="shared" si="1"/>
        <v>116.7</v>
      </c>
      <c r="L43" s="63">
        <f t="shared" si="15"/>
        <v>10.803000000000001</v>
      </c>
      <c r="M43" s="63">
        <f t="shared" si="3"/>
        <v>25.900000000000006</v>
      </c>
      <c r="N43" s="63">
        <f>1/4</f>
        <v>0.25</v>
      </c>
      <c r="O43" s="237">
        <f>ROUND(GEOMEAN(M43:M46),1)</f>
        <v>59</v>
      </c>
      <c r="P43" s="237">
        <v>0.2</v>
      </c>
      <c r="Q43" s="237"/>
      <c r="R43" s="63"/>
    </row>
    <row r="44" spans="1:18">
      <c r="A44" s="63">
        <v>2021</v>
      </c>
      <c r="B44" s="63" t="s">
        <v>280</v>
      </c>
      <c r="C44" s="63" t="s">
        <v>72</v>
      </c>
      <c r="D44" s="63" t="s">
        <v>25</v>
      </c>
      <c r="E44" s="63" t="s">
        <v>282</v>
      </c>
      <c r="F44" s="63">
        <f>'Metrics Data'!I170</f>
        <v>0.73</v>
      </c>
      <c r="G44" s="63">
        <f>'Metrics Data'!I171</f>
        <v>0.76</v>
      </c>
      <c r="H44" s="63">
        <f>'Metrics Data'!I172</f>
        <v>0.79</v>
      </c>
      <c r="I44" s="63">
        <f>'Metrics Data'!I173</f>
        <v>0.89</v>
      </c>
      <c r="J44" s="63">
        <f t="shared" si="6"/>
        <v>0.79</v>
      </c>
      <c r="K44" s="63">
        <f t="shared" si="1"/>
        <v>6</v>
      </c>
      <c r="L44" s="63">
        <f t="shared" si="15"/>
        <v>2.4489999999999998</v>
      </c>
      <c r="M44" s="63">
        <f t="shared" si="3"/>
        <v>83.2</v>
      </c>
      <c r="N44" s="63">
        <f>1/4</f>
        <v>0.25</v>
      </c>
      <c r="O44" s="237"/>
      <c r="P44" s="237"/>
      <c r="Q44" s="237"/>
      <c r="R44" s="63"/>
    </row>
    <row r="45" spans="1:18">
      <c r="A45" s="63">
        <v>2021</v>
      </c>
      <c r="B45" s="63" t="s">
        <v>280</v>
      </c>
      <c r="C45" s="63" t="s">
        <v>72</v>
      </c>
      <c r="D45" s="63" t="s">
        <v>25</v>
      </c>
      <c r="E45" s="63" t="s">
        <v>268</v>
      </c>
      <c r="F45" s="63">
        <f>'Metrics Data'!I174</f>
        <v>0.67</v>
      </c>
      <c r="G45" s="63">
        <f>'Metrics Data'!I175</f>
        <v>0.68</v>
      </c>
      <c r="H45" s="63">
        <f>'Metrics Data'!I176</f>
        <v>0.7</v>
      </c>
      <c r="I45" s="63">
        <f>'Metrics Data'!I177</f>
        <v>0.79</v>
      </c>
      <c r="J45" s="63">
        <f t="shared" si="6"/>
        <v>0.70799999999999996</v>
      </c>
      <c r="K45" s="63">
        <f t="shared" si="1"/>
        <v>5.5</v>
      </c>
      <c r="L45" s="63">
        <f t="shared" si="15"/>
        <v>2.3450000000000002</v>
      </c>
      <c r="M45" s="63">
        <f t="shared" si="3"/>
        <v>83.9</v>
      </c>
      <c r="N45" s="63">
        <f>1/4</f>
        <v>0.25</v>
      </c>
      <c r="O45" s="237"/>
      <c r="P45" s="237"/>
      <c r="Q45" s="237"/>
      <c r="R45" s="63"/>
    </row>
    <row r="46" spans="1:18">
      <c r="A46" s="63">
        <v>2017</v>
      </c>
      <c r="B46" s="63" t="s">
        <v>280</v>
      </c>
      <c r="C46" s="63" t="s">
        <v>72</v>
      </c>
      <c r="D46" s="63" t="s">
        <v>25</v>
      </c>
      <c r="E46" s="63" t="s">
        <v>73</v>
      </c>
      <c r="F46" s="63">
        <f>'Metrics Data'!I178</f>
        <v>0.13900000000000001</v>
      </c>
      <c r="G46" s="63">
        <f>'Metrics Data'!I179</f>
        <v>0.11899999999999999</v>
      </c>
      <c r="H46" s="63">
        <f>'Metrics Data'!I180</f>
        <v>0.17100000000000001</v>
      </c>
      <c r="I46" s="63">
        <f>'Metrics Data'!I181</f>
        <v>0.23300000000000001</v>
      </c>
      <c r="J46" s="63">
        <f t="shared" ref="J46" si="16">ROUND(GEOMEAN(F46:I46),3)</f>
        <v>0.16</v>
      </c>
      <c r="K46" s="63">
        <f t="shared" ref="K46" si="17">ROUND(100*(((ABS(F46-J46)+ABS(G46-J46)+ABS(H46-J46)+ABS(I46-J46))/(J46*COUNT(F46:I46)))),1)</f>
        <v>22.8</v>
      </c>
      <c r="L46" s="63">
        <f t="shared" si="15"/>
        <v>4.7750000000000004</v>
      </c>
      <c r="M46" s="63">
        <f t="shared" si="3"/>
        <v>67.2</v>
      </c>
      <c r="N46" s="63">
        <f>1/4</f>
        <v>0.25</v>
      </c>
      <c r="O46" s="237"/>
      <c r="P46" s="237"/>
      <c r="Q46" s="237"/>
      <c r="R46" s="63"/>
    </row>
    <row r="47" spans="1:18">
      <c r="A47" s="63">
        <v>2021</v>
      </c>
      <c r="B47" s="63" t="s">
        <v>280</v>
      </c>
      <c r="C47" s="63" t="s">
        <v>269</v>
      </c>
      <c r="D47" s="63" t="s">
        <v>8</v>
      </c>
      <c r="E47" s="63" t="s">
        <v>270</v>
      </c>
      <c r="F47" s="63">
        <f>'Metrics Data'!I182</f>
        <v>0.154</v>
      </c>
      <c r="G47" s="63">
        <f>'Metrics Data'!I183</f>
        <v>0.155</v>
      </c>
      <c r="H47" s="63">
        <f>'Metrics Data'!I184</f>
        <v>0.154</v>
      </c>
      <c r="I47" s="63">
        <f>'Metrics Data'!I185</f>
        <v>9.0999999999999998E-2</v>
      </c>
      <c r="J47" s="63">
        <f t="shared" si="6"/>
        <v>0.13500000000000001</v>
      </c>
      <c r="K47" s="63">
        <f t="shared" si="1"/>
        <v>18.899999999999999</v>
      </c>
      <c r="L47" s="63">
        <f t="shared" si="15"/>
        <v>4.3470000000000004</v>
      </c>
      <c r="M47" s="63">
        <f t="shared" si="3"/>
        <v>70.2</v>
      </c>
      <c r="N47" s="97">
        <f>1/2</f>
        <v>0.5</v>
      </c>
      <c r="O47" s="237">
        <f>ROUND(GEOMEAN(M47:M48),1)</f>
        <v>60.7</v>
      </c>
      <c r="P47" s="237">
        <v>0.4</v>
      </c>
      <c r="Q47" s="237">
        <f>ROUND(O47^P47*O49^P49*O52^P52,1)</f>
        <v>60.7</v>
      </c>
      <c r="R47" s="63"/>
    </row>
    <row r="48" spans="1:18">
      <c r="A48" s="63">
        <v>2021</v>
      </c>
      <c r="B48" s="63" t="s">
        <v>280</v>
      </c>
      <c r="C48" s="63" t="s">
        <v>269</v>
      </c>
      <c r="D48" s="63" t="s">
        <v>8</v>
      </c>
      <c r="E48" s="63" t="s">
        <v>271</v>
      </c>
      <c r="F48" s="63">
        <f>'Metrics Data'!I186</f>
        <v>4.3999999999999997E-2</v>
      </c>
      <c r="G48" s="63">
        <f>'Metrics Data'!I187</f>
        <v>0.04</v>
      </c>
      <c r="H48" s="63">
        <f>'Metrics Data'!I188</f>
        <v>4.4999999999999998E-2</v>
      </c>
      <c r="I48" s="63">
        <f>'Metrics Data'!I189</f>
        <v>0.124</v>
      </c>
      <c r="J48" s="63">
        <f t="shared" si="6"/>
        <v>5.6000000000000001E-2</v>
      </c>
      <c r="K48" s="63">
        <f t="shared" si="1"/>
        <v>47.8</v>
      </c>
      <c r="L48" s="63">
        <f t="shared" si="15"/>
        <v>6.9139999999999997</v>
      </c>
      <c r="M48" s="63">
        <f t="shared" si="3"/>
        <v>52.5</v>
      </c>
      <c r="N48" s="97">
        <f>1/2</f>
        <v>0.5</v>
      </c>
      <c r="O48" s="237"/>
      <c r="P48" s="237"/>
      <c r="Q48" s="237"/>
      <c r="R48" s="63"/>
    </row>
    <row r="49" spans="1:18">
      <c r="A49" s="63">
        <v>2021</v>
      </c>
      <c r="B49" s="63" t="s">
        <v>280</v>
      </c>
      <c r="C49" s="63" t="s">
        <v>269</v>
      </c>
      <c r="D49" s="63" t="s">
        <v>17</v>
      </c>
      <c r="E49" s="63" t="s">
        <v>272</v>
      </c>
      <c r="F49" s="63">
        <f>'Metrics Data'!I190</f>
        <v>0.17699999999999999</v>
      </c>
      <c r="G49" s="63">
        <f>'Metrics Data'!I191</f>
        <v>0.22800000000000001</v>
      </c>
      <c r="H49" s="63">
        <f>'Metrics Data'!I192</f>
        <v>0.315</v>
      </c>
      <c r="I49" s="63">
        <f>'Metrics Data'!I193</f>
        <v>0.32600000000000001</v>
      </c>
      <c r="J49" s="63">
        <f t="shared" si="6"/>
        <v>0.254</v>
      </c>
      <c r="K49" s="63">
        <f t="shared" si="1"/>
        <v>23.2</v>
      </c>
      <c r="L49" s="63">
        <f t="shared" si="15"/>
        <v>4.8170000000000002</v>
      </c>
      <c r="M49" s="63">
        <f t="shared" si="3"/>
        <v>66.900000000000006</v>
      </c>
      <c r="N49" s="63">
        <f>1/3</f>
        <v>0.33333333333333331</v>
      </c>
      <c r="O49" s="237">
        <f>ROUND(GEOMEAN(M49:M50),1)</f>
        <v>68.099999999999994</v>
      </c>
      <c r="P49" s="237">
        <v>0.4</v>
      </c>
      <c r="Q49" s="237"/>
      <c r="R49" s="63"/>
    </row>
    <row r="50" spans="1:18">
      <c r="A50" s="63">
        <v>2021</v>
      </c>
      <c r="B50" s="63" t="s">
        <v>280</v>
      </c>
      <c r="C50" s="63" t="s">
        <v>269</v>
      </c>
      <c r="D50" s="63" t="s">
        <v>17</v>
      </c>
      <c r="E50" s="63" t="s">
        <v>273</v>
      </c>
      <c r="F50" s="63">
        <f>'Metrics Data'!I194</f>
        <v>0.121</v>
      </c>
      <c r="G50" s="63">
        <f>'Metrics Data'!I195</f>
        <v>0.128</v>
      </c>
      <c r="H50" s="63">
        <f>'Metrics Data'!I196</f>
        <v>0.159</v>
      </c>
      <c r="I50" s="63">
        <f>'Metrics Data'!I197</f>
        <v>0.21</v>
      </c>
      <c r="J50" s="63">
        <f t="shared" si="6"/>
        <v>0.151</v>
      </c>
      <c r="K50" s="63">
        <f t="shared" si="1"/>
        <v>19.899999999999999</v>
      </c>
      <c r="L50" s="63">
        <f t="shared" si="15"/>
        <v>4.4610000000000003</v>
      </c>
      <c r="M50" s="63">
        <f t="shared" si="3"/>
        <v>69.400000000000006</v>
      </c>
      <c r="N50" s="63">
        <f>1/3</f>
        <v>0.33333333333333331</v>
      </c>
      <c r="O50" s="237"/>
      <c r="P50" s="237"/>
      <c r="Q50" s="237"/>
      <c r="R50" s="63"/>
    </row>
    <row r="51" spans="1:18">
      <c r="A51" s="63">
        <v>2021</v>
      </c>
      <c r="B51" s="63" t="s">
        <v>280</v>
      </c>
      <c r="C51" s="63" t="s">
        <v>269</v>
      </c>
      <c r="D51" s="63" t="s">
        <v>17</v>
      </c>
      <c r="E51" s="63" t="s">
        <v>274</v>
      </c>
      <c r="F51" s="63">
        <f>'Metrics Data'!I198</f>
        <v>0.30099999999999999</v>
      </c>
      <c r="G51" s="63">
        <f>'Metrics Data'!I199</f>
        <v>0.371</v>
      </c>
      <c r="H51" s="63">
        <f>'Metrics Data'!I200</f>
        <v>0.59099999999999997</v>
      </c>
      <c r="I51" s="63">
        <f>'Metrics Data'!I201</f>
        <v>0.30099999999999999</v>
      </c>
      <c r="J51" s="63">
        <f t="shared" si="6"/>
        <v>0.375</v>
      </c>
      <c r="K51" s="63">
        <f t="shared" si="1"/>
        <v>24.5</v>
      </c>
      <c r="L51" s="63">
        <f t="shared" si="15"/>
        <v>4.95</v>
      </c>
      <c r="M51" s="63">
        <f t="shared" si="3"/>
        <v>66</v>
      </c>
      <c r="N51" s="63">
        <f>1/3</f>
        <v>0.33333333333333331</v>
      </c>
      <c r="O51" s="237"/>
      <c r="P51" s="237"/>
      <c r="Q51" s="237"/>
      <c r="R51" s="63"/>
    </row>
    <row r="52" spans="1:18">
      <c r="A52" s="63">
        <v>2021</v>
      </c>
      <c r="B52" s="63" t="s">
        <v>280</v>
      </c>
      <c r="C52" s="63" t="s">
        <v>269</v>
      </c>
      <c r="D52" s="63" t="s">
        <v>25</v>
      </c>
      <c r="E52" s="63" t="s">
        <v>275</v>
      </c>
      <c r="F52" s="63">
        <f>'Metrics Data'!I202</f>
        <v>0.03</v>
      </c>
      <c r="G52" s="63">
        <f>'Metrics Data'!I203</f>
        <v>2.4E-2</v>
      </c>
      <c r="H52" s="63">
        <f>'Metrics Data'!I204</f>
        <v>4.4999999999999998E-2</v>
      </c>
      <c r="I52" s="63">
        <f>'Metrics Data'!I205</f>
        <v>0.20300000000000001</v>
      </c>
      <c r="J52" s="63">
        <f t="shared" si="6"/>
        <v>5.0999999999999997E-2</v>
      </c>
      <c r="K52" s="63">
        <f t="shared" si="1"/>
        <v>101</v>
      </c>
      <c r="L52" s="63">
        <f t="shared" si="15"/>
        <v>10.050000000000001</v>
      </c>
      <c r="M52" s="63">
        <f t="shared" si="3"/>
        <v>31</v>
      </c>
      <c r="N52" s="63">
        <f>1/2</f>
        <v>0.5</v>
      </c>
      <c r="O52" s="237">
        <f>ROUND(GEOMEAN(M52:M53),1)</f>
        <v>48.3</v>
      </c>
      <c r="P52" s="237">
        <v>0.2</v>
      </c>
      <c r="Q52" s="237"/>
      <c r="R52" s="63"/>
    </row>
    <row r="53" spans="1:18">
      <c r="A53" s="63">
        <v>2020</v>
      </c>
      <c r="B53" s="63" t="s">
        <v>280</v>
      </c>
      <c r="C53" s="63" t="s">
        <v>269</v>
      </c>
      <c r="D53" s="63" t="s">
        <v>25</v>
      </c>
      <c r="E53" s="63" t="s">
        <v>276</v>
      </c>
      <c r="F53" s="63">
        <f>'Metrics Data'!I206</f>
        <v>0.57499999999999996</v>
      </c>
      <c r="G53" s="63">
        <f>'Metrics Data'!I207</f>
        <v>0.56200000000000006</v>
      </c>
      <c r="H53" s="63">
        <f>'Metrics Data'!I208</f>
        <v>0.65</v>
      </c>
      <c r="I53" s="63">
        <f>'Metrics Data'!I209</f>
        <v>0.82699999999999996</v>
      </c>
      <c r="J53" s="63">
        <f t="shared" si="6"/>
        <v>0.64600000000000002</v>
      </c>
      <c r="K53" s="63">
        <f t="shared" si="1"/>
        <v>13.2</v>
      </c>
      <c r="L53" s="63">
        <f t="shared" si="15"/>
        <v>3.633</v>
      </c>
      <c r="M53" s="63">
        <f t="shared" si="3"/>
        <v>75.099999999999994</v>
      </c>
      <c r="N53" s="63">
        <f>1/2</f>
        <v>0.5</v>
      </c>
      <c r="O53" s="237"/>
      <c r="P53" s="237"/>
      <c r="Q53" s="237"/>
      <c r="R53" s="63"/>
    </row>
    <row r="54" spans="1:18">
      <c r="A54" s="63">
        <v>2021</v>
      </c>
      <c r="B54" s="63" t="s">
        <v>280</v>
      </c>
      <c r="C54" s="63" t="s">
        <v>277</v>
      </c>
      <c r="D54" s="63" t="s">
        <v>8</v>
      </c>
      <c r="E54" s="63" t="s">
        <v>278</v>
      </c>
      <c r="F54" s="63">
        <f>'Metrics Data'!I210</f>
        <v>4.4999999999999998E-2</v>
      </c>
      <c r="G54" s="63">
        <f>'Metrics Data'!I211</f>
        <v>0.05</v>
      </c>
      <c r="H54" s="63">
        <f>'Metrics Data'!I212</f>
        <v>4.5999999999999999E-2</v>
      </c>
      <c r="I54" s="63">
        <f>'Metrics Data'!I213</f>
        <v>0.13200000000000001</v>
      </c>
      <c r="J54" s="63">
        <f t="shared" si="6"/>
        <v>6.0999999999999999E-2</v>
      </c>
      <c r="K54" s="63">
        <f t="shared" si="1"/>
        <v>46.3</v>
      </c>
      <c r="L54" s="63">
        <f t="shared" si="15"/>
        <v>6.8040000000000003</v>
      </c>
      <c r="M54" s="63">
        <f t="shared" si="3"/>
        <v>53.3</v>
      </c>
      <c r="N54" s="63">
        <v>1</v>
      </c>
      <c r="O54" s="98">
        <f t="shared" ref="O54:O55" si="18">N54*M54</f>
        <v>53.3</v>
      </c>
      <c r="P54" s="98">
        <v>0.5</v>
      </c>
      <c r="Q54" s="237">
        <f>ROUND(GEOMEAN(O54:O55),1)</f>
        <v>55.1</v>
      </c>
      <c r="R54" s="63"/>
    </row>
    <row r="55" spans="1:18">
      <c r="A55" s="63">
        <v>2021</v>
      </c>
      <c r="B55" s="63" t="s">
        <v>280</v>
      </c>
      <c r="C55" s="63" t="s">
        <v>277</v>
      </c>
      <c r="D55" s="63" t="s">
        <v>17</v>
      </c>
      <c r="E55" s="63" t="s">
        <v>279</v>
      </c>
      <c r="F55" s="63">
        <f>'Metrics Data'!I214</f>
        <v>5.0000000000000001E-3</v>
      </c>
      <c r="G55" s="63">
        <f>'Metrics Data'!I215</f>
        <v>6.0000000000000001E-3</v>
      </c>
      <c r="H55" s="63">
        <f>'Metrics Data'!I216</f>
        <v>7.0000000000000001E-3</v>
      </c>
      <c r="I55" s="63">
        <f>'Metrics Data'!I217</f>
        <v>1.4999999999999999E-2</v>
      </c>
      <c r="J55" s="63">
        <f t="shared" si="6"/>
        <v>7.0000000000000001E-3</v>
      </c>
      <c r="K55" s="63">
        <f t="shared" si="1"/>
        <v>39.299999999999997</v>
      </c>
      <c r="L55" s="63">
        <f t="shared" si="15"/>
        <v>6.2690000000000001</v>
      </c>
      <c r="M55" s="63">
        <f t="shared" si="3"/>
        <v>57</v>
      </c>
      <c r="N55" s="63">
        <v>1</v>
      </c>
      <c r="O55" s="98">
        <f t="shared" si="18"/>
        <v>57</v>
      </c>
      <c r="P55" s="98">
        <v>0.5</v>
      </c>
      <c r="Q55" s="237"/>
      <c r="R55" s="63"/>
    </row>
  </sheetData>
  <mergeCells count="44">
    <mergeCell ref="P25:P26"/>
    <mergeCell ref="O2:O4"/>
    <mergeCell ref="P2:P4"/>
    <mergeCell ref="O5:O6"/>
    <mergeCell ref="P5:P6"/>
    <mergeCell ref="O7:O10"/>
    <mergeCell ref="O14:O15"/>
    <mergeCell ref="O16:O19"/>
    <mergeCell ref="O20:O21"/>
    <mergeCell ref="O22:O24"/>
    <mergeCell ref="O25:O26"/>
    <mergeCell ref="O43:O46"/>
    <mergeCell ref="O47:O48"/>
    <mergeCell ref="O49:O51"/>
    <mergeCell ref="O52:O53"/>
    <mergeCell ref="P7:P10"/>
    <mergeCell ref="P11:P13"/>
    <mergeCell ref="P14:P15"/>
    <mergeCell ref="P16:P19"/>
    <mergeCell ref="P20:P21"/>
    <mergeCell ref="P22:P24"/>
    <mergeCell ref="O29:O31"/>
    <mergeCell ref="O32:O33"/>
    <mergeCell ref="O34:O37"/>
    <mergeCell ref="O38:O40"/>
    <mergeCell ref="O41:O42"/>
    <mergeCell ref="O11:O13"/>
    <mergeCell ref="P29:P31"/>
    <mergeCell ref="P32:P33"/>
    <mergeCell ref="P34:P37"/>
    <mergeCell ref="P38:P40"/>
    <mergeCell ref="P41:P42"/>
    <mergeCell ref="Q2:Q10"/>
    <mergeCell ref="Q11:Q19"/>
    <mergeCell ref="Q20:Q26"/>
    <mergeCell ref="Q27:Q28"/>
    <mergeCell ref="Q29:Q37"/>
    <mergeCell ref="Q38:Q46"/>
    <mergeCell ref="Q47:Q53"/>
    <mergeCell ref="Q54:Q55"/>
    <mergeCell ref="P43:P46"/>
    <mergeCell ref="P47:P48"/>
    <mergeCell ref="P49:P51"/>
    <mergeCell ref="P52:P53"/>
  </mergeCells>
  <pageMargins left="0.7" right="0.7" top="0.75" bottom="0.75" header="0.3" footer="0.3"/>
  <ignoredErrors>
    <ignoredError sqref="M14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E1111-576C-4DF8-A6B3-932E6BE41BA5}">
  <dimension ref="A1:AA62"/>
  <sheetViews>
    <sheetView tabSelected="1" topLeftCell="W1" zoomScale="85" zoomScaleNormal="85" workbookViewId="0">
      <selection activeCell="AB12" sqref="AB12"/>
    </sheetView>
  </sheetViews>
  <sheetFormatPr defaultRowHeight="14.5"/>
  <cols>
    <col min="1" max="1" width="17.08984375" style="105" bestFit="1" customWidth="1"/>
    <col min="2" max="2" width="14.36328125" style="105" bestFit="1" customWidth="1"/>
    <col min="3" max="3" width="49.1796875" style="105" bestFit="1" customWidth="1"/>
    <col min="4" max="4" width="15.453125" style="105" customWidth="1"/>
    <col min="5" max="5" width="20.7265625" style="105" bestFit="1" customWidth="1"/>
    <col min="6" max="6" width="20.7265625" style="105" customWidth="1"/>
    <col min="7" max="7" width="8.7265625" style="105"/>
    <col min="8" max="8" width="17.08984375" style="105" bestFit="1" customWidth="1"/>
    <col min="9" max="9" width="14.36328125" style="105" bestFit="1" customWidth="1"/>
    <col min="10" max="10" width="52.453125" style="105" bestFit="1" customWidth="1"/>
    <col min="11" max="11" width="15.453125" style="105" bestFit="1" customWidth="1"/>
    <col min="12" max="12" width="20.7265625" style="105" bestFit="1" customWidth="1"/>
    <col min="13" max="13" width="9.26953125" style="105" bestFit="1" customWidth="1"/>
    <col min="14" max="14" width="8.7265625" style="105"/>
    <col min="15" max="15" width="17.08984375" style="105" bestFit="1" customWidth="1"/>
    <col min="16" max="16" width="14.36328125" style="105" bestFit="1" customWidth="1"/>
    <col min="17" max="17" width="61.26953125" style="105" bestFit="1" customWidth="1"/>
    <col min="18" max="18" width="15.453125" style="105" bestFit="1" customWidth="1"/>
    <col min="19" max="19" width="20.7265625" style="105" bestFit="1" customWidth="1"/>
    <col min="20" max="20" width="9.26953125" style="105" bestFit="1" customWidth="1"/>
    <col min="21" max="21" width="8.7265625" style="105"/>
    <col min="22" max="22" width="17.08984375" style="105" bestFit="1" customWidth="1"/>
    <col min="23" max="23" width="14.36328125" style="105" bestFit="1" customWidth="1"/>
    <col min="24" max="24" width="49.7265625" style="105" bestFit="1" customWidth="1"/>
    <col min="25" max="25" width="15.453125" style="105" bestFit="1" customWidth="1"/>
    <col min="26" max="26" width="20.7265625" style="105" bestFit="1" customWidth="1"/>
    <col min="27" max="27" width="9.26953125" style="105" bestFit="1" customWidth="1"/>
    <col min="28" max="16384" width="8.7265625" style="105"/>
  </cols>
  <sheetData>
    <row r="1" spans="1:27" ht="16.5">
      <c r="A1" s="239" t="s">
        <v>331</v>
      </c>
      <c r="B1" s="238"/>
      <c r="C1" s="238"/>
      <c r="D1" s="238"/>
      <c r="E1" s="238"/>
      <c r="F1" s="238"/>
      <c r="H1" s="238" t="s">
        <v>341</v>
      </c>
      <c r="I1" s="238"/>
      <c r="J1" s="238"/>
      <c r="K1" s="238"/>
      <c r="L1" s="238"/>
      <c r="M1" s="238"/>
      <c r="O1" s="238" t="s">
        <v>383</v>
      </c>
      <c r="P1" s="238"/>
      <c r="Q1" s="238"/>
      <c r="R1" s="238"/>
      <c r="S1" s="238"/>
      <c r="T1" s="238"/>
      <c r="V1" s="238" t="s">
        <v>392</v>
      </c>
      <c r="W1" s="238"/>
      <c r="X1" s="238"/>
      <c r="Y1" s="238"/>
      <c r="Z1" s="238"/>
      <c r="AA1" s="238"/>
    </row>
    <row r="2" spans="1:27" ht="16.5">
      <c r="A2" s="101" t="s">
        <v>328</v>
      </c>
      <c r="B2" s="101" t="s">
        <v>329</v>
      </c>
      <c r="C2" s="101" t="s">
        <v>330</v>
      </c>
      <c r="D2" s="101" t="s">
        <v>332</v>
      </c>
      <c r="E2" s="101" t="s">
        <v>333</v>
      </c>
      <c r="F2" s="101" t="s">
        <v>377</v>
      </c>
      <c r="H2" s="101" t="s">
        <v>328</v>
      </c>
      <c r="I2" s="101" t="s">
        <v>329</v>
      </c>
      <c r="J2" s="101" t="s">
        <v>330</v>
      </c>
      <c r="K2" s="101" t="s">
        <v>332</v>
      </c>
      <c r="L2" s="101" t="s">
        <v>333</v>
      </c>
      <c r="M2" s="101" t="s">
        <v>377</v>
      </c>
      <c r="O2" s="101" t="s">
        <v>328</v>
      </c>
      <c r="P2" s="101" t="s">
        <v>329</v>
      </c>
      <c r="Q2" s="101" t="s">
        <v>385</v>
      </c>
      <c r="R2" s="101" t="s">
        <v>332</v>
      </c>
      <c r="S2" s="101" t="s">
        <v>333</v>
      </c>
      <c r="T2" s="101" t="s">
        <v>377</v>
      </c>
      <c r="V2" s="101" t="s">
        <v>328</v>
      </c>
      <c r="W2" s="101" t="s">
        <v>329</v>
      </c>
      <c r="X2" s="101" t="s">
        <v>393</v>
      </c>
      <c r="Y2" s="101" t="s">
        <v>332</v>
      </c>
      <c r="Z2" s="101" t="s">
        <v>333</v>
      </c>
      <c r="AA2" s="101" t="s">
        <v>377</v>
      </c>
    </row>
    <row r="3" spans="1:27" ht="16.5">
      <c r="A3" s="101" t="s">
        <v>58</v>
      </c>
      <c r="B3" s="101">
        <f>'Metrics Data'!H2</f>
        <v>8275</v>
      </c>
      <c r="C3" s="102">
        <f>'Metrics Data'!I2</f>
        <v>0.18</v>
      </c>
      <c r="D3" s="103">
        <f>B3*C3</f>
        <v>1489.5</v>
      </c>
      <c r="E3" s="103">
        <f>AVERAGE(C5:C6)*B3</f>
        <v>5668.375</v>
      </c>
      <c r="F3" s="103">
        <f>E3-D3</f>
        <v>4178.875</v>
      </c>
      <c r="H3" s="101" t="s">
        <v>58</v>
      </c>
      <c r="I3" s="101">
        <f>'Metrics Data'!H38</f>
        <v>7850</v>
      </c>
      <c r="J3" s="104">
        <f>'Metrics Data'!I38</f>
        <v>0.113</v>
      </c>
      <c r="K3" s="103">
        <f>I3*J3</f>
        <v>887.05000000000007</v>
      </c>
      <c r="L3" s="103">
        <f>AVERAGE(J5:J6)*I3</f>
        <v>4564.7750000000005</v>
      </c>
      <c r="M3" s="103">
        <f>L3-K3</f>
        <v>3677.7250000000004</v>
      </c>
      <c r="O3" s="101" t="s">
        <v>58</v>
      </c>
      <c r="P3" s="101">
        <f>'Metrics Data'!H74</f>
        <v>1066</v>
      </c>
      <c r="Q3" s="122">
        <f>'Metrics Data'!I74</f>
        <v>0.18099999999999999</v>
      </c>
      <c r="R3" s="103">
        <f>P3*Q3</f>
        <v>192.946</v>
      </c>
      <c r="S3" s="103">
        <f>AVERAGE(Q5:Q6)*P3</f>
        <v>286.75400000000002</v>
      </c>
      <c r="T3" s="103">
        <f>S3-R3</f>
        <v>93.808000000000021</v>
      </c>
      <c r="V3" s="101" t="s">
        <v>58</v>
      </c>
      <c r="W3" s="101">
        <f>'Metrics Data'!H102</f>
        <v>350308</v>
      </c>
      <c r="X3" s="123">
        <f>'Metrics Data'!I102</f>
        <v>2.5000000000000001E-2</v>
      </c>
      <c r="Y3" s="103">
        <f>W3*X3</f>
        <v>8757.7000000000007</v>
      </c>
      <c r="Z3" s="103">
        <f>AVERAGE(X5:X6)*W3</f>
        <v>23470.636000000002</v>
      </c>
      <c r="AA3" s="103">
        <f>Z3-Y3</f>
        <v>14712.936000000002</v>
      </c>
    </row>
    <row r="4" spans="1:27" ht="16.5">
      <c r="A4" s="101" t="s">
        <v>59</v>
      </c>
      <c r="B4" s="101">
        <f>'Metrics Data'!H3</f>
        <v>10392</v>
      </c>
      <c r="C4" s="102">
        <f>'Metrics Data'!I3</f>
        <v>0.28999999999999998</v>
      </c>
      <c r="D4" s="103">
        <f t="shared" ref="D4:D6" si="0">B4*C4</f>
        <v>3013.68</v>
      </c>
      <c r="E4" s="103">
        <f>AVERAGE(C5:C6)*B4</f>
        <v>7118.52</v>
      </c>
      <c r="F4" s="103">
        <f t="shared" ref="F4" si="1">E4-D4</f>
        <v>4104.84</v>
      </c>
      <c r="H4" s="101" t="s">
        <v>59</v>
      </c>
      <c r="I4" s="101">
        <f>'Metrics Data'!H39</f>
        <v>11418</v>
      </c>
      <c r="J4" s="102">
        <f>'Metrics Data'!I39</f>
        <v>0.19</v>
      </c>
      <c r="K4" s="103">
        <f t="shared" ref="K4:K6" si="2">I4*J4</f>
        <v>2169.42</v>
      </c>
      <c r="L4" s="103">
        <f>AVERAGE(J5:J6)*I4</f>
        <v>6639.567</v>
      </c>
      <c r="M4" s="103">
        <f t="shared" ref="M4" si="3">L4-K4</f>
        <v>4470.1469999999999</v>
      </c>
      <c r="O4" s="101" t="s">
        <v>59</v>
      </c>
      <c r="P4" s="101">
        <f>'Metrics Data'!H75</f>
        <v>2134</v>
      </c>
      <c r="Q4" s="122">
        <f>'Metrics Data'!I75</f>
        <v>0.21</v>
      </c>
      <c r="R4" s="103">
        <f t="shared" ref="R4:R6" si="4">P4*Q4</f>
        <v>448.14</v>
      </c>
      <c r="S4" s="103">
        <f>AVERAGE(Q5:Q6)*P4</f>
        <v>574.04600000000005</v>
      </c>
      <c r="T4" s="103">
        <f t="shared" ref="T4" si="5">S4-R4</f>
        <v>125.90600000000006</v>
      </c>
      <c r="V4" s="101" t="s">
        <v>59</v>
      </c>
      <c r="W4" s="101">
        <f>'Metrics Data'!H103</f>
        <v>255494</v>
      </c>
      <c r="X4" s="123">
        <f>'Metrics Data'!I103</f>
        <v>3.5999999999999997E-2</v>
      </c>
      <c r="Y4" s="103">
        <f t="shared" ref="Y4:Y6" si="6">W4*X4</f>
        <v>9197.7839999999997</v>
      </c>
      <c r="Z4" s="103">
        <f>AVERAGE(X5:X6)*W4</f>
        <v>17118.098000000002</v>
      </c>
      <c r="AA4" s="103">
        <f t="shared" ref="AA4" si="7">Z4-Y4</f>
        <v>7920.3140000000021</v>
      </c>
    </row>
    <row r="5" spans="1:27" ht="16.5">
      <c r="A5" s="101" t="s">
        <v>137</v>
      </c>
      <c r="B5" s="101">
        <f>'Metrics Data'!H4</f>
        <v>2501</v>
      </c>
      <c r="C5" s="102">
        <f>'Metrics Data'!I4</f>
        <v>0.65</v>
      </c>
      <c r="D5" s="103">
        <f t="shared" si="0"/>
        <v>1625.65</v>
      </c>
      <c r="E5" s="101" t="s">
        <v>140</v>
      </c>
      <c r="F5" s="103" t="s">
        <v>140</v>
      </c>
      <c r="H5" s="101" t="s">
        <v>137</v>
      </c>
      <c r="I5" s="101">
        <f>'Metrics Data'!H40</f>
        <v>2278</v>
      </c>
      <c r="J5" s="104">
        <f>'Metrics Data'!I40</f>
        <v>0.63600000000000001</v>
      </c>
      <c r="K5" s="103">
        <f t="shared" si="2"/>
        <v>1448.808</v>
      </c>
      <c r="L5" s="101" t="s">
        <v>140</v>
      </c>
      <c r="M5" s="103" t="s">
        <v>140</v>
      </c>
      <c r="O5" s="101" t="s">
        <v>137</v>
      </c>
      <c r="P5" s="101">
        <f>'Metrics Data'!H76</f>
        <v>5264</v>
      </c>
      <c r="Q5" s="122">
        <f>'Metrics Data'!I76</f>
        <v>0.27300000000000002</v>
      </c>
      <c r="R5" s="103">
        <f t="shared" si="4"/>
        <v>1437.0720000000001</v>
      </c>
      <c r="S5" s="101" t="s">
        <v>140</v>
      </c>
      <c r="T5" s="103" t="s">
        <v>140</v>
      </c>
      <c r="V5" s="101" t="s">
        <v>137</v>
      </c>
      <c r="W5" s="101">
        <f>'Metrics Data'!H104</f>
        <v>2007922</v>
      </c>
      <c r="X5" s="123">
        <f>'Metrics Data'!I104</f>
        <v>3.5999999999999997E-2</v>
      </c>
      <c r="Y5" s="103">
        <f t="shared" si="6"/>
        <v>72285.191999999995</v>
      </c>
      <c r="Z5" s="101" t="s">
        <v>140</v>
      </c>
      <c r="AA5" s="103" t="s">
        <v>140</v>
      </c>
    </row>
    <row r="6" spans="1:27" ht="16.5">
      <c r="A6" s="101" t="s">
        <v>61</v>
      </c>
      <c r="B6" s="101">
        <f>'Metrics Data'!H5</f>
        <v>1084</v>
      </c>
      <c r="C6" s="102">
        <f>'Metrics Data'!I5</f>
        <v>0.72</v>
      </c>
      <c r="D6" s="103">
        <f t="shared" si="0"/>
        <v>780.48</v>
      </c>
      <c r="E6" s="101" t="s">
        <v>140</v>
      </c>
      <c r="F6" s="103" t="s">
        <v>140</v>
      </c>
      <c r="H6" s="101" t="s">
        <v>61</v>
      </c>
      <c r="I6" s="101">
        <f>'Metrics Data'!H41</f>
        <v>1090</v>
      </c>
      <c r="J6" s="104">
        <f>'Metrics Data'!I41</f>
        <v>0.52700000000000002</v>
      </c>
      <c r="K6" s="103">
        <f t="shared" si="2"/>
        <v>574.43000000000006</v>
      </c>
      <c r="L6" s="101" t="s">
        <v>140</v>
      </c>
      <c r="M6" s="103" t="s">
        <v>140</v>
      </c>
      <c r="O6" s="101" t="s">
        <v>61</v>
      </c>
      <c r="P6" s="101">
        <f>'Metrics Data'!H77</f>
        <v>3295</v>
      </c>
      <c r="Q6" s="122">
        <f>'Metrics Data'!I77</f>
        <v>0.26500000000000001</v>
      </c>
      <c r="R6" s="103">
        <f t="shared" si="4"/>
        <v>873.17500000000007</v>
      </c>
      <c r="S6" s="101" t="s">
        <v>140</v>
      </c>
      <c r="T6" s="103" t="s">
        <v>140</v>
      </c>
      <c r="V6" s="101" t="s">
        <v>61</v>
      </c>
      <c r="W6" s="101">
        <f>'Metrics Data'!H105</f>
        <v>340436</v>
      </c>
      <c r="X6" s="123">
        <f>'Metrics Data'!I105</f>
        <v>9.8000000000000004E-2</v>
      </c>
      <c r="Y6" s="103">
        <f t="shared" si="6"/>
        <v>33362.728000000003</v>
      </c>
      <c r="Z6" s="101" t="s">
        <v>140</v>
      </c>
      <c r="AA6" s="103" t="s">
        <v>140</v>
      </c>
    </row>
    <row r="7" spans="1:27" ht="16.5">
      <c r="A7" s="106"/>
      <c r="B7" s="106"/>
      <c r="C7" s="106"/>
      <c r="D7" s="106"/>
      <c r="E7" s="106"/>
      <c r="F7" s="106"/>
      <c r="W7" s="124"/>
    </row>
    <row r="8" spans="1:27" ht="16.5">
      <c r="A8" s="238" t="s">
        <v>40</v>
      </c>
      <c r="B8" s="238"/>
      <c r="C8" s="238"/>
      <c r="D8" s="238"/>
      <c r="E8" s="238"/>
      <c r="F8" s="238"/>
      <c r="H8" s="238" t="s">
        <v>120</v>
      </c>
      <c r="I8" s="238"/>
      <c r="J8" s="238"/>
      <c r="K8" s="238"/>
      <c r="L8" s="238"/>
      <c r="M8" s="238"/>
      <c r="O8" s="238" t="s">
        <v>271</v>
      </c>
      <c r="P8" s="238"/>
      <c r="Q8" s="238"/>
      <c r="R8" s="238"/>
      <c r="S8" s="238"/>
      <c r="T8" s="238"/>
      <c r="V8" s="238" t="s">
        <v>394</v>
      </c>
      <c r="W8" s="238"/>
      <c r="X8" s="238"/>
      <c r="Y8" s="238"/>
      <c r="Z8" s="238"/>
      <c r="AA8" s="238"/>
    </row>
    <row r="9" spans="1:27" ht="16.5">
      <c r="A9" s="101" t="s">
        <v>328</v>
      </c>
      <c r="B9" s="101" t="s">
        <v>329</v>
      </c>
      <c r="C9" s="101" t="s">
        <v>330</v>
      </c>
      <c r="D9" s="101" t="s">
        <v>332</v>
      </c>
      <c r="E9" s="101" t="s">
        <v>333</v>
      </c>
      <c r="F9" s="101" t="s">
        <v>377</v>
      </c>
      <c r="H9" s="101" t="s">
        <v>328</v>
      </c>
      <c r="I9" s="101" t="s">
        <v>329</v>
      </c>
      <c r="J9" s="101" t="s">
        <v>343</v>
      </c>
      <c r="K9" s="101" t="s">
        <v>332</v>
      </c>
      <c r="L9" s="101" t="s">
        <v>333</v>
      </c>
      <c r="M9" s="101" t="s">
        <v>377</v>
      </c>
      <c r="O9" s="101" t="s">
        <v>328</v>
      </c>
      <c r="P9" s="101" t="s">
        <v>329</v>
      </c>
      <c r="Q9" s="101" t="s">
        <v>384</v>
      </c>
      <c r="R9" s="101" t="s">
        <v>332</v>
      </c>
      <c r="S9" s="101" t="s">
        <v>333</v>
      </c>
      <c r="T9" s="101" t="s">
        <v>377</v>
      </c>
      <c r="V9" s="101" t="s">
        <v>328</v>
      </c>
      <c r="W9" s="101" t="s">
        <v>329</v>
      </c>
      <c r="X9" s="101" t="s">
        <v>395</v>
      </c>
      <c r="Y9" s="101" t="s">
        <v>332</v>
      </c>
      <c r="Z9" s="101" t="s">
        <v>333</v>
      </c>
      <c r="AA9" s="101" t="s">
        <v>377</v>
      </c>
    </row>
    <row r="10" spans="1:27" ht="16.5">
      <c r="A10" s="101" t="s">
        <v>58</v>
      </c>
      <c r="B10" s="101">
        <f>'Metrics Data'!H6</f>
        <v>9376</v>
      </c>
      <c r="C10" s="102">
        <f>'Metrics Data'!I6</f>
        <v>0.15</v>
      </c>
      <c r="D10" s="103">
        <f>B10*C10</f>
        <v>1406.3999999999999</v>
      </c>
      <c r="E10" s="103">
        <f>AVERAGE(C12:C13)*B10</f>
        <v>5953.76</v>
      </c>
      <c r="F10" s="103">
        <f>E10-D10</f>
        <v>4547.3600000000006</v>
      </c>
      <c r="H10" s="101" t="s">
        <v>58</v>
      </c>
      <c r="I10" s="101">
        <f>'Metrics Data'!H42</f>
        <v>412</v>
      </c>
      <c r="J10" s="104">
        <f>'Metrics Data'!I42</f>
        <v>0.17199999999999999</v>
      </c>
      <c r="K10" s="103">
        <f>I10*J10</f>
        <v>70.86399999999999</v>
      </c>
      <c r="L10" s="103">
        <f>AVERAGE(J12:J13)*I10</f>
        <v>269.86</v>
      </c>
      <c r="M10" s="103">
        <f>L10-K10</f>
        <v>198.99600000000004</v>
      </c>
      <c r="O10" s="101" t="s">
        <v>58</v>
      </c>
      <c r="P10" s="101">
        <f>'Metrics Data'!H78</f>
        <v>6102</v>
      </c>
      <c r="Q10" s="122">
        <f>'Metrics Data'!I78</f>
        <v>3.2000000000000001E-2</v>
      </c>
      <c r="R10" s="103">
        <f>P10*Q10</f>
        <v>195.26400000000001</v>
      </c>
      <c r="S10" s="103">
        <f>AVERAGE(Q12:Q13)*P10</f>
        <v>515.61900000000003</v>
      </c>
      <c r="T10" s="103">
        <f>S10-R10</f>
        <v>320.35500000000002</v>
      </c>
      <c r="V10" s="101" t="s">
        <v>58</v>
      </c>
      <c r="W10" s="101">
        <f>'Metrics Data'!H106</f>
        <v>350308</v>
      </c>
      <c r="X10" s="123">
        <f>'Metrics Data'!I106</f>
        <v>4.0000000000000001E-3</v>
      </c>
      <c r="Y10" s="103">
        <f>W10*X10</f>
        <v>1401.232</v>
      </c>
      <c r="Z10" s="103">
        <f>AVERAGE(X12:X13)*W10</f>
        <v>3327.9259999999999</v>
      </c>
      <c r="AA10" s="103">
        <f>Z10-Y10</f>
        <v>1926.694</v>
      </c>
    </row>
    <row r="11" spans="1:27" ht="16.5">
      <c r="A11" s="101" t="s">
        <v>59</v>
      </c>
      <c r="B11" s="101">
        <f>'Metrics Data'!H7</f>
        <v>12500</v>
      </c>
      <c r="C11" s="102">
        <f>'Metrics Data'!I7</f>
        <v>0.27</v>
      </c>
      <c r="D11" s="103">
        <f t="shared" ref="D11:D13" si="8">B11*C11</f>
        <v>3375</v>
      </c>
      <c r="E11" s="103">
        <f>AVERAGE(C12:C13)*B11</f>
        <v>7937.5</v>
      </c>
      <c r="F11" s="103">
        <f t="shared" ref="F11" si="9">E11-D11</f>
        <v>4562.5</v>
      </c>
      <c r="H11" s="101" t="s">
        <v>59</v>
      </c>
      <c r="I11" s="101">
        <f>'Metrics Data'!H43</f>
        <v>1004</v>
      </c>
      <c r="J11" s="104">
        <f>'Metrics Data'!I43</f>
        <v>0.32300000000000001</v>
      </c>
      <c r="K11" s="103">
        <f t="shared" ref="K11:K13" si="10">I11*J11</f>
        <v>324.29200000000003</v>
      </c>
      <c r="L11" s="103">
        <f>AVERAGE(J12:J13)*I11</f>
        <v>657.62</v>
      </c>
      <c r="M11" s="103">
        <f t="shared" ref="M11" si="11">L11-K11</f>
        <v>333.32799999999997</v>
      </c>
      <c r="O11" s="101" t="s">
        <v>59</v>
      </c>
      <c r="P11" s="101">
        <f>'Metrics Data'!H79</f>
        <v>11594</v>
      </c>
      <c r="Q11" s="122">
        <f>'Metrics Data'!I79</f>
        <v>3.9E-2</v>
      </c>
      <c r="R11" s="103">
        <f t="shared" ref="R11:R13" si="12">P11*Q11</f>
        <v>452.166</v>
      </c>
      <c r="S11" s="103">
        <f>AVERAGE(Q12:Q13)*P11</f>
        <v>979.6930000000001</v>
      </c>
      <c r="T11" s="103">
        <f t="shared" ref="T11" si="13">S11-R11</f>
        <v>527.52700000000004</v>
      </c>
      <c r="V11" s="101" t="s">
        <v>59</v>
      </c>
      <c r="W11" s="101">
        <f>'Metrics Data'!H107</f>
        <v>255494</v>
      </c>
      <c r="X11" s="123">
        <f>'Metrics Data'!I107</f>
        <v>7.0000000000000001E-3</v>
      </c>
      <c r="Y11" s="103">
        <f t="shared" ref="Y11:Y13" si="14">W11*X11</f>
        <v>1788.4580000000001</v>
      </c>
      <c r="Z11" s="103">
        <f>AVERAGE(X12:X13)*W11</f>
        <v>2427.1929999999998</v>
      </c>
      <c r="AA11" s="103">
        <f t="shared" ref="AA11" si="15">Z11-Y11</f>
        <v>638.73499999999967</v>
      </c>
    </row>
    <row r="12" spans="1:27" ht="16.5">
      <c r="A12" s="101" t="s">
        <v>137</v>
      </c>
      <c r="B12" s="101">
        <f>'Metrics Data'!H8</f>
        <v>2566</v>
      </c>
      <c r="C12" s="102">
        <f>'Metrics Data'!I8</f>
        <v>0.56000000000000005</v>
      </c>
      <c r="D12" s="103">
        <f t="shared" si="8"/>
        <v>1436.96</v>
      </c>
      <c r="E12" s="101" t="s">
        <v>140</v>
      </c>
      <c r="F12" s="103" t="s">
        <v>140</v>
      </c>
      <c r="H12" s="101" t="s">
        <v>137</v>
      </c>
      <c r="I12" s="101">
        <f>'Metrics Data'!H44</f>
        <v>627</v>
      </c>
      <c r="J12" s="104">
        <f>'Metrics Data'!I44</f>
        <v>0.69199999999999995</v>
      </c>
      <c r="K12" s="103">
        <f t="shared" si="10"/>
        <v>433.88399999999996</v>
      </c>
      <c r="L12" s="101" t="s">
        <v>140</v>
      </c>
      <c r="M12" s="103" t="s">
        <v>140</v>
      </c>
      <c r="O12" s="101" t="s">
        <v>137</v>
      </c>
      <c r="P12" s="101">
        <f>'Metrics Data'!H80</f>
        <v>37224</v>
      </c>
      <c r="Q12" s="122">
        <f>'Metrics Data'!I80</f>
        <v>3.9E-2</v>
      </c>
      <c r="R12" s="103">
        <f t="shared" si="12"/>
        <v>1451.7360000000001</v>
      </c>
      <c r="S12" s="101" t="s">
        <v>140</v>
      </c>
      <c r="T12" s="103" t="s">
        <v>140</v>
      </c>
      <c r="V12" s="101" t="s">
        <v>137</v>
      </c>
      <c r="W12" s="101">
        <f>'Metrics Data'!H108</f>
        <v>2007922</v>
      </c>
      <c r="X12" s="123">
        <f>'Metrics Data'!I108</f>
        <v>7.0000000000000001E-3</v>
      </c>
      <c r="Y12" s="103">
        <f t="shared" si="14"/>
        <v>14055.454</v>
      </c>
      <c r="Z12" s="101" t="s">
        <v>140</v>
      </c>
      <c r="AA12" s="103" t="s">
        <v>140</v>
      </c>
    </row>
    <row r="13" spans="1:27" ht="16.5">
      <c r="A13" s="101" t="s">
        <v>61</v>
      </c>
      <c r="B13" s="101">
        <f>'Metrics Data'!H9</f>
        <v>1023</v>
      </c>
      <c r="C13" s="102">
        <f>'Metrics Data'!I9</f>
        <v>0.71</v>
      </c>
      <c r="D13" s="103">
        <f t="shared" si="8"/>
        <v>726.32999999999993</v>
      </c>
      <c r="E13" s="101" t="s">
        <v>140</v>
      </c>
      <c r="F13" s="103" t="s">
        <v>140</v>
      </c>
      <c r="H13" s="101" t="s">
        <v>61</v>
      </c>
      <c r="I13" s="101">
        <f>'Metrics Data'!H45</f>
        <v>338</v>
      </c>
      <c r="J13" s="104">
        <f>'Metrics Data'!I45</f>
        <v>0.61799999999999999</v>
      </c>
      <c r="K13" s="103">
        <f t="shared" si="10"/>
        <v>208.88399999999999</v>
      </c>
      <c r="L13" s="101" t="s">
        <v>140</v>
      </c>
      <c r="M13" s="103" t="s">
        <v>140</v>
      </c>
      <c r="O13" s="101" t="s">
        <v>61</v>
      </c>
      <c r="P13" s="101">
        <f>'Metrics Data'!H81</f>
        <v>6713</v>
      </c>
      <c r="Q13" s="122">
        <f>'Metrics Data'!I81</f>
        <v>0.13</v>
      </c>
      <c r="R13" s="103">
        <f t="shared" si="12"/>
        <v>872.69</v>
      </c>
      <c r="S13" s="101" t="s">
        <v>140</v>
      </c>
      <c r="T13" s="103" t="s">
        <v>140</v>
      </c>
      <c r="V13" s="101" t="s">
        <v>61</v>
      </c>
      <c r="W13" s="101">
        <f>'Metrics Data'!H109</f>
        <v>340436</v>
      </c>
      <c r="X13" s="123">
        <f>'Metrics Data'!I109</f>
        <v>1.2E-2</v>
      </c>
      <c r="Y13" s="103">
        <f t="shared" si="14"/>
        <v>4085.232</v>
      </c>
      <c r="Z13" s="101" t="s">
        <v>140</v>
      </c>
      <c r="AA13" s="103" t="s">
        <v>140</v>
      </c>
    </row>
    <row r="14" spans="1:27" ht="16.5">
      <c r="A14" s="106"/>
      <c r="B14" s="106"/>
      <c r="C14" s="106"/>
      <c r="D14" s="106"/>
      <c r="E14" s="106"/>
      <c r="F14" s="106"/>
      <c r="J14" s="107"/>
    </row>
    <row r="15" spans="1:27" ht="16.5">
      <c r="A15" s="238" t="s">
        <v>334</v>
      </c>
      <c r="B15" s="238"/>
      <c r="C15" s="238"/>
      <c r="D15" s="238"/>
      <c r="E15" s="238"/>
      <c r="F15" s="238"/>
      <c r="H15" s="238" t="s">
        <v>263</v>
      </c>
      <c r="I15" s="238"/>
      <c r="J15" s="238"/>
      <c r="K15" s="238"/>
      <c r="L15" s="238"/>
      <c r="M15" s="238"/>
      <c r="O15" s="238" t="s">
        <v>386</v>
      </c>
      <c r="P15" s="238"/>
      <c r="Q15" s="238"/>
      <c r="R15" s="238"/>
      <c r="S15" s="238"/>
      <c r="T15" s="238"/>
    </row>
    <row r="16" spans="1:27" ht="16.5">
      <c r="A16" s="101" t="s">
        <v>328</v>
      </c>
      <c r="B16" s="101" t="s">
        <v>329</v>
      </c>
      <c r="C16" s="101" t="s">
        <v>335</v>
      </c>
      <c r="D16" s="101" t="s">
        <v>332</v>
      </c>
      <c r="E16" s="101" t="s">
        <v>333</v>
      </c>
      <c r="F16" s="101" t="s">
        <v>377</v>
      </c>
      <c r="H16" s="101" t="s">
        <v>328</v>
      </c>
      <c r="I16" s="101" t="s">
        <v>329</v>
      </c>
      <c r="J16" s="101" t="s">
        <v>344</v>
      </c>
      <c r="K16" s="101" t="s">
        <v>332</v>
      </c>
      <c r="L16" s="101" t="s">
        <v>333</v>
      </c>
      <c r="M16" s="101" t="s">
        <v>377</v>
      </c>
      <c r="O16" s="101" t="s">
        <v>328</v>
      </c>
      <c r="P16" s="101" t="s">
        <v>329</v>
      </c>
      <c r="Q16" s="101" t="s">
        <v>384</v>
      </c>
      <c r="R16" s="101" t="s">
        <v>332</v>
      </c>
      <c r="S16" s="101" t="s">
        <v>333</v>
      </c>
      <c r="T16" s="101" t="s">
        <v>377</v>
      </c>
    </row>
    <row r="17" spans="1:20" ht="16.5">
      <c r="A17" s="101" t="s">
        <v>58</v>
      </c>
      <c r="B17" s="101">
        <f>'Metrics Data'!H10</f>
        <v>1138</v>
      </c>
      <c r="C17" s="104">
        <f>'Metrics Data'!I10</f>
        <v>0.95199999999999996</v>
      </c>
      <c r="D17" s="103">
        <f>B17*C17</f>
        <v>1083.376</v>
      </c>
      <c r="E17" s="103">
        <f>AVERAGE(C19:C20)*B17</f>
        <v>1136.2929999999999</v>
      </c>
      <c r="F17" s="103">
        <f>E17-D17</f>
        <v>52.916999999999916</v>
      </c>
      <c r="H17" s="101" t="s">
        <v>58</v>
      </c>
      <c r="I17" s="101">
        <f>'Metrics Data'!H46</f>
        <v>37203</v>
      </c>
      <c r="J17" s="104">
        <f>'Metrics Data'!I46</f>
        <v>4.0000000000000001E-3</v>
      </c>
      <c r="K17" s="103">
        <f>I17*J17</f>
        <v>148.81200000000001</v>
      </c>
      <c r="L17" s="103">
        <v>149</v>
      </c>
      <c r="M17" s="103">
        <f>L17-K17</f>
        <v>0.18799999999998818</v>
      </c>
      <c r="O17" s="101" t="s">
        <v>58</v>
      </c>
      <c r="P17" s="101">
        <f>'Metrics Data'!H82</f>
        <v>1457</v>
      </c>
      <c r="Q17" s="122">
        <f>'Metrics Data'!I82</f>
        <v>2.8000000000000001E-2</v>
      </c>
      <c r="R17" s="103">
        <f>P17*Q17</f>
        <v>40.795999999999999</v>
      </c>
      <c r="S17" s="103">
        <f>AVERAGE(Q19:Q20)*P17</f>
        <v>152.25650000000002</v>
      </c>
      <c r="T17" s="103">
        <f>S17-R17</f>
        <v>111.46050000000002</v>
      </c>
    </row>
    <row r="18" spans="1:20" ht="16.5">
      <c r="A18" s="101" t="s">
        <v>59</v>
      </c>
      <c r="B18" s="101">
        <f>'Metrics Data'!H11</f>
        <v>2778</v>
      </c>
      <c r="C18" s="102">
        <f>'Metrics Data'!I11</f>
        <v>0.99</v>
      </c>
      <c r="D18" s="103">
        <f t="shared" ref="D18:D20" si="16">B18*C18</f>
        <v>2750.22</v>
      </c>
      <c r="E18" s="103">
        <f>AVERAGE(C19:C20)*B18</f>
        <v>2773.8329999999996</v>
      </c>
      <c r="F18" s="103">
        <f t="shared" ref="F18" si="17">E18-D18</f>
        <v>23.612999999999829</v>
      </c>
      <c r="H18" s="101" t="s">
        <v>59</v>
      </c>
      <c r="I18" s="101">
        <f>'Metrics Data'!H47</f>
        <v>51228</v>
      </c>
      <c r="J18" s="104">
        <f>'Metrics Data'!I47</f>
        <v>2E-3</v>
      </c>
      <c r="K18" s="103">
        <f t="shared" ref="K18:K20" si="18">I18*J18</f>
        <v>102.456</v>
      </c>
      <c r="L18" s="103">
        <v>102</v>
      </c>
      <c r="M18" s="103">
        <f t="shared" ref="M18" si="19">L18-K18</f>
        <v>-0.45600000000000307</v>
      </c>
      <c r="O18" s="101" t="s">
        <v>59</v>
      </c>
      <c r="P18" s="101">
        <f>'Metrics Data'!H83</f>
        <v>1659</v>
      </c>
      <c r="Q18" s="122">
        <f>'Metrics Data'!I83</f>
        <v>4.4999999999999998E-2</v>
      </c>
      <c r="R18" s="103">
        <f t="shared" ref="R18:R20" si="20">P18*Q18</f>
        <v>74.655000000000001</v>
      </c>
      <c r="S18" s="103">
        <f>AVERAGE(Q19:Q20)*P18</f>
        <v>173.36550000000003</v>
      </c>
      <c r="T18" s="103">
        <f t="shared" ref="T18" si="21">S18-R18</f>
        <v>98.710500000000025</v>
      </c>
    </row>
    <row r="19" spans="1:20" ht="16.5">
      <c r="A19" s="101" t="s">
        <v>137</v>
      </c>
      <c r="B19" s="101">
        <f>'Metrics Data'!H12</f>
        <v>1286</v>
      </c>
      <c r="C19" s="104">
        <f>'Metrics Data'!I12</f>
        <v>0.997</v>
      </c>
      <c r="D19" s="103">
        <f t="shared" si="16"/>
        <v>1282.1420000000001</v>
      </c>
      <c r="E19" s="101" t="s">
        <v>140</v>
      </c>
      <c r="F19" s="103" t="s">
        <v>140</v>
      </c>
      <c r="H19" s="101" t="s">
        <v>137</v>
      </c>
      <c r="I19" s="101">
        <f>'Metrics Data'!H48</f>
        <v>9724</v>
      </c>
      <c r="J19" s="104">
        <f>'Metrics Data'!I48</f>
        <v>2E-3</v>
      </c>
      <c r="K19" s="103">
        <f t="shared" si="18"/>
        <v>19.448</v>
      </c>
      <c r="L19" s="101" t="s">
        <v>140</v>
      </c>
      <c r="M19" s="103" t="s">
        <v>140</v>
      </c>
      <c r="O19" s="101" t="s">
        <v>137</v>
      </c>
      <c r="P19" s="101">
        <f>'Metrics Data'!H84</f>
        <v>14664</v>
      </c>
      <c r="Q19" s="122">
        <f>'Metrics Data'!I84</f>
        <v>4.9000000000000002E-2</v>
      </c>
      <c r="R19" s="103">
        <f t="shared" si="20"/>
        <v>718.53600000000006</v>
      </c>
      <c r="S19" s="101" t="s">
        <v>140</v>
      </c>
      <c r="T19" s="103" t="s">
        <v>140</v>
      </c>
    </row>
    <row r="20" spans="1:20" ht="16.5">
      <c r="A20" s="101" t="s">
        <v>61</v>
      </c>
      <c r="B20" s="101">
        <f>'Metrics Data'!H13</f>
        <v>547</v>
      </c>
      <c r="C20" s="102">
        <f>'Metrics Data'!I13</f>
        <v>1</v>
      </c>
      <c r="D20" s="103">
        <f t="shared" si="16"/>
        <v>547</v>
      </c>
      <c r="E20" s="101" t="s">
        <v>140</v>
      </c>
      <c r="F20" s="103" t="s">
        <v>140</v>
      </c>
      <c r="H20" s="101" t="s">
        <v>61</v>
      </c>
      <c r="I20" s="101">
        <f>'Metrics Data'!H49</f>
        <v>4262</v>
      </c>
      <c r="J20" s="104">
        <f>'Metrics Data'!I49</f>
        <v>1E-3</v>
      </c>
      <c r="K20" s="103">
        <f t="shared" si="18"/>
        <v>4.2620000000000005</v>
      </c>
      <c r="L20" s="101" t="s">
        <v>140</v>
      </c>
      <c r="M20" s="103" t="s">
        <v>140</v>
      </c>
      <c r="O20" s="101" t="s">
        <v>61</v>
      </c>
      <c r="P20" s="101">
        <f>'Metrics Data'!H85</f>
        <v>4078</v>
      </c>
      <c r="Q20" s="122">
        <f>'Metrics Data'!I85</f>
        <v>0.16</v>
      </c>
      <c r="R20" s="103">
        <f t="shared" si="20"/>
        <v>652.48</v>
      </c>
      <c r="S20" s="101" t="s">
        <v>140</v>
      </c>
      <c r="T20" s="103" t="s">
        <v>140</v>
      </c>
    </row>
    <row r="21" spans="1:20" ht="16.5">
      <c r="A21" s="106"/>
      <c r="B21" s="106"/>
      <c r="C21" s="106"/>
      <c r="D21" s="106"/>
      <c r="E21" s="106"/>
      <c r="F21" s="106"/>
    </row>
    <row r="22" spans="1:20" ht="16.5">
      <c r="A22" s="238" t="s">
        <v>41</v>
      </c>
      <c r="B22" s="238"/>
      <c r="C22" s="238"/>
      <c r="D22" s="238"/>
      <c r="E22" s="238"/>
      <c r="F22" s="238"/>
      <c r="H22" s="240" t="s">
        <v>345</v>
      </c>
      <c r="I22" s="241"/>
      <c r="J22" s="241"/>
      <c r="K22" s="241"/>
      <c r="L22" s="241"/>
      <c r="M22" s="121"/>
      <c r="O22" s="238" t="s">
        <v>387</v>
      </c>
      <c r="P22" s="238"/>
      <c r="Q22" s="238"/>
      <c r="R22" s="238"/>
      <c r="S22" s="238"/>
      <c r="T22" s="238"/>
    </row>
    <row r="23" spans="1:20" ht="16.5">
      <c r="A23" s="101" t="s">
        <v>328</v>
      </c>
      <c r="B23" s="101" t="s">
        <v>329</v>
      </c>
      <c r="C23" s="101" t="s">
        <v>336</v>
      </c>
      <c r="D23" s="101" t="s">
        <v>332</v>
      </c>
      <c r="E23" s="101" t="s">
        <v>333</v>
      </c>
      <c r="F23" s="101" t="s">
        <v>377</v>
      </c>
      <c r="H23" s="101" t="s">
        <v>328</v>
      </c>
      <c r="I23" s="101" t="s">
        <v>329</v>
      </c>
      <c r="J23" s="101" t="s">
        <v>336</v>
      </c>
      <c r="K23" s="101" t="s">
        <v>332</v>
      </c>
      <c r="L23" s="101" t="s">
        <v>333</v>
      </c>
      <c r="M23" s="101" t="s">
        <v>377</v>
      </c>
      <c r="O23" s="101" t="s">
        <v>328</v>
      </c>
      <c r="P23" s="101" t="s">
        <v>329</v>
      </c>
      <c r="Q23" s="101" t="s">
        <v>388</v>
      </c>
      <c r="R23" s="101" t="s">
        <v>332</v>
      </c>
      <c r="S23" s="101" t="s">
        <v>333</v>
      </c>
      <c r="T23" s="101" t="s">
        <v>377</v>
      </c>
    </row>
    <row r="24" spans="1:20" ht="16.5">
      <c r="A24" s="101" t="s">
        <v>58</v>
      </c>
      <c r="B24" s="101">
        <f>'Metrics Data'!H14</f>
        <v>8275</v>
      </c>
      <c r="C24" s="102">
        <f>'Metrics Data'!I14</f>
        <v>0.02</v>
      </c>
      <c r="D24" s="103">
        <f>B24*C24</f>
        <v>165.5</v>
      </c>
      <c r="E24" s="103">
        <f>AVERAGE(C26:C27)*B24</f>
        <v>2151.5</v>
      </c>
      <c r="F24" s="103">
        <f>E24-D24</f>
        <v>1986</v>
      </c>
      <c r="H24" s="101" t="s">
        <v>58</v>
      </c>
      <c r="I24" s="101">
        <f>'Metrics Data'!H50</f>
        <v>7850</v>
      </c>
      <c r="J24" s="104">
        <f>'Metrics Data'!I50</f>
        <v>7.0000000000000001E-3</v>
      </c>
      <c r="K24" s="103">
        <f>I24*J24</f>
        <v>54.95</v>
      </c>
      <c r="L24" s="103">
        <f>AVERAGE(J26:J27)*I24</f>
        <v>1797.6499999999999</v>
      </c>
      <c r="M24" s="103">
        <f>L24-K24</f>
        <v>1742.6999999999998</v>
      </c>
      <c r="O24" s="101" t="s">
        <v>58</v>
      </c>
      <c r="P24" s="101">
        <f>'Metrics Data'!H86</f>
        <v>3059</v>
      </c>
      <c r="Q24" s="122">
        <f>'Metrics Data'!I86</f>
        <v>3.2000000000000001E-2</v>
      </c>
      <c r="R24" s="103">
        <f>P24*Q24</f>
        <v>97.888000000000005</v>
      </c>
      <c r="S24" s="103">
        <f>AVERAGE(Q26:Q27)*P24</f>
        <v>341.07849999999996</v>
      </c>
      <c r="T24" s="103">
        <f>S24-R24</f>
        <v>243.19049999999996</v>
      </c>
    </row>
    <row r="25" spans="1:20" ht="16.5">
      <c r="A25" s="101" t="s">
        <v>59</v>
      </c>
      <c r="B25" s="101">
        <f>'Metrics Data'!H18</f>
        <v>9376</v>
      </c>
      <c r="C25" s="102">
        <f>'Metrics Data'!I15</f>
        <v>0.04</v>
      </c>
      <c r="D25" s="103">
        <f t="shared" ref="D25:D27" si="22">B25*C25</f>
        <v>375.04</v>
      </c>
      <c r="E25" s="103">
        <f>AVERAGE(C26:C27)*B25</f>
        <v>2437.7600000000002</v>
      </c>
      <c r="F25" s="103">
        <f t="shared" ref="F25" si="23">E25-D25</f>
        <v>2062.7200000000003</v>
      </c>
      <c r="H25" s="101" t="s">
        <v>59</v>
      </c>
      <c r="I25" s="101">
        <f>'Metrics Data'!H51</f>
        <v>11418</v>
      </c>
      <c r="J25" s="104">
        <f>'Metrics Data'!I51</f>
        <v>1.7999999999999999E-2</v>
      </c>
      <c r="K25" s="103">
        <f t="shared" ref="K25:K27" si="24">I25*J25</f>
        <v>205.52399999999997</v>
      </c>
      <c r="L25" s="103">
        <f>AVERAGE(J26:J27)*I25</f>
        <v>2614.7219999999998</v>
      </c>
      <c r="M25" s="103">
        <f t="shared" ref="M25" si="25">L25-K25</f>
        <v>2409.1979999999999</v>
      </c>
      <c r="O25" s="101" t="s">
        <v>59</v>
      </c>
      <c r="P25" s="101">
        <f>'Metrics Data'!H87</f>
        <v>7078</v>
      </c>
      <c r="Q25" s="122">
        <f>'Metrics Data'!I87</f>
        <v>0.04</v>
      </c>
      <c r="R25" s="103">
        <f t="shared" ref="R25:R27" si="26">P25*Q25</f>
        <v>283.12</v>
      </c>
      <c r="S25" s="103">
        <f>AVERAGE(Q26:Q27)*P25</f>
        <v>789.19699999999989</v>
      </c>
      <c r="T25" s="103">
        <f t="shared" ref="T25" si="27">S25-R25</f>
        <v>506.07699999999988</v>
      </c>
    </row>
    <row r="26" spans="1:20" ht="16.5">
      <c r="A26" s="101" t="s">
        <v>137</v>
      </c>
      <c r="B26" s="101">
        <f>'Metrics Data'!H19</f>
        <v>12500</v>
      </c>
      <c r="C26" s="102">
        <f>'Metrics Data'!I16</f>
        <v>0.2</v>
      </c>
      <c r="D26" s="103">
        <f t="shared" si="22"/>
        <v>2500</v>
      </c>
      <c r="E26" s="101" t="s">
        <v>140</v>
      </c>
      <c r="F26" s="103" t="s">
        <v>140</v>
      </c>
      <c r="H26" s="101" t="s">
        <v>137</v>
      </c>
      <c r="I26" s="101">
        <f>'Metrics Data'!H52</f>
        <v>2278</v>
      </c>
      <c r="J26" s="104">
        <f>'Metrics Data'!I52</f>
        <v>0.223</v>
      </c>
      <c r="K26" s="103">
        <f t="shared" si="24"/>
        <v>507.99400000000003</v>
      </c>
      <c r="L26" s="101" t="s">
        <v>140</v>
      </c>
      <c r="M26" s="103" t="s">
        <v>140</v>
      </c>
      <c r="O26" s="101" t="s">
        <v>137</v>
      </c>
      <c r="P26" s="101">
        <f>'Metrics Data'!H88</f>
        <v>19643</v>
      </c>
      <c r="Q26" s="122">
        <f>'Metrics Data'!I88</f>
        <v>0.05</v>
      </c>
      <c r="R26" s="103">
        <f t="shared" si="26"/>
        <v>982.15000000000009</v>
      </c>
      <c r="S26" s="101" t="s">
        <v>140</v>
      </c>
      <c r="T26" s="103" t="s">
        <v>140</v>
      </c>
    </row>
    <row r="27" spans="1:20" ht="16.5">
      <c r="A27" s="101" t="s">
        <v>61</v>
      </c>
      <c r="B27" s="101">
        <f>'Metrics Data'!H20</f>
        <v>2566</v>
      </c>
      <c r="C27" s="102">
        <f>'Metrics Data'!I17</f>
        <v>0.32</v>
      </c>
      <c r="D27" s="103">
        <f t="shared" si="22"/>
        <v>821.12</v>
      </c>
      <c r="E27" s="101" t="s">
        <v>140</v>
      </c>
      <c r="F27" s="103" t="s">
        <v>140</v>
      </c>
      <c r="H27" s="101" t="s">
        <v>61</v>
      </c>
      <c r="I27" s="101">
        <f>'Metrics Data'!H53</f>
        <v>1090</v>
      </c>
      <c r="J27" s="104">
        <f>'Metrics Data'!I53</f>
        <v>0.23499999999999999</v>
      </c>
      <c r="K27" s="103">
        <f t="shared" si="24"/>
        <v>256.14999999999998</v>
      </c>
      <c r="L27" s="101" t="s">
        <v>140</v>
      </c>
      <c r="M27" s="103" t="s">
        <v>140</v>
      </c>
      <c r="O27" s="101" t="s">
        <v>61</v>
      </c>
      <c r="P27" s="101">
        <f>'Metrics Data'!H89</f>
        <v>10623</v>
      </c>
      <c r="Q27" s="122">
        <f>'Metrics Data'!I89</f>
        <v>0.17299999999999999</v>
      </c>
      <c r="R27" s="103">
        <f t="shared" si="26"/>
        <v>1837.7789999999998</v>
      </c>
      <c r="S27" s="101" t="s">
        <v>140</v>
      </c>
      <c r="T27" s="103" t="s">
        <v>140</v>
      </c>
    </row>
    <row r="29" spans="1:20" ht="16.5">
      <c r="A29" s="238" t="s">
        <v>42</v>
      </c>
      <c r="B29" s="238"/>
      <c r="C29" s="238"/>
      <c r="D29" s="238"/>
      <c r="E29" s="238"/>
      <c r="F29" s="238"/>
      <c r="H29" s="240" t="s">
        <v>265</v>
      </c>
      <c r="I29" s="241"/>
      <c r="J29" s="241"/>
      <c r="K29" s="241"/>
      <c r="L29" s="241"/>
      <c r="M29" s="121"/>
      <c r="O29" s="238" t="s">
        <v>389</v>
      </c>
      <c r="P29" s="238"/>
      <c r="Q29" s="238"/>
      <c r="R29" s="238"/>
      <c r="S29" s="238"/>
      <c r="T29" s="238"/>
    </row>
    <row r="30" spans="1:20" ht="16.5">
      <c r="A30" s="101" t="s">
        <v>328</v>
      </c>
      <c r="B30" s="101" t="s">
        <v>329</v>
      </c>
      <c r="C30" s="101" t="s">
        <v>336</v>
      </c>
      <c r="D30" s="101" t="s">
        <v>332</v>
      </c>
      <c r="E30" s="101" t="s">
        <v>333</v>
      </c>
      <c r="F30" s="101" t="s">
        <v>377</v>
      </c>
      <c r="H30" s="101" t="s">
        <v>328</v>
      </c>
      <c r="I30" s="101" t="s">
        <v>329</v>
      </c>
      <c r="J30" s="101" t="s">
        <v>346</v>
      </c>
      <c r="K30" s="101" t="s">
        <v>332</v>
      </c>
      <c r="L30" s="101" t="s">
        <v>333</v>
      </c>
      <c r="M30" s="101" t="s">
        <v>377</v>
      </c>
      <c r="O30" s="101" t="s">
        <v>328</v>
      </c>
      <c r="P30" s="101" t="s">
        <v>329</v>
      </c>
      <c r="Q30" s="101" t="s">
        <v>390</v>
      </c>
      <c r="R30" s="101" t="s">
        <v>332</v>
      </c>
      <c r="S30" s="101" t="s">
        <v>333</v>
      </c>
      <c r="T30" s="101" t="s">
        <v>377</v>
      </c>
    </row>
    <row r="31" spans="1:20" ht="16.5">
      <c r="A31" s="101" t="s">
        <v>58</v>
      </c>
      <c r="B31" s="101">
        <f>'Metrics Data'!H18</f>
        <v>9376</v>
      </c>
      <c r="C31" s="102">
        <f>'Metrics Data'!I18</f>
        <v>0.02</v>
      </c>
      <c r="D31" s="103">
        <f>B31*C31</f>
        <v>187.52</v>
      </c>
      <c r="E31" s="103">
        <f>AVERAGE(C33:C34)*B31</f>
        <v>2765.92</v>
      </c>
      <c r="F31" s="103">
        <f>E31-D31</f>
        <v>2578.4</v>
      </c>
      <c r="H31" s="101" t="s">
        <v>58</v>
      </c>
      <c r="I31" s="101">
        <f>'Metrics Data'!H54</f>
        <v>412</v>
      </c>
      <c r="J31" s="104">
        <f>'Metrics Data'!I54</f>
        <v>1.2E-2</v>
      </c>
      <c r="K31" s="103">
        <f>I31*J31</f>
        <v>4.944</v>
      </c>
      <c r="L31" s="103">
        <f>AVERAGE(J33:J34)*I31</f>
        <v>80.134</v>
      </c>
      <c r="M31" s="103">
        <f>L31-K31</f>
        <v>75.19</v>
      </c>
      <c r="O31" s="101" t="s">
        <v>58</v>
      </c>
      <c r="P31" s="101">
        <f>'Metrics Data'!H90</f>
        <v>97</v>
      </c>
      <c r="Q31" s="122">
        <f>'Metrics Data'!I90</f>
        <v>0.19600000000000001</v>
      </c>
      <c r="R31" s="103">
        <f>P31*Q31</f>
        <v>19.012</v>
      </c>
      <c r="S31" s="103">
        <f>AVERAGE(Q33:Q34)*P31</f>
        <v>22.794999999999998</v>
      </c>
      <c r="T31" s="103">
        <f>S31-R31</f>
        <v>3.7829999999999977</v>
      </c>
    </row>
    <row r="32" spans="1:20" ht="16.5">
      <c r="A32" s="101" t="s">
        <v>59</v>
      </c>
      <c r="B32" s="101">
        <f>'Metrics Data'!H19</f>
        <v>12500</v>
      </c>
      <c r="C32" s="102">
        <f>'Metrics Data'!I19</f>
        <v>0.06</v>
      </c>
      <c r="D32" s="103">
        <f t="shared" ref="D32:D34" si="28">B32*C32</f>
        <v>750</v>
      </c>
      <c r="E32" s="103">
        <f>AVERAGE(C33:C34)*B32</f>
        <v>3687.5</v>
      </c>
      <c r="F32" s="103">
        <f t="shared" ref="F32" si="29">E32-D32</f>
        <v>2937.5</v>
      </c>
      <c r="H32" s="101" t="s">
        <v>59</v>
      </c>
      <c r="I32" s="101">
        <f>'Metrics Data'!H55</f>
        <v>1004</v>
      </c>
      <c r="J32" s="104">
        <f>'Metrics Data'!I55</f>
        <v>2.9000000000000001E-2</v>
      </c>
      <c r="K32" s="103">
        <f t="shared" ref="K32:K34" si="30">I32*J32</f>
        <v>29.116000000000003</v>
      </c>
      <c r="L32" s="103">
        <f>AVERAGE(J33:J34)*I32</f>
        <v>195.27800000000002</v>
      </c>
      <c r="M32" s="103">
        <f t="shared" ref="M32" si="31">L32-K32</f>
        <v>166.16200000000001</v>
      </c>
      <c r="O32" s="101" t="s">
        <v>59</v>
      </c>
      <c r="P32" s="101">
        <f>'Metrics Data'!H91</f>
        <v>283</v>
      </c>
      <c r="Q32" s="122">
        <f>'Metrics Data'!I91</f>
        <v>0.23</v>
      </c>
      <c r="R32" s="103">
        <f t="shared" ref="R32:R34" si="32">P32*Q32</f>
        <v>65.09</v>
      </c>
      <c r="S32" s="103">
        <f>AVERAGE(Q33:Q34)*P32</f>
        <v>66.504999999999995</v>
      </c>
      <c r="T32" s="103">
        <f t="shared" ref="T32" si="33">S32-R32</f>
        <v>1.414999999999992</v>
      </c>
    </row>
    <row r="33" spans="1:20" ht="16.5">
      <c r="A33" s="101" t="s">
        <v>137</v>
      </c>
      <c r="B33" s="101">
        <f>'Metrics Data'!H20</f>
        <v>2566</v>
      </c>
      <c r="C33" s="102">
        <f>'Metrics Data'!I20</f>
        <v>0.22</v>
      </c>
      <c r="D33" s="103">
        <f t="shared" si="28"/>
        <v>564.52</v>
      </c>
      <c r="E33" s="101" t="s">
        <v>140</v>
      </c>
      <c r="F33" s="103" t="s">
        <v>140</v>
      </c>
      <c r="H33" s="101" t="s">
        <v>137</v>
      </c>
      <c r="I33" s="101">
        <f>'Metrics Data'!H56</f>
        <v>627</v>
      </c>
      <c r="J33" s="104">
        <f>'Metrics Data'!I56</f>
        <v>0.20899999999999999</v>
      </c>
      <c r="K33" s="103">
        <f t="shared" si="30"/>
        <v>131.04300000000001</v>
      </c>
      <c r="L33" s="101" t="s">
        <v>140</v>
      </c>
      <c r="M33" s="103" t="s">
        <v>140</v>
      </c>
      <c r="O33" s="101" t="s">
        <v>137</v>
      </c>
      <c r="P33" s="101">
        <f>'Metrics Data'!H92</f>
        <v>983</v>
      </c>
      <c r="Q33" s="122">
        <f>'Metrics Data'!I92</f>
        <v>0.26600000000000001</v>
      </c>
      <c r="R33" s="103">
        <f t="shared" si="32"/>
        <v>261.47800000000001</v>
      </c>
      <c r="S33" s="101" t="s">
        <v>140</v>
      </c>
      <c r="T33" s="103" t="s">
        <v>140</v>
      </c>
    </row>
    <row r="34" spans="1:20" ht="16.5">
      <c r="A34" s="101" t="s">
        <v>61</v>
      </c>
      <c r="B34" s="101">
        <f>'Metrics Data'!H21</f>
        <v>1023</v>
      </c>
      <c r="C34" s="102">
        <f>'Metrics Data'!I21</f>
        <v>0.37</v>
      </c>
      <c r="D34" s="103">
        <f t="shared" si="28"/>
        <v>378.51</v>
      </c>
      <c r="E34" s="101" t="s">
        <v>140</v>
      </c>
      <c r="F34" s="103" t="s">
        <v>140</v>
      </c>
      <c r="H34" s="101" t="s">
        <v>61</v>
      </c>
      <c r="I34" s="101">
        <f>'Metrics Data'!H57</f>
        <v>338</v>
      </c>
      <c r="J34" s="102">
        <f>'Metrics Data'!I57</f>
        <v>0.18</v>
      </c>
      <c r="K34" s="103">
        <f t="shared" si="30"/>
        <v>60.839999999999996</v>
      </c>
      <c r="L34" s="101" t="s">
        <v>140</v>
      </c>
      <c r="M34" s="103" t="s">
        <v>140</v>
      </c>
      <c r="O34" s="101" t="s">
        <v>61</v>
      </c>
      <c r="P34" s="101">
        <f>'Metrics Data'!H93</f>
        <v>1841</v>
      </c>
      <c r="Q34" s="122">
        <f>'Metrics Data'!I93</f>
        <v>0.20399999999999999</v>
      </c>
      <c r="R34" s="103">
        <f t="shared" si="32"/>
        <v>375.56399999999996</v>
      </c>
      <c r="S34" s="101" t="s">
        <v>140</v>
      </c>
      <c r="T34" s="103" t="s">
        <v>140</v>
      </c>
    </row>
    <row r="36" spans="1:20" ht="16.5">
      <c r="A36" s="238" t="s">
        <v>337</v>
      </c>
      <c r="B36" s="238"/>
      <c r="C36" s="238"/>
      <c r="D36" s="238"/>
      <c r="E36" s="238"/>
      <c r="F36" s="238"/>
      <c r="H36" s="238" t="s">
        <v>266</v>
      </c>
      <c r="I36" s="238"/>
      <c r="J36" s="238"/>
      <c r="K36" s="238"/>
      <c r="L36" s="238"/>
      <c r="M36" s="238"/>
      <c r="O36" s="238" t="s">
        <v>275</v>
      </c>
      <c r="P36" s="238"/>
      <c r="Q36" s="238"/>
      <c r="R36" s="238"/>
      <c r="S36" s="238"/>
      <c r="T36" s="238"/>
    </row>
    <row r="37" spans="1:20" ht="16.5">
      <c r="A37" s="101" t="s">
        <v>328</v>
      </c>
      <c r="B37" s="101" t="s">
        <v>329</v>
      </c>
      <c r="C37" s="101" t="s">
        <v>338</v>
      </c>
      <c r="D37" s="101" t="s">
        <v>332</v>
      </c>
      <c r="E37" s="101" t="s">
        <v>333</v>
      </c>
      <c r="F37" s="101" t="s">
        <v>377</v>
      </c>
      <c r="H37" s="101" t="s">
        <v>328</v>
      </c>
      <c r="I37" s="101" t="s">
        <v>329</v>
      </c>
      <c r="J37" s="101" t="s">
        <v>347</v>
      </c>
      <c r="K37" s="101" t="s">
        <v>332</v>
      </c>
      <c r="L37" s="101" t="s">
        <v>333</v>
      </c>
      <c r="M37" s="101" t="s">
        <v>377</v>
      </c>
      <c r="O37" s="101" t="s">
        <v>328</v>
      </c>
      <c r="P37" s="101" t="s">
        <v>329</v>
      </c>
      <c r="Q37" s="101" t="s">
        <v>388</v>
      </c>
      <c r="R37" s="101" t="s">
        <v>332</v>
      </c>
      <c r="S37" s="101" t="s">
        <v>333</v>
      </c>
      <c r="T37" s="101" t="s">
        <v>377</v>
      </c>
    </row>
    <row r="38" spans="1:20" ht="16.5">
      <c r="A38" s="101" t="s">
        <v>58</v>
      </c>
      <c r="B38" s="101">
        <f>'Metrics Data'!H22</f>
        <v>76478</v>
      </c>
      <c r="C38" s="104">
        <f>'Metrics Data'!I22</f>
        <v>0.13200000000000001</v>
      </c>
      <c r="D38" s="103">
        <f>B38*C38</f>
        <v>10095.096000000001</v>
      </c>
      <c r="E38" s="103">
        <f>D38</f>
        <v>10095.096000000001</v>
      </c>
      <c r="F38" s="103">
        <f>E38-D38</f>
        <v>0</v>
      </c>
      <c r="H38" s="101" t="s">
        <v>58</v>
      </c>
      <c r="I38" s="101">
        <f>'Metrics Data'!H58</f>
        <v>37203</v>
      </c>
      <c r="J38" s="104">
        <f>'Metrics Data'!I58</f>
        <v>1.0999999999999999E-2</v>
      </c>
      <c r="K38" s="103">
        <f>I38*J38</f>
        <v>409.233</v>
      </c>
      <c r="L38" s="103">
        <f>AVERAGE(J40:J41)*I38</f>
        <v>2660.0145000000002</v>
      </c>
      <c r="M38" s="103">
        <f>L38-K38</f>
        <v>2250.7815000000001</v>
      </c>
      <c r="O38" s="101" t="s">
        <v>58</v>
      </c>
      <c r="P38" s="101">
        <f>'Metrics Data'!H94</f>
        <v>27966</v>
      </c>
      <c r="Q38" s="122">
        <f>'Metrics Data'!I94</f>
        <v>3.7999999999999999E-2</v>
      </c>
      <c r="R38" s="103">
        <f>P38*Q38</f>
        <v>1062.7080000000001</v>
      </c>
      <c r="S38" s="103">
        <f>AVERAGE(Q40:Q41)*P38</f>
        <v>2530.9229999999998</v>
      </c>
      <c r="T38" s="103">
        <f>S38-R38</f>
        <v>1468.2149999999997</v>
      </c>
    </row>
    <row r="39" spans="1:20" ht="16.5">
      <c r="A39" s="101" t="s">
        <v>59</v>
      </c>
      <c r="B39" s="101">
        <f>'Metrics Data'!H23</f>
        <v>95809</v>
      </c>
      <c r="C39" s="104">
        <f>'Metrics Data'!I23</f>
        <v>7.9000000000000001E-2</v>
      </c>
      <c r="D39" s="103">
        <f t="shared" ref="D39:D41" si="34">B39*C39</f>
        <v>7568.9110000000001</v>
      </c>
      <c r="E39" s="103">
        <f>AVERAGE(C40:C41)*B39</f>
        <v>9532.9954999999991</v>
      </c>
      <c r="F39" s="103">
        <f t="shared" ref="F39" si="35">E39-D39</f>
        <v>1964.084499999999</v>
      </c>
      <c r="H39" s="101" t="s">
        <v>59</v>
      </c>
      <c r="I39" s="101">
        <f>'Metrics Data'!H59</f>
        <v>51228</v>
      </c>
      <c r="J39" s="104">
        <f>'Metrics Data'!I59</f>
        <v>0.02</v>
      </c>
      <c r="K39" s="103">
        <f t="shared" ref="K39:K41" si="36">I39*J39</f>
        <v>1024.56</v>
      </c>
      <c r="L39" s="103">
        <f>AVERAGE(J40:J41)*I39</f>
        <v>3662.8020000000006</v>
      </c>
      <c r="M39" s="103">
        <f t="shared" ref="M39" si="37">L39-K39</f>
        <v>2638.2420000000006</v>
      </c>
      <c r="O39" s="101" t="s">
        <v>59</v>
      </c>
      <c r="P39" s="101">
        <f>'Metrics Data'!H95</f>
        <v>51271</v>
      </c>
      <c r="Q39" s="122">
        <f>'Metrics Data'!I95</f>
        <v>4.2000000000000003E-2</v>
      </c>
      <c r="R39" s="103">
        <f t="shared" ref="R39:R41" si="38">P39*Q39</f>
        <v>2153.3820000000001</v>
      </c>
      <c r="S39" s="103">
        <f>AVERAGE(Q40:Q41)*P39</f>
        <v>4640.0254999999997</v>
      </c>
      <c r="T39" s="103">
        <f t="shared" ref="T39" si="39">S39-R39</f>
        <v>2486.6434999999997</v>
      </c>
    </row>
    <row r="40" spans="1:20" ht="16.5">
      <c r="A40" s="101" t="s">
        <v>137</v>
      </c>
      <c r="B40" s="101">
        <f>'Metrics Data'!H24</f>
        <v>23965</v>
      </c>
      <c r="C40" s="104">
        <f>'Metrics Data'!I24</f>
        <v>5.5E-2</v>
      </c>
      <c r="D40" s="103">
        <f t="shared" si="34"/>
        <v>1318.075</v>
      </c>
      <c r="E40" s="101" t="s">
        <v>140</v>
      </c>
      <c r="F40" s="103" t="s">
        <v>140</v>
      </c>
      <c r="H40" s="101" t="s">
        <v>137</v>
      </c>
      <c r="I40" s="101">
        <f>'Metrics Data'!H60</f>
        <v>9724</v>
      </c>
      <c r="J40" s="104">
        <f>'Metrics Data'!I60</f>
        <v>6.4000000000000001E-2</v>
      </c>
      <c r="K40" s="103">
        <f t="shared" si="36"/>
        <v>622.33600000000001</v>
      </c>
      <c r="L40" s="101" t="s">
        <v>140</v>
      </c>
      <c r="M40" s="103" t="s">
        <v>140</v>
      </c>
      <c r="O40" s="101" t="s">
        <v>137</v>
      </c>
      <c r="P40" s="101">
        <f>'Metrics Data'!H96</f>
        <v>130509</v>
      </c>
      <c r="Q40" s="122">
        <f>'Metrics Data'!I96</f>
        <v>0.04</v>
      </c>
      <c r="R40" s="103">
        <f t="shared" si="38"/>
        <v>5220.3599999999997</v>
      </c>
      <c r="S40" s="101" t="s">
        <v>140</v>
      </c>
      <c r="T40" s="103" t="s">
        <v>140</v>
      </c>
    </row>
    <row r="41" spans="1:20" ht="16.5">
      <c r="A41" s="101" t="s">
        <v>61</v>
      </c>
      <c r="B41" s="101">
        <f>'Metrics Data'!H25</f>
        <v>9402</v>
      </c>
      <c r="C41" s="104">
        <f>'Metrics Data'!I25</f>
        <v>0.14399999999999999</v>
      </c>
      <c r="D41" s="103">
        <f t="shared" si="34"/>
        <v>1353.8879999999999</v>
      </c>
      <c r="E41" s="101" t="s">
        <v>140</v>
      </c>
      <c r="F41" s="103" t="s">
        <v>140</v>
      </c>
      <c r="H41" s="101" t="s">
        <v>61</v>
      </c>
      <c r="I41" s="101">
        <f>'Metrics Data'!H61</f>
        <v>4262</v>
      </c>
      <c r="J41" s="104">
        <f>'Metrics Data'!I61</f>
        <v>7.9000000000000001E-2</v>
      </c>
      <c r="K41" s="103">
        <f t="shared" si="36"/>
        <v>336.69799999999998</v>
      </c>
      <c r="L41" s="101" t="s">
        <v>140</v>
      </c>
      <c r="M41" s="103" t="s">
        <v>140</v>
      </c>
      <c r="O41" s="101" t="s">
        <v>61</v>
      </c>
      <c r="P41" s="101">
        <f>'Metrics Data'!H97</f>
        <v>23305</v>
      </c>
      <c r="Q41" s="122">
        <f>'Metrics Data'!I97</f>
        <v>0.14099999999999999</v>
      </c>
      <c r="R41" s="103">
        <f t="shared" si="38"/>
        <v>3286.0049999999997</v>
      </c>
      <c r="S41" s="101" t="s">
        <v>140</v>
      </c>
      <c r="T41" s="103" t="s">
        <v>140</v>
      </c>
    </row>
    <row r="43" spans="1:20" ht="16.5">
      <c r="A43" s="238" t="s">
        <v>63</v>
      </c>
      <c r="B43" s="238"/>
      <c r="C43" s="238"/>
      <c r="D43" s="238"/>
      <c r="E43" s="238"/>
      <c r="F43" s="238"/>
      <c r="H43" s="238" t="s">
        <v>267</v>
      </c>
      <c r="I43" s="238"/>
      <c r="J43" s="238"/>
      <c r="K43" s="238"/>
      <c r="L43" s="238"/>
      <c r="M43" s="238"/>
      <c r="O43" s="238" t="s">
        <v>276</v>
      </c>
      <c r="P43" s="238"/>
      <c r="Q43" s="238"/>
      <c r="R43" s="238"/>
      <c r="S43" s="238"/>
      <c r="T43" s="238"/>
    </row>
    <row r="44" spans="1:20" ht="16.5">
      <c r="A44" s="101" t="s">
        <v>328</v>
      </c>
      <c r="B44" s="101" t="s">
        <v>329</v>
      </c>
      <c r="C44" s="101" t="s">
        <v>339</v>
      </c>
      <c r="D44" s="101" t="s">
        <v>332</v>
      </c>
      <c r="E44" s="101" t="s">
        <v>333</v>
      </c>
      <c r="F44" s="101" t="s">
        <v>377</v>
      </c>
      <c r="H44" s="101" t="s">
        <v>328</v>
      </c>
      <c r="I44" s="101" t="s">
        <v>329</v>
      </c>
      <c r="J44" s="101" t="s">
        <v>378</v>
      </c>
      <c r="K44" s="101" t="s">
        <v>332</v>
      </c>
      <c r="L44" s="101" t="s">
        <v>333</v>
      </c>
      <c r="M44" s="101" t="s">
        <v>377</v>
      </c>
      <c r="O44" s="101" t="s">
        <v>328</v>
      </c>
      <c r="P44" s="101" t="s">
        <v>329</v>
      </c>
      <c r="Q44" s="101" t="s">
        <v>391</v>
      </c>
      <c r="R44" s="101" t="s">
        <v>332</v>
      </c>
      <c r="S44" s="101" t="s">
        <v>333</v>
      </c>
      <c r="T44" s="101" t="s">
        <v>377</v>
      </c>
    </row>
    <row r="45" spans="1:20" ht="16.5">
      <c r="A45" s="101" t="s">
        <v>58</v>
      </c>
      <c r="B45" s="101">
        <f>'Metrics Data'!H30</f>
        <v>9376</v>
      </c>
      <c r="C45" s="104">
        <f>'Metrics Data'!I30</f>
        <v>0.121</v>
      </c>
      <c r="D45" s="103">
        <f>B45*C45</f>
        <v>1134.4959999999999</v>
      </c>
      <c r="E45" s="103">
        <f>AVERAGE(C47:C48)*B45</f>
        <v>4856.768</v>
      </c>
      <c r="F45" s="103">
        <f>E45-D45</f>
        <v>3722.2719999999999</v>
      </c>
      <c r="H45" s="101" t="s">
        <v>58</v>
      </c>
      <c r="I45" s="101">
        <f>'Metrics Data'!H62</f>
        <v>37203</v>
      </c>
      <c r="J45" s="104">
        <f>'Metrics Data'!I62</f>
        <v>8.7999999999999995E-2</v>
      </c>
      <c r="K45" s="103">
        <f>I45*J45</f>
        <v>3273.864</v>
      </c>
      <c r="L45" s="103">
        <f>AVERAGE(J47:J48)*I45</f>
        <v>6212.9010000000007</v>
      </c>
      <c r="M45" s="103">
        <f>L45-K45</f>
        <v>2939.0370000000007</v>
      </c>
      <c r="O45" s="101" t="s">
        <v>58</v>
      </c>
      <c r="P45" s="101">
        <f>'Metrics Data'!H98</f>
        <v>24399</v>
      </c>
      <c r="Q45" s="122">
        <f>'Metrics Data'!I98</f>
        <v>0.32800000000000001</v>
      </c>
      <c r="R45" s="103">
        <f>P45*Q45</f>
        <v>8002.8720000000003</v>
      </c>
      <c r="S45" s="103">
        <f>AVERAGE(Q47:Q48)*P45</f>
        <v>12931.470000000001</v>
      </c>
      <c r="T45" s="103">
        <f>S45-R45</f>
        <v>4928.5980000000009</v>
      </c>
    </row>
    <row r="46" spans="1:20" ht="16.5">
      <c r="A46" s="101" t="s">
        <v>59</v>
      </c>
      <c r="B46" s="101">
        <f>'Metrics Data'!H31</f>
        <v>12500</v>
      </c>
      <c r="C46" s="104">
        <f>'Metrics Data'!I31</f>
        <v>0.222</v>
      </c>
      <c r="D46" s="103">
        <f t="shared" ref="D46:D48" si="40">B46*C46</f>
        <v>2775</v>
      </c>
      <c r="E46" s="103">
        <f>AVERAGE(C47:C48)*B46</f>
        <v>6475</v>
      </c>
      <c r="F46" s="103">
        <f t="shared" ref="F46" si="41">E46-D46</f>
        <v>3700</v>
      </c>
      <c r="H46" s="101" t="s">
        <v>59</v>
      </c>
      <c r="I46" s="101">
        <f>'Metrics Data'!H63</f>
        <v>51228</v>
      </c>
      <c r="J46" s="104">
        <f>'Metrics Data'!I63</f>
        <v>0.19700000000000001</v>
      </c>
      <c r="K46" s="103">
        <f t="shared" ref="K46:K48" si="42">I46*J46</f>
        <v>10091.916000000001</v>
      </c>
      <c r="L46" s="103">
        <v>10092</v>
      </c>
      <c r="M46" s="103">
        <f t="shared" ref="M46" si="43">L46-K46</f>
        <v>8.3999999998923158E-2</v>
      </c>
      <c r="O46" s="101" t="s">
        <v>59</v>
      </c>
      <c r="P46" s="101">
        <f>'Metrics Data'!H99</f>
        <v>37382</v>
      </c>
      <c r="Q46" s="122">
        <f>'Metrics Data'!I99</f>
        <v>0.26700000000000002</v>
      </c>
      <c r="R46" s="103">
        <f t="shared" ref="R46:R48" si="44">P46*Q46</f>
        <v>9980.9940000000006</v>
      </c>
      <c r="S46" s="103">
        <f>AVERAGE(Q47:Q48)*P46</f>
        <v>19812.460000000003</v>
      </c>
      <c r="T46" s="103">
        <f t="shared" ref="T46" si="45">S46-R46</f>
        <v>9831.4660000000022</v>
      </c>
    </row>
    <row r="47" spans="1:20" ht="16.5">
      <c r="A47" s="101" t="s">
        <v>137</v>
      </c>
      <c r="B47" s="101">
        <f>'Metrics Data'!H32</f>
        <v>2566</v>
      </c>
      <c r="C47" s="104">
        <f>'Metrics Data'!I32</f>
        <v>0.501</v>
      </c>
      <c r="D47" s="103">
        <f t="shared" si="40"/>
        <v>1285.566</v>
      </c>
      <c r="E47" s="101" t="s">
        <v>140</v>
      </c>
      <c r="F47" s="103" t="s">
        <v>140</v>
      </c>
      <c r="H47" s="101" t="s">
        <v>137</v>
      </c>
      <c r="I47" s="101">
        <f>'Metrics Data'!H64</f>
        <v>9724</v>
      </c>
      <c r="J47" s="104">
        <f>'Metrics Data'!I64</f>
        <v>0.13600000000000001</v>
      </c>
      <c r="K47" s="103">
        <f t="shared" si="42"/>
        <v>1322.4640000000002</v>
      </c>
      <c r="L47" s="101" t="s">
        <v>140</v>
      </c>
      <c r="M47" s="103" t="s">
        <v>140</v>
      </c>
      <c r="O47" s="101" t="s">
        <v>137</v>
      </c>
      <c r="P47" s="101">
        <f>'Metrics Data'!H100</f>
        <v>76460</v>
      </c>
      <c r="Q47" s="122">
        <f>'Metrics Data'!I100</f>
        <v>0.438</v>
      </c>
      <c r="R47" s="103">
        <f t="shared" si="44"/>
        <v>33489.480000000003</v>
      </c>
      <c r="S47" s="101" t="s">
        <v>140</v>
      </c>
      <c r="T47" s="103" t="s">
        <v>140</v>
      </c>
    </row>
    <row r="48" spans="1:20" ht="16.5">
      <c r="A48" s="101" t="s">
        <v>61</v>
      </c>
      <c r="B48" s="101">
        <f>'Metrics Data'!H33</f>
        <v>1023</v>
      </c>
      <c r="C48" s="104">
        <f>'Metrics Data'!I33</f>
        <v>0.53500000000000003</v>
      </c>
      <c r="D48" s="103">
        <f t="shared" si="40"/>
        <v>547.30500000000006</v>
      </c>
      <c r="E48" s="101" t="s">
        <v>140</v>
      </c>
      <c r="F48" s="103" t="s">
        <v>140</v>
      </c>
      <c r="H48" s="101" t="s">
        <v>61</v>
      </c>
      <c r="I48" s="101">
        <f>'Metrics Data'!H65</f>
        <v>4262</v>
      </c>
      <c r="J48" s="104">
        <f>'Metrics Data'!I65</f>
        <v>0.19800000000000001</v>
      </c>
      <c r="K48" s="103">
        <f t="shared" si="42"/>
        <v>843.87600000000009</v>
      </c>
      <c r="L48" s="101" t="s">
        <v>140</v>
      </c>
      <c r="M48" s="103" t="s">
        <v>140</v>
      </c>
      <c r="O48" s="101" t="s">
        <v>61</v>
      </c>
      <c r="P48" s="101">
        <f>'Metrics Data'!H101</f>
        <v>7813</v>
      </c>
      <c r="Q48" s="122">
        <f>'Metrics Data'!I101</f>
        <v>0.622</v>
      </c>
      <c r="R48" s="103">
        <f t="shared" si="44"/>
        <v>4859.6859999999997</v>
      </c>
      <c r="S48" s="101" t="s">
        <v>140</v>
      </c>
      <c r="T48" s="103" t="s">
        <v>140</v>
      </c>
    </row>
    <row r="50" spans="1:13" ht="16.5">
      <c r="A50" s="238" t="s">
        <v>340</v>
      </c>
      <c r="B50" s="238"/>
      <c r="C50" s="238"/>
      <c r="D50" s="238"/>
      <c r="E50" s="238"/>
      <c r="F50" s="238"/>
      <c r="H50" s="238" t="s">
        <v>379</v>
      </c>
      <c r="I50" s="238"/>
      <c r="J50" s="238"/>
      <c r="K50" s="238"/>
      <c r="L50" s="238"/>
      <c r="M50" s="238"/>
    </row>
    <row r="51" spans="1:13" ht="16.5">
      <c r="A51" s="101" t="s">
        <v>328</v>
      </c>
      <c r="B51" s="101" t="s">
        <v>329</v>
      </c>
      <c r="C51" s="101" t="s">
        <v>342</v>
      </c>
      <c r="D51" s="101" t="s">
        <v>332</v>
      </c>
      <c r="E51" s="101" t="s">
        <v>333</v>
      </c>
      <c r="F51" s="101" t="s">
        <v>377</v>
      </c>
      <c r="H51" s="101" t="s">
        <v>328</v>
      </c>
      <c r="I51" s="101" t="s">
        <v>329</v>
      </c>
      <c r="J51" s="101" t="s">
        <v>380</v>
      </c>
      <c r="K51" s="101" t="s">
        <v>332</v>
      </c>
      <c r="L51" s="101" t="s">
        <v>333</v>
      </c>
      <c r="M51" s="101" t="s">
        <v>377</v>
      </c>
    </row>
    <row r="52" spans="1:13" ht="16.5">
      <c r="A52" s="101" t="s">
        <v>58</v>
      </c>
      <c r="B52" s="101">
        <f>'Demographics Data'!C4</f>
        <v>76478</v>
      </c>
      <c r="C52" s="104">
        <f>'Metrics Data'!I34</f>
        <v>0.24099999999999999</v>
      </c>
      <c r="D52" s="103">
        <f>B52*C52</f>
        <v>18431.198</v>
      </c>
      <c r="E52" s="103">
        <f>AVERAGE(C54:C55)*B52</f>
        <v>9368.5550000000003</v>
      </c>
      <c r="F52" s="103">
        <f>-1*(E52-D52)</f>
        <v>9062.643</v>
      </c>
      <c r="H52" s="101" t="s">
        <v>58</v>
      </c>
      <c r="I52" s="101">
        <f>'Metrics Data'!H66</f>
        <v>37203</v>
      </c>
      <c r="J52" s="122">
        <f>'Metrics Data'!I66</f>
        <v>5.5E-2</v>
      </c>
      <c r="K52" s="103">
        <f>I52*J52</f>
        <v>2046.165</v>
      </c>
      <c r="L52" s="103">
        <f>AVERAGE(J54:J55)*I52</f>
        <v>8370.6750000000011</v>
      </c>
      <c r="M52" s="103">
        <f>L52-K52</f>
        <v>6324.5100000000011</v>
      </c>
    </row>
    <row r="53" spans="1:13" ht="16.5">
      <c r="A53" s="101" t="s">
        <v>59</v>
      </c>
      <c r="B53" s="101">
        <f>'Demographics Data'!D4</f>
        <v>95809</v>
      </c>
      <c r="C53" s="104">
        <f>'Metrics Data'!I35</f>
        <v>0.187</v>
      </c>
      <c r="D53" s="103">
        <f t="shared" ref="D53:D55" si="46">B53*C53</f>
        <v>17916.282999999999</v>
      </c>
      <c r="E53" s="103">
        <f>AVERAGE(C54:C55)*B53</f>
        <v>11736.602499999999</v>
      </c>
      <c r="F53" s="103">
        <f>-1*(E53-D53)</f>
        <v>6179.6805000000004</v>
      </c>
      <c r="H53" s="101" t="s">
        <v>59</v>
      </c>
      <c r="I53" s="101">
        <f>'Metrics Data'!H67</f>
        <v>51228</v>
      </c>
      <c r="J53" s="122">
        <f>'Metrics Data'!I67</f>
        <v>9.2999999999999999E-2</v>
      </c>
      <c r="K53" s="103">
        <f t="shared" ref="K53:K55" si="47">I53*J53</f>
        <v>4764.2039999999997</v>
      </c>
      <c r="L53" s="103">
        <f>AVERAGE(J54:J55)*I53</f>
        <v>11526.300000000001</v>
      </c>
      <c r="M53" s="103">
        <f t="shared" ref="M53" si="48">L53-K53</f>
        <v>6762.0960000000014</v>
      </c>
    </row>
    <row r="54" spans="1:13" ht="16.5">
      <c r="A54" s="101" t="s">
        <v>137</v>
      </c>
      <c r="B54" s="101">
        <f>'Demographics Data'!E4</f>
        <v>23965</v>
      </c>
      <c r="C54" s="104">
        <f>'Metrics Data'!I36</f>
        <v>0.11799999999999999</v>
      </c>
      <c r="D54" s="103">
        <f t="shared" si="46"/>
        <v>2827.87</v>
      </c>
      <c r="E54" s="101" t="s">
        <v>140</v>
      </c>
      <c r="F54" s="103" t="s">
        <v>140</v>
      </c>
      <c r="H54" s="101" t="s">
        <v>137</v>
      </c>
      <c r="I54" s="101">
        <f>'Metrics Data'!H68</f>
        <v>9724</v>
      </c>
      <c r="J54" s="122">
        <f>'Metrics Data'!I68</f>
        <v>0.19600000000000001</v>
      </c>
      <c r="K54" s="103">
        <f t="shared" si="47"/>
        <v>1905.904</v>
      </c>
      <c r="L54" s="101" t="s">
        <v>140</v>
      </c>
      <c r="M54" s="103" t="s">
        <v>140</v>
      </c>
    </row>
    <row r="55" spans="1:13" ht="16.5">
      <c r="A55" s="101" t="s">
        <v>61</v>
      </c>
      <c r="B55" s="101">
        <f>'Demographics Data'!F4</f>
        <v>9402</v>
      </c>
      <c r="C55" s="104">
        <f>'Metrics Data'!I37</f>
        <v>0.127</v>
      </c>
      <c r="D55" s="103">
        <f t="shared" si="46"/>
        <v>1194.0540000000001</v>
      </c>
      <c r="E55" s="101" t="s">
        <v>140</v>
      </c>
      <c r="F55" s="103" t="s">
        <v>140</v>
      </c>
      <c r="H55" s="101" t="s">
        <v>61</v>
      </c>
      <c r="I55" s="101">
        <f>'Metrics Data'!H69</f>
        <v>4262</v>
      </c>
      <c r="J55" s="122">
        <f>'Metrics Data'!I69</f>
        <v>0.254</v>
      </c>
      <c r="K55" s="103">
        <f t="shared" si="47"/>
        <v>1082.548</v>
      </c>
      <c r="L55" s="101" t="s">
        <v>140</v>
      </c>
      <c r="M55" s="103" t="s">
        <v>140</v>
      </c>
    </row>
    <row r="57" spans="1:13" ht="16.5">
      <c r="H57" s="238" t="s">
        <v>382</v>
      </c>
      <c r="I57" s="238"/>
      <c r="J57" s="238"/>
      <c r="K57" s="238"/>
      <c r="L57" s="238"/>
      <c r="M57" s="238"/>
    </row>
    <row r="58" spans="1:13" ht="16.5">
      <c r="H58" s="101" t="s">
        <v>328</v>
      </c>
      <c r="I58" s="101" t="s">
        <v>329</v>
      </c>
      <c r="J58" s="101" t="s">
        <v>381</v>
      </c>
      <c r="K58" s="101" t="s">
        <v>332</v>
      </c>
      <c r="L58" s="101" t="s">
        <v>333</v>
      </c>
      <c r="M58" s="101" t="s">
        <v>377</v>
      </c>
    </row>
    <row r="59" spans="1:13" ht="16.5">
      <c r="H59" s="101" t="s">
        <v>58</v>
      </c>
      <c r="I59" s="101">
        <f>'Metrics Data'!H70</f>
        <v>37203</v>
      </c>
      <c r="J59" s="122">
        <f>'Metrics Data'!I70</f>
        <v>0.29399999999999998</v>
      </c>
      <c r="K59" s="103">
        <f>I59*J59</f>
        <v>10937.681999999999</v>
      </c>
      <c r="L59" s="103">
        <f>AVERAGE(J61:J62)*I59</f>
        <v>15178.824000000001</v>
      </c>
      <c r="M59" s="103">
        <f>L59-K59</f>
        <v>4241.1420000000016</v>
      </c>
    </row>
    <row r="60" spans="1:13" ht="16.5">
      <c r="H60" s="101" t="s">
        <v>59</v>
      </c>
      <c r="I60" s="101">
        <f>'Metrics Data'!H71</f>
        <v>51228</v>
      </c>
      <c r="J60" s="122">
        <f>'Metrics Data'!I71</f>
        <v>0.29799999999999999</v>
      </c>
      <c r="K60" s="103">
        <f t="shared" ref="K60:K62" si="49">I60*J60</f>
        <v>15265.944</v>
      </c>
      <c r="L60" s="103">
        <f>AVERAGE(J61:J62)*I60</f>
        <v>20901.024000000001</v>
      </c>
      <c r="M60" s="103">
        <f t="shared" ref="M60" si="50">L60-K60</f>
        <v>5635.0800000000017</v>
      </c>
    </row>
    <row r="61" spans="1:13" ht="16.5">
      <c r="H61" s="101" t="s">
        <v>137</v>
      </c>
      <c r="I61" s="101">
        <f>'Metrics Data'!H72</f>
        <v>9724</v>
      </c>
      <c r="J61" s="122">
        <f>'Metrics Data'!I72</f>
        <v>0.38300000000000001</v>
      </c>
      <c r="K61" s="103">
        <f t="shared" si="49"/>
        <v>3724.2919999999999</v>
      </c>
      <c r="L61" s="101" t="s">
        <v>140</v>
      </c>
      <c r="M61" s="103" t="s">
        <v>140</v>
      </c>
    </row>
    <row r="62" spans="1:13" ht="16.5">
      <c r="H62" s="101" t="s">
        <v>61</v>
      </c>
      <c r="I62" s="101">
        <f>'Metrics Data'!H73</f>
        <v>4262</v>
      </c>
      <c r="J62" s="122">
        <f>'Metrics Data'!I73</f>
        <v>0.433</v>
      </c>
      <c r="K62" s="103">
        <f t="shared" si="49"/>
        <v>1845.4459999999999</v>
      </c>
      <c r="L62" s="101" t="s">
        <v>140</v>
      </c>
      <c r="M62" s="103" t="s">
        <v>140</v>
      </c>
    </row>
  </sheetData>
  <mergeCells count="26">
    <mergeCell ref="A43:F43"/>
    <mergeCell ref="H22:L22"/>
    <mergeCell ref="H29:L29"/>
    <mergeCell ref="H1:M1"/>
    <mergeCell ref="V1:AA1"/>
    <mergeCell ref="V8:AA8"/>
    <mergeCell ref="H43:M43"/>
    <mergeCell ref="H36:M36"/>
    <mergeCell ref="H15:M15"/>
    <mergeCell ref="H8:M8"/>
    <mergeCell ref="A50:F50"/>
    <mergeCell ref="H50:M50"/>
    <mergeCell ref="H57:M57"/>
    <mergeCell ref="O1:T1"/>
    <mergeCell ref="O8:T8"/>
    <mergeCell ref="O15:T15"/>
    <mergeCell ref="O22:T22"/>
    <mergeCell ref="O29:T29"/>
    <mergeCell ref="O36:T36"/>
    <mergeCell ref="O43:T43"/>
    <mergeCell ref="A1:F1"/>
    <mergeCell ref="A8:F8"/>
    <mergeCell ref="A15:F15"/>
    <mergeCell ref="A22:F22"/>
    <mergeCell ref="A29:F29"/>
    <mergeCell ref="A36:F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7D02-0FDC-494A-B8DE-D8CCB8D00CFA}">
  <dimension ref="A1:E19"/>
  <sheetViews>
    <sheetView zoomScale="85" zoomScaleNormal="85" workbookViewId="0">
      <selection activeCell="B11" sqref="B11"/>
    </sheetView>
  </sheetViews>
  <sheetFormatPr defaultRowHeight="14.5"/>
  <cols>
    <col min="1" max="1" width="16.26953125" customWidth="1"/>
    <col min="2" max="2" width="51.6328125" bestFit="1" customWidth="1"/>
    <col min="3" max="3" width="41.36328125" bestFit="1" customWidth="1"/>
    <col min="4" max="4" width="57.7265625" bestFit="1" customWidth="1"/>
    <col min="5" max="5" width="46.6328125" bestFit="1" customWidth="1"/>
  </cols>
  <sheetData>
    <row r="1" spans="1:5" ht="20.5" thickBot="1">
      <c r="A1" s="1"/>
      <c r="B1" s="2" t="s">
        <v>0</v>
      </c>
      <c r="C1" s="3" t="s">
        <v>1</v>
      </c>
      <c r="D1" s="3" t="s">
        <v>2</v>
      </c>
      <c r="E1" s="4" t="s">
        <v>3</v>
      </c>
    </row>
    <row r="2" spans="1:5" ht="15.5" thickBot="1">
      <c r="A2" s="5" t="s">
        <v>4</v>
      </c>
      <c r="B2" s="6" t="s">
        <v>5</v>
      </c>
      <c r="C2" s="6" t="s">
        <v>5</v>
      </c>
      <c r="D2" s="6" t="s">
        <v>6</v>
      </c>
      <c r="E2" s="7" t="s">
        <v>7</v>
      </c>
    </row>
    <row r="3" spans="1:5">
      <c r="A3" s="159" t="s">
        <v>8</v>
      </c>
      <c r="B3" s="8" t="s">
        <v>9</v>
      </c>
      <c r="C3" s="9" t="s">
        <v>10</v>
      </c>
      <c r="D3" s="9" t="s">
        <v>11</v>
      </c>
      <c r="E3" s="10" t="s">
        <v>12</v>
      </c>
    </row>
    <row r="4" spans="1:5">
      <c r="A4" s="160"/>
      <c r="B4" s="11" t="s">
        <v>13</v>
      </c>
      <c r="C4" s="73" t="s">
        <v>128</v>
      </c>
      <c r="D4" s="12" t="s">
        <v>14</v>
      </c>
      <c r="E4" s="13"/>
    </row>
    <row r="5" spans="1:5">
      <c r="A5" s="160"/>
      <c r="B5" s="14" t="s">
        <v>127</v>
      </c>
      <c r="C5" s="74" t="s">
        <v>129</v>
      </c>
      <c r="D5" s="15" t="s">
        <v>15</v>
      </c>
      <c r="E5" s="13"/>
    </row>
    <row r="6" spans="1:5" ht="15" thickBot="1">
      <c r="A6" s="160"/>
      <c r="B6" s="16"/>
      <c r="C6" s="17"/>
      <c r="D6" s="15" t="s">
        <v>16</v>
      </c>
      <c r="E6" s="13"/>
    </row>
    <row r="7" spans="1:5" ht="16" thickBot="1">
      <c r="A7" s="18"/>
      <c r="B7" s="19"/>
      <c r="C7" s="20"/>
      <c r="D7" s="21"/>
      <c r="E7" s="22"/>
    </row>
    <row r="8" spans="1:5" ht="28" customHeight="1">
      <c r="A8" s="171" t="s">
        <v>17</v>
      </c>
      <c r="B8" s="80" t="s">
        <v>18</v>
      </c>
      <c r="C8" s="23" t="s">
        <v>19</v>
      </c>
      <c r="D8" s="23" t="s">
        <v>20</v>
      </c>
      <c r="E8" s="23" t="s">
        <v>21</v>
      </c>
    </row>
    <row r="9" spans="1:5" ht="15" customHeight="1">
      <c r="A9" s="172"/>
      <c r="B9" s="82" t="s">
        <v>22</v>
      </c>
      <c r="C9" s="83" t="s">
        <v>23</v>
      </c>
      <c r="D9" s="28" t="s">
        <v>24</v>
      </c>
      <c r="E9" s="28"/>
    </row>
    <row r="10" spans="1:5" ht="15" customHeight="1" thickBot="1">
      <c r="A10" s="172"/>
      <c r="B10" s="81"/>
      <c r="C10" s="25"/>
      <c r="D10" s="26" t="s">
        <v>134</v>
      </c>
      <c r="E10" s="26"/>
    </row>
    <row r="11" spans="1:5" ht="16" thickBot="1">
      <c r="A11" s="18"/>
      <c r="B11" s="19"/>
      <c r="C11" s="20"/>
      <c r="D11" s="21"/>
      <c r="E11" s="22"/>
    </row>
    <row r="12" spans="1:5">
      <c r="A12" s="159" t="s">
        <v>25</v>
      </c>
      <c r="B12" s="76" t="s">
        <v>26</v>
      </c>
      <c r="C12" s="77" t="s">
        <v>131</v>
      </c>
      <c r="D12" s="9" t="s">
        <v>27</v>
      </c>
      <c r="E12" s="24"/>
    </row>
    <row r="13" spans="1:5">
      <c r="A13" s="160"/>
      <c r="B13" s="27" t="s">
        <v>28</v>
      </c>
      <c r="C13" s="28" t="s">
        <v>29</v>
      </c>
      <c r="D13" s="13" t="s">
        <v>135</v>
      </c>
      <c r="E13" s="29"/>
    </row>
    <row r="14" spans="1:5">
      <c r="A14" s="160"/>
      <c r="B14" s="27" t="s">
        <v>30</v>
      </c>
      <c r="C14" s="78" t="s">
        <v>132</v>
      </c>
      <c r="D14" s="13"/>
      <c r="E14" s="30"/>
    </row>
    <row r="15" spans="1:5" ht="15" thickBot="1">
      <c r="A15" s="161"/>
      <c r="B15" s="75" t="s">
        <v>130</v>
      </c>
      <c r="C15" s="79" t="s">
        <v>133</v>
      </c>
      <c r="D15" s="31"/>
      <c r="E15" s="32"/>
    </row>
    <row r="16" spans="1:5" ht="16" thickBot="1">
      <c r="A16" s="33"/>
      <c r="B16" s="34"/>
      <c r="C16" s="35"/>
      <c r="D16" s="36"/>
      <c r="E16" s="37"/>
    </row>
    <row r="17" spans="1:5">
      <c r="A17" s="162" t="s">
        <v>31</v>
      </c>
      <c r="B17" s="165" t="s">
        <v>32</v>
      </c>
      <c r="C17" s="165"/>
      <c r="D17" s="165"/>
      <c r="E17" s="166"/>
    </row>
    <row r="18" spans="1:5">
      <c r="A18" s="163"/>
      <c r="B18" s="167" t="s">
        <v>33</v>
      </c>
      <c r="C18" s="167"/>
      <c r="D18" s="167"/>
      <c r="E18" s="168"/>
    </row>
    <row r="19" spans="1:5" ht="15" thickBot="1">
      <c r="A19" s="164"/>
      <c r="B19" s="169" t="s">
        <v>34</v>
      </c>
      <c r="C19" s="169"/>
      <c r="D19" s="169"/>
      <c r="E19" s="170"/>
    </row>
  </sheetData>
  <mergeCells count="7">
    <mergeCell ref="A3:A6"/>
    <mergeCell ref="A12:A15"/>
    <mergeCell ref="A17:A19"/>
    <mergeCell ref="B17:E17"/>
    <mergeCell ref="B18:E18"/>
    <mergeCell ref="B19:E19"/>
    <mergeCell ref="A8:A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E18EE-A7C9-474E-8435-1DCCB6C25596}">
  <dimension ref="A1:H27"/>
  <sheetViews>
    <sheetView workbookViewId="0">
      <selection activeCell="C25" sqref="C25"/>
    </sheetView>
  </sheetViews>
  <sheetFormatPr defaultRowHeight="14.5"/>
  <cols>
    <col min="1" max="1" width="9.90625" style="65" bestFit="1" customWidth="1"/>
    <col min="2" max="2" width="11.54296875" bestFit="1" customWidth="1"/>
    <col min="3" max="3" width="68" bestFit="1" customWidth="1"/>
    <col min="4" max="4" width="6.81640625" bestFit="1" customWidth="1"/>
    <col min="5" max="5" width="9.08984375" bestFit="1" customWidth="1"/>
    <col min="6" max="6" width="7.1796875" bestFit="1" customWidth="1"/>
    <col min="7" max="7" width="6.81640625" bestFit="1" customWidth="1"/>
    <col min="8" max="8" width="109.36328125" bestFit="1" customWidth="1"/>
    <col min="9" max="9" width="10.26953125" bestFit="1" customWidth="1"/>
  </cols>
  <sheetData>
    <row r="1" spans="1:8" s="64" customFormat="1" ht="16.5">
      <c r="A1" s="66" t="s">
        <v>56</v>
      </c>
      <c r="B1" s="66" t="s">
        <v>37</v>
      </c>
      <c r="C1" s="66" t="s">
        <v>57</v>
      </c>
      <c r="D1" s="66" t="s">
        <v>58</v>
      </c>
      <c r="E1" s="66" t="s">
        <v>59</v>
      </c>
      <c r="F1" s="66" t="s">
        <v>60</v>
      </c>
      <c r="G1" s="66" t="s">
        <v>61</v>
      </c>
      <c r="H1" s="66" t="s">
        <v>62</v>
      </c>
    </row>
    <row r="2" spans="1:8">
      <c r="A2" s="173" t="s">
        <v>0</v>
      </c>
      <c r="B2" s="174" t="s">
        <v>8</v>
      </c>
      <c r="C2" s="63" t="s">
        <v>92</v>
      </c>
      <c r="D2" s="63">
        <v>0.18</v>
      </c>
      <c r="E2" s="63">
        <v>0.28999999999999998</v>
      </c>
      <c r="F2" s="63">
        <v>0.65</v>
      </c>
      <c r="G2" s="63">
        <v>0.72</v>
      </c>
      <c r="H2" s="63" t="s">
        <v>67</v>
      </c>
    </row>
    <row r="3" spans="1:8">
      <c r="A3" s="173"/>
      <c r="B3" s="175"/>
      <c r="C3" s="63" t="s">
        <v>93</v>
      </c>
      <c r="D3" s="63">
        <v>0.15</v>
      </c>
      <c r="E3" s="63">
        <v>0.27</v>
      </c>
      <c r="F3" s="63">
        <v>0.56000000000000005</v>
      </c>
      <c r="G3" s="63">
        <v>0.71</v>
      </c>
      <c r="H3" s="63" t="s">
        <v>68</v>
      </c>
    </row>
    <row r="4" spans="1:8">
      <c r="A4" s="173"/>
      <c r="B4" s="176"/>
      <c r="C4" s="63" t="s">
        <v>94</v>
      </c>
      <c r="D4" s="63">
        <v>0.95169999999999999</v>
      </c>
      <c r="E4" s="63">
        <v>0.98960000000000004</v>
      </c>
      <c r="F4" s="63">
        <v>0.99690000000000001</v>
      </c>
      <c r="G4" s="63">
        <v>1</v>
      </c>
      <c r="H4" s="63" t="s">
        <v>64</v>
      </c>
    </row>
    <row r="5" spans="1:8">
      <c r="A5" s="173"/>
      <c r="B5" s="174" t="s">
        <v>17</v>
      </c>
      <c r="C5" s="63" t="s">
        <v>95</v>
      </c>
      <c r="D5" s="63">
        <v>0.02</v>
      </c>
      <c r="E5" s="63">
        <v>0.04</v>
      </c>
      <c r="F5" s="63">
        <v>0.2</v>
      </c>
      <c r="G5" s="63">
        <v>0.32</v>
      </c>
      <c r="H5" s="63" t="s">
        <v>65</v>
      </c>
    </row>
    <row r="6" spans="1:8">
      <c r="A6" s="173"/>
      <c r="B6" s="176"/>
      <c r="C6" s="63" t="s">
        <v>96</v>
      </c>
      <c r="D6" s="63">
        <v>0.02</v>
      </c>
      <c r="E6" s="63">
        <v>0.06</v>
      </c>
      <c r="F6" s="63">
        <v>0.22</v>
      </c>
      <c r="G6" s="63">
        <v>0.37</v>
      </c>
      <c r="H6" s="63" t="s">
        <v>66</v>
      </c>
    </row>
    <row r="7" spans="1:8">
      <c r="A7" s="173"/>
      <c r="B7" s="174" t="s">
        <v>25</v>
      </c>
      <c r="C7" s="63" t="s">
        <v>97</v>
      </c>
      <c r="D7" s="63">
        <v>0.13200000000000001</v>
      </c>
      <c r="E7" s="63">
        <v>7.9000000000000001E-2</v>
      </c>
      <c r="F7" s="63">
        <v>5.5E-2</v>
      </c>
      <c r="G7" s="63">
        <v>0.14399999999999999</v>
      </c>
      <c r="H7" s="63" t="s">
        <v>69</v>
      </c>
    </row>
    <row r="8" spans="1:8">
      <c r="A8" s="173"/>
      <c r="B8" s="175"/>
      <c r="C8" s="63" t="s">
        <v>98</v>
      </c>
      <c r="D8" s="63">
        <v>0.121</v>
      </c>
      <c r="E8" s="63">
        <v>0.222</v>
      </c>
      <c r="F8" s="63">
        <v>0.501</v>
      </c>
      <c r="G8" s="63">
        <v>0.53500000000000003</v>
      </c>
      <c r="H8" s="63" t="s">
        <v>70</v>
      </c>
    </row>
    <row r="9" spans="1:8">
      <c r="A9" s="173"/>
      <c r="B9" s="176"/>
      <c r="C9" s="63" t="s">
        <v>99</v>
      </c>
      <c r="D9" s="63">
        <v>0.24099999999999999</v>
      </c>
      <c r="E9" s="63">
        <v>0.187</v>
      </c>
      <c r="F9" s="63">
        <v>0.11799999999999999</v>
      </c>
      <c r="G9" s="63">
        <v>0.127</v>
      </c>
      <c r="H9" s="63" t="s">
        <v>71</v>
      </c>
    </row>
    <row r="10" spans="1:8">
      <c r="A10" s="173" t="s">
        <v>72</v>
      </c>
      <c r="B10" s="174" t="s">
        <v>8</v>
      </c>
      <c r="C10" s="63" t="s">
        <v>100</v>
      </c>
      <c r="D10" s="63">
        <v>0.113</v>
      </c>
      <c r="E10" s="63">
        <v>0.19</v>
      </c>
      <c r="F10" s="63">
        <v>0.63600000000000001</v>
      </c>
      <c r="G10" s="63">
        <v>0.52700000000000002</v>
      </c>
      <c r="H10" s="63" t="s">
        <v>74</v>
      </c>
    </row>
    <row r="11" spans="1:8">
      <c r="A11" s="173"/>
      <c r="B11" s="175"/>
      <c r="C11" s="63" t="s">
        <v>101</v>
      </c>
      <c r="D11" s="63">
        <v>0.17199999999999999</v>
      </c>
      <c r="E11" s="63">
        <v>0.32300000000000001</v>
      </c>
      <c r="F11" s="63">
        <v>0.69199999999999995</v>
      </c>
      <c r="G11" s="63">
        <v>0.61799999999999999</v>
      </c>
      <c r="H11" s="63" t="s">
        <v>75</v>
      </c>
    </row>
    <row r="12" spans="1:8">
      <c r="A12" s="173"/>
      <c r="B12" s="176"/>
      <c r="C12" s="63" t="s">
        <v>102</v>
      </c>
      <c r="D12" s="63">
        <v>4.1999999999999997E-3</v>
      </c>
      <c r="E12" s="63">
        <v>2.3E-3</v>
      </c>
      <c r="F12" s="63">
        <v>2E-3</v>
      </c>
      <c r="G12" s="63">
        <v>1.1999999999999999E-3</v>
      </c>
      <c r="H12" s="63" t="s">
        <v>76</v>
      </c>
    </row>
    <row r="13" spans="1:8">
      <c r="A13" s="173"/>
      <c r="B13" s="174" t="s">
        <v>17</v>
      </c>
      <c r="C13" s="63" t="s">
        <v>103</v>
      </c>
      <c r="D13" s="63">
        <v>7.0000000000000001E-3</v>
      </c>
      <c r="E13" s="63">
        <v>1.7999999999999999E-2</v>
      </c>
      <c r="F13" s="63">
        <v>0.223</v>
      </c>
      <c r="G13" s="63">
        <v>0.23499999999999999</v>
      </c>
      <c r="H13" s="63" t="s">
        <v>77</v>
      </c>
    </row>
    <row r="14" spans="1:8">
      <c r="A14" s="173"/>
      <c r="B14" s="176"/>
      <c r="C14" s="63" t="s">
        <v>104</v>
      </c>
      <c r="D14" s="63">
        <v>1.2E-2</v>
      </c>
      <c r="E14" s="63">
        <v>2.9000000000000001E-2</v>
      </c>
      <c r="F14" s="63">
        <v>0.20899999999999999</v>
      </c>
      <c r="G14" s="63">
        <v>0.18</v>
      </c>
      <c r="H14" s="63" t="s">
        <v>78</v>
      </c>
    </row>
    <row r="15" spans="1:8">
      <c r="A15" s="173"/>
      <c r="B15" s="174" t="s">
        <v>25</v>
      </c>
      <c r="C15" s="63" t="s">
        <v>105</v>
      </c>
      <c r="D15" s="63">
        <v>1.0999999999999999E-2</v>
      </c>
      <c r="E15" s="63">
        <v>0.02</v>
      </c>
      <c r="F15" s="63">
        <v>6.4000000000000001E-2</v>
      </c>
      <c r="G15" s="63">
        <v>7.9000000000000001E-2</v>
      </c>
      <c r="H15" s="63" t="s">
        <v>79</v>
      </c>
    </row>
    <row r="16" spans="1:8">
      <c r="A16" s="173"/>
      <c r="B16" s="175"/>
      <c r="C16" s="63" t="s">
        <v>106</v>
      </c>
      <c r="D16" s="63">
        <v>8.7999999999999995E-2</v>
      </c>
      <c r="E16" s="63">
        <v>0.19700000000000001</v>
      </c>
      <c r="F16" s="63">
        <v>0.13600000000000001</v>
      </c>
      <c r="G16" s="63">
        <v>0.19800000000000001</v>
      </c>
      <c r="H16" s="63" t="s">
        <v>80</v>
      </c>
    </row>
    <row r="17" spans="1:8">
      <c r="A17" s="173"/>
      <c r="B17" s="175"/>
      <c r="C17" s="63" t="s">
        <v>107</v>
      </c>
      <c r="D17" s="63">
        <v>5.5E-2</v>
      </c>
      <c r="E17" s="63">
        <v>9.2999999999999999E-2</v>
      </c>
      <c r="F17" s="63">
        <v>0.19600000000000001</v>
      </c>
      <c r="G17" s="63">
        <v>0.254</v>
      </c>
      <c r="H17" s="63" t="s">
        <v>81</v>
      </c>
    </row>
    <row r="18" spans="1:8">
      <c r="A18" s="173"/>
      <c r="B18" s="176"/>
      <c r="C18" s="63" t="s">
        <v>108</v>
      </c>
      <c r="D18" s="63">
        <v>0.24299999999999999</v>
      </c>
      <c r="E18" s="63">
        <v>0.28599999999999998</v>
      </c>
      <c r="F18" s="63">
        <v>0.371</v>
      </c>
      <c r="G18" s="63">
        <v>0.40500000000000003</v>
      </c>
      <c r="H18" s="63" t="s">
        <v>82</v>
      </c>
    </row>
    <row r="19" spans="1:8">
      <c r="A19" s="173" t="s">
        <v>2</v>
      </c>
      <c r="B19" s="174" t="s">
        <v>8</v>
      </c>
      <c r="C19" s="63" t="s">
        <v>109</v>
      </c>
      <c r="D19" s="63">
        <v>0.18099999999999999</v>
      </c>
      <c r="E19" s="63">
        <v>0.21</v>
      </c>
      <c r="F19" s="63">
        <v>0.27300000000000002</v>
      </c>
      <c r="G19" s="63">
        <v>0.26500000000000001</v>
      </c>
      <c r="H19" s="63" t="s">
        <v>83</v>
      </c>
    </row>
    <row r="20" spans="1:8">
      <c r="A20" s="173"/>
      <c r="B20" s="176"/>
      <c r="C20" s="63" t="s">
        <v>110</v>
      </c>
      <c r="D20" s="63">
        <v>3.2000000000000001E-2</v>
      </c>
      <c r="E20" s="63">
        <v>3.9E-2</v>
      </c>
      <c r="F20" s="63">
        <v>3.9E-2</v>
      </c>
      <c r="G20" s="63">
        <v>0.13</v>
      </c>
      <c r="H20" s="63" t="s">
        <v>86</v>
      </c>
    </row>
    <row r="21" spans="1:8">
      <c r="A21" s="173"/>
      <c r="B21" s="174" t="s">
        <v>17</v>
      </c>
      <c r="C21" s="63" t="s">
        <v>111</v>
      </c>
      <c r="D21" s="63">
        <v>2.8000000000000001E-2</v>
      </c>
      <c r="E21" s="63">
        <v>4.4999999999999998E-2</v>
      </c>
      <c r="F21" s="63">
        <v>4.9000000000000002E-2</v>
      </c>
      <c r="G21" s="63">
        <v>0.16</v>
      </c>
      <c r="H21" s="63" t="s">
        <v>85</v>
      </c>
    </row>
    <row r="22" spans="1:8">
      <c r="A22" s="173"/>
      <c r="B22" s="175"/>
      <c r="C22" s="63" t="s">
        <v>112</v>
      </c>
      <c r="D22" s="63">
        <v>3.2000000000000001E-2</v>
      </c>
      <c r="E22" s="63">
        <v>0.04</v>
      </c>
      <c r="F22" s="63">
        <v>0.05</v>
      </c>
      <c r="G22" s="63">
        <v>0.17299999999999999</v>
      </c>
      <c r="H22" s="63" t="s">
        <v>88</v>
      </c>
    </row>
    <row r="23" spans="1:8">
      <c r="A23" s="173"/>
      <c r="B23" s="176"/>
      <c r="C23" s="63" t="s">
        <v>113</v>
      </c>
      <c r="D23" s="63">
        <v>0.19600000000000001</v>
      </c>
      <c r="E23" s="63">
        <v>0.23</v>
      </c>
      <c r="F23" s="63">
        <v>0.26600000000000001</v>
      </c>
      <c r="G23" s="63">
        <v>0.20399999999999999</v>
      </c>
      <c r="H23" s="63" t="s">
        <v>87</v>
      </c>
    </row>
    <row r="24" spans="1:8">
      <c r="A24" s="173"/>
      <c r="B24" s="174" t="s">
        <v>25</v>
      </c>
      <c r="C24" s="63" t="s">
        <v>114</v>
      </c>
      <c r="D24" s="63">
        <v>3.7999999999999999E-2</v>
      </c>
      <c r="E24" s="63">
        <v>4.2000000000000003E-2</v>
      </c>
      <c r="F24" s="63">
        <v>0.04</v>
      </c>
      <c r="G24" s="63">
        <v>0.14099999999999999</v>
      </c>
      <c r="H24" s="63" t="s">
        <v>84</v>
      </c>
    </row>
    <row r="25" spans="1:8">
      <c r="A25" s="173"/>
      <c r="B25" s="176"/>
      <c r="C25" s="63" t="s">
        <v>126</v>
      </c>
      <c r="D25" s="63">
        <v>0.32800000000000001</v>
      </c>
      <c r="E25" s="63">
        <v>0.26700000000000002</v>
      </c>
      <c r="F25" s="63">
        <v>0.438</v>
      </c>
      <c r="G25" s="63">
        <v>0.622</v>
      </c>
      <c r="H25" s="63" t="s">
        <v>89</v>
      </c>
    </row>
    <row r="26" spans="1:8">
      <c r="A26" s="173" t="s">
        <v>117</v>
      </c>
      <c r="B26" s="63" t="s">
        <v>8</v>
      </c>
      <c r="C26" s="63" t="s">
        <v>115</v>
      </c>
      <c r="D26" s="63">
        <v>2.46E-2</v>
      </c>
      <c r="E26" s="63">
        <v>3.61E-2</v>
      </c>
      <c r="F26" s="63">
        <v>3.5999999999999997E-2</v>
      </c>
      <c r="G26" s="63">
        <v>9.8299999999999998E-2</v>
      </c>
      <c r="H26" s="63" t="s">
        <v>90</v>
      </c>
    </row>
    <row r="27" spans="1:8">
      <c r="A27" s="173"/>
      <c r="B27" s="63" t="s">
        <v>17</v>
      </c>
      <c r="C27" s="63" t="s">
        <v>116</v>
      </c>
      <c r="D27" s="63">
        <v>4.1999999999999997E-3</v>
      </c>
      <c r="E27" s="63">
        <v>6.4999999999999997E-3</v>
      </c>
      <c r="F27" s="63">
        <v>7.3000000000000001E-3</v>
      </c>
      <c r="G27" s="63">
        <v>1.2E-2</v>
      </c>
      <c r="H27" s="63" t="s">
        <v>91</v>
      </c>
    </row>
  </sheetData>
  <mergeCells count="13">
    <mergeCell ref="A26:A27"/>
    <mergeCell ref="B2:B4"/>
    <mergeCell ref="B5:B6"/>
    <mergeCell ref="B7:B9"/>
    <mergeCell ref="B10:B12"/>
    <mergeCell ref="B13:B14"/>
    <mergeCell ref="B15:B18"/>
    <mergeCell ref="B19:B20"/>
    <mergeCell ref="B21:B23"/>
    <mergeCell ref="B24:B25"/>
    <mergeCell ref="A2:A9"/>
    <mergeCell ref="A10:A18"/>
    <mergeCell ref="A19:A25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AA61-45A0-4D20-846F-EAAC35F2EA87}">
  <dimension ref="A1:N53"/>
  <sheetViews>
    <sheetView workbookViewId="0">
      <selection activeCell="E16" sqref="E16"/>
    </sheetView>
  </sheetViews>
  <sheetFormatPr defaultRowHeight="14.5"/>
  <cols>
    <col min="1" max="1" width="4.81640625" bestFit="1" customWidth="1"/>
    <col min="2" max="2" width="13.54296875" bestFit="1" customWidth="1"/>
    <col min="3" max="3" width="8.453125" bestFit="1" customWidth="1"/>
    <col min="4" max="4" width="10.26953125" bestFit="1" customWidth="1"/>
    <col min="5" max="5" width="52" bestFit="1" customWidth="1"/>
    <col min="6" max="6" width="7" bestFit="1" customWidth="1"/>
    <col min="7" max="7" width="7.81640625" bestFit="1" customWidth="1"/>
    <col min="8" max="9" width="9.81640625" bestFit="1" customWidth="1"/>
    <col min="10" max="11" width="120.36328125" bestFit="1" customWidth="1"/>
    <col min="12" max="12" width="21.81640625" bestFit="1" customWidth="1"/>
    <col min="13" max="13" width="23.26953125" bestFit="1" customWidth="1"/>
    <col min="14" max="14" width="9.6328125" bestFit="1" customWidth="1"/>
  </cols>
  <sheetData>
    <row r="1" spans="1:14">
      <c r="A1" t="s">
        <v>208</v>
      </c>
      <c r="B1" t="s">
        <v>246</v>
      </c>
      <c r="C1" t="s">
        <v>56</v>
      </c>
      <c r="D1" t="s">
        <v>37</v>
      </c>
      <c r="E1" t="s">
        <v>35</v>
      </c>
      <c r="F1" t="s">
        <v>288</v>
      </c>
      <c r="G1" t="s">
        <v>248</v>
      </c>
      <c r="H1" t="s">
        <v>249</v>
      </c>
      <c r="I1" t="s">
        <v>250</v>
      </c>
      <c r="J1" t="s">
        <v>252</v>
      </c>
      <c r="K1" t="s">
        <v>253</v>
      </c>
      <c r="L1" t="s">
        <v>289</v>
      </c>
      <c r="M1" t="s">
        <v>290</v>
      </c>
      <c r="N1" t="s">
        <v>251</v>
      </c>
    </row>
    <row r="2" spans="1:14">
      <c r="A2">
        <v>2019</v>
      </c>
      <c r="B2" t="s">
        <v>255</v>
      </c>
      <c r="C2" t="s">
        <v>0</v>
      </c>
      <c r="D2" t="s">
        <v>8</v>
      </c>
      <c r="E2" t="s">
        <v>256</v>
      </c>
      <c r="F2" t="s">
        <v>291</v>
      </c>
      <c r="G2" s="93">
        <v>3560</v>
      </c>
      <c r="H2">
        <f>ROUND(0.49*22252,)</f>
        <v>10903</v>
      </c>
      <c r="I2">
        <f>ROUND(G2/H2,3)</f>
        <v>0.32700000000000001</v>
      </c>
      <c r="J2" s="84" t="s">
        <v>292</v>
      </c>
      <c r="K2" t="s">
        <v>293</v>
      </c>
      <c r="L2" t="s">
        <v>294</v>
      </c>
      <c r="M2" t="s">
        <v>295</v>
      </c>
      <c r="N2">
        <v>1</v>
      </c>
    </row>
    <row r="3" spans="1:14">
      <c r="A3">
        <v>2019</v>
      </c>
      <c r="B3" t="s">
        <v>255</v>
      </c>
      <c r="C3" t="s">
        <v>0</v>
      </c>
      <c r="D3" t="s">
        <v>8</v>
      </c>
      <c r="E3" t="s">
        <v>256</v>
      </c>
      <c r="F3" t="s">
        <v>296</v>
      </c>
      <c r="G3" s="93">
        <v>3449</v>
      </c>
      <c r="H3">
        <f>ROUND(0.51*22252,)</f>
        <v>11349</v>
      </c>
      <c r="I3">
        <f t="shared" ref="I3:I13" si="0">ROUND(G3/H3,3)</f>
        <v>0.30399999999999999</v>
      </c>
      <c r="J3" s="84" t="s">
        <v>292</v>
      </c>
      <c r="K3" t="s">
        <v>293</v>
      </c>
      <c r="L3" t="s">
        <v>294</v>
      </c>
      <c r="M3" t="s">
        <v>295</v>
      </c>
      <c r="N3">
        <v>1</v>
      </c>
    </row>
    <row r="4" spans="1:14">
      <c r="A4">
        <v>2019</v>
      </c>
      <c r="B4" t="s">
        <v>255</v>
      </c>
      <c r="C4" s="92" t="s">
        <v>0</v>
      </c>
      <c r="D4" t="s">
        <v>8</v>
      </c>
      <c r="E4" t="s">
        <v>257</v>
      </c>
      <c r="F4" t="s">
        <v>291</v>
      </c>
      <c r="G4" s="93">
        <v>3438</v>
      </c>
      <c r="H4">
        <f>ROUND(12733*2*0.49,)</f>
        <v>12478</v>
      </c>
      <c r="I4">
        <f t="shared" si="0"/>
        <v>0.27600000000000002</v>
      </c>
      <c r="J4" s="84" t="s">
        <v>297</v>
      </c>
      <c r="K4" t="s">
        <v>293</v>
      </c>
      <c r="L4" t="s">
        <v>294</v>
      </c>
      <c r="M4" t="s">
        <v>295</v>
      </c>
      <c r="N4">
        <v>1</v>
      </c>
    </row>
    <row r="5" spans="1:14">
      <c r="A5">
        <v>2019</v>
      </c>
      <c r="B5" t="s">
        <v>255</v>
      </c>
      <c r="C5" s="92" t="s">
        <v>0</v>
      </c>
      <c r="D5" t="s">
        <v>8</v>
      </c>
      <c r="E5" t="s">
        <v>257</v>
      </c>
      <c r="F5" t="s">
        <v>296</v>
      </c>
      <c r="G5" s="93">
        <v>3438</v>
      </c>
      <c r="H5">
        <f>ROUND(12733*2*0.51,)</f>
        <v>12988</v>
      </c>
      <c r="I5">
        <f t="shared" si="0"/>
        <v>0.26500000000000001</v>
      </c>
      <c r="J5" s="84" t="s">
        <v>297</v>
      </c>
      <c r="K5" t="s">
        <v>293</v>
      </c>
      <c r="L5" t="s">
        <v>294</v>
      </c>
      <c r="M5" t="s">
        <v>295</v>
      </c>
      <c r="N5">
        <v>1</v>
      </c>
    </row>
    <row r="6" spans="1:14">
      <c r="A6">
        <v>2017</v>
      </c>
      <c r="B6" t="s">
        <v>255</v>
      </c>
      <c r="C6" s="92" t="s">
        <v>0</v>
      </c>
      <c r="D6" t="s">
        <v>8</v>
      </c>
      <c r="E6" t="s">
        <v>258</v>
      </c>
      <c r="F6" t="s">
        <v>291</v>
      </c>
      <c r="G6" s="93">
        <v>3119</v>
      </c>
      <c r="H6">
        <v>3152</v>
      </c>
      <c r="I6">
        <f t="shared" si="0"/>
        <v>0.99</v>
      </c>
      <c r="J6" s="84" t="s">
        <v>286</v>
      </c>
      <c r="K6" s="84" t="s">
        <v>286</v>
      </c>
      <c r="L6" t="s">
        <v>298</v>
      </c>
      <c r="M6" t="s">
        <v>298</v>
      </c>
      <c r="N6">
        <v>0</v>
      </c>
    </row>
    <row r="7" spans="1:14">
      <c r="A7">
        <v>2017</v>
      </c>
      <c r="B7" t="s">
        <v>255</v>
      </c>
      <c r="C7" s="92" t="s">
        <v>0</v>
      </c>
      <c r="D7" t="s">
        <v>8</v>
      </c>
      <c r="E7" t="s">
        <v>258</v>
      </c>
      <c r="F7" t="s">
        <v>296</v>
      </c>
      <c r="G7" s="93">
        <v>2717</v>
      </c>
      <c r="H7">
        <v>2770</v>
      </c>
      <c r="I7">
        <f t="shared" si="0"/>
        <v>0.98099999999999998</v>
      </c>
      <c r="J7" s="84" t="s">
        <v>286</v>
      </c>
      <c r="K7" s="84" t="s">
        <v>286</v>
      </c>
      <c r="L7" t="s">
        <v>298</v>
      </c>
      <c r="M7" t="s">
        <v>298</v>
      </c>
      <c r="N7">
        <v>0</v>
      </c>
    </row>
    <row r="8" spans="1:14">
      <c r="A8">
        <v>2019</v>
      </c>
      <c r="B8" t="s">
        <v>255</v>
      </c>
      <c r="C8" t="s">
        <v>0</v>
      </c>
      <c r="D8" t="s">
        <v>17</v>
      </c>
      <c r="E8" t="s">
        <v>41</v>
      </c>
      <c r="F8" t="s">
        <v>291</v>
      </c>
      <c r="G8">
        <v>890</v>
      </c>
      <c r="H8">
        <f>ROUND(11126*2*0.49,)</f>
        <v>10903</v>
      </c>
      <c r="I8">
        <f>ROUND(G8/H8,3)</f>
        <v>8.2000000000000003E-2</v>
      </c>
      <c r="J8" s="84" t="s">
        <v>292</v>
      </c>
      <c r="K8" t="s">
        <v>293</v>
      </c>
      <c r="L8" t="s">
        <v>294</v>
      </c>
      <c r="M8" t="s">
        <v>295</v>
      </c>
      <c r="N8">
        <v>1</v>
      </c>
    </row>
    <row r="9" spans="1:14">
      <c r="A9">
        <v>2019</v>
      </c>
      <c r="B9" t="s">
        <v>255</v>
      </c>
      <c r="C9" t="s">
        <v>0</v>
      </c>
      <c r="D9" t="s">
        <v>17</v>
      </c>
      <c r="E9" t="s">
        <v>41</v>
      </c>
      <c r="F9" t="s">
        <v>296</v>
      </c>
      <c r="G9">
        <v>556</v>
      </c>
      <c r="H9">
        <f>ROUND(11126*2*0.51,)</f>
        <v>11349</v>
      </c>
      <c r="I9">
        <f t="shared" si="0"/>
        <v>4.9000000000000002E-2</v>
      </c>
      <c r="J9" s="84" t="s">
        <v>292</v>
      </c>
      <c r="K9" t="s">
        <v>293</v>
      </c>
      <c r="L9" t="s">
        <v>294</v>
      </c>
      <c r="M9" t="s">
        <v>295</v>
      </c>
      <c r="N9">
        <v>1</v>
      </c>
    </row>
    <row r="10" spans="1:14">
      <c r="A10">
        <v>2019</v>
      </c>
      <c r="B10" t="s">
        <v>255</v>
      </c>
      <c r="C10" t="s">
        <v>0</v>
      </c>
      <c r="D10" t="s">
        <v>17</v>
      </c>
      <c r="E10" t="s">
        <v>42</v>
      </c>
      <c r="F10" t="s">
        <v>291</v>
      </c>
      <c r="G10">
        <v>891</v>
      </c>
      <c r="H10">
        <f t="shared" ref="H10" si="1">ROUND(12733*2*0.49,)</f>
        <v>12478</v>
      </c>
      <c r="I10">
        <f t="shared" si="0"/>
        <v>7.0999999999999994E-2</v>
      </c>
      <c r="J10" s="84" t="s">
        <v>297</v>
      </c>
      <c r="K10" t="s">
        <v>293</v>
      </c>
      <c r="L10" t="s">
        <v>294</v>
      </c>
      <c r="M10" t="s">
        <v>295</v>
      </c>
      <c r="N10">
        <v>1</v>
      </c>
    </row>
    <row r="11" spans="1:14">
      <c r="A11">
        <v>2019</v>
      </c>
      <c r="B11" t="s">
        <v>255</v>
      </c>
      <c r="C11" t="s">
        <v>0</v>
      </c>
      <c r="D11" t="s">
        <v>17</v>
      </c>
      <c r="E11" t="s">
        <v>42</v>
      </c>
      <c r="F11" t="s">
        <v>296</v>
      </c>
      <c r="G11">
        <v>1019</v>
      </c>
      <c r="H11">
        <f t="shared" ref="H11" si="2">ROUND(12733*2*0.51,)</f>
        <v>12988</v>
      </c>
      <c r="I11">
        <f t="shared" si="0"/>
        <v>7.8E-2</v>
      </c>
      <c r="J11" s="84" t="s">
        <v>297</v>
      </c>
      <c r="K11" t="s">
        <v>293</v>
      </c>
      <c r="L11" t="s">
        <v>294</v>
      </c>
      <c r="M11" t="s">
        <v>295</v>
      </c>
      <c r="N11">
        <v>1</v>
      </c>
    </row>
    <row r="12" spans="1:14">
      <c r="A12">
        <v>2017</v>
      </c>
      <c r="B12" t="s">
        <v>255</v>
      </c>
      <c r="C12" t="s">
        <v>0</v>
      </c>
      <c r="D12" t="s">
        <v>25</v>
      </c>
      <c r="E12" t="s">
        <v>63</v>
      </c>
      <c r="F12" t="s">
        <v>291</v>
      </c>
      <c r="G12">
        <v>3152</v>
      </c>
      <c r="H12">
        <f t="shared" ref="H12" si="3">ROUND(12733*2*0.49,)</f>
        <v>12478</v>
      </c>
      <c r="I12">
        <f t="shared" si="0"/>
        <v>0.253</v>
      </c>
      <c r="J12" s="84" t="s">
        <v>286</v>
      </c>
      <c r="K12" t="s">
        <v>299</v>
      </c>
      <c r="L12" t="s">
        <v>298</v>
      </c>
      <c r="M12" t="s">
        <v>298</v>
      </c>
      <c r="N12">
        <v>1</v>
      </c>
    </row>
    <row r="13" spans="1:14">
      <c r="A13">
        <v>2017</v>
      </c>
      <c r="B13" t="s">
        <v>255</v>
      </c>
      <c r="C13" t="s">
        <v>0</v>
      </c>
      <c r="D13" t="s">
        <v>25</v>
      </c>
      <c r="E13" t="s">
        <v>63</v>
      </c>
      <c r="F13" t="s">
        <v>296</v>
      </c>
      <c r="G13">
        <v>2770</v>
      </c>
      <c r="H13">
        <f t="shared" ref="H13" si="4">ROUND(12733*2*0.51,)</f>
        <v>12988</v>
      </c>
      <c r="I13">
        <f t="shared" si="0"/>
        <v>0.21299999999999999</v>
      </c>
      <c r="J13" s="84" t="s">
        <v>286</v>
      </c>
      <c r="K13" t="s">
        <v>299</v>
      </c>
      <c r="L13" t="s">
        <v>298</v>
      </c>
      <c r="M13" t="s">
        <v>298</v>
      </c>
      <c r="N13">
        <v>1</v>
      </c>
    </row>
    <row r="14" spans="1:14">
      <c r="A14" t="s">
        <v>140</v>
      </c>
      <c r="B14" t="s">
        <v>255</v>
      </c>
      <c r="C14" t="s">
        <v>0</v>
      </c>
      <c r="D14" t="s">
        <v>25</v>
      </c>
      <c r="E14" t="s">
        <v>259</v>
      </c>
      <c r="F14" t="s">
        <v>291</v>
      </c>
      <c r="G14" t="s">
        <v>140</v>
      </c>
      <c r="H14" t="s">
        <v>140</v>
      </c>
      <c r="I14" t="s">
        <v>140</v>
      </c>
    </row>
    <row r="15" spans="1:14">
      <c r="A15" t="s">
        <v>140</v>
      </c>
      <c r="B15" t="s">
        <v>255</v>
      </c>
      <c r="C15" t="s">
        <v>0</v>
      </c>
      <c r="D15" t="s">
        <v>25</v>
      </c>
      <c r="E15" t="s">
        <v>259</v>
      </c>
      <c r="F15" t="s">
        <v>296</v>
      </c>
      <c r="G15" t="s">
        <v>140</v>
      </c>
      <c r="H15" t="s">
        <v>140</v>
      </c>
      <c r="I15" t="s">
        <v>140</v>
      </c>
    </row>
    <row r="16" spans="1:14">
      <c r="A16" t="s">
        <v>140</v>
      </c>
      <c r="B16" t="s">
        <v>255</v>
      </c>
      <c r="C16" t="s">
        <v>0</v>
      </c>
      <c r="D16" t="s">
        <v>25</v>
      </c>
      <c r="E16" t="s">
        <v>260</v>
      </c>
      <c r="F16" t="s">
        <v>291</v>
      </c>
      <c r="G16" t="s">
        <v>140</v>
      </c>
      <c r="H16" t="s">
        <v>140</v>
      </c>
      <c r="I16" t="s">
        <v>140</v>
      </c>
    </row>
    <row r="17" spans="1:11">
      <c r="A17" t="s">
        <v>140</v>
      </c>
      <c r="B17" t="s">
        <v>255</v>
      </c>
      <c r="C17" t="s">
        <v>0</v>
      </c>
      <c r="D17" t="s">
        <v>25</v>
      </c>
      <c r="E17" t="s">
        <v>260</v>
      </c>
      <c r="F17" t="s">
        <v>296</v>
      </c>
      <c r="G17" t="s">
        <v>140</v>
      </c>
      <c r="H17" t="s">
        <v>140</v>
      </c>
      <c r="I17" t="s">
        <v>140</v>
      </c>
    </row>
    <row r="18" spans="1:11">
      <c r="A18" t="s">
        <v>140</v>
      </c>
      <c r="B18" t="s">
        <v>255</v>
      </c>
      <c r="C18" t="s">
        <v>0</v>
      </c>
      <c r="D18" t="s">
        <v>25</v>
      </c>
      <c r="E18" t="s">
        <v>300</v>
      </c>
      <c r="F18" t="s">
        <v>291</v>
      </c>
      <c r="G18" t="s">
        <v>140</v>
      </c>
      <c r="H18" t="s">
        <v>140</v>
      </c>
      <c r="I18" t="s">
        <v>140</v>
      </c>
    </row>
    <row r="19" spans="1:11">
      <c r="A19" t="s">
        <v>140</v>
      </c>
      <c r="B19" t="s">
        <v>255</v>
      </c>
      <c r="C19" t="s">
        <v>0</v>
      </c>
      <c r="D19" t="s">
        <v>25</v>
      </c>
      <c r="E19" t="s">
        <v>300</v>
      </c>
      <c r="F19" t="s">
        <v>296</v>
      </c>
      <c r="G19" t="s">
        <v>140</v>
      </c>
      <c r="H19" t="s">
        <v>140</v>
      </c>
      <c r="I19" t="s">
        <v>140</v>
      </c>
    </row>
    <row r="20" spans="1:11">
      <c r="A20" t="s">
        <v>140</v>
      </c>
      <c r="B20" t="s">
        <v>255</v>
      </c>
      <c r="C20" t="s">
        <v>0</v>
      </c>
      <c r="D20" t="s">
        <v>25</v>
      </c>
      <c r="E20" t="s">
        <v>119</v>
      </c>
      <c r="F20" t="s">
        <v>291</v>
      </c>
      <c r="G20">
        <v>1114334</v>
      </c>
      <c r="H20">
        <v>1353218</v>
      </c>
      <c r="I20">
        <f>ROUND(G20/H20,3)</f>
        <v>0.82299999999999995</v>
      </c>
      <c r="J20" s="84" t="s">
        <v>301</v>
      </c>
      <c r="K20" s="84" t="s">
        <v>302</v>
      </c>
    </row>
    <row r="21" spans="1:11">
      <c r="A21" t="s">
        <v>140</v>
      </c>
      <c r="B21" t="s">
        <v>255</v>
      </c>
      <c r="C21" t="s">
        <v>0</v>
      </c>
      <c r="D21" t="s">
        <v>25</v>
      </c>
      <c r="E21" t="s">
        <v>119</v>
      </c>
      <c r="F21" t="s">
        <v>296</v>
      </c>
      <c r="G21">
        <v>1055393</v>
      </c>
      <c r="H21">
        <v>1277421</v>
      </c>
      <c r="I21">
        <f>ROUND(G21/H21,3)</f>
        <v>0.82599999999999996</v>
      </c>
      <c r="J21" s="84" t="s">
        <v>301</v>
      </c>
      <c r="K21" s="84" t="s">
        <v>302</v>
      </c>
    </row>
    <row r="22" spans="1:11">
      <c r="A22">
        <v>2021</v>
      </c>
      <c r="B22" t="s">
        <v>255</v>
      </c>
      <c r="C22" t="s">
        <v>72</v>
      </c>
      <c r="D22" t="s">
        <v>8</v>
      </c>
      <c r="E22" t="s">
        <v>303</v>
      </c>
      <c r="F22" t="s">
        <v>291</v>
      </c>
      <c r="G22">
        <v>2318</v>
      </c>
      <c r="H22">
        <v>11886</v>
      </c>
      <c r="I22">
        <v>0.19500000000000001</v>
      </c>
      <c r="J22" s="84" t="s">
        <v>304</v>
      </c>
      <c r="K22" s="84" t="s">
        <v>304</v>
      </c>
    </row>
    <row r="23" spans="1:11">
      <c r="A23">
        <v>2021</v>
      </c>
      <c r="B23" t="s">
        <v>255</v>
      </c>
      <c r="C23" t="s">
        <v>72</v>
      </c>
      <c r="D23" t="s">
        <v>8</v>
      </c>
      <c r="E23" t="s">
        <v>303</v>
      </c>
      <c r="F23" t="s">
        <v>296</v>
      </c>
      <c r="G23">
        <v>2305</v>
      </c>
      <c r="H23">
        <v>11194</v>
      </c>
      <c r="I23">
        <v>0.20599999999999999</v>
      </c>
      <c r="J23" s="84" t="s">
        <v>304</v>
      </c>
      <c r="K23" s="84" t="s">
        <v>304</v>
      </c>
    </row>
    <row r="24" spans="1:11">
      <c r="A24" t="s">
        <v>140</v>
      </c>
      <c r="B24" t="s">
        <v>255</v>
      </c>
      <c r="C24" t="s">
        <v>72</v>
      </c>
      <c r="D24" t="s">
        <v>8</v>
      </c>
      <c r="E24" t="s">
        <v>305</v>
      </c>
      <c r="F24" t="s">
        <v>291</v>
      </c>
      <c r="G24">
        <v>553</v>
      </c>
      <c r="H24">
        <v>1135</v>
      </c>
      <c r="I24">
        <f>ROUND(G24/H24,3)</f>
        <v>0.48699999999999999</v>
      </c>
    </row>
    <row r="25" spans="1:11">
      <c r="A25" t="s">
        <v>140</v>
      </c>
      <c r="B25" t="s">
        <v>255</v>
      </c>
      <c r="C25" t="s">
        <v>72</v>
      </c>
      <c r="D25" t="s">
        <v>8</v>
      </c>
      <c r="E25" t="s">
        <v>305</v>
      </c>
      <c r="F25" t="s">
        <v>296</v>
      </c>
      <c r="G25">
        <v>544</v>
      </c>
      <c r="H25">
        <v>1316</v>
      </c>
      <c r="I25">
        <f>ROUND(G25/H25,3)</f>
        <v>0.41299999999999998</v>
      </c>
    </row>
    <row r="26" spans="1:11">
      <c r="A26">
        <v>2021</v>
      </c>
      <c r="B26" t="s">
        <v>255</v>
      </c>
      <c r="C26" t="s">
        <v>72</v>
      </c>
      <c r="D26" t="s">
        <v>17</v>
      </c>
      <c r="E26" t="s">
        <v>306</v>
      </c>
      <c r="F26" t="s">
        <v>291</v>
      </c>
      <c r="G26">
        <v>464</v>
      </c>
      <c r="H26">
        <v>11886</v>
      </c>
      <c r="I26" s="94">
        <v>3.9E-2</v>
      </c>
    </row>
    <row r="27" spans="1:11">
      <c r="A27">
        <v>2021</v>
      </c>
      <c r="B27" t="s">
        <v>255</v>
      </c>
      <c r="C27" t="s">
        <v>72</v>
      </c>
      <c r="D27" t="s">
        <v>17</v>
      </c>
      <c r="E27" t="s">
        <v>306</v>
      </c>
      <c r="F27" t="s">
        <v>296</v>
      </c>
      <c r="G27">
        <v>604</v>
      </c>
      <c r="H27">
        <v>11194</v>
      </c>
      <c r="I27" s="94">
        <v>5.3999999999999999E-2</v>
      </c>
    </row>
    <row r="28" spans="1:11">
      <c r="A28" t="s">
        <v>140</v>
      </c>
      <c r="B28" t="s">
        <v>255</v>
      </c>
      <c r="C28" t="s">
        <v>72</v>
      </c>
      <c r="D28" t="s">
        <v>17</v>
      </c>
      <c r="E28" t="s">
        <v>307</v>
      </c>
      <c r="F28" t="s">
        <v>291</v>
      </c>
      <c r="G28">
        <v>101</v>
      </c>
      <c r="H28">
        <v>1135</v>
      </c>
      <c r="I28">
        <f>ROUND(G28/H28,3)</f>
        <v>8.8999999999999996E-2</v>
      </c>
    </row>
    <row r="29" spans="1:11">
      <c r="A29" t="s">
        <v>140</v>
      </c>
      <c r="B29" t="s">
        <v>255</v>
      </c>
      <c r="C29" t="s">
        <v>72</v>
      </c>
      <c r="D29" t="s">
        <v>17</v>
      </c>
      <c r="E29" t="s">
        <v>307</v>
      </c>
      <c r="F29" t="s">
        <v>296</v>
      </c>
      <c r="G29">
        <v>131</v>
      </c>
      <c r="H29">
        <v>1316</v>
      </c>
      <c r="I29">
        <f>ROUND(G29/H29,3)</f>
        <v>0.1</v>
      </c>
    </row>
    <row r="30" spans="1:11">
      <c r="A30" t="s">
        <v>140</v>
      </c>
      <c r="B30" t="s">
        <v>255</v>
      </c>
      <c r="C30" t="s">
        <v>72</v>
      </c>
      <c r="D30" t="s">
        <v>25</v>
      </c>
      <c r="E30" t="s">
        <v>308</v>
      </c>
      <c r="F30" t="s">
        <v>291</v>
      </c>
      <c r="G30">
        <v>1135</v>
      </c>
      <c r="H30">
        <f>ROUND(102417*0.49,)</f>
        <v>50184</v>
      </c>
      <c r="I30">
        <f>ROUND(G30/H30,3)</f>
        <v>2.3E-2</v>
      </c>
    </row>
    <row r="31" spans="1:11">
      <c r="A31" t="s">
        <v>140</v>
      </c>
      <c r="B31" t="s">
        <v>255</v>
      </c>
      <c r="C31" t="s">
        <v>72</v>
      </c>
      <c r="D31" t="s">
        <v>25</v>
      </c>
      <c r="E31" t="s">
        <v>308</v>
      </c>
      <c r="F31" t="s">
        <v>296</v>
      </c>
      <c r="G31">
        <v>1316</v>
      </c>
      <c r="H31">
        <f>ROUND(102417*0.51,)</f>
        <v>52233</v>
      </c>
      <c r="I31">
        <f>ROUND(G31/H31,3)</f>
        <v>2.5000000000000001E-2</v>
      </c>
    </row>
    <row r="32" spans="1:11">
      <c r="A32" t="s">
        <v>140</v>
      </c>
      <c r="B32" t="s">
        <v>255</v>
      </c>
      <c r="C32" t="s">
        <v>72</v>
      </c>
      <c r="D32" t="s">
        <v>25</v>
      </c>
      <c r="E32" t="s">
        <v>267</v>
      </c>
      <c r="F32" t="s">
        <v>291</v>
      </c>
      <c r="G32" t="s">
        <v>140</v>
      </c>
      <c r="H32" t="s">
        <v>140</v>
      </c>
      <c r="I32" t="s">
        <v>140</v>
      </c>
    </row>
    <row r="33" spans="1:10">
      <c r="A33" t="s">
        <v>140</v>
      </c>
      <c r="B33" t="s">
        <v>255</v>
      </c>
      <c r="C33" t="s">
        <v>72</v>
      </c>
      <c r="D33" t="s">
        <v>25</v>
      </c>
      <c r="E33" t="s">
        <v>267</v>
      </c>
      <c r="F33" t="s">
        <v>296</v>
      </c>
      <c r="G33" t="s">
        <v>140</v>
      </c>
      <c r="H33" t="s">
        <v>140</v>
      </c>
      <c r="I33" t="s">
        <v>140</v>
      </c>
    </row>
    <row r="34" spans="1:10">
      <c r="A34" t="s">
        <v>140</v>
      </c>
      <c r="B34" t="s">
        <v>255</v>
      </c>
      <c r="C34" t="s">
        <v>72</v>
      </c>
      <c r="D34" t="s">
        <v>25</v>
      </c>
      <c r="E34" t="s">
        <v>309</v>
      </c>
      <c r="F34" t="s">
        <v>291</v>
      </c>
      <c r="G34">
        <v>2041</v>
      </c>
      <c r="H34">
        <f>ROUND(102417*0.49,)</f>
        <v>50184</v>
      </c>
      <c r="I34">
        <f>ROUND(G34/H34,3)</f>
        <v>4.1000000000000002E-2</v>
      </c>
    </row>
    <row r="35" spans="1:10">
      <c r="A35" t="s">
        <v>140</v>
      </c>
      <c r="B35" t="s">
        <v>255</v>
      </c>
      <c r="C35" t="s">
        <v>72</v>
      </c>
      <c r="D35" t="s">
        <v>25</v>
      </c>
      <c r="E35" t="s">
        <v>309</v>
      </c>
      <c r="F35" t="s">
        <v>296</v>
      </c>
      <c r="G35">
        <v>8009</v>
      </c>
      <c r="H35">
        <f>ROUND(102417*0.51,)</f>
        <v>52233</v>
      </c>
      <c r="I35">
        <f>ROUND(G35/H35,3)</f>
        <v>0.153</v>
      </c>
    </row>
    <row r="36" spans="1:10">
      <c r="A36">
        <v>2021</v>
      </c>
      <c r="B36" t="s">
        <v>255</v>
      </c>
      <c r="C36" t="s">
        <v>269</v>
      </c>
      <c r="D36" t="s">
        <v>8</v>
      </c>
      <c r="E36" t="s">
        <v>270</v>
      </c>
      <c r="F36" t="s">
        <v>291</v>
      </c>
      <c r="G36">
        <v>704</v>
      </c>
      <c r="H36">
        <v>2226</v>
      </c>
      <c r="I36">
        <v>0.316</v>
      </c>
      <c r="J36" s="84" t="s">
        <v>310</v>
      </c>
    </row>
    <row r="37" spans="1:10">
      <c r="A37">
        <v>2021</v>
      </c>
      <c r="B37" t="s">
        <v>255</v>
      </c>
      <c r="C37" t="s">
        <v>269</v>
      </c>
      <c r="D37" t="s">
        <v>8</v>
      </c>
      <c r="E37" t="s">
        <v>270</v>
      </c>
      <c r="F37" t="s">
        <v>296</v>
      </c>
      <c r="G37">
        <v>2961</v>
      </c>
      <c r="H37">
        <v>10656</v>
      </c>
      <c r="I37">
        <v>0.27800000000000002</v>
      </c>
      <c r="J37" s="84" t="s">
        <v>310</v>
      </c>
    </row>
    <row r="38" spans="1:10">
      <c r="A38">
        <v>2021</v>
      </c>
      <c r="B38" t="s">
        <v>255</v>
      </c>
      <c r="C38" t="s">
        <v>269</v>
      </c>
      <c r="D38" t="s">
        <v>8</v>
      </c>
      <c r="E38" t="s">
        <v>271</v>
      </c>
      <c r="F38" t="s">
        <v>291</v>
      </c>
      <c r="G38">
        <f>338 + 293 + 61 + 12</f>
        <v>704</v>
      </c>
      <c r="H38">
        <f>16772 + 17790</f>
        <v>34562</v>
      </c>
      <c r="I38">
        <f t="shared" ref="I38:I45" si="5">ROUND(G38/H38,3)</f>
        <v>0.02</v>
      </c>
    </row>
    <row r="39" spans="1:10">
      <c r="A39">
        <v>2021</v>
      </c>
      <c r="B39" t="s">
        <v>255</v>
      </c>
      <c r="C39" t="s">
        <v>269</v>
      </c>
      <c r="D39" t="s">
        <v>8</v>
      </c>
      <c r="E39" t="s">
        <v>271</v>
      </c>
      <c r="F39" t="s">
        <v>296</v>
      </c>
      <c r="G39">
        <f>1410 + 1054 + 452 + 45</f>
        <v>2961</v>
      </c>
      <c r="H39">
        <f>14728 + 11674</f>
        <v>26402</v>
      </c>
      <c r="I39">
        <f t="shared" si="5"/>
        <v>0.112</v>
      </c>
    </row>
    <row r="40" spans="1:10">
      <c r="A40">
        <v>2021</v>
      </c>
      <c r="B40" t="s">
        <v>255</v>
      </c>
      <c r="C40" t="s">
        <v>269</v>
      </c>
      <c r="D40" t="s">
        <v>17</v>
      </c>
      <c r="E40" t="s">
        <v>272</v>
      </c>
      <c r="F40" t="s">
        <v>291</v>
      </c>
      <c r="G40">
        <v>224</v>
      </c>
      <c r="H40">
        <v>5914</v>
      </c>
      <c r="I40">
        <f t="shared" si="5"/>
        <v>3.7999999999999999E-2</v>
      </c>
      <c r="J40" s="84" t="s">
        <v>310</v>
      </c>
    </row>
    <row r="41" spans="1:10">
      <c r="A41">
        <v>2021</v>
      </c>
      <c r="B41" t="s">
        <v>255</v>
      </c>
      <c r="C41" t="s">
        <v>269</v>
      </c>
      <c r="D41" t="s">
        <v>17</v>
      </c>
      <c r="E41" t="s">
        <v>272</v>
      </c>
      <c r="F41" t="s">
        <v>296</v>
      </c>
      <c r="G41">
        <v>840</v>
      </c>
      <c r="H41">
        <v>6443</v>
      </c>
      <c r="I41">
        <f t="shared" si="5"/>
        <v>0.13</v>
      </c>
      <c r="J41" s="84" t="s">
        <v>310</v>
      </c>
    </row>
    <row r="42" spans="1:10">
      <c r="A42">
        <v>2021</v>
      </c>
      <c r="B42" t="s">
        <v>255</v>
      </c>
      <c r="C42" t="s">
        <v>269</v>
      </c>
      <c r="D42" t="s">
        <v>17</v>
      </c>
      <c r="E42" t="s">
        <v>273</v>
      </c>
      <c r="F42" t="s">
        <v>291</v>
      </c>
      <c r="G42">
        <f>909 + 195</f>
        <v>1104</v>
      </c>
      <c r="H42">
        <f>23812</f>
        <v>23812</v>
      </c>
      <c r="I42">
        <f t="shared" si="5"/>
        <v>4.5999999999999999E-2</v>
      </c>
      <c r="J42" s="84" t="s">
        <v>310</v>
      </c>
    </row>
    <row r="43" spans="1:10">
      <c r="A43">
        <v>2021</v>
      </c>
      <c r="B43" t="s">
        <v>255</v>
      </c>
      <c r="C43" t="s">
        <v>269</v>
      </c>
      <c r="D43" t="s">
        <v>17</v>
      </c>
      <c r="E43" t="s">
        <v>273</v>
      </c>
      <c r="F43" t="s">
        <v>296</v>
      </c>
      <c r="G43">
        <f>2054 + 1101</f>
        <v>3155</v>
      </c>
      <c r="H43">
        <f>26221</f>
        <v>26221</v>
      </c>
      <c r="I43">
        <f t="shared" si="5"/>
        <v>0.12</v>
      </c>
      <c r="J43" s="84" t="s">
        <v>310</v>
      </c>
    </row>
    <row r="44" spans="1:10">
      <c r="A44">
        <v>2021</v>
      </c>
      <c r="B44" t="s">
        <v>255</v>
      </c>
      <c r="C44" t="s">
        <v>269</v>
      </c>
      <c r="D44" t="s">
        <v>17</v>
      </c>
      <c r="E44" t="s">
        <v>274</v>
      </c>
      <c r="F44" t="s">
        <v>291</v>
      </c>
      <c r="G44">
        <v>224</v>
      </c>
      <c r="H44">
        <f>909 + 195</f>
        <v>1104</v>
      </c>
      <c r="I44">
        <f t="shared" si="5"/>
        <v>0.20300000000000001</v>
      </c>
      <c r="J44" s="84" t="s">
        <v>310</v>
      </c>
    </row>
    <row r="45" spans="1:10">
      <c r="A45">
        <v>2021</v>
      </c>
      <c r="B45" t="s">
        <v>255</v>
      </c>
      <c r="C45" t="s">
        <v>269</v>
      </c>
      <c r="D45" t="s">
        <v>17</v>
      </c>
      <c r="E45" t="s">
        <v>274</v>
      </c>
      <c r="F45" t="s">
        <v>296</v>
      </c>
      <c r="G45">
        <v>840</v>
      </c>
      <c r="H45">
        <f>2054 + 1101</f>
        <v>3155</v>
      </c>
      <c r="I45">
        <f t="shared" si="5"/>
        <v>0.26600000000000001</v>
      </c>
      <c r="J45" s="84" t="s">
        <v>310</v>
      </c>
    </row>
    <row r="46" spans="1:10">
      <c r="A46">
        <v>2021</v>
      </c>
      <c r="B46" t="s">
        <v>255</v>
      </c>
      <c r="C46" t="s">
        <v>269</v>
      </c>
      <c r="D46" t="s">
        <v>25</v>
      </c>
      <c r="E46" t="s">
        <v>275</v>
      </c>
      <c r="F46" t="s">
        <v>291</v>
      </c>
      <c r="G46">
        <v>3201</v>
      </c>
      <c r="H46">
        <v>132736</v>
      </c>
      <c r="I46">
        <v>2.4E-2</v>
      </c>
      <c r="J46" s="84" t="s">
        <v>310</v>
      </c>
    </row>
    <row r="47" spans="1:10">
      <c r="A47">
        <v>2021</v>
      </c>
      <c r="B47" t="s">
        <v>255</v>
      </c>
      <c r="C47" t="s">
        <v>269</v>
      </c>
      <c r="D47" t="s">
        <v>25</v>
      </c>
      <c r="E47" t="s">
        <v>275</v>
      </c>
      <c r="F47" t="s">
        <v>296</v>
      </c>
      <c r="G47">
        <v>11785</v>
      </c>
      <c r="H47">
        <v>108289</v>
      </c>
      <c r="I47">
        <v>0.109</v>
      </c>
      <c r="J47" s="84" t="s">
        <v>310</v>
      </c>
    </row>
    <row r="48" spans="1:10">
      <c r="A48" t="s">
        <v>140</v>
      </c>
      <c r="B48" t="s">
        <v>255</v>
      </c>
      <c r="C48" t="s">
        <v>269</v>
      </c>
      <c r="D48" t="s">
        <v>25</v>
      </c>
      <c r="E48" t="s">
        <v>276</v>
      </c>
      <c r="F48" t="s">
        <v>291</v>
      </c>
      <c r="G48" t="s">
        <v>140</v>
      </c>
      <c r="H48" t="s">
        <v>140</v>
      </c>
      <c r="I48" t="s">
        <v>140</v>
      </c>
    </row>
    <row r="49" spans="1:11">
      <c r="A49" t="s">
        <v>140</v>
      </c>
      <c r="B49" t="s">
        <v>255</v>
      </c>
      <c r="C49" t="s">
        <v>269</v>
      </c>
      <c r="D49" t="s">
        <v>25</v>
      </c>
      <c r="E49" t="s">
        <v>276</v>
      </c>
      <c r="F49" t="s">
        <v>296</v>
      </c>
      <c r="G49" t="s">
        <v>140</v>
      </c>
      <c r="H49" t="s">
        <v>140</v>
      </c>
      <c r="I49" t="s">
        <v>140</v>
      </c>
    </row>
    <row r="50" spans="1:11">
      <c r="A50">
        <v>2022</v>
      </c>
      <c r="B50" t="s">
        <v>255</v>
      </c>
      <c r="C50" t="s">
        <v>277</v>
      </c>
      <c r="D50" t="s">
        <v>8</v>
      </c>
      <c r="E50" t="s">
        <v>278</v>
      </c>
      <c r="F50" t="s">
        <v>291</v>
      </c>
      <c r="G50">
        <v>30762</v>
      </c>
      <c r="H50">
        <v>1625505</v>
      </c>
      <c r="I50">
        <f>ROUND(G50/H50,3)</f>
        <v>1.9E-2</v>
      </c>
      <c r="J50" s="84" t="s">
        <v>311</v>
      </c>
      <c r="K50" s="84" t="s">
        <v>312</v>
      </c>
    </row>
    <row r="51" spans="1:11">
      <c r="A51">
        <v>2022</v>
      </c>
      <c r="B51" t="s">
        <v>255</v>
      </c>
      <c r="C51" t="s">
        <v>277</v>
      </c>
      <c r="D51" t="s">
        <v>8</v>
      </c>
      <c r="E51" t="s">
        <v>278</v>
      </c>
      <c r="F51" t="s">
        <v>296</v>
      </c>
      <c r="G51">
        <v>86473</v>
      </c>
      <c r="H51">
        <v>1421375</v>
      </c>
      <c r="I51">
        <f t="shared" ref="I51:I53" si="6">ROUND(G51/H51,3)</f>
        <v>6.0999999999999999E-2</v>
      </c>
      <c r="J51" s="84" t="s">
        <v>311</v>
      </c>
      <c r="K51" s="84" t="s">
        <v>312</v>
      </c>
    </row>
    <row r="52" spans="1:11">
      <c r="A52">
        <v>2022</v>
      </c>
      <c r="B52" t="s">
        <v>255</v>
      </c>
      <c r="C52" t="s">
        <v>277</v>
      </c>
      <c r="D52" t="s">
        <v>17</v>
      </c>
      <c r="E52" t="s">
        <v>279</v>
      </c>
      <c r="F52" t="s">
        <v>291</v>
      </c>
      <c r="G52">
        <v>5360</v>
      </c>
      <c r="H52">
        <v>1625505</v>
      </c>
      <c r="I52">
        <f t="shared" si="6"/>
        <v>3.0000000000000001E-3</v>
      </c>
      <c r="J52" s="84" t="s">
        <v>313</v>
      </c>
      <c r="K52" s="84" t="s">
        <v>312</v>
      </c>
    </row>
    <row r="53" spans="1:11">
      <c r="A53">
        <v>2022</v>
      </c>
      <c r="B53" t="s">
        <v>255</v>
      </c>
      <c r="C53" t="s">
        <v>277</v>
      </c>
      <c r="D53" t="s">
        <v>17</v>
      </c>
      <c r="E53" t="s">
        <v>279</v>
      </c>
      <c r="F53" t="s">
        <v>296</v>
      </c>
      <c r="G53">
        <v>16441</v>
      </c>
      <c r="H53">
        <v>1421375</v>
      </c>
      <c r="I53">
        <f t="shared" si="6"/>
        <v>1.2E-2</v>
      </c>
      <c r="J53" s="84" t="s">
        <v>313</v>
      </c>
      <c r="K53" s="84" t="s">
        <v>312</v>
      </c>
    </row>
  </sheetData>
  <hyperlinks>
    <hyperlink ref="J4" r:id="rId1" xr:uid="{14C53AC7-20F7-42E4-B54A-07F2B9651F7E}"/>
    <hyperlink ref="J5" r:id="rId2" xr:uid="{50CAF5F8-E87B-459A-A5AE-57C154F9BF73}"/>
    <hyperlink ref="J10" r:id="rId3" xr:uid="{D0A3E130-DA95-4C11-9001-1EC7924BB1EA}"/>
    <hyperlink ref="J11" r:id="rId4" xr:uid="{4ED2C489-1705-40FE-85FB-6464BE448FC6}"/>
    <hyperlink ref="J2" r:id="rId5" xr:uid="{3BC8F045-27C7-4A48-B436-7B879387B6EB}"/>
    <hyperlink ref="J3" r:id="rId6" xr:uid="{75F2BA89-FB43-49C0-A73E-CC30BE268AD2}"/>
    <hyperlink ref="J8" r:id="rId7" xr:uid="{3DB1DB0C-6DA1-43A4-BFCA-D701EBA53C56}"/>
    <hyperlink ref="J9" r:id="rId8" xr:uid="{2F1EC4F3-3F73-4561-87AB-A092EF6A8B56}"/>
    <hyperlink ref="J36" r:id="rId9" xr:uid="{5AFC62F4-8ED2-4743-B4F1-016A1C4B9CB8}"/>
    <hyperlink ref="J37" r:id="rId10" xr:uid="{3A70F392-1AF5-4BFE-8DAD-AB50C0CB78D4}"/>
    <hyperlink ref="J46" r:id="rId11" xr:uid="{F726B1C1-A469-4B80-8259-1FAF0F03B85E}"/>
    <hyperlink ref="J47" r:id="rId12" xr:uid="{15C6121C-E8B5-455B-9465-C94299C55FC9}"/>
    <hyperlink ref="J22" r:id="rId13" xr:uid="{4590DA87-B3CA-4EEA-A6D9-018AFD6F099D}"/>
    <hyperlink ref="J23" r:id="rId14" xr:uid="{EB9B3D9D-E8E8-4CCE-A9D5-6F928823BDDF}"/>
    <hyperlink ref="K22" r:id="rId15" xr:uid="{D337CBCB-0AF0-44F3-B8AB-7C901FBE387D}"/>
    <hyperlink ref="K23" r:id="rId16" xr:uid="{784CA1F0-1AFA-4B20-846F-F32F7FC0BFC6}"/>
    <hyperlink ref="K50" r:id="rId17" location="h=hRRth&amp;page=educational_capital&amp;vertical=edo&amp;nation=us" xr:uid="{5D9EA673-5386-4B6F-A2C6-FDF23602BE10}"/>
    <hyperlink ref="K51:K53" r:id="rId18" location="h=hRRth&amp;page=educational_capital&amp;vertical=edo&amp;nation=us" display="https://a.economicmodeling.com/analyst/?t=3tWRz#h=hRRth&amp;page=educational_capital&amp;vertical=edo&amp;nation=us" xr:uid="{45296209-D419-4B06-B20D-0C3529A348BA}"/>
    <hyperlink ref="J50" r:id="rId19" location="h=hRT0m&amp;page=historical_occ_demographics_table&amp;vertical=edo&amp;nation=us" xr:uid="{CE2E72DD-C3FE-4BD2-AFB1-4298CC3ACF2C}"/>
    <hyperlink ref="J51" r:id="rId20" location="h=hRT0m&amp;page=historical_occ_demographics_table&amp;vertical=edo&amp;nation=us" xr:uid="{60DDFFA3-BEAB-4055-9140-500D3BF56C5F}"/>
    <hyperlink ref="J52" r:id="rId21" location="h=hRT65&amp;page=historical_occ_demographics_table&amp;vertical=edo&amp;nation=us" xr:uid="{CC78223A-2D70-476D-8E22-1D364E869057}"/>
    <hyperlink ref="J53" r:id="rId22" location="h=hRT65&amp;page=historical_occ_demographics_table&amp;vertical=edo&amp;nation=us" xr:uid="{58E40FF3-A913-4AED-B6FF-637027AA6595}"/>
    <hyperlink ref="J42" r:id="rId23" xr:uid="{6945EF95-F30E-44D6-B4C1-35C389DB58B2}"/>
    <hyperlink ref="J43" r:id="rId24" xr:uid="{9848C42A-A86B-4E20-8C9A-2F010C18A49D}"/>
    <hyperlink ref="J40:J41" r:id="rId25" display="http://www.ibhe.org/EnrollmentsDegrees/Search.aspx" xr:uid="{89C522EC-223F-481B-BB0D-C7E012ECC61D}"/>
    <hyperlink ref="J44:J45" r:id="rId26" display="http://www.ibhe.org/EnrollmentsDegrees/Search.aspx" xr:uid="{06D22801-3BF1-4601-B374-EF0790AB60AB}"/>
    <hyperlink ref="J20" r:id="rId27" xr:uid="{11A8D06B-7270-4481-BFC1-97AEA791B254}"/>
    <hyperlink ref="J21" r:id="rId28" xr:uid="{CCC939F6-B488-4B82-85DF-7E849DEB2558}"/>
    <hyperlink ref="K20" r:id="rId29" xr:uid="{A9851160-2B6F-4305-8403-6A9DBF32C1CA}"/>
    <hyperlink ref="K21" r:id="rId30" xr:uid="{30BCAE7B-A6B0-4030-B769-39B5B6629416}"/>
  </hyperlinks>
  <pageMargins left="0.7" right="0.7" top="0.75" bottom="0.75" header="0.3" footer="0.3"/>
  <ignoredErrors>
    <ignoredError sqref="H11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7984F-AA36-4CE4-B95F-8CE0CC204FF2}">
  <dimension ref="A1:L67"/>
  <sheetViews>
    <sheetView topLeftCell="A57" workbookViewId="0">
      <selection activeCell="E65" sqref="E65"/>
    </sheetView>
  </sheetViews>
  <sheetFormatPr defaultRowHeight="14.5"/>
  <cols>
    <col min="1" max="1" width="115.7265625" bestFit="1" customWidth="1"/>
    <col min="2" max="2" width="5.1796875" bestFit="1" customWidth="1"/>
    <col min="3" max="3" width="9.54296875" bestFit="1" customWidth="1"/>
    <col min="4" max="7" width="8.453125" bestFit="1" customWidth="1"/>
    <col min="8" max="8" width="7.08984375" bestFit="1" customWidth="1"/>
    <col min="9" max="9" width="11.1796875" bestFit="1" customWidth="1"/>
    <col min="10" max="10" width="100" bestFit="1" customWidth="1"/>
  </cols>
  <sheetData>
    <row r="1" spans="1:12" ht="16.5">
      <c r="A1" s="91" t="s">
        <v>35</v>
      </c>
      <c r="B1" s="91" t="s">
        <v>208</v>
      </c>
      <c r="C1" s="91" t="s">
        <v>136</v>
      </c>
      <c r="D1" s="91" t="s">
        <v>58</v>
      </c>
      <c r="E1" s="91" t="s">
        <v>59</v>
      </c>
      <c r="F1" s="91" t="s">
        <v>137</v>
      </c>
      <c r="G1" s="91" t="s">
        <v>61</v>
      </c>
      <c r="H1" s="91" t="s">
        <v>244</v>
      </c>
      <c r="I1" s="91" t="s">
        <v>245</v>
      </c>
      <c r="J1" s="91" t="s">
        <v>209</v>
      </c>
      <c r="K1" s="95"/>
      <c r="L1" s="87"/>
    </row>
    <row r="2" spans="1:12" ht="16.5">
      <c r="A2" s="88" t="s">
        <v>179</v>
      </c>
      <c r="B2" s="88">
        <v>2021</v>
      </c>
      <c r="C2" s="88">
        <v>3.8E-3</v>
      </c>
      <c r="D2" s="88">
        <v>2.5999999999999999E-3</v>
      </c>
      <c r="E2" s="88">
        <v>3.5000000000000001E-3</v>
      </c>
      <c r="F2" s="88">
        <v>3.5999999999999999E-3</v>
      </c>
      <c r="G2" s="88">
        <v>4.3E-3</v>
      </c>
      <c r="H2" s="88" t="s">
        <v>139</v>
      </c>
      <c r="I2" s="88">
        <v>1</v>
      </c>
      <c r="J2" s="90"/>
      <c r="K2" s="87"/>
      <c r="L2" s="87"/>
    </row>
    <row r="3" spans="1:12" ht="16.5">
      <c r="A3" s="88" t="s">
        <v>180</v>
      </c>
      <c r="B3" s="88">
        <v>2021</v>
      </c>
      <c r="C3" s="88">
        <v>5.3E-3</v>
      </c>
      <c r="D3" s="88">
        <v>5.1000000000000004E-3</v>
      </c>
      <c r="E3" s="88">
        <v>5.1999999999999998E-3</v>
      </c>
      <c r="F3" s="88">
        <v>5.4000000000000003E-3</v>
      </c>
      <c r="G3" s="88">
        <v>6.1000000000000004E-3</v>
      </c>
      <c r="H3" s="88" t="s">
        <v>149</v>
      </c>
      <c r="I3" s="88">
        <v>1</v>
      </c>
      <c r="J3" s="88"/>
      <c r="K3" s="87"/>
      <c r="L3" s="87"/>
    </row>
    <row r="4" spans="1:12" ht="16.5">
      <c r="A4" s="88" t="s">
        <v>181</v>
      </c>
      <c r="B4" s="88">
        <v>2021</v>
      </c>
      <c r="C4" s="88">
        <v>6.8999999999999999E-3</v>
      </c>
      <c r="D4" s="88">
        <v>6.7000000000000002E-3</v>
      </c>
      <c r="E4" s="88">
        <v>6.7999999999999996E-3</v>
      </c>
      <c r="F4" s="88">
        <v>7.0000000000000001E-3</v>
      </c>
      <c r="G4" s="88">
        <v>7.9000000000000008E-3</v>
      </c>
      <c r="H4" s="88" t="s">
        <v>149</v>
      </c>
      <c r="I4" s="88">
        <v>1</v>
      </c>
      <c r="J4" s="88"/>
      <c r="K4" s="87"/>
      <c r="L4" s="87"/>
    </row>
    <row r="5" spans="1:12" ht="16.5">
      <c r="A5" s="88" t="s">
        <v>182</v>
      </c>
      <c r="B5" s="88">
        <v>2021</v>
      </c>
      <c r="C5" s="88">
        <v>7.7999999999999996E-3</v>
      </c>
      <c r="D5" s="88">
        <v>7.3000000000000001E-3</v>
      </c>
      <c r="E5" s="88">
        <v>7.6E-3</v>
      </c>
      <c r="F5" s="88">
        <v>7.9000000000000008E-3</v>
      </c>
      <c r="G5" s="88">
        <v>8.8999999999999999E-3</v>
      </c>
      <c r="H5" s="88" t="s">
        <v>139</v>
      </c>
      <c r="I5" s="88">
        <v>1</v>
      </c>
      <c r="J5" s="88"/>
    </row>
    <row r="6" spans="1:12" ht="16.5">
      <c r="A6" s="88" t="s">
        <v>171</v>
      </c>
      <c r="B6" s="88">
        <v>2021</v>
      </c>
      <c r="C6" s="88">
        <v>600</v>
      </c>
      <c r="D6" s="88">
        <v>18</v>
      </c>
      <c r="E6" s="88">
        <v>53</v>
      </c>
      <c r="F6" s="88">
        <v>168</v>
      </c>
      <c r="G6" s="88">
        <v>361</v>
      </c>
      <c r="H6" s="88" t="s">
        <v>149</v>
      </c>
      <c r="I6" s="88">
        <v>0</v>
      </c>
      <c r="J6" s="88"/>
    </row>
    <row r="7" spans="1:12" ht="16.5">
      <c r="A7" s="88" t="s">
        <v>183</v>
      </c>
      <c r="B7" s="88">
        <v>2021</v>
      </c>
      <c r="C7" s="88">
        <v>698</v>
      </c>
      <c r="D7" s="88">
        <v>43</v>
      </c>
      <c r="E7" s="88">
        <v>66</v>
      </c>
      <c r="F7" s="88">
        <v>265</v>
      </c>
      <c r="G7" s="88">
        <v>324</v>
      </c>
      <c r="H7" s="88" t="s">
        <v>149</v>
      </c>
      <c r="I7" s="88">
        <v>0</v>
      </c>
      <c r="J7" s="88"/>
    </row>
    <row r="8" spans="1:12" ht="16.5">
      <c r="A8" s="88" t="s">
        <v>184</v>
      </c>
      <c r="B8" s="88">
        <v>2021</v>
      </c>
      <c r="C8" s="88">
        <v>721</v>
      </c>
      <c r="D8" s="88">
        <v>19</v>
      </c>
      <c r="E8" s="88">
        <v>65</v>
      </c>
      <c r="F8" s="88">
        <v>261</v>
      </c>
      <c r="G8" s="88">
        <v>376</v>
      </c>
      <c r="H8" s="88" t="s">
        <v>139</v>
      </c>
      <c r="I8" s="88">
        <v>0</v>
      </c>
      <c r="J8" s="88"/>
    </row>
    <row r="9" spans="1:12" ht="16.5">
      <c r="A9" s="88" t="s">
        <v>185</v>
      </c>
      <c r="B9" s="88">
        <v>2021</v>
      </c>
      <c r="C9" s="88">
        <v>1025</v>
      </c>
      <c r="D9" s="88">
        <v>55</v>
      </c>
      <c r="E9" s="88">
        <v>206</v>
      </c>
      <c r="F9" s="88">
        <v>508</v>
      </c>
      <c r="G9" s="88">
        <v>256</v>
      </c>
      <c r="H9" s="88" t="s">
        <v>139</v>
      </c>
      <c r="I9" s="88">
        <v>0</v>
      </c>
      <c r="J9" s="88"/>
    </row>
    <row r="10" spans="1:12" ht="16.5">
      <c r="A10" s="88" t="s">
        <v>165</v>
      </c>
      <c r="B10" s="88">
        <v>2021</v>
      </c>
      <c r="C10" s="88">
        <v>1031</v>
      </c>
      <c r="D10" s="88">
        <v>41</v>
      </c>
      <c r="E10" s="88">
        <v>128</v>
      </c>
      <c r="F10" s="88">
        <v>486</v>
      </c>
      <c r="G10" s="88">
        <v>376</v>
      </c>
      <c r="H10" s="88" t="s">
        <v>149</v>
      </c>
      <c r="I10" s="88">
        <v>0</v>
      </c>
      <c r="J10" s="88"/>
    </row>
    <row r="11" spans="1:12" ht="16.5">
      <c r="A11" s="88" t="s">
        <v>172</v>
      </c>
      <c r="B11" s="88">
        <v>2021</v>
      </c>
      <c r="C11" s="88">
        <v>1257</v>
      </c>
      <c r="D11" s="88">
        <v>75</v>
      </c>
      <c r="E11" s="88">
        <v>226</v>
      </c>
      <c r="F11" s="88">
        <v>390</v>
      </c>
      <c r="G11" s="88">
        <v>566</v>
      </c>
      <c r="H11" s="88" t="s">
        <v>149</v>
      </c>
      <c r="I11" s="88">
        <v>0</v>
      </c>
      <c r="J11" s="88"/>
    </row>
    <row r="12" spans="1:12" ht="16.5">
      <c r="A12" s="88" t="s">
        <v>141</v>
      </c>
      <c r="B12" s="88">
        <v>2021</v>
      </c>
      <c r="C12" s="88">
        <v>1429</v>
      </c>
      <c r="D12" s="88">
        <v>166</v>
      </c>
      <c r="E12" s="88">
        <v>416</v>
      </c>
      <c r="F12" s="88">
        <v>500</v>
      </c>
      <c r="G12" s="88">
        <v>347</v>
      </c>
      <c r="H12" s="88" t="s">
        <v>186</v>
      </c>
      <c r="I12" s="88">
        <v>1</v>
      </c>
      <c r="J12" s="88"/>
    </row>
    <row r="13" spans="1:12" ht="16.5">
      <c r="A13" s="88" t="s">
        <v>142</v>
      </c>
      <c r="B13" s="88">
        <v>2021</v>
      </c>
      <c r="C13" s="88">
        <v>1882</v>
      </c>
      <c r="D13" s="88">
        <v>188</v>
      </c>
      <c r="E13" s="88">
        <v>750</v>
      </c>
      <c r="F13" s="88">
        <v>565</v>
      </c>
      <c r="G13" s="88">
        <v>379</v>
      </c>
      <c r="H13" s="88" t="s">
        <v>186</v>
      </c>
      <c r="I13" s="88">
        <v>1</v>
      </c>
      <c r="J13" s="88"/>
    </row>
    <row r="14" spans="1:12" ht="16.5">
      <c r="A14" s="88" t="s">
        <v>164</v>
      </c>
      <c r="B14" s="88">
        <v>2021</v>
      </c>
      <c r="C14" s="88">
        <v>2555</v>
      </c>
      <c r="D14" s="88">
        <v>136</v>
      </c>
      <c r="E14" s="88">
        <v>345</v>
      </c>
      <c r="F14" s="88">
        <v>823</v>
      </c>
      <c r="G14" s="88">
        <v>1251</v>
      </c>
      <c r="H14" s="88" t="s">
        <v>149</v>
      </c>
      <c r="I14" s="88">
        <v>0</v>
      </c>
      <c r="J14" s="88"/>
    </row>
    <row r="15" spans="1:12" ht="16.5">
      <c r="A15" s="88" t="s">
        <v>147</v>
      </c>
      <c r="B15" s="88">
        <v>2021</v>
      </c>
      <c r="C15" s="88">
        <v>2953</v>
      </c>
      <c r="D15" s="88">
        <v>193</v>
      </c>
      <c r="E15" s="88">
        <v>449</v>
      </c>
      <c r="F15" s="88">
        <v>1439</v>
      </c>
      <c r="G15" s="88">
        <v>872</v>
      </c>
      <c r="H15" s="88" t="s">
        <v>139</v>
      </c>
      <c r="I15" s="88">
        <v>0</v>
      </c>
      <c r="J15" s="88"/>
    </row>
    <row r="16" spans="1:12" ht="16.5">
      <c r="A16" s="88" t="s">
        <v>187</v>
      </c>
      <c r="B16" s="88">
        <v>2021</v>
      </c>
      <c r="C16" s="88">
        <v>3204</v>
      </c>
      <c r="D16" s="88">
        <v>97</v>
      </c>
      <c r="E16" s="88">
        <v>283</v>
      </c>
      <c r="F16" s="88">
        <v>983</v>
      </c>
      <c r="G16" s="88">
        <v>1841</v>
      </c>
      <c r="H16" s="88" t="s">
        <v>139</v>
      </c>
      <c r="I16" s="88">
        <v>0</v>
      </c>
      <c r="J16" s="88"/>
    </row>
    <row r="17" spans="1:10" ht="16.5">
      <c r="A17" s="88" t="s">
        <v>167</v>
      </c>
      <c r="B17" s="88">
        <v>2021</v>
      </c>
      <c r="C17" s="88">
        <v>3487</v>
      </c>
      <c r="D17" s="88">
        <v>231</v>
      </c>
      <c r="E17" s="88">
        <v>561</v>
      </c>
      <c r="F17" s="88">
        <v>1541</v>
      </c>
      <c r="G17" s="88">
        <v>1154</v>
      </c>
      <c r="H17" s="88" t="s">
        <v>139</v>
      </c>
      <c r="I17" s="88">
        <v>0</v>
      </c>
      <c r="J17" s="88"/>
    </row>
    <row r="18" spans="1:10" ht="16.5">
      <c r="A18" s="88" t="s">
        <v>174</v>
      </c>
      <c r="B18" s="88">
        <v>2021</v>
      </c>
      <c r="C18" s="88">
        <v>4156</v>
      </c>
      <c r="D18" s="88">
        <v>336</v>
      </c>
      <c r="E18" s="88">
        <v>702</v>
      </c>
      <c r="F18" s="88">
        <v>1582</v>
      </c>
      <c r="G18" s="88">
        <v>1536</v>
      </c>
      <c r="H18" s="88" t="s">
        <v>139</v>
      </c>
      <c r="I18" s="88">
        <v>0</v>
      </c>
      <c r="J18" s="88"/>
    </row>
    <row r="19" spans="1:10" ht="16.5">
      <c r="A19" s="88" t="s">
        <v>176</v>
      </c>
      <c r="B19" s="88">
        <v>2021</v>
      </c>
      <c r="C19" s="88">
        <v>4814</v>
      </c>
      <c r="D19" s="88">
        <v>255</v>
      </c>
      <c r="E19" s="88">
        <v>611</v>
      </c>
      <c r="F19" s="88">
        <v>1661</v>
      </c>
      <c r="G19" s="88">
        <v>2287</v>
      </c>
      <c r="H19" s="88" t="s">
        <v>139</v>
      </c>
      <c r="I19" s="88">
        <v>0</v>
      </c>
      <c r="J19" s="88"/>
    </row>
    <row r="20" spans="1:10" ht="16.5">
      <c r="A20" s="88" t="s">
        <v>188</v>
      </c>
      <c r="B20" s="88">
        <v>2021</v>
      </c>
      <c r="C20" s="88">
        <v>5064</v>
      </c>
      <c r="D20" s="88">
        <v>1219</v>
      </c>
      <c r="E20" s="88">
        <v>2625</v>
      </c>
      <c r="F20" s="88">
        <v>872</v>
      </c>
      <c r="G20" s="88">
        <v>348</v>
      </c>
      <c r="H20" s="88" t="s">
        <v>186</v>
      </c>
      <c r="I20" s="88">
        <v>1</v>
      </c>
      <c r="J20" s="88"/>
    </row>
    <row r="21" spans="1:10" ht="16.5">
      <c r="A21" s="88" t="s">
        <v>189</v>
      </c>
      <c r="B21" s="88">
        <v>2021</v>
      </c>
      <c r="C21" s="88">
        <v>5081</v>
      </c>
      <c r="D21" s="88">
        <v>888</v>
      </c>
      <c r="E21" s="88">
        <v>2170</v>
      </c>
      <c r="F21" s="88">
        <v>1449</v>
      </c>
      <c r="G21" s="88">
        <v>574</v>
      </c>
      <c r="H21" s="88" t="s">
        <v>139</v>
      </c>
      <c r="I21" s="88">
        <v>0</v>
      </c>
      <c r="J21" s="88"/>
    </row>
    <row r="22" spans="1:10" ht="16.5">
      <c r="A22" s="88" t="s">
        <v>190</v>
      </c>
      <c r="B22" s="88">
        <v>2021</v>
      </c>
      <c r="C22" s="88">
        <v>5081</v>
      </c>
      <c r="D22" s="88">
        <v>888</v>
      </c>
      <c r="E22" s="88">
        <v>2170</v>
      </c>
      <c r="F22" s="88">
        <v>1449</v>
      </c>
      <c r="G22" s="88">
        <v>574</v>
      </c>
      <c r="H22" s="88" t="s">
        <v>139</v>
      </c>
      <c r="I22" s="88">
        <v>0</v>
      </c>
      <c r="J22" s="88"/>
    </row>
    <row r="23" spans="1:10" ht="16.5">
      <c r="A23" s="88" t="s">
        <v>138</v>
      </c>
      <c r="B23" s="88">
        <v>2021</v>
      </c>
      <c r="C23" s="88">
        <v>5481</v>
      </c>
      <c r="D23" s="88">
        <v>1324</v>
      </c>
      <c r="E23" s="88">
        <v>2598</v>
      </c>
      <c r="F23" s="88">
        <v>1125</v>
      </c>
      <c r="G23" s="88">
        <v>434</v>
      </c>
      <c r="H23" s="88" t="s">
        <v>186</v>
      </c>
      <c r="I23" s="88">
        <v>1</v>
      </c>
      <c r="J23" s="88"/>
    </row>
    <row r="24" spans="1:10" ht="16.5">
      <c r="A24" s="88" t="s">
        <v>150</v>
      </c>
      <c r="B24" s="88">
        <v>2021</v>
      </c>
      <c r="C24" s="88">
        <v>5518</v>
      </c>
      <c r="D24" s="88">
        <v>385</v>
      </c>
      <c r="E24" s="88">
        <v>412</v>
      </c>
      <c r="F24" s="88">
        <v>3228</v>
      </c>
      <c r="G24" s="88">
        <v>1493</v>
      </c>
      <c r="H24" s="88" t="s">
        <v>149</v>
      </c>
      <c r="I24" s="88">
        <v>0</v>
      </c>
      <c r="J24" s="88"/>
    </row>
    <row r="25" spans="1:10" ht="16.5">
      <c r="A25" s="88" t="s">
        <v>145</v>
      </c>
      <c r="B25" s="88">
        <v>2021</v>
      </c>
      <c r="C25" s="88">
        <v>5720</v>
      </c>
      <c r="D25" s="88">
        <v>179</v>
      </c>
      <c r="E25" s="88">
        <v>908</v>
      </c>
      <c r="F25" s="88">
        <v>2868</v>
      </c>
      <c r="G25" s="88">
        <v>1765</v>
      </c>
      <c r="H25" s="88" t="s">
        <v>139</v>
      </c>
      <c r="I25" s="88">
        <v>0</v>
      </c>
      <c r="J25" s="88"/>
    </row>
    <row r="26" spans="1:10" ht="16.5">
      <c r="A26" s="88" t="s">
        <v>175</v>
      </c>
      <c r="B26" s="88">
        <v>2021</v>
      </c>
      <c r="C26" s="88">
        <v>5963</v>
      </c>
      <c r="D26" s="88">
        <v>535</v>
      </c>
      <c r="E26" s="88">
        <v>1376</v>
      </c>
      <c r="F26" s="88">
        <v>1911</v>
      </c>
      <c r="G26" s="88">
        <v>2141</v>
      </c>
      <c r="H26" s="88" t="s">
        <v>139</v>
      </c>
      <c r="I26" s="88">
        <v>0</v>
      </c>
      <c r="J26" s="88"/>
    </row>
    <row r="27" spans="1:10" ht="16.5">
      <c r="A27" s="88" t="s">
        <v>191</v>
      </c>
      <c r="B27" s="88">
        <v>2021</v>
      </c>
      <c r="C27" s="88">
        <v>6169</v>
      </c>
      <c r="D27" s="88">
        <v>3227</v>
      </c>
      <c r="E27" s="88">
        <v>2702</v>
      </c>
      <c r="F27" s="88">
        <v>175</v>
      </c>
      <c r="G27" s="88">
        <v>65</v>
      </c>
      <c r="H27" s="88" t="s">
        <v>139</v>
      </c>
      <c r="I27" s="88">
        <v>1</v>
      </c>
      <c r="J27" s="88"/>
    </row>
    <row r="28" spans="1:10" ht="16.5">
      <c r="A28" s="88" t="s">
        <v>144</v>
      </c>
      <c r="B28" s="88">
        <v>2021</v>
      </c>
      <c r="C28" s="88">
        <v>7667</v>
      </c>
      <c r="D28" s="88">
        <v>369</v>
      </c>
      <c r="E28" s="88">
        <v>1463</v>
      </c>
      <c r="F28" s="88">
        <v>3674</v>
      </c>
      <c r="G28" s="88">
        <v>2161</v>
      </c>
      <c r="H28" s="88" t="s">
        <v>139</v>
      </c>
      <c r="I28" s="88">
        <v>1</v>
      </c>
      <c r="J28" s="88"/>
    </row>
    <row r="29" spans="1:10" ht="16.5">
      <c r="A29" s="88" t="s">
        <v>148</v>
      </c>
      <c r="B29" s="88">
        <v>2021</v>
      </c>
      <c r="C29" s="88">
        <v>8490</v>
      </c>
      <c r="D29" s="88">
        <v>539</v>
      </c>
      <c r="E29" s="88">
        <v>1227</v>
      </c>
      <c r="F29" s="88">
        <v>4478</v>
      </c>
      <c r="G29" s="88">
        <v>2246</v>
      </c>
      <c r="H29" s="88" t="s">
        <v>149</v>
      </c>
      <c r="I29" s="88">
        <v>0</v>
      </c>
      <c r="J29" s="88"/>
    </row>
    <row r="30" spans="1:10" ht="16.5">
      <c r="A30" s="88" t="s">
        <v>192</v>
      </c>
      <c r="B30" s="88">
        <v>2021</v>
      </c>
      <c r="C30" s="88">
        <v>9007</v>
      </c>
      <c r="D30" s="88">
        <v>3563</v>
      </c>
      <c r="E30" s="88">
        <v>4500</v>
      </c>
      <c r="F30" s="88">
        <v>770</v>
      </c>
      <c r="G30" s="88">
        <v>174</v>
      </c>
      <c r="H30" s="88" t="s">
        <v>139</v>
      </c>
      <c r="I30" s="88">
        <v>1</v>
      </c>
      <c r="J30" s="88"/>
    </row>
    <row r="31" spans="1:10" ht="16.5">
      <c r="A31" s="88" t="s">
        <v>193</v>
      </c>
      <c r="B31" s="88">
        <v>2021</v>
      </c>
      <c r="C31" s="88">
        <v>9172</v>
      </c>
      <c r="D31" s="88">
        <v>3558</v>
      </c>
      <c r="E31" s="88">
        <v>4676</v>
      </c>
      <c r="F31" s="88">
        <v>700</v>
      </c>
      <c r="G31" s="88">
        <v>238</v>
      </c>
      <c r="H31" s="88" t="s">
        <v>139</v>
      </c>
      <c r="I31" s="88">
        <v>1</v>
      </c>
      <c r="J31" s="88"/>
    </row>
    <row r="32" spans="1:10" ht="16.5">
      <c r="A32" s="88" t="s">
        <v>194</v>
      </c>
      <c r="B32" s="88">
        <v>2021</v>
      </c>
      <c r="C32" s="88">
        <v>9514</v>
      </c>
      <c r="D32" s="88">
        <v>4407</v>
      </c>
      <c r="E32" s="88">
        <v>4625</v>
      </c>
      <c r="F32" s="88">
        <v>359</v>
      </c>
      <c r="G32" s="88">
        <v>123</v>
      </c>
      <c r="H32" s="88" t="s">
        <v>139</v>
      </c>
      <c r="I32" s="88">
        <v>1</v>
      </c>
      <c r="J32" s="88"/>
    </row>
    <row r="33" spans="1:10" ht="16.5">
      <c r="A33" s="88" t="s">
        <v>195</v>
      </c>
      <c r="B33" s="88">
        <v>2021</v>
      </c>
      <c r="C33" s="88">
        <v>9763</v>
      </c>
      <c r="D33" s="88">
        <v>677</v>
      </c>
      <c r="E33" s="88">
        <v>1444</v>
      </c>
      <c r="F33" s="88">
        <v>5293</v>
      </c>
      <c r="G33" s="88">
        <v>2349</v>
      </c>
      <c r="H33" s="88" t="s">
        <v>139</v>
      </c>
      <c r="I33" s="88">
        <v>0</v>
      </c>
      <c r="J33" s="88"/>
    </row>
    <row r="34" spans="1:10" ht="16.5">
      <c r="A34" s="88" t="s">
        <v>146</v>
      </c>
      <c r="B34" s="88">
        <v>2021</v>
      </c>
      <c r="C34" s="88">
        <v>11759</v>
      </c>
      <c r="D34" s="88">
        <v>1066</v>
      </c>
      <c r="E34" s="88">
        <v>2134</v>
      </c>
      <c r="F34" s="88">
        <v>5264</v>
      </c>
      <c r="G34" s="88">
        <v>3295</v>
      </c>
      <c r="H34" s="88" t="s">
        <v>139</v>
      </c>
      <c r="I34" s="88">
        <v>0</v>
      </c>
      <c r="J34" s="88"/>
    </row>
    <row r="35" spans="1:10" ht="16.5">
      <c r="A35" s="88" t="s">
        <v>166</v>
      </c>
      <c r="B35" s="88">
        <v>2021</v>
      </c>
      <c r="C35" s="88">
        <v>14933</v>
      </c>
      <c r="D35" s="88">
        <v>1126</v>
      </c>
      <c r="E35" s="88">
        <v>2689</v>
      </c>
      <c r="F35" s="88">
        <v>5154</v>
      </c>
      <c r="G35" s="88">
        <v>5964</v>
      </c>
      <c r="H35" s="88" t="s">
        <v>149</v>
      </c>
      <c r="I35" s="88">
        <v>0</v>
      </c>
      <c r="J35" s="88"/>
    </row>
    <row r="36" spans="1:10" ht="16.5">
      <c r="A36" s="88" t="s">
        <v>196</v>
      </c>
      <c r="B36" s="88">
        <v>2021</v>
      </c>
      <c r="C36" s="88">
        <v>15513</v>
      </c>
      <c r="D36" s="88">
        <v>3282</v>
      </c>
      <c r="E36" s="88">
        <v>10070</v>
      </c>
      <c r="F36" s="88">
        <v>1318</v>
      </c>
      <c r="G36" s="88">
        <v>843</v>
      </c>
      <c r="H36" s="88" t="s">
        <v>139</v>
      </c>
      <c r="I36" s="88">
        <v>0</v>
      </c>
      <c r="J36" s="88"/>
    </row>
    <row r="37" spans="1:10" ht="16.5">
      <c r="A37" s="88" t="s">
        <v>143</v>
      </c>
      <c r="B37" s="88">
        <v>2021</v>
      </c>
      <c r="C37" s="88">
        <v>20717</v>
      </c>
      <c r="D37" s="88">
        <v>10133</v>
      </c>
      <c r="E37" s="88">
        <v>7539</v>
      </c>
      <c r="F37" s="88">
        <v>1325</v>
      </c>
      <c r="G37" s="88">
        <v>1354</v>
      </c>
      <c r="H37" s="88" t="s">
        <v>139</v>
      </c>
      <c r="I37" s="88">
        <v>0</v>
      </c>
      <c r="J37" s="88"/>
    </row>
    <row r="38" spans="1:10" ht="16.5">
      <c r="A38" s="88" t="s">
        <v>161</v>
      </c>
      <c r="B38" s="88">
        <v>2021</v>
      </c>
      <c r="C38" s="88">
        <v>21858</v>
      </c>
      <c r="D38" s="88">
        <v>1457</v>
      </c>
      <c r="E38" s="88">
        <v>1659</v>
      </c>
      <c r="F38" s="88">
        <v>14664</v>
      </c>
      <c r="G38" s="88">
        <v>4078</v>
      </c>
      <c r="H38" s="88" t="s">
        <v>139</v>
      </c>
      <c r="I38" s="88">
        <v>0</v>
      </c>
      <c r="J38" s="88" t="s">
        <v>197</v>
      </c>
    </row>
    <row r="39" spans="1:10" ht="16.5">
      <c r="A39" s="88" t="s">
        <v>198</v>
      </c>
      <c r="B39" s="88">
        <v>2021</v>
      </c>
      <c r="C39" s="88">
        <v>25637</v>
      </c>
      <c r="D39" s="88">
        <v>559</v>
      </c>
      <c r="E39" s="88">
        <v>2447</v>
      </c>
      <c r="F39" s="88">
        <v>11498</v>
      </c>
      <c r="G39" s="88">
        <v>11133</v>
      </c>
      <c r="H39" s="88" t="s">
        <v>178</v>
      </c>
      <c r="I39" s="88">
        <v>0</v>
      </c>
      <c r="J39" s="88"/>
    </row>
    <row r="40" spans="1:10" ht="16.5">
      <c r="A40" s="88" t="s">
        <v>199</v>
      </c>
      <c r="B40" s="88">
        <v>2021</v>
      </c>
      <c r="C40" s="88">
        <v>40403</v>
      </c>
      <c r="D40" s="88">
        <v>3059</v>
      </c>
      <c r="E40" s="88">
        <v>7078</v>
      </c>
      <c r="F40" s="88">
        <v>19643</v>
      </c>
      <c r="G40" s="88">
        <v>10623</v>
      </c>
      <c r="H40" s="88" t="s">
        <v>139</v>
      </c>
      <c r="I40" s="88">
        <v>0</v>
      </c>
      <c r="J40" s="88"/>
    </row>
    <row r="41" spans="1:10" ht="16.5">
      <c r="A41" s="88" t="s">
        <v>177</v>
      </c>
      <c r="B41" s="88">
        <v>2021</v>
      </c>
      <c r="C41" s="88">
        <v>88387</v>
      </c>
      <c r="D41" s="88">
        <v>4491</v>
      </c>
      <c r="E41" s="88">
        <v>14050</v>
      </c>
      <c r="F41" s="88">
        <v>43220</v>
      </c>
      <c r="G41" s="88">
        <v>26626</v>
      </c>
      <c r="H41" s="88" t="s">
        <v>139</v>
      </c>
      <c r="I41" s="88">
        <v>0</v>
      </c>
      <c r="J41" s="88"/>
    </row>
    <row r="42" spans="1:10" ht="16.5">
      <c r="A42" s="88" t="s">
        <v>155</v>
      </c>
      <c r="B42" s="88">
        <v>2021</v>
      </c>
      <c r="C42" s="88">
        <v>107967</v>
      </c>
      <c r="D42" s="88">
        <v>8779</v>
      </c>
      <c r="E42" s="88">
        <v>12080</v>
      </c>
      <c r="F42" s="88">
        <v>53788</v>
      </c>
      <c r="G42" s="88">
        <v>19466</v>
      </c>
      <c r="H42" s="88" t="s">
        <v>149</v>
      </c>
      <c r="I42" s="88">
        <v>0</v>
      </c>
      <c r="J42" s="88"/>
    </row>
    <row r="43" spans="1:10" ht="16.5">
      <c r="A43" s="88" t="s">
        <v>160</v>
      </c>
      <c r="B43" s="88">
        <v>2021</v>
      </c>
      <c r="C43" s="88">
        <v>114024</v>
      </c>
      <c r="D43" s="88">
        <v>5050</v>
      </c>
      <c r="E43" s="88">
        <v>16497</v>
      </c>
      <c r="F43" s="88">
        <v>54718</v>
      </c>
      <c r="G43" s="88">
        <v>37759</v>
      </c>
      <c r="H43" s="88" t="s">
        <v>139</v>
      </c>
      <c r="I43" s="88">
        <v>0</v>
      </c>
      <c r="J43" s="88"/>
    </row>
    <row r="44" spans="1:10" ht="16.5">
      <c r="A44" s="88" t="s">
        <v>200</v>
      </c>
      <c r="B44" s="88">
        <v>2021</v>
      </c>
      <c r="C44" s="88">
        <v>123681</v>
      </c>
      <c r="D44" s="88">
        <v>8621</v>
      </c>
      <c r="E44" s="88">
        <v>9226</v>
      </c>
      <c r="F44" s="88">
        <v>72374</v>
      </c>
      <c r="G44" s="88">
        <v>33460</v>
      </c>
      <c r="H44" s="88" t="s">
        <v>139</v>
      </c>
      <c r="I44" s="88">
        <v>0</v>
      </c>
      <c r="J44" s="88"/>
    </row>
    <row r="45" spans="1:10" ht="16.5">
      <c r="A45" s="88" t="s">
        <v>201</v>
      </c>
      <c r="B45" s="88">
        <v>2021</v>
      </c>
      <c r="C45" s="88">
        <v>133178</v>
      </c>
      <c r="D45" s="88">
        <v>20880</v>
      </c>
      <c r="E45" s="88">
        <v>34946</v>
      </c>
      <c r="F45" s="88">
        <v>69614</v>
      </c>
      <c r="G45" s="88">
        <v>7738</v>
      </c>
      <c r="H45" s="88" t="s">
        <v>139</v>
      </c>
      <c r="I45" s="88">
        <v>0</v>
      </c>
      <c r="J45" s="88"/>
    </row>
    <row r="46" spans="1:10" ht="16.5">
      <c r="A46" s="88" t="s">
        <v>170</v>
      </c>
      <c r="B46" s="88">
        <v>2021</v>
      </c>
      <c r="C46" s="88">
        <v>176364</v>
      </c>
      <c r="D46" s="88">
        <v>12939</v>
      </c>
      <c r="E46" s="88">
        <v>12629</v>
      </c>
      <c r="F46" s="88">
        <v>106699</v>
      </c>
      <c r="G46" s="88">
        <v>44097</v>
      </c>
      <c r="H46" s="88" t="s">
        <v>149</v>
      </c>
      <c r="I46" s="88">
        <v>0</v>
      </c>
      <c r="J46" s="88"/>
    </row>
    <row r="47" spans="1:10" ht="16.5">
      <c r="A47" s="88" t="s">
        <v>159</v>
      </c>
      <c r="B47" s="88">
        <v>2021</v>
      </c>
      <c r="C47" s="88">
        <v>179188</v>
      </c>
      <c r="D47" s="88">
        <v>10163</v>
      </c>
      <c r="E47" s="88">
        <v>28208</v>
      </c>
      <c r="F47" s="88">
        <v>76508</v>
      </c>
      <c r="G47" s="88">
        <v>46600</v>
      </c>
      <c r="H47" s="88" t="s">
        <v>139</v>
      </c>
      <c r="I47" s="88">
        <v>0</v>
      </c>
      <c r="J47" s="88"/>
    </row>
    <row r="48" spans="1:10" ht="16.5">
      <c r="A48" s="88" t="s">
        <v>158</v>
      </c>
      <c r="B48" s="88">
        <v>2021</v>
      </c>
      <c r="C48" s="88">
        <v>234000</v>
      </c>
      <c r="D48" s="88">
        <v>8423</v>
      </c>
      <c r="E48" s="88">
        <v>24703</v>
      </c>
      <c r="F48" s="88">
        <v>101678</v>
      </c>
      <c r="G48" s="88">
        <v>78588</v>
      </c>
      <c r="H48" s="88" t="s">
        <v>149</v>
      </c>
      <c r="I48" s="88">
        <v>0</v>
      </c>
      <c r="J48" s="88"/>
    </row>
    <row r="49" spans="1:10" ht="16.5">
      <c r="A49" s="88" t="s">
        <v>173</v>
      </c>
      <c r="B49" s="88">
        <v>2021</v>
      </c>
      <c r="C49" s="88">
        <v>307073</v>
      </c>
      <c r="D49" s="88">
        <v>37558</v>
      </c>
      <c r="E49" s="88">
        <v>41827</v>
      </c>
      <c r="F49" s="88">
        <v>180234</v>
      </c>
      <c r="G49" s="88">
        <v>47454</v>
      </c>
      <c r="H49" s="88" t="s">
        <v>149</v>
      </c>
      <c r="I49" s="88">
        <v>0</v>
      </c>
      <c r="J49" s="88"/>
    </row>
    <row r="50" spans="1:10" ht="16.5">
      <c r="A50" s="88" t="s">
        <v>152</v>
      </c>
      <c r="B50" s="88">
        <v>2021</v>
      </c>
      <c r="C50" s="88">
        <v>319000</v>
      </c>
      <c r="D50" s="88">
        <v>12000</v>
      </c>
      <c r="E50" s="88">
        <v>33000</v>
      </c>
      <c r="F50" s="88">
        <v>216000</v>
      </c>
      <c r="G50" s="88">
        <v>58000</v>
      </c>
      <c r="H50" s="88" t="s">
        <v>139</v>
      </c>
      <c r="I50" s="88">
        <v>1</v>
      </c>
      <c r="J50" s="88"/>
    </row>
    <row r="51" spans="1:10" ht="16.5">
      <c r="A51" s="88" t="s">
        <v>154</v>
      </c>
      <c r="B51" s="88">
        <v>2021</v>
      </c>
      <c r="C51" s="88">
        <v>344200</v>
      </c>
      <c r="D51" s="88">
        <v>11200</v>
      </c>
      <c r="E51" s="88">
        <v>33000</v>
      </c>
      <c r="F51" s="88">
        <v>234000</v>
      </c>
      <c r="G51" s="88">
        <v>66000</v>
      </c>
      <c r="H51" s="88" t="s">
        <v>139</v>
      </c>
      <c r="I51" s="88">
        <v>1</v>
      </c>
      <c r="J51" s="88"/>
    </row>
    <row r="52" spans="1:10" ht="16.5">
      <c r="A52" s="88" t="s">
        <v>157</v>
      </c>
      <c r="B52" s="88">
        <v>2021</v>
      </c>
      <c r="C52" s="88">
        <v>658332</v>
      </c>
      <c r="D52" s="88">
        <v>38744</v>
      </c>
      <c r="E52" s="88">
        <v>105868</v>
      </c>
      <c r="F52" s="88">
        <v>374937</v>
      </c>
      <c r="G52" s="88">
        <v>138783</v>
      </c>
      <c r="H52" s="88" t="s">
        <v>149</v>
      </c>
      <c r="I52" s="88">
        <v>0</v>
      </c>
      <c r="J52" s="88"/>
    </row>
    <row r="53" spans="1:10" ht="16.5">
      <c r="A53" s="88" t="s">
        <v>162</v>
      </c>
      <c r="B53" s="88">
        <v>2021</v>
      </c>
      <c r="C53" s="88">
        <v>678685</v>
      </c>
      <c r="D53" s="88">
        <v>48317</v>
      </c>
      <c r="E53" s="88">
        <v>50868</v>
      </c>
      <c r="F53" s="88">
        <v>451767</v>
      </c>
      <c r="G53" s="88">
        <v>127733</v>
      </c>
      <c r="H53" s="88" t="s">
        <v>139</v>
      </c>
      <c r="I53" s="88">
        <v>0</v>
      </c>
      <c r="J53" s="88" t="s">
        <v>197</v>
      </c>
    </row>
    <row r="54" spans="1:10" ht="16.5">
      <c r="A54" s="88" t="s">
        <v>168</v>
      </c>
      <c r="B54" s="88">
        <v>2021</v>
      </c>
      <c r="C54" s="88">
        <v>700000</v>
      </c>
      <c r="D54" s="88">
        <v>57000</v>
      </c>
      <c r="E54" s="88">
        <v>78000</v>
      </c>
      <c r="F54" s="88">
        <v>350000</v>
      </c>
      <c r="G54" s="88">
        <v>215000</v>
      </c>
      <c r="H54" s="88" t="s">
        <v>149</v>
      </c>
      <c r="I54" s="88">
        <v>0</v>
      </c>
      <c r="J54" s="88"/>
    </row>
    <row r="55" spans="1:10" ht="16.5">
      <c r="A55" s="88" t="s">
        <v>153</v>
      </c>
      <c r="B55" s="88">
        <v>2021</v>
      </c>
      <c r="C55" s="88">
        <v>1183800</v>
      </c>
      <c r="D55" s="88">
        <v>72800</v>
      </c>
      <c r="E55" s="88">
        <v>209000</v>
      </c>
      <c r="F55" s="88">
        <v>774000</v>
      </c>
      <c r="G55" s="88">
        <v>128000</v>
      </c>
      <c r="H55" s="88" t="s">
        <v>139</v>
      </c>
      <c r="I55" s="88">
        <v>1</v>
      </c>
      <c r="J55" s="88"/>
    </row>
    <row r="56" spans="1:10" ht="16.5">
      <c r="A56" s="88" t="s">
        <v>151</v>
      </c>
      <c r="B56" s="88">
        <v>2021</v>
      </c>
      <c r="C56" s="88">
        <v>1504000</v>
      </c>
      <c r="D56" s="88">
        <v>120000</v>
      </c>
      <c r="E56" s="88">
        <v>308000</v>
      </c>
      <c r="F56" s="88">
        <v>936000</v>
      </c>
      <c r="G56" s="88">
        <v>140000</v>
      </c>
      <c r="H56" s="88" t="s">
        <v>139</v>
      </c>
      <c r="I56" s="88">
        <v>1</v>
      </c>
      <c r="J56" s="88"/>
    </row>
    <row r="57" spans="1:10" ht="16.5">
      <c r="A57" s="88" t="s">
        <v>163</v>
      </c>
      <c r="B57" s="88">
        <v>2021</v>
      </c>
      <c r="C57" s="88">
        <v>2039431</v>
      </c>
      <c r="D57" s="88">
        <v>197444</v>
      </c>
      <c r="E57" s="88">
        <v>302615</v>
      </c>
      <c r="F57" s="88">
        <v>1183959</v>
      </c>
      <c r="G57" s="88">
        <v>157062</v>
      </c>
      <c r="H57" s="88" t="s">
        <v>139</v>
      </c>
      <c r="I57" s="88">
        <v>0</v>
      </c>
      <c r="J57" s="88"/>
    </row>
    <row r="58" spans="1:10" ht="16.5">
      <c r="A58" s="88" t="s">
        <v>202</v>
      </c>
      <c r="B58" s="88">
        <v>2019</v>
      </c>
      <c r="C58" s="88">
        <v>2288743</v>
      </c>
      <c r="D58" s="88">
        <v>517275</v>
      </c>
      <c r="E58" s="88">
        <v>905832</v>
      </c>
      <c r="F58" s="88">
        <v>830272</v>
      </c>
      <c r="G58" s="88">
        <v>35364</v>
      </c>
      <c r="H58" s="88" t="s">
        <v>178</v>
      </c>
      <c r="I58" s="88">
        <v>0</v>
      </c>
      <c r="J58" s="88"/>
    </row>
    <row r="59" spans="1:10" ht="16.5">
      <c r="A59" s="88" t="s">
        <v>156</v>
      </c>
      <c r="B59" s="88">
        <v>2021</v>
      </c>
      <c r="C59" s="88">
        <v>5049583</v>
      </c>
      <c r="D59" s="88">
        <v>401798</v>
      </c>
      <c r="E59" s="88">
        <v>401158</v>
      </c>
      <c r="F59" s="88">
        <v>3117300</v>
      </c>
      <c r="G59" s="88">
        <v>1129327</v>
      </c>
      <c r="H59" s="88" t="s">
        <v>139</v>
      </c>
      <c r="I59" s="88">
        <v>0</v>
      </c>
      <c r="J59" s="88"/>
    </row>
    <row r="60" spans="1:10" ht="16.5">
      <c r="A60" s="88" t="s">
        <v>169</v>
      </c>
      <c r="B60" s="88">
        <v>2021</v>
      </c>
      <c r="C60" s="88">
        <v>13934822</v>
      </c>
      <c r="D60" s="88">
        <v>1901153</v>
      </c>
      <c r="E60" s="88">
        <v>3220694</v>
      </c>
      <c r="F60" s="88">
        <v>7751815</v>
      </c>
      <c r="G60" s="88">
        <v>1061160</v>
      </c>
      <c r="H60" s="88" t="s">
        <v>139</v>
      </c>
      <c r="I60" s="88">
        <v>0</v>
      </c>
      <c r="J60" s="88"/>
    </row>
    <row r="61" spans="1:10" ht="16.5">
      <c r="A61" s="88" t="s">
        <v>203</v>
      </c>
      <c r="B61" s="88">
        <v>2021</v>
      </c>
      <c r="C61" s="88">
        <v>9792</v>
      </c>
      <c r="D61" s="88">
        <v>2054</v>
      </c>
      <c r="E61" s="88">
        <v>4752</v>
      </c>
      <c r="F61" s="88">
        <v>1905</v>
      </c>
      <c r="G61" s="88">
        <v>1081</v>
      </c>
      <c r="H61" s="88" t="s">
        <v>139</v>
      </c>
      <c r="I61" s="88">
        <v>0</v>
      </c>
      <c r="J61" s="88"/>
    </row>
    <row r="62" spans="1:10" ht="16.5">
      <c r="A62" s="88" t="s">
        <v>204</v>
      </c>
      <c r="B62" s="88">
        <v>2021</v>
      </c>
      <c r="C62" s="88">
        <v>297</v>
      </c>
      <c r="D62" s="88">
        <v>157</v>
      </c>
      <c r="E62" s="88">
        <v>116</v>
      </c>
      <c r="F62" s="88">
        <v>19</v>
      </c>
      <c r="G62" s="88">
        <v>5</v>
      </c>
      <c r="H62" s="88" t="s">
        <v>139</v>
      </c>
      <c r="I62" s="88">
        <v>0</v>
      </c>
      <c r="J62" s="88"/>
    </row>
    <row r="63" spans="1:10" ht="16.5">
      <c r="A63" s="88" t="s">
        <v>205</v>
      </c>
      <c r="B63" s="88">
        <v>2017</v>
      </c>
      <c r="C63" s="88">
        <v>88</v>
      </c>
      <c r="D63" s="88">
        <v>55</v>
      </c>
      <c r="E63" s="88">
        <v>29</v>
      </c>
      <c r="F63" s="88">
        <v>4</v>
      </c>
      <c r="G63" s="88">
        <v>0</v>
      </c>
      <c r="H63" s="88" t="s">
        <v>139</v>
      </c>
      <c r="I63" s="88">
        <v>0</v>
      </c>
      <c r="J63" s="88"/>
    </row>
    <row r="64" spans="1:10" ht="16.5">
      <c r="A64" s="88" t="s">
        <v>206</v>
      </c>
      <c r="B64" s="88">
        <v>2017</v>
      </c>
      <c r="C64" s="88">
        <v>31802</v>
      </c>
      <c r="D64" s="88">
        <v>10952</v>
      </c>
      <c r="E64" s="88">
        <v>15275</v>
      </c>
      <c r="F64" s="88">
        <v>3728</v>
      </c>
      <c r="G64" s="88">
        <v>1847</v>
      </c>
      <c r="H64" s="88" t="s">
        <v>139</v>
      </c>
      <c r="I64" s="88">
        <v>0</v>
      </c>
      <c r="J64" s="88"/>
    </row>
    <row r="65" spans="1:10" ht="16.5">
      <c r="A65" s="88" t="s">
        <v>207</v>
      </c>
      <c r="B65" s="88">
        <v>2017</v>
      </c>
      <c r="C65" s="88">
        <v>5749</v>
      </c>
      <c r="D65" s="88">
        <v>1138</v>
      </c>
      <c r="E65" s="88">
        <v>2778</v>
      </c>
      <c r="F65" s="88">
        <v>1286</v>
      </c>
      <c r="G65" s="88">
        <v>547</v>
      </c>
      <c r="H65" s="88" t="s">
        <v>139</v>
      </c>
      <c r="I65" s="88">
        <v>0</v>
      </c>
      <c r="J65" s="90"/>
    </row>
    <row r="66" spans="1:10" ht="16.5">
      <c r="A66" t="s">
        <v>326</v>
      </c>
      <c r="B66" s="99">
        <v>2017</v>
      </c>
      <c r="C66" s="100">
        <f>SUM(D66:G66)</f>
        <v>577052</v>
      </c>
      <c r="D66" s="100">
        <v>62252</v>
      </c>
      <c r="E66" s="100">
        <v>85510</v>
      </c>
      <c r="F66" s="100">
        <v>380133</v>
      </c>
      <c r="G66" s="100">
        <v>49157</v>
      </c>
      <c r="H66" s="100" t="s">
        <v>139</v>
      </c>
      <c r="I66" s="100">
        <v>0</v>
      </c>
      <c r="J66" s="100"/>
    </row>
    <row r="67" spans="1:10">
      <c r="B67" s="100"/>
      <c r="C67" s="86"/>
      <c r="D67" s="86"/>
      <c r="E67" s="86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5D172-4EC3-45C0-9C3E-E0BC0B3EBFAB}">
  <dimension ref="A1:J67"/>
  <sheetViews>
    <sheetView topLeftCell="A18" workbookViewId="0">
      <selection activeCell="B13" sqref="B13"/>
    </sheetView>
  </sheetViews>
  <sheetFormatPr defaultRowHeight="14.5"/>
  <cols>
    <col min="1" max="1" width="51.36328125" bestFit="1" customWidth="1"/>
    <col min="2" max="2" width="10.6328125" bestFit="1" customWidth="1"/>
    <col min="3" max="4" width="9.54296875" bestFit="1" customWidth="1"/>
    <col min="5" max="5" width="10.6328125" bestFit="1" customWidth="1"/>
    <col min="6" max="6" width="9.54296875" bestFit="1" customWidth="1"/>
    <col min="7" max="7" width="13.7265625" bestFit="1" customWidth="1"/>
    <col min="8" max="8" width="11.1796875" bestFit="1" customWidth="1"/>
  </cols>
  <sheetData>
    <row r="1" spans="1:9" ht="16.5">
      <c r="A1" s="89" t="s">
        <v>35</v>
      </c>
      <c r="B1" s="89" t="s">
        <v>136</v>
      </c>
      <c r="C1" s="89" t="s">
        <v>58</v>
      </c>
      <c r="D1" s="89" t="s">
        <v>59</v>
      </c>
      <c r="E1" s="89" t="s">
        <v>137</v>
      </c>
      <c r="F1" s="89" t="s">
        <v>61</v>
      </c>
      <c r="G1" s="89" t="s">
        <v>244</v>
      </c>
      <c r="H1" s="89" t="s">
        <v>245</v>
      </c>
    </row>
    <row r="2" spans="1:9" ht="16.5">
      <c r="A2" s="88" t="s">
        <v>210</v>
      </c>
      <c r="B2" s="88">
        <v>22252</v>
      </c>
      <c r="C2" s="88">
        <v>8275</v>
      </c>
      <c r="D2" s="88">
        <v>10392</v>
      </c>
      <c r="E2" s="88">
        <v>2501</v>
      </c>
      <c r="F2" s="88">
        <v>1084</v>
      </c>
      <c r="G2" s="88" t="s">
        <v>139</v>
      </c>
      <c r="H2" s="88">
        <v>0</v>
      </c>
      <c r="I2" s="87"/>
    </row>
    <row r="3" spans="1:9" ht="16.5">
      <c r="A3" s="88" t="s">
        <v>211</v>
      </c>
      <c r="B3" s="88">
        <v>25465</v>
      </c>
      <c r="C3" s="88">
        <v>9376</v>
      </c>
      <c r="D3" s="88">
        <v>12500</v>
      </c>
      <c r="E3" s="88">
        <v>2566</v>
      </c>
      <c r="F3" s="88">
        <v>1023</v>
      </c>
      <c r="G3" s="88" t="s">
        <v>139</v>
      </c>
      <c r="H3" s="88">
        <v>0</v>
      </c>
    </row>
    <row r="4" spans="1:9" ht="16.5">
      <c r="A4" s="88" t="s">
        <v>212</v>
      </c>
      <c r="B4" s="88">
        <v>205654</v>
      </c>
      <c r="C4" s="88">
        <v>76478</v>
      </c>
      <c r="D4" s="88">
        <v>95809</v>
      </c>
      <c r="E4" s="88">
        <v>23965</v>
      </c>
      <c r="F4" s="88">
        <v>9402</v>
      </c>
      <c r="G4" s="88" t="s">
        <v>139</v>
      </c>
      <c r="H4" s="88">
        <v>0</v>
      </c>
    </row>
    <row r="5" spans="1:9" ht="16.5">
      <c r="A5" s="88" t="s">
        <v>213</v>
      </c>
      <c r="B5" s="88">
        <v>25552</v>
      </c>
      <c r="C5" s="88">
        <v>9285</v>
      </c>
      <c r="D5" s="88">
        <v>12923</v>
      </c>
      <c r="E5" s="88">
        <v>2306</v>
      </c>
      <c r="F5" s="88">
        <v>1038</v>
      </c>
      <c r="G5" s="88" t="s">
        <v>139</v>
      </c>
      <c r="H5" s="88">
        <v>0</v>
      </c>
    </row>
    <row r="6" spans="1:9" ht="16.5">
      <c r="A6" s="88" t="s">
        <v>214</v>
      </c>
      <c r="B6" s="88">
        <v>26053</v>
      </c>
      <c r="C6" s="88">
        <v>9608</v>
      </c>
      <c r="D6" s="88">
        <v>13039</v>
      </c>
      <c r="E6" s="88">
        <v>2404</v>
      </c>
      <c r="F6" s="88">
        <v>1002</v>
      </c>
      <c r="G6" s="88" t="s">
        <v>139</v>
      </c>
      <c r="H6" s="88">
        <v>0</v>
      </c>
    </row>
    <row r="7" spans="1:9" ht="16.5">
      <c r="A7" s="88" t="s">
        <v>215</v>
      </c>
      <c r="B7" s="88">
        <v>26118</v>
      </c>
      <c r="C7" s="88">
        <v>9535</v>
      </c>
      <c r="D7" s="88">
        <v>12869</v>
      </c>
      <c r="E7" s="88">
        <v>2623</v>
      </c>
      <c r="F7" s="88">
        <v>1091</v>
      </c>
      <c r="G7" s="88" t="s">
        <v>139</v>
      </c>
      <c r="H7" s="88">
        <v>0</v>
      </c>
    </row>
    <row r="8" spans="1:9" ht="16.5">
      <c r="A8" s="88" t="s">
        <v>216</v>
      </c>
      <c r="B8" s="88">
        <v>24694</v>
      </c>
      <c r="C8" s="88">
        <v>8775</v>
      </c>
      <c r="D8" s="88">
        <v>12397</v>
      </c>
      <c r="E8" s="88">
        <v>2391</v>
      </c>
      <c r="F8" s="88">
        <v>1131</v>
      </c>
      <c r="G8" s="88" t="s">
        <v>139</v>
      </c>
      <c r="H8" s="88">
        <v>0</v>
      </c>
    </row>
    <row r="9" spans="1:9" ht="16.5">
      <c r="A9" s="88" t="s">
        <v>217</v>
      </c>
      <c r="B9" s="88">
        <v>102417</v>
      </c>
      <c r="C9" s="88">
        <v>37203</v>
      </c>
      <c r="D9" s="88">
        <v>51228</v>
      </c>
      <c r="E9" s="88">
        <v>9724</v>
      </c>
      <c r="F9" s="88">
        <v>4262</v>
      </c>
      <c r="G9" s="88" t="s">
        <v>139</v>
      </c>
      <c r="H9" s="88">
        <v>0</v>
      </c>
    </row>
    <row r="10" spans="1:9" ht="16.5">
      <c r="A10" s="88" t="s">
        <v>218</v>
      </c>
      <c r="B10" s="88">
        <v>139687</v>
      </c>
      <c r="C10" s="88">
        <v>24193</v>
      </c>
      <c r="D10" s="88">
        <v>39877</v>
      </c>
      <c r="E10" s="88">
        <v>68100</v>
      </c>
      <c r="F10" s="88">
        <v>7517</v>
      </c>
      <c r="G10" s="88" t="s">
        <v>149</v>
      </c>
      <c r="H10" s="88">
        <v>0</v>
      </c>
    </row>
    <row r="11" spans="1:9" ht="16.5">
      <c r="A11" s="88" t="s">
        <v>219</v>
      </c>
      <c r="B11" s="88">
        <v>133178</v>
      </c>
      <c r="C11" s="88">
        <v>20880</v>
      </c>
      <c r="D11" s="88">
        <v>34946</v>
      </c>
      <c r="E11" s="88">
        <v>69614</v>
      </c>
      <c r="F11" s="88">
        <v>7738</v>
      </c>
      <c r="G11" s="88" t="s">
        <v>149</v>
      </c>
      <c r="H11" s="88">
        <v>0</v>
      </c>
    </row>
    <row r="12" spans="1:9" ht="16.5">
      <c r="A12" s="88" t="s">
        <v>220</v>
      </c>
      <c r="B12" s="88">
        <v>572429</v>
      </c>
      <c r="C12" s="88">
        <v>99141</v>
      </c>
      <c r="D12" s="88">
        <v>163414</v>
      </c>
      <c r="E12" s="88">
        <v>279068</v>
      </c>
      <c r="F12" s="88">
        <v>30806</v>
      </c>
      <c r="G12" s="88" t="s">
        <v>149</v>
      </c>
      <c r="H12" s="88">
        <v>0</v>
      </c>
    </row>
    <row r="13" spans="1:9" ht="16.5">
      <c r="A13" s="88" t="s">
        <v>221</v>
      </c>
      <c r="B13" s="88">
        <v>233051</v>
      </c>
      <c r="C13" s="88">
        <v>27966</v>
      </c>
      <c r="D13" s="88">
        <v>51271</v>
      </c>
      <c r="E13" s="88">
        <v>130509</v>
      </c>
      <c r="F13" s="88">
        <v>23305</v>
      </c>
      <c r="G13" s="88" t="s">
        <v>139</v>
      </c>
      <c r="H13" s="88">
        <v>0</v>
      </c>
    </row>
    <row r="14" spans="1:9" ht="16.5">
      <c r="A14" s="88" t="s">
        <v>222</v>
      </c>
      <c r="B14" s="88">
        <v>61023</v>
      </c>
      <c r="C14" s="88">
        <v>6102</v>
      </c>
      <c r="D14" s="88">
        <v>11594</v>
      </c>
      <c r="E14" s="88">
        <v>37224</v>
      </c>
      <c r="F14" s="88">
        <v>6713</v>
      </c>
      <c r="G14" s="88" t="s">
        <v>139</v>
      </c>
      <c r="H14" s="88">
        <v>0</v>
      </c>
    </row>
    <row r="15" spans="1:9" ht="16.5">
      <c r="A15" s="88" t="s">
        <v>223</v>
      </c>
      <c r="B15" s="88">
        <v>2662000</v>
      </c>
      <c r="C15" s="88">
        <v>840000</v>
      </c>
      <c r="D15" s="88">
        <v>779000</v>
      </c>
      <c r="E15" s="88">
        <v>878000</v>
      </c>
      <c r="F15" s="88">
        <v>165000</v>
      </c>
      <c r="G15" s="88" t="s">
        <v>224</v>
      </c>
      <c r="H15" s="88">
        <v>0</v>
      </c>
    </row>
    <row r="16" spans="1:9" ht="16.5">
      <c r="A16" s="88" t="s">
        <v>225</v>
      </c>
      <c r="B16" s="88">
        <v>1151971</v>
      </c>
      <c r="C16" s="88">
        <v>185882</v>
      </c>
      <c r="D16" s="88">
        <v>261730</v>
      </c>
      <c r="E16" s="88">
        <v>633474</v>
      </c>
      <c r="F16" s="88">
        <v>70885</v>
      </c>
      <c r="G16" s="88" t="s">
        <v>149</v>
      </c>
      <c r="H16" s="88">
        <v>0</v>
      </c>
    </row>
    <row r="17" spans="1:8" ht="16.5">
      <c r="A17" s="88" t="s">
        <v>226</v>
      </c>
      <c r="B17" s="88">
        <v>5438637</v>
      </c>
      <c r="C17" s="88">
        <v>905408</v>
      </c>
      <c r="D17" s="88">
        <v>1212984</v>
      </c>
      <c r="E17" s="88">
        <v>2888593</v>
      </c>
      <c r="F17" s="88">
        <v>431652</v>
      </c>
      <c r="G17" s="88" t="s">
        <v>139</v>
      </c>
      <c r="H17" s="88">
        <v>0</v>
      </c>
    </row>
    <row r="18" spans="1:8" ht="16.5">
      <c r="A18" s="88" t="s">
        <v>227</v>
      </c>
      <c r="B18" s="88">
        <v>1323242</v>
      </c>
      <c r="C18" s="88">
        <v>168454</v>
      </c>
      <c r="D18" s="88">
        <v>352894</v>
      </c>
      <c r="E18" s="88">
        <v>635486</v>
      </c>
      <c r="F18" s="88">
        <v>167208</v>
      </c>
      <c r="G18" s="88" t="s">
        <v>139</v>
      </c>
      <c r="H18" s="88">
        <v>0</v>
      </c>
    </row>
    <row r="19" spans="1:8" ht="16.5">
      <c r="A19" s="88" t="s">
        <v>228</v>
      </c>
      <c r="B19" s="88">
        <v>22636</v>
      </c>
      <c r="C19" s="88">
        <v>7850</v>
      </c>
      <c r="D19" s="88">
        <v>11418</v>
      </c>
      <c r="E19" s="88">
        <v>2278</v>
      </c>
      <c r="F19" s="88">
        <v>1090</v>
      </c>
      <c r="G19" s="88" t="s">
        <v>139</v>
      </c>
      <c r="H19" s="88">
        <v>0</v>
      </c>
    </row>
    <row r="20" spans="1:8" ht="16.5">
      <c r="A20" s="88" t="s">
        <v>229</v>
      </c>
      <c r="B20" s="88">
        <v>141564</v>
      </c>
      <c r="C20" s="88">
        <v>22590</v>
      </c>
      <c r="D20" s="88">
        <v>42168</v>
      </c>
      <c r="E20" s="88">
        <v>69276</v>
      </c>
      <c r="F20" s="88">
        <v>7530</v>
      </c>
      <c r="G20" s="88" t="s">
        <v>139</v>
      </c>
      <c r="H20" s="88">
        <v>1</v>
      </c>
    </row>
    <row r="21" spans="1:8" ht="16.5">
      <c r="A21" s="88" t="s">
        <v>230</v>
      </c>
      <c r="B21" s="88">
        <v>137376</v>
      </c>
      <c r="C21" s="88">
        <v>21465</v>
      </c>
      <c r="D21" s="88">
        <v>38637</v>
      </c>
      <c r="E21" s="88">
        <v>68688</v>
      </c>
      <c r="F21" s="88">
        <v>8586</v>
      </c>
      <c r="G21" s="88" t="s">
        <v>139</v>
      </c>
      <c r="H21" s="88">
        <v>1</v>
      </c>
    </row>
    <row r="22" spans="1:8" ht="16.5">
      <c r="A22" s="88" t="s">
        <v>231</v>
      </c>
      <c r="B22" s="88">
        <v>1764</v>
      </c>
      <c r="C22" s="88">
        <v>648</v>
      </c>
      <c r="D22" s="88">
        <v>864</v>
      </c>
      <c r="E22" s="88">
        <v>180</v>
      </c>
      <c r="F22" s="88">
        <v>72</v>
      </c>
      <c r="G22" s="88" t="s">
        <v>139</v>
      </c>
      <c r="H22" s="88">
        <v>1</v>
      </c>
    </row>
    <row r="23" spans="1:8" ht="16.5">
      <c r="A23" s="88" t="s">
        <v>232</v>
      </c>
      <c r="B23" s="88">
        <v>1700</v>
      </c>
      <c r="C23" s="88">
        <v>646</v>
      </c>
      <c r="D23" s="88">
        <v>833</v>
      </c>
      <c r="E23" s="88">
        <v>136</v>
      </c>
      <c r="F23" s="88">
        <v>85</v>
      </c>
      <c r="G23" s="88" t="s">
        <v>139</v>
      </c>
      <c r="H23" s="88">
        <v>1</v>
      </c>
    </row>
    <row r="24" spans="1:8" ht="16.5">
      <c r="A24" s="88" t="s">
        <v>233</v>
      </c>
      <c r="B24" s="88">
        <v>3385000</v>
      </c>
      <c r="C24" s="88">
        <v>550000</v>
      </c>
      <c r="D24" s="88">
        <v>1020000</v>
      </c>
      <c r="E24" s="88">
        <v>1619000</v>
      </c>
      <c r="F24" s="88">
        <v>196000</v>
      </c>
      <c r="G24" s="88" t="s">
        <v>234</v>
      </c>
      <c r="H24" s="88">
        <v>0</v>
      </c>
    </row>
    <row r="25" spans="1:8" ht="16.5">
      <c r="A25" s="88" t="s">
        <v>235</v>
      </c>
      <c r="B25" s="88">
        <v>3674000</v>
      </c>
      <c r="C25" s="88">
        <v>587000</v>
      </c>
      <c r="D25" s="88">
        <v>1095000</v>
      </c>
      <c r="E25" s="88">
        <v>1789000</v>
      </c>
      <c r="F25" s="88">
        <v>203000</v>
      </c>
      <c r="G25" s="88" t="s">
        <v>234</v>
      </c>
      <c r="H25" s="88">
        <v>0</v>
      </c>
    </row>
    <row r="26" spans="1:8" ht="16.5">
      <c r="A26" s="88" t="s">
        <v>236</v>
      </c>
      <c r="B26" s="88">
        <v>14534000</v>
      </c>
      <c r="C26" s="88">
        <v>2241000</v>
      </c>
      <c r="D26" s="88">
        <v>4223000</v>
      </c>
      <c r="E26" s="88">
        <v>7230000</v>
      </c>
      <c r="F26" s="88">
        <v>840000</v>
      </c>
      <c r="G26" s="88" t="s">
        <v>234</v>
      </c>
      <c r="H26" s="88">
        <v>0</v>
      </c>
    </row>
    <row r="27" spans="1:8" ht="16.5">
      <c r="A27" s="88" t="s">
        <v>237</v>
      </c>
      <c r="B27" s="88">
        <v>319440000</v>
      </c>
      <c r="C27" s="88">
        <v>41580000</v>
      </c>
      <c r="D27" s="88">
        <v>61380000</v>
      </c>
      <c r="E27" s="88">
        <v>197010000</v>
      </c>
      <c r="F27" s="88">
        <v>19470000</v>
      </c>
      <c r="G27" s="88" t="s">
        <v>234</v>
      </c>
      <c r="H27" s="88">
        <v>0</v>
      </c>
    </row>
    <row r="28" spans="1:8" ht="16.5">
      <c r="A28" s="88" t="s">
        <v>238</v>
      </c>
      <c r="B28" s="88">
        <v>185445419</v>
      </c>
      <c r="C28" s="88">
        <v>25187271</v>
      </c>
      <c r="D28" s="88">
        <v>34381798</v>
      </c>
      <c r="E28" s="88">
        <v>113281506</v>
      </c>
      <c r="F28" s="88">
        <v>12594844</v>
      </c>
      <c r="G28" s="88" t="s">
        <v>139</v>
      </c>
      <c r="H28" s="88">
        <v>0</v>
      </c>
    </row>
    <row r="29" spans="1:8" ht="16.5">
      <c r="A29" s="88" t="s">
        <v>239</v>
      </c>
      <c r="B29" s="88">
        <v>28727000</v>
      </c>
      <c r="C29" s="88">
        <v>4207000</v>
      </c>
      <c r="D29" s="88">
        <v>6923000</v>
      </c>
      <c r="E29" s="88">
        <v>15908000</v>
      </c>
      <c r="F29" s="88">
        <v>1689000</v>
      </c>
      <c r="G29" s="88" t="s">
        <v>224</v>
      </c>
      <c r="H29" s="88">
        <v>0</v>
      </c>
    </row>
    <row r="30" spans="1:8" ht="16.5">
      <c r="A30" s="88" t="s">
        <v>240</v>
      </c>
      <c r="B30" s="88">
        <v>3189180</v>
      </c>
      <c r="C30" s="88">
        <v>441620</v>
      </c>
      <c r="D30" s="88">
        <v>885500</v>
      </c>
      <c r="E30" s="88">
        <v>1650010</v>
      </c>
      <c r="F30" s="88">
        <v>212050</v>
      </c>
      <c r="G30" s="88" t="s">
        <v>149</v>
      </c>
      <c r="H30" s="88">
        <v>0</v>
      </c>
    </row>
    <row r="31" spans="1:8" ht="16.5">
      <c r="A31" s="88" t="s">
        <v>241</v>
      </c>
      <c r="B31" s="88">
        <v>2954160</v>
      </c>
      <c r="C31" s="88">
        <v>350308</v>
      </c>
      <c r="D31" s="88">
        <v>255494</v>
      </c>
      <c r="E31" s="88">
        <v>2007922</v>
      </c>
      <c r="F31" s="88">
        <v>340436</v>
      </c>
      <c r="G31" s="88" t="s">
        <v>139</v>
      </c>
      <c r="H31" s="88">
        <v>0</v>
      </c>
    </row>
    <row r="32" spans="1:8" ht="16.5">
      <c r="A32" s="88" t="s">
        <v>242</v>
      </c>
      <c r="B32" s="88">
        <v>92755068</v>
      </c>
      <c r="C32" s="88">
        <v>8938595</v>
      </c>
      <c r="D32" s="88">
        <v>7991992</v>
      </c>
      <c r="E32" s="88">
        <v>67265010</v>
      </c>
      <c r="F32" s="88">
        <v>8559471</v>
      </c>
      <c r="G32" s="88" t="s">
        <v>139</v>
      </c>
      <c r="H32" s="88">
        <v>0</v>
      </c>
    </row>
    <row r="33" spans="1:8" ht="16.5">
      <c r="A33" s="88" t="s">
        <v>243</v>
      </c>
      <c r="B33" s="88">
        <v>112989</v>
      </c>
      <c r="C33" s="88">
        <v>45062</v>
      </c>
      <c r="D33" s="88">
        <v>53320</v>
      </c>
      <c r="E33" s="88">
        <v>10045</v>
      </c>
      <c r="F33" s="88">
        <v>4562</v>
      </c>
      <c r="G33" s="88" t="s">
        <v>139</v>
      </c>
      <c r="H33" s="88">
        <v>0</v>
      </c>
    </row>
    <row r="66" spans="1:10" ht="16.5">
      <c r="A66" t="s">
        <v>326</v>
      </c>
      <c r="B66" s="99">
        <v>2017</v>
      </c>
      <c r="C66" s="100">
        <f>SUM(D66:G66)</f>
        <v>577052</v>
      </c>
      <c r="D66" s="100">
        <v>62252</v>
      </c>
      <c r="E66" s="100">
        <v>85510</v>
      </c>
      <c r="F66" s="100">
        <v>380133</v>
      </c>
      <c r="G66" s="100">
        <v>49157</v>
      </c>
      <c r="H66" s="100" t="s">
        <v>139</v>
      </c>
      <c r="I66" s="100">
        <v>0</v>
      </c>
      <c r="J66" s="100"/>
    </row>
    <row r="67" spans="1:10">
      <c r="A67" t="s">
        <v>327</v>
      </c>
      <c r="B67" s="100">
        <v>2017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6C079-E1EB-498C-8279-2AFBFB8D3420}">
  <dimension ref="A1:AN39"/>
  <sheetViews>
    <sheetView topLeftCell="AD1" zoomScale="90" zoomScaleNormal="90" workbookViewId="0">
      <selection activeCell="AN12" sqref="U12:AN12"/>
    </sheetView>
  </sheetViews>
  <sheetFormatPr defaultRowHeight="14.5"/>
  <cols>
    <col min="1" max="1" width="22.6328125" style="108" bestFit="1" customWidth="1"/>
    <col min="2" max="2" width="23.6328125" style="108" bestFit="1" customWidth="1"/>
    <col min="3" max="3" width="22.6328125" style="108" bestFit="1" customWidth="1"/>
    <col min="4" max="4" width="23.6328125" style="108" bestFit="1" customWidth="1"/>
    <col min="5" max="5" width="27.6328125" style="108" bestFit="1" customWidth="1"/>
    <col min="6" max="6" width="23.6328125" style="108" bestFit="1" customWidth="1"/>
    <col min="7" max="7" width="27.453125" style="108" bestFit="1" customWidth="1"/>
    <col min="8" max="8" width="19.1796875" style="108" bestFit="1" customWidth="1"/>
    <col min="9" max="9" width="19.36328125" style="108" bestFit="1" customWidth="1"/>
    <col min="10" max="11" width="15.36328125" style="108" bestFit="1" customWidth="1"/>
    <col min="12" max="15" width="8.7265625" style="108"/>
    <col min="16" max="16" width="15.36328125" style="108" customWidth="1"/>
    <col min="17" max="20" width="8.7265625" style="108"/>
    <col min="21" max="21" width="17" style="108" customWidth="1"/>
    <col min="22" max="22" width="14.1796875" style="108" customWidth="1"/>
    <col min="23" max="23" width="26.6328125" style="108" customWidth="1"/>
    <col min="24" max="16384" width="8.7265625" style="108"/>
  </cols>
  <sheetData>
    <row r="1" spans="1:40" ht="15" thickBot="1">
      <c r="A1" s="232" t="s">
        <v>373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 t="s">
        <v>374</v>
      </c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2"/>
      <c r="AK1" s="232"/>
      <c r="AL1" s="232"/>
      <c r="AM1" s="232"/>
      <c r="AN1" s="232"/>
    </row>
    <row r="2" spans="1:40">
      <c r="A2" s="200" t="s">
        <v>358</v>
      </c>
      <c r="B2" s="211"/>
      <c r="C2" s="233" t="s">
        <v>350</v>
      </c>
      <c r="D2" s="211"/>
      <c r="E2" s="234" t="s">
        <v>351</v>
      </c>
      <c r="F2" s="178"/>
      <c r="G2" s="203"/>
      <c r="H2" s="177" t="s">
        <v>352</v>
      </c>
      <c r="I2" s="178"/>
      <c r="J2" s="179"/>
      <c r="K2" s="177" t="s">
        <v>362</v>
      </c>
      <c r="L2" s="178"/>
      <c r="M2" s="179"/>
      <c r="N2" s="177" t="s">
        <v>363</v>
      </c>
      <c r="O2" s="178"/>
      <c r="P2" s="179"/>
      <c r="Q2" s="177" t="s">
        <v>364</v>
      </c>
      <c r="R2" s="178"/>
      <c r="S2" s="179"/>
      <c r="T2" s="112"/>
      <c r="U2" s="200" t="s">
        <v>358</v>
      </c>
      <c r="V2" s="211"/>
      <c r="W2" s="233" t="s">
        <v>350</v>
      </c>
      <c r="X2" s="211"/>
      <c r="Y2" s="234" t="s">
        <v>351</v>
      </c>
      <c r="Z2" s="178"/>
      <c r="AA2" s="203"/>
      <c r="AB2" s="177" t="s">
        <v>352</v>
      </c>
      <c r="AC2" s="178"/>
      <c r="AD2" s="179"/>
      <c r="AE2" s="177" t="s">
        <v>362</v>
      </c>
      <c r="AF2" s="178"/>
      <c r="AG2" s="179"/>
      <c r="AH2" s="177" t="s">
        <v>363</v>
      </c>
      <c r="AI2" s="178"/>
      <c r="AJ2" s="179"/>
      <c r="AK2" s="177" t="s">
        <v>364</v>
      </c>
      <c r="AL2" s="178"/>
      <c r="AM2" s="179"/>
      <c r="AN2" s="112"/>
    </row>
    <row r="3" spans="1:40">
      <c r="A3" s="227" t="s">
        <v>349</v>
      </c>
      <c r="B3" s="228"/>
      <c r="C3" s="229">
        <v>9125</v>
      </c>
      <c r="D3" s="228"/>
      <c r="E3" s="230">
        <f>C3*E10</f>
        <v>1825</v>
      </c>
      <c r="F3" s="213"/>
      <c r="G3" s="231"/>
      <c r="H3" s="212">
        <f>(C3-E3)*H10</f>
        <v>4380</v>
      </c>
      <c r="I3" s="213"/>
      <c r="J3" s="214"/>
      <c r="K3" s="212">
        <f>(C3-E3-H3)*K10</f>
        <v>1664.3999999999999</v>
      </c>
      <c r="L3" s="213"/>
      <c r="M3" s="214"/>
      <c r="N3" s="212">
        <f>(C3-SUM(E3:M3))*N10</f>
        <v>1215.4208000000003</v>
      </c>
      <c r="O3" s="213"/>
      <c r="P3" s="214"/>
      <c r="Q3" s="212">
        <f>(C3-SUM(E3:P3))</f>
        <v>40.179200000000492</v>
      </c>
      <c r="R3" s="215"/>
      <c r="S3" s="216"/>
      <c r="T3" s="112"/>
      <c r="U3" s="227" t="s">
        <v>349</v>
      </c>
      <c r="V3" s="228"/>
      <c r="W3" s="229">
        <v>9125</v>
      </c>
      <c r="X3" s="228"/>
      <c r="Y3" s="230">
        <f>W3*Y10</f>
        <v>1825</v>
      </c>
      <c r="Z3" s="213"/>
      <c r="AA3" s="231"/>
      <c r="AB3" s="212">
        <f>(W3-Y3)*AB10</f>
        <v>4380</v>
      </c>
      <c r="AC3" s="213"/>
      <c r="AD3" s="214"/>
      <c r="AE3" s="212">
        <f>(W3-Y3-AB3)*AE10</f>
        <v>1664.3999999999999</v>
      </c>
      <c r="AF3" s="213"/>
      <c r="AG3" s="214"/>
      <c r="AH3" s="212">
        <f>(W3-SUM(Y3:AG3))*AH10</f>
        <v>1215.4208000000003</v>
      </c>
      <c r="AI3" s="213"/>
      <c r="AJ3" s="214"/>
      <c r="AK3" s="212">
        <f>(W3-SUM(Y3:AJ3))</f>
        <v>40.179200000000492</v>
      </c>
      <c r="AL3" s="215"/>
      <c r="AM3" s="216"/>
      <c r="AN3" s="112"/>
    </row>
    <row r="4" spans="1:40" ht="15" thickBot="1">
      <c r="A4" s="217" t="s">
        <v>59</v>
      </c>
      <c r="B4" s="218"/>
      <c r="C4" s="219">
        <v>11950</v>
      </c>
      <c r="D4" s="218"/>
      <c r="E4" s="220">
        <f>C4*E11</f>
        <v>2031.5000000000002</v>
      </c>
      <c r="F4" s="221"/>
      <c r="G4" s="222"/>
      <c r="H4" s="223">
        <f>(C4-E4)*H11</f>
        <v>6248.6549999999997</v>
      </c>
      <c r="I4" s="221"/>
      <c r="J4" s="224"/>
      <c r="K4" s="223">
        <f>(C4-E4-H4)*K11</f>
        <v>1578.0333500000002</v>
      </c>
      <c r="L4" s="221"/>
      <c r="M4" s="224"/>
      <c r="N4" s="223">
        <f>(C4-SUM(E4:M4))*N11</f>
        <v>2010.2309956499996</v>
      </c>
      <c r="O4" s="221"/>
      <c r="P4" s="224"/>
      <c r="Q4" s="223">
        <f>(C4-SUM(E4:P4))</f>
        <v>81.580654350000259</v>
      </c>
      <c r="R4" s="225"/>
      <c r="S4" s="226"/>
      <c r="T4" s="112"/>
      <c r="U4" s="217" t="s">
        <v>59</v>
      </c>
      <c r="V4" s="218"/>
      <c r="W4" s="219">
        <v>11950</v>
      </c>
      <c r="X4" s="218"/>
      <c r="Y4" s="220">
        <f>W4*Y11</f>
        <v>2031.5000000000002</v>
      </c>
      <c r="Z4" s="221"/>
      <c r="AA4" s="222"/>
      <c r="AB4" s="223">
        <f>(W4-Y4)*AB11</f>
        <v>6248.6549999999997</v>
      </c>
      <c r="AC4" s="221"/>
      <c r="AD4" s="224"/>
      <c r="AE4" s="223">
        <f>(W4-Y4-AB4)*AE11</f>
        <v>1578.0333500000002</v>
      </c>
      <c r="AF4" s="221"/>
      <c r="AG4" s="224"/>
      <c r="AH4" s="223">
        <f>(W4-SUM(Y4:AG4))*AH11</f>
        <v>2010.2309956499996</v>
      </c>
      <c r="AI4" s="221"/>
      <c r="AJ4" s="224"/>
      <c r="AK4" s="223">
        <f>(W4-SUM(Y4:AJ4))</f>
        <v>81.580654350000259</v>
      </c>
      <c r="AL4" s="225"/>
      <c r="AM4" s="226"/>
      <c r="AN4" s="112"/>
    </row>
    <row r="5" spans="1:40" ht="15" thickBot="1">
      <c r="A5" s="112"/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</row>
    <row r="6" spans="1:40">
      <c r="A6" s="200" t="s">
        <v>365</v>
      </c>
      <c r="B6" s="211"/>
      <c r="C6" s="200" t="s">
        <v>354</v>
      </c>
      <c r="D6" s="211"/>
      <c r="E6" s="177" t="s">
        <v>353</v>
      </c>
      <c r="F6" s="178"/>
      <c r="G6" s="179"/>
      <c r="H6" s="177" t="s">
        <v>353</v>
      </c>
      <c r="I6" s="178"/>
      <c r="J6" s="179"/>
      <c r="K6" s="177" t="s">
        <v>353</v>
      </c>
      <c r="L6" s="178"/>
      <c r="M6" s="179"/>
      <c r="N6" s="177" t="s">
        <v>353</v>
      </c>
      <c r="O6" s="178"/>
      <c r="P6" s="179"/>
      <c r="Q6" s="177" t="s">
        <v>353</v>
      </c>
      <c r="R6" s="178"/>
      <c r="S6" s="179"/>
      <c r="T6" s="112"/>
      <c r="U6" s="200" t="s">
        <v>365</v>
      </c>
      <c r="V6" s="211"/>
      <c r="W6" s="200" t="s">
        <v>354</v>
      </c>
      <c r="X6" s="211"/>
      <c r="Y6" s="177" t="s">
        <v>353</v>
      </c>
      <c r="Z6" s="178"/>
      <c r="AA6" s="179"/>
      <c r="AB6" s="177" t="s">
        <v>353</v>
      </c>
      <c r="AC6" s="178"/>
      <c r="AD6" s="179"/>
      <c r="AE6" s="177" t="s">
        <v>353</v>
      </c>
      <c r="AF6" s="178"/>
      <c r="AG6" s="179"/>
      <c r="AH6" s="177" t="s">
        <v>353</v>
      </c>
      <c r="AI6" s="178"/>
      <c r="AJ6" s="179"/>
      <c r="AK6" s="177" t="s">
        <v>353</v>
      </c>
      <c r="AL6" s="178"/>
      <c r="AM6" s="179"/>
      <c r="AN6" s="112"/>
    </row>
    <row r="7" spans="1:40" ht="15" thickBot="1">
      <c r="A7" s="204">
        <f>SUM(E7:S7)</f>
        <v>138100917.66937453</v>
      </c>
      <c r="B7" s="205"/>
      <c r="C7" s="206">
        <f>A38</f>
        <v>214717827.10595998</v>
      </c>
      <c r="D7" s="207"/>
      <c r="E7" s="208">
        <f>SUM(E3:G4)*-1510</f>
        <v>-5823315</v>
      </c>
      <c r="F7" s="209"/>
      <c r="G7" s="210"/>
      <c r="H7" s="208">
        <f>SUM(H3:J4)*5020</f>
        <v>53355848.099999994</v>
      </c>
      <c r="I7" s="209"/>
      <c r="J7" s="210"/>
      <c r="K7" s="208">
        <f>SUM(K3:M4)*9130</f>
        <v>29603416.4855</v>
      </c>
      <c r="L7" s="209"/>
      <c r="M7" s="210"/>
      <c r="N7" s="208">
        <f>SUM(N3:P4)*18130</f>
        <v>58481067.055134505</v>
      </c>
      <c r="O7" s="209"/>
      <c r="P7" s="210"/>
      <c r="Q7" s="208">
        <f>SUM(Q3:S4)*20400</f>
        <v>2483901.0287400153</v>
      </c>
      <c r="R7" s="209"/>
      <c r="S7" s="210"/>
      <c r="T7" s="113"/>
      <c r="U7" s="204">
        <f>SUM(Y7:AM7)</f>
        <v>140702884.56937453</v>
      </c>
      <c r="V7" s="205"/>
      <c r="W7" s="206">
        <f>U38</f>
        <v>0</v>
      </c>
      <c r="X7" s="207"/>
      <c r="Y7" s="208">
        <v>0</v>
      </c>
      <c r="Z7" s="209"/>
      <c r="AA7" s="210"/>
      <c r="AB7" s="208">
        <f>SUM(Y3:AA4)*13000</f>
        <v>50134500</v>
      </c>
      <c r="AC7" s="209"/>
      <c r="AD7" s="210"/>
      <c r="AE7" s="208">
        <f>SUM(AE3:AG4)*9130</f>
        <v>29603416.4855</v>
      </c>
      <c r="AF7" s="209"/>
      <c r="AG7" s="210"/>
      <c r="AH7" s="208">
        <f>SUM(AH3:AJ4)*18130</f>
        <v>58481067.055134505</v>
      </c>
      <c r="AI7" s="209"/>
      <c r="AJ7" s="210"/>
      <c r="AK7" s="208">
        <f>SUM(AK3:AM4)*20400</f>
        <v>2483901.0287400153</v>
      </c>
      <c r="AL7" s="209"/>
      <c r="AM7" s="210"/>
      <c r="AN7" s="113"/>
    </row>
    <row r="8" spans="1:40" ht="15" thickBot="1">
      <c r="A8" s="112"/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4"/>
      <c r="O8" s="114"/>
      <c r="P8" s="114"/>
      <c r="Q8" s="114"/>
      <c r="R8" s="114"/>
      <c r="S8" s="114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4"/>
      <c r="AI8" s="114"/>
      <c r="AJ8" s="114"/>
      <c r="AK8" s="114"/>
      <c r="AL8" s="114"/>
      <c r="AM8" s="114"/>
      <c r="AN8" s="112"/>
    </row>
    <row r="9" spans="1:40">
      <c r="A9" s="200" t="s">
        <v>355</v>
      </c>
      <c r="B9" s="201"/>
      <c r="C9" s="201"/>
      <c r="D9" s="202"/>
      <c r="E9" s="177" t="s">
        <v>356</v>
      </c>
      <c r="F9" s="178"/>
      <c r="G9" s="179"/>
      <c r="H9" s="177" t="s">
        <v>357</v>
      </c>
      <c r="I9" s="178"/>
      <c r="J9" s="179"/>
      <c r="K9" s="177" t="s">
        <v>359</v>
      </c>
      <c r="L9" s="178"/>
      <c r="M9" s="203"/>
      <c r="N9" s="177" t="s">
        <v>360</v>
      </c>
      <c r="O9" s="178"/>
      <c r="P9" s="179"/>
      <c r="Q9" s="177" t="s">
        <v>361</v>
      </c>
      <c r="R9" s="178"/>
      <c r="S9" s="179"/>
      <c r="T9" s="112"/>
      <c r="U9" s="200" t="s">
        <v>355</v>
      </c>
      <c r="V9" s="201"/>
      <c r="W9" s="201"/>
      <c r="X9" s="202"/>
      <c r="Y9" s="177" t="s">
        <v>356</v>
      </c>
      <c r="Z9" s="178"/>
      <c r="AA9" s="179"/>
      <c r="AB9" s="177" t="s">
        <v>357</v>
      </c>
      <c r="AC9" s="178"/>
      <c r="AD9" s="179"/>
      <c r="AE9" s="177" t="s">
        <v>359</v>
      </c>
      <c r="AF9" s="178"/>
      <c r="AG9" s="203"/>
      <c r="AH9" s="177" t="s">
        <v>360</v>
      </c>
      <c r="AI9" s="178"/>
      <c r="AJ9" s="179"/>
      <c r="AK9" s="177" t="s">
        <v>361</v>
      </c>
      <c r="AL9" s="178"/>
      <c r="AM9" s="179"/>
      <c r="AN9" s="112"/>
    </row>
    <row r="10" spans="1:40">
      <c r="A10" s="180">
        <f>C7-A7</f>
        <v>76616909.436585456</v>
      </c>
      <c r="B10" s="181"/>
      <c r="C10" s="181"/>
      <c r="D10" s="182"/>
      <c r="E10" s="186">
        <f>0.2</f>
        <v>0.2</v>
      </c>
      <c r="F10" s="187"/>
      <c r="G10" s="188"/>
      <c r="H10" s="186">
        <f>0.6</f>
        <v>0.6</v>
      </c>
      <c r="I10" s="187"/>
      <c r="J10" s="188"/>
      <c r="K10" s="186">
        <f>0.57</f>
        <v>0.56999999999999995</v>
      </c>
      <c r="L10" s="187"/>
      <c r="M10" s="189"/>
      <c r="N10" s="190">
        <f>1-Q10</f>
        <v>0.96799999999999997</v>
      </c>
      <c r="O10" s="191"/>
      <c r="P10" s="192"/>
      <c r="Q10" s="190">
        <v>3.2000000000000001E-2</v>
      </c>
      <c r="R10" s="191"/>
      <c r="S10" s="192"/>
      <c r="T10" s="112"/>
      <c r="U10" s="180">
        <f>W7-U7</f>
        <v>-140702884.56937453</v>
      </c>
      <c r="V10" s="181"/>
      <c r="W10" s="181"/>
      <c r="X10" s="182"/>
      <c r="Y10" s="186">
        <f>0.2</f>
        <v>0.2</v>
      </c>
      <c r="Z10" s="187"/>
      <c r="AA10" s="188"/>
      <c r="AB10" s="186">
        <f>0.6</f>
        <v>0.6</v>
      </c>
      <c r="AC10" s="187"/>
      <c r="AD10" s="188"/>
      <c r="AE10" s="186">
        <f>0.57</f>
        <v>0.56999999999999995</v>
      </c>
      <c r="AF10" s="187"/>
      <c r="AG10" s="189"/>
      <c r="AH10" s="190">
        <f>1-AK10</f>
        <v>0.96799999999999997</v>
      </c>
      <c r="AI10" s="191"/>
      <c r="AJ10" s="192"/>
      <c r="AK10" s="190">
        <v>3.2000000000000001E-2</v>
      </c>
      <c r="AL10" s="191"/>
      <c r="AM10" s="192"/>
      <c r="AN10" s="112"/>
    </row>
    <row r="11" spans="1:40" ht="15" thickBot="1">
      <c r="A11" s="183"/>
      <c r="B11" s="184"/>
      <c r="C11" s="184"/>
      <c r="D11" s="185"/>
      <c r="E11" s="193">
        <f>0.17</f>
        <v>0.17</v>
      </c>
      <c r="F11" s="194"/>
      <c r="G11" s="195"/>
      <c r="H11" s="193">
        <f>0.63</f>
        <v>0.63</v>
      </c>
      <c r="I11" s="194"/>
      <c r="J11" s="195"/>
      <c r="K11" s="193">
        <f>0.43</f>
        <v>0.43</v>
      </c>
      <c r="L11" s="194"/>
      <c r="M11" s="196"/>
      <c r="N11" s="197">
        <f>1-Q11</f>
        <v>0.96099999999999997</v>
      </c>
      <c r="O11" s="198"/>
      <c r="P11" s="199"/>
      <c r="Q11" s="197">
        <f>0.039</f>
        <v>3.9E-2</v>
      </c>
      <c r="R11" s="198"/>
      <c r="S11" s="199"/>
      <c r="T11" s="112"/>
      <c r="U11" s="183"/>
      <c r="V11" s="184"/>
      <c r="W11" s="184"/>
      <c r="X11" s="185"/>
      <c r="Y11" s="193">
        <f>0.17</f>
        <v>0.17</v>
      </c>
      <c r="Z11" s="194"/>
      <c r="AA11" s="195"/>
      <c r="AB11" s="193">
        <f>0.63</f>
        <v>0.63</v>
      </c>
      <c r="AC11" s="194"/>
      <c r="AD11" s="195"/>
      <c r="AE11" s="193">
        <f>0.43</f>
        <v>0.43</v>
      </c>
      <c r="AF11" s="194"/>
      <c r="AG11" s="196"/>
      <c r="AH11" s="197">
        <f>1-AK11</f>
        <v>0.96099999999999997</v>
      </c>
      <c r="AI11" s="198"/>
      <c r="AJ11" s="199"/>
      <c r="AK11" s="197">
        <f>0.039</f>
        <v>3.9E-2</v>
      </c>
      <c r="AL11" s="198"/>
      <c r="AM11" s="199"/>
      <c r="AN11" s="112"/>
    </row>
    <row r="12" spans="1:40" ht="39" customHeight="1" thickBot="1">
      <c r="A12" s="112"/>
      <c r="B12" s="112"/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</row>
    <row r="13" spans="1:40">
      <c r="A13" s="177" t="s">
        <v>348</v>
      </c>
      <c r="B13" s="179"/>
      <c r="C13" s="177" t="s">
        <v>366</v>
      </c>
      <c r="D13" s="179"/>
      <c r="E13" s="177" t="s">
        <v>2</v>
      </c>
      <c r="F13" s="179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</row>
    <row r="14" spans="1:40">
      <c r="A14" s="109" t="s">
        <v>365</v>
      </c>
      <c r="B14" s="110" t="s">
        <v>354</v>
      </c>
      <c r="C14" s="109" t="s">
        <v>365</v>
      </c>
      <c r="D14" s="110" t="s">
        <v>354</v>
      </c>
      <c r="E14" s="109" t="s">
        <v>365</v>
      </c>
      <c r="F14" s="110" t="s">
        <v>354</v>
      </c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</row>
    <row r="15" spans="1:40">
      <c r="A15" s="111">
        <f>(SUM(C3:D4)-SUM(E3:G4))*5020 +E7</f>
        <v>80613555</v>
      </c>
      <c r="B15" s="117">
        <f>SUM(C3:D4)*5020</f>
        <v>105796500</v>
      </c>
      <c r="C15" s="111">
        <f>SUM(K3:S4)*9130</f>
        <v>60165284.850000009</v>
      </c>
      <c r="D15" s="118">
        <f>(SUM(C3:D4)-SUM(E3:G4))*9130</f>
        <v>157204905</v>
      </c>
      <c r="E15" s="111">
        <f>K7+N7+Q7</f>
        <v>90568384.569374532</v>
      </c>
      <c r="F15" s="117">
        <f>SUM(K3:S4)*20400</f>
        <v>134432838.00000003</v>
      </c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</row>
    <row r="16" spans="1:40">
      <c r="A16" s="235" t="s">
        <v>355</v>
      </c>
      <c r="B16" s="216"/>
      <c r="C16" s="235" t="s">
        <v>355</v>
      </c>
      <c r="D16" s="216"/>
      <c r="E16" s="235" t="s">
        <v>355</v>
      </c>
      <c r="F16" s="216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</row>
    <row r="17" spans="1:20" ht="15" thickBot="1">
      <c r="A17" s="236">
        <f>B15-A15</f>
        <v>25182945</v>
      </c>
      <c r="B17" s="226"/>
      <c r="C17" s="236">
        <f>D15-C15</f>
        <v>97039620.149999991</v>
      </c>
      <c r="D17" s="226"/>
      <c r="E17" s="236">
        <f>F15-E15</f>
        <v>43864453.430625498</v>
      </c>
      <c r="F17" s="226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</row>
    <row r="18" spans="1:20">
      <c r="A18" s="112"/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</row>
    <row r="19" spans="1:20">
      <c r="A19" s="112"/>
      <c r="B19" s="112"/>
      <c r="C19" s="112"/>
      <c r="D19" s="112"/>
      <c r="E19" s="119" t="s">
        <v>372</v>
      </c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</row>
    <row r="20" spans="1:20">
      <c r="A20" s="112"/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</row>
    <row r="21" spans="1:20">
      <c r="A21" s="112"/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</row>
    <row r="22" spans="1:20">
      <c r="A22" s="112"/>
      <c r="B22" s="112"/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</row>
    <row r="23" spans="1:20">
      <c r="A23" s="112"/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</row>
    <row r="24" spans="1:20">
      <c r="A24" s="112"/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</row>
    <row r="25" spans="1:20">
      <c r="A25" s="112"/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</row>
    <row r="26" spans="1:20">
      <c r="A26" s="112"/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</row>
    <row r="35" spans="1:6">
      <c r="A35" s="108" t="s">
        <v>367</v>
      </c>
      <c r="B35" s="108" t="s">
        <v>351</v>
      </c>
      <c r="C35" s="108" t="s">
        <v>368</v>
      </c>
      <c r="D35" s="108" t="s">
        <v>369</v>
      </c>
      <c r="E35" s="108" t="s">
        <v>370</v>
      </c>
      <c r="F35" s="108" t="s">
        <v>371</v>
      </c>
    </row>
    <row r="36" spans="1:6">
      <c r="A36" s="108">
        <v>9125</v>
      </c>
      <c r="B36" s="115">
        <f>0.09*A36</f>
        <v>821.25</v>
      </c>
      <c r="C36" s="115">
        <f>(A36-B36)*0.41</f>
        <v>3404.5374999999999</v>
      </c>
      <c r="D36" s="115">
        <f>(A36-(B36+C36))*0.28</f>
        <v>1371.7795000000001</v>
      </c>
      <c r="E36" s="115">
        <f>(A36-(C36+D36+B36))*0.92</f>
        <v>3245.2383600000003</v>
      </c>
      <c r="F36" s="115">
        <f>A36-SUM(B36:E36)</f>
        <v>282.19463999999789</v>
      </c>
    </row>
    <row r="37" spans="1:6">
      <c r="A37" s="108">
        <v>11950</v>
      </c>
      <c r="B37" s="115">
        <f>0.09*A37</f>
        <v>1075.5</v>
      </c>
      <c r="C37" s="115">
        <f>(A37-B37)*0.41</f>
        <v>4458.5450000000001</v>
      </c>
      <c r="D37" s="115">
        <f>(A37-(B37+C37))*0.28</f>
        <v>1796.4674000000002</v>
      </c>
      <c r="E37" s="115">
        <f>(A37-(C37+D37+B37))*0.92</f>
        <v>4249.9285919999993</v>
      </c>
      <c r="F37" s="115">
        <f>A37-SUM(B37:E37)</f>
        <v>369.55900800000018</v>
      </c>
    </row>
    <row r="38" spans="1:6">
      <c r="A38" s="116">
        <f>SUM(B38:F38)</f>
        <v>214717827.10595998</v>
      </c>
      <c r="B38" s="116">
        <f>-1510*SUM(B36:B37)</f>
        <v>-2864092.5</v>
      </c>
      <c r="C38" s="116">
        <f>5020*SUM(C36:C37)</f>
        <v>39472674.149999999</v>
      </c>
      <c r="D38" s="116">
        <f>9130*SUM(D36:D37)</f>
        <v>28926094.197000001</v>
      </c>
      <c r="E38" s="116">
        <f>18130*SUM(E36:E37)</f>
        <v>135887376.83976001</v>
      </c>
      <c r="F38" s="116">
        <f>20400*SUM(F36:F37)</f>
        <v>13295774.41919996</v>
      </c>
    </row>
    <row r="39" spans="1:6">
      <c r="B39" s="116">
        <f>13000*(SUM(E3:G4)-SUM(B36:B37))</f>
        <v>25476750</v>
      </c>
    </row>
  </sheetData>
  <mergeCells count="115">
    <mergeCell ref="A13:B13"/>
    <mergeCell ref="E13:F13"/>
    <mergeCell ref="A16:B16"/>
    <mergeCell ref="A17:B17"/>
    <mergeCell ref="E16:F16"/>
    <mergeCell ref="E17:F17"/>
    <mergeCell ref="C13:D13"/>
    <mergeCell ref="C16:D16"/>
    <mergeCell ref="C17:D17"/>
    <mergeCell ref="Q10:S10"/>
    <mergeCell ref="Q11:S11"/>
    <mergeCell ref="K9:M9"/>
    <mergeCell ref="K10:M10"/>
    <mergeCell ref="A2:B2"/>
    <mergeCell ref="A3:B3"/>
    <mergeCell ref="A4:B4"/>
    <mergeCell ref="C2:D2"/>
    <mergeCell ref="C3:D3"/>
    <mergeCell ref="C4:D4"/>
    <mergeCell ref="C6:D6"/>
    <mergeCell ref="C7:D7"/>
    <mergeCell ref="A6:B6"/>
    <mergeCell ref="A7:B7"/>
    <mergeCell ref="A9:D9"/>
    <mergeCell ref="A10:D11"/>
    <mergeCell ref="E10:G10"/>
    <mergeCell ref="E11:G11"/>
    <mergeCell ref="H9:J9"/>
    <mergeCell ref="E6:G6"/>
    <mergeCell ref="H6:J6"/>
    <mergeCell ref="H10:J10"/>
    <mergeCell ref="H11:J11"/>
    <mergeCell ref="K11:M11"/>
    <mergeCell ref="N9:P9"/>
    <mergeCell ref="N10:P10"/>
    <mergeCell ref="N11:P11"/>
    <mergeCell ref="K6:M6"/>
    <mergeCell ref="N6:P6"/>
    <mergeCell ref="Q6:S6"/>
    <mergeCell ref="E7:G7"/>
    <mergeCell ref="H7:J7"/>
    <mergeCell ref="K7:M7"/>
    <mergeCell ref="N7:P7"/>
    <mergeCell ref="Q7:S7"/>
    <mergeCell ref="E9:G9"/>
    <mergeCell ref="Q9:S9"/>
    <mergeCell ref="N4:P4"/>
    <mergeCell ref="Q4:S4"/>
    <mergeCell ref="N2:P2"/>
    <mergeCell ref="Q2:S2"/>
    <mergeCell ref="E3:G3"/>
    <mergeCell ref="E4:G4"/>
    <mergeCell ref="H3:J3"/>
    <mergeCell ref="K3:M3"/>
    <mergeCell ref="N3:P3"/>
    <mergeCell ref="Q3:S3"/>
    <mergeCell ref="H4:J4"/>
    <mergeCell ref="K4:M4"/>
    <mergeCell ref="E2:G2"/>
    <mergeCell ref="H2:J2"/>
    <mergeCell ref="K2:M2"/>
    <mergeCell ref="A1:T1"/>
    <mergeCell ref="U1:AN1"/>
    <mergeCell ref="U2:V2"/>
    <mergeCell ref="W2:X2"/>
    <mergeCell ref="Y2:AA2"/>
    <mergeCell ref="AB2:AD2"/>
    <mergeCell ref="AE2:AG2"/>
    <mergeCell ref="AH2:AJ2"/>
    <mergeCell ref="AK2:AM2"/>
    <mergeCell ref="AH3:AJ3"/>
    <mergeCell ref="AK3:AM3"/>
    <mergeCell ref="U4:V4"/>
    <mergeCell ref="W4:X4"/>
    <mergeCell ref="Y4:AA4"/>
    <mergeCell ref="AB4:AD4"/>
    <mergeCell ref="AE4:AG4"/>
    <mergeCell ref="AH4:AJ4"/>
    <mergeCell ref="AK4:AM4"/>
    <mergeCell ref="U3:V3"/>
    <mergeCell ref="W3:X3"/>
    <mergeCell ref="Y3:AA3"/>
    <mergeCell ref="AB3:AD3"/>
    <mergeCell ref="AE3:AG3"/>
    <mergeCell ref="AH6:AJ6"/>
    <mergeCell ref="AK6:AM6"/>
    <mergeCell ref="U7:V7"/>
    <mergeCell ref="W7:X7"/>
    <mergeCell ref="Y7:AA7"/>
    <mergeCell ref="AB7:AD7"/>
    <mergeCell ref="AE7:AG7"/>
    <mergeCell ref="AH7:AJ7"/>
    <mergeCell ref="AK7:AM7"/>
    <mergeCell ref="U6:V6"/>
    <mergeCell ref="W6:X6"/>
    <mergeCell ref="Y6:AA6"/>
    <mergeCell ref="AB6:AD6"/>
    <mergeCell ref="AE6:AG6"/>
    <mergeCell ref="AK9:AM9"/>
    <mergeCell ref="U10:X11"/>
    <mergeCell ref="Y10:AA10"/>
    <mergeCell ref="AB10:AD10"/>
    <mergeCell ref="AE10:AG10"/>
    <mergeCell ref="AH10:AJ10"/>
    <mergeCell ref="AK10:AM10"/>
    <mergeCell ref="Y11:AA11"/>
    <mergeCell ref="AB11:AD11"/>
    <mergeCell ref="AE11:AG11"/>
    <mergeCell ref="AH11:AJ11"/>
    <mergeCell ref="AK11:AM11"/>
    <mergeCell ref="U9:X9"/>
    <mergeCell ref="Y9:AA9"/>
    <mergeCell ref="AB9:AD9"/>
    <mergeCell ref="AE9:AG9"/>
    <mergeCell ref="AH9:AJ9"/>
  </mergeCells>
  <phoneticPr fontId="3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9BEAF-8524-46CB-B0DE-2B8B84DFE3A6}">
  <dimension ref="A1:C29"/>
  <sheetViews>
    <sheetView workbookViewId="0">
      <selection activeCell="A7" sqref="A7"/>
    </sheetView>
  </sheetViews>
  <sheetFormatPr defaultRowHeight="14.5"/>
  <cols>
    <col min="1" max="1" width="52" bestFit="1" customWidth="1"/>
    <col min="2" max="2" width="22.81640625" bestFit="1" customWidth="1"/>
  </cols>
  <sheetData>
    <row r="1" spans="1:3">
      <c r="A1" s="120" t="s">
        <v>35</v>
      </c>
      <c r="B1" s="120" t="s">
        <v>375</v>
      </c>
      <c r="C1" s="120" t="s">
        <v>376</v>
      </c>
    </row>
    <row r="2" spans="1:3">
      <c r="A2" s="120" t="s">
        <v>256</v>
      </c>
      <c r="B2" s="120"/>
      <c r="C2" s="120"/>
    </row>
    <row r="3" spans="1:3">
      <c r="A3" s="120" t="s">
        <v>257</v>
      </c>
      <c r="B3" s="120"/>
      <c r="C3" s="120"/>
    </row>
    <row r="4" spans="1:3">
      <c r="A4" s="120" t="s">
        <v>258</v>
      </c>
      <c r="B4" s="120"/>
      <c r="C4" s="120"/>
    </row>
    <row r="5" spans="1:3">
      <c r="A5" s="120" t="s">
        <v>41</v>
      </c>
      <c r="B5" s="120"/>
      <c r="C5" s="120"/>
    </row>
    <row r="6" spans="1:3">
      <c r="A6" s="120" t="s">
        <v>42</v>
      </c>
      <c r="B6" s="120"/>
      <c r="C6" s="120"/>
    </row>
    <row r="7" spans="1:3">
      <c r="A7" s="120" t="s">
        <v>259</v>
      </c>
      <c r="B7" s="120"/>
      <c r="C7" s="120"/>
    </row>
    <row r="8" spans="1:3">
      <c r="A8" s="120" t="s">
        <v>260</v>
      </c>
      <c r="B8" s="120"/>
      <c r="C8" s="120"/>
    </row>
    <row r="9" spans="1:3">
      <c r="A9" s="120" t="s">
        <v>63</v>
      </c>
      <c r="B9" s="120"/>
      <c r="C9" s="120"/>
    </row>
    <row r="10" spans="1:3">
      <c r="A10" s="120" t="s">
        <v>119</v>
      </c>
      <c r="B10" s="120"/>
      <c r="C10" s="120"/>
    </row>
    <row r="11" spans="1:3">
      <c r="A11" s="120" t="s">
        <v>261</v>
      </c>
      <c r="B11" s="120"/>
      <c r="C11" s="120"/>
    </row>
    <row r="12" spans="1:3">
      <c r="A12" s="120" t="s">
        <v>262</v>
      </c>
      <c r="B12" s="120"/>
      <c r="C12" s="120"/>
    </row>
    <row r="13" spans="1:3">
      <c r="A13" s="120" t="s">
        <v>263</v>
      </c>
      <c r="B13" s="120"/>
      <c r="C13" s="120"/>
    </row>
    <row r="14" spans="1:3">
      <c r="A14" s="120" t="s">
        <v>264</v>
      </c>
      <c r="B14" s="120"/>
      <c r="C14" s="120"/>
    </row>
    <row r="15" spans="1:3">
      <c r="A15" s="120" t="s">
        <v>265</v>
      </c>
      <c r="B15" s="120"/>
      <c r="C15" s="120"/>
    </row>
    <row r="16" spans="1:3">
      <c r="A16" s="120" t="s">
        <v>266</v>
      </c>
      <c r="B16" s="120"/>
      <c r="C16" s="120"/>
    </row>
    <row r="17" spans="1:3">
      <c r="A17" s="120" t="s">
        <v>267</v>
      </c>
      <c r="B17" s="120"/>
      <c r="C17" s="120"/>
    </row>
    <row r="18" spans="1:3">
      <c r="A18" s="120" t="s">
        <v>268</v>
      </c>
      <c r="B18" s="120"/>
      <c r="C18" s="120"/>
    </row>
    <row r="19" spans="1:3">
      <c r="A19" s="120" t="s">
        <v>73</v>
      </c>
      <c r="B19" s="120"/>
      <c r="C19" s="120"/>
    </row>
    <row r="20" spans="1:3">
      <c r="A20" s="120" t="s">
        <v>270</v>
      </c>
      <c r="B20" s="120"/>
      <c r="C20" s="120"/>
    </row>
    <row r="21" spans="1:3">
      <c r="A21" s="120" t="s">
        <v>271</v>
      </c>
      <c r="B21" s="120"/>
      <c r="C21" s="120"/>
    </row>
    <row r="22" spans="1:3">
      <c r="A22" s="120" t="s">
        <v>272</v>
      </c>
      <c r="B22" s="120"/>
      <c r="C22" s="120"/>
    </row>
    <row r="23" spans="1:3">
      <c r="A23" s="120" t="s">
        <v>273</v>
      </c>
      <c r="B23" s="120"/>
      <c r="C23" s="120"/>
    </row>
    <row r="24" spans="1:3">
      <c r="A24" s="120" t="s">
        <v>274</v>
      </c>
      <c r="B24" s="120"/>
      <c r="C24" s="120"/>
    </row>
    <row r="25" spans="1:3">
      <c r="A25" s="120" t="s">
        <v>275</v>
      </c>
      <c r="B25" s="120"/>
      <c r="C25" s="120"/>
    </row>
    <row r="26" spans="1:3">
      <c r="A26" s="120" t="s">
        <v>276</v>
      </c>
      <c r="B26" s="120"/>
      <c r="C26" s="120"/>
    </row>
    <row r="27" spans="1:3">
      <c r="A27" s="120" t="s">
        <v>278</v>
      </c>
      <c r="B27" s="120"/>
      <c r="C27" s="120"/>
    </row>
    <row r="28" spans="1:3">
      <c r="A28" s="120" t="s">
        <v>279</v>
      </c>
      <c r="B28" s="120"/>
      <c r="C28" s="120"/>
    </row>
    <row r="29" spans="1:3">
      <c r="A29" s="120"/>
      <c r="B29" s="120"/>
      <c r="C29" s="1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E689B-544B-422C-AD13-774F1F236837}">
  <dimension ref="A1:M324"/>
  <sheetViews>
    <sheetView topLeftCell="A96" workbookViewId="0">
      <selection activeCell="H10" sqref="H10"/>
    </sheetView>
  </sheetViews>
  <sheetFormatPr defaultRowHeight="14.5"/>
  <cols>
    <col min="1" max="1" width="4.81640625" bestFit="1" customWidth="1"/>
    <col min="2" max="2" width="13.54296875" bestFit="1" customWidth="1"/>
    <col min="3" max="3" width="8.453125" bestFit="1" customWidth="1"/>
    <col min="4" max="4" width="10.26953125" bestFit="1" customWidth="1"/>
    <col min="5" max="5" width="52" bestFit="1" customWidth="1"/>
    <col min="6" max="7" width="7.81640625" bestFit="1" customWidth="1"/>
    <col min="8" max="9" width="9.81640625" bestFit="1" customWidth="1"/>
    <col min="10" max="10" width="9.6328125" bestFit="1" customWidth="1"/>
    <col min="11" max="12" width="70.36328125" bestFit="1" customWidth="1"/>
    <col min="13" max="13" width="77.26953125" bestFit="1" customWidth="1"/>
  </cols>
  <sheetData>
    <row r="1" spans="1:13">
      <c r="A1" t="s">
        <v>208</v>
      </c>
      <c r="B1" t="s">
        <v>246</v>
      </c>
      <c r="C1" t="s">
        <v>56</v>
      </c>
      <c r="D1" t="s">
        <v>37</v>
      </c>
      <c r="E1" t="s">
        <v>35</v>
      </c>
      <c r="F1" t="s">
        <v>247</v>
      </c>
      <c r="G1" t="s">
        <v>248</v>
      </c>
      <c r="H1" t="s">
        <v>249</v>
      </c>
      <c r="I1" t="s">
        <v>250</v>
      </c>
      <c r="J1" t="s">
        <v>251</v>
      </c>
      <c r="K1" t="s">
        <v>252</v>
      </c>
      <c r="L1" t="s">
        <v>253</v>
      </c>
      <c r="M1" t="s">
        <v>254</v>
      </c>
    </row>
    <row r="2" spans="1:13">
      <c r="A2">
        <v>2019</v>
      </c>
      <c r="B2" t="s">
        <v>255</v>
      </c>
      <c r="C2" t="s">
        <v>0</v>
      </c>
      <c r="D2" t="s">
        <v>8</v>
      </c>
      <c r="E2" t="s">
        <v>256</v>
      </c>
      <c r="F2" t="s">
        <v>58</v>
      </c>
      <c r="G2">
        <v>1490</v>
      </c>
      <c r="H2">
        <v>8275</v>
      </c>
      <c r="I2">
        <f>ROUND(G2/H2,3)</f>
        <v>0.18</v>
      </c>
      <c r="J2">
        <v>0</v>
      </c>
    </row>
    <row r="3" spans="1:13">
      <c r="A3">
        <v>2019</v>
      </c>
      <c r="B3" t="s">
        <v>255</v>
      </c>
      <c r="C3" t="s">
        <v>0</v>
      </c>
      <c r="D3" t="s">
        <v>8</v>
      </c>
      <c r="E3" t="s">
        <v>256</v>
      </c>
      <c r="F3" t="s">
        <v>59</v>
      </c>
      <c r="G3">
        <v>3014</v>
      </c>
      <c r="H3">
        <v>10392</v>
      </c>
      <c r="I3">
        <f t="shared" ref="I3:I66" si="0">ROUND(G3/H3,3)</f>
        <v>0.28999999999999998</v>
      </c>
      <c r="J3">
        <v>0</v>
      </c>
    </row>
    <row r="4" spans="1:13">
      <c r="A4">
        <v>2019</v>
      </c>
      <c r="B4" t="s">
        <v>255</v>
      </c>
      <c r="C4" t="s">
        <v>0</v>
      </c>
      <c r="D4" t="s">
        <v>8</v>
      </c>
      <c r="E4" t="s">
        <v>256</v>
      </c>
      <c r="F4" t="s">
        <v>137</v>
      </c>
      <c r="G4">
        <v>1626</v>
      </c>
      <c r="H4">
        <v>2501</v>
      </c>
      <c r="I4">
        <f t="shared" si="0"/>
        <v>0.65</v>
      </c>
      <c r="J4">
        <v>0</v>
      </c>
    </row>
    <row r="5" spans="1:13">
      <c r="A5">
        <v>2019</v>
      </c>
      <c r="B5" t="s">
        <v>255</v>
      </c>
      <c r="C5" t="s">
        <v>0</v>
      </c>
      <c r="D5" t="s">
        <v>8</v>
      </c>
      <c r="E5" t="s">
        <v>256</v>
      </c>
      <c r="F5" t="s">
        <v>61</v>
      </c>
      <c r="G5">
        <v>780</v>
      </c>
      <c r="H5">
        <v>1084</v>
      </c>
      <c r="I5">
        <f t="shared" si="0"/>
        <v>0.72</v>
      </c>
      <c r="J5">
        <v>0</v>
      </c>
    </row>
    <row r="6" spans="1:13">
      <c r="A6">
        <v>2019</v>
      </c>
      <c r="B6" t="s">
        <v>255</v>
      </c>
      <c r="C6" s="92" t="s">
        <v>0</v>
      </c>
      <c r="D6" t="s">
        <v>8</v>
      </c>
      <c r="E6" t="s">
        <v>257</v>
      </c>
      <c r="F6" t="s">
        <v>58</v>
      </c>
      <c r="G6">
        <v>1406</v>
      </c>
      <c r="H6">
        <v>9376</v>
      </c>
      <c r="I6">
        <f t="shared" si="0"/>
        <v>0.15</v>
      </c>
      <c r="J6">
        <v>0</v>
      </c>
    </row>
    <row r="7" spans="1:13">
      <c r="A7">
        <v>2019</v>
      </c>
      <c r="B7" t="s">
        <v>255</v>
      </c>
      <c r="C7" s="92" t="s">
        <v>0</v>
      </c>
      <c r="D7" t="s">
        <v>8</v>
      </c>
      <c r="E7" t="s">
        <v>257</v>
      </c>
      <c r="F7" t="s">
        <v>59</v>
      </c>
      <c r="G7">
        <v>3375</v>
      </c>
      <c r="H7">
        <v>12500</v>
      </c>
      <c r="I7">
        <f t="shared" si="0"/>
        <v>0.27</v>
      </c>
      <c r="J7">
        <v>0</v>
      </c>
    </row>
    <row r="8" spans="1:13">
      <c r="A8">
        <v>2019</v>
      </c>
      <c r="B8" t="s">
        <v>255</v>
      </c>
      <c r="C8" s="92" t="s">
        <v>0</v>
      </c>
      <c r="D8" t="s">
        <v>8</v>
      </c>
      <c r="E8" t="s">
        <v>257</v>
      </c>
      <c r="F8" t="s">
        <v>137</v>
      </c>
      <c r="G8">
        <v>1437</v>
      </c>
      <c r="H8">
        <v>2566</v>
      </c>
      <c r="I8">
        <f t="shared" si="0"/>
        <v>0.56000000000000005</v>
      </c>
      <c r="J8">
        <v>0</v>
      </c>
    </row>
    <row r="9" spans="1:13">
      <c r="A9">
        <v>2019</v>
      </c>
      <c r="B9" t="s">
        <v>255</v>
      </c>
      <c r="C9" t="s">
        <v>0</v>
      </c>
      <c r="D9" t="s">
        <v>8</v>
      </c>
      <c r="E9" t="s">
        <v>257</v>
      </c>
      <c r="F9" t="s">
        <v>61</v>
      </c>
      <c r="G9">
        <v>726</v>
      </c>
      <c r="H9">
        <v>1023</v>
      </c>
      <c r="I9">
        <f t="shared" si="0"/>
        <v>0.71</v>
      </c>
      <c r="J9">
        <v>0</v>
      </c>
    </row>
    <row r="10" spans="1:13">
      <c r="A10">
        <v>2017</v>
      </c>
      <c r="B10" t="s">
        <v>255</v>
      </c>
      <c r="C10" t="s">
        <v>0</v>
      </c>
      <c r="D10" t="s">
        <v>8</v>
      </c>
      <c r="E10" t="s">
        <v>258</v>
      </c>
      <c r="F10" t="s">
        <v>58</v>
      </c>
      <c r="G10">
        <v>1083</v>
      </c>
      <c r="H10">
        <v>1138</v>
      </c>
      <c r="I10">
        <f t="shared" si="0"/>
        <v>0.95199999999999996</v>
      </c>
      <c r="J10">
        <v>0</v>
      </c>
    </row>
    <row r="11" spans="1:13">
      <c r="A11">
        <v>2017</v>
      </c>
      <c r="B11" t="s">
        <v>255</v>
      </c>
      <c r="C11" t="s">
        <v>0</v>
      </c>
      <c r="D11" t="s">
        <v>8</v>
      </c>
      <c r="E11" t="s">
        <v>258</v>
      </c>
      <c r="F11" t="s">
        <v>59</v>
      </c>
      <c r="G11">
        <v>2749</v>
      </c>
      <c r="H11">
        <v>2778</v>
      </c>
      <c r="I11">
        <f t="shared" si="0"/>
        <v>0.99</v>
      </c>
      <c r="J11">
        <v>0</v>
      </c>
    </row>
    <row r="12" spans="1:13">
      <c r="A12">
        <v>2017</v>
      </c>
      <c r="B12" t="s">
        <v>255</v>
      </c>
      <c r="C12" t="s">
        <v>0</v>
      </c>
      <c r="D12" t="s">
        <v>8</v>
      </c>
      <c r="E12" t="s">
        <v>258</v>
      </c>
      <c r="F12" t="s">
        <v>137</v>
      </c>
      <c r="G12">
        <v>1282</v>
      </c>
      <c r="H12">
        <v>1286</v>
      </c>
      <c r="I12">
        <f t="shared" si="0"/>
        <v>0.997</v>
      </c>
      <c r="J12">
        <v>0</v>
      </c>
    </row>
    <row r="13" spans="1:13">
      <c r="A13">
        <v>2017</v>
      </c>
      <c r="B13" t="s">
        <v>255</v>
      </c>
      <c r="C13" t="s">
        <v>0</v>
      </c>
      <c r="D13" t="s">
        <v>8</v>
      </c>
      <c r="E13" t="s">
        <v>258</v>
      </c>
      <c r="F13" t="s">
        <v>61</v>
      </c>
      <c r="G13">
        <v>547</v>
      </c>
      <c r="H13">
        <v>547</v>
      </c>
      <c r="I13">
        <f t="shared" si="0"/>
        <v>1</v>
      </c>
      <c r="J13">
        <v>0</v>
      </c>
    </row>
    <row r="14" spans="1:13">
      <c r="A14">
        <v>2019</v>
      </c>
      <c r="B14" t="s">
        <v>255</v>
      </c>
      <c r="C14" t="s">
        <v>0</v>
      </c>
      <c r="D14" t="s">
        <v>17</v>
      </c>
      <c r="E14" t="s">
        <v>41</v>
      </c>
      <c r="F14" t="s">
        <v>58</v>
      </c>
      <c r="G14">
        <v>166</v>
      </c>
      <c r="H14">
        <v>8275</v>
      </c>
      <c r="I14">
        <f t="shared" si="0"/>
        <v>0.02</v>
      </c>
      <c r="J14">
        <v>0</v>
      </c>
    </row>
    <row r="15" spans="1:13">
      <c r="A15">
        <v>2019</v>
      </c>
      <c r="B15" t="s">
        <v>255</v>
      </c>
      <c r="C15" t="s">
        <v>0</v>
      </c>
      <c r="D15" t="s">
        <v>17</v>
      </c>
      <c r="E15" t="s">
        <v>41</v>
      </c>
      <c r="F15" t="s">
        <v>59</v>
      </c>
      <c r="G15">
        <v>416</v>
      </c>
      <c r="H15">
        <v>10392</v>
      </c>
      <c r="I15">
        <f t="shared" si="0"/>
        <v>0.04</v>
      </c>
      <c r="J15">
        <v>0</v>
      </c>
    </row>
    <row r="16" spans="1:13">
      <c r="A16">
        <v>2019</v>
      </c>
      <c r="B16" t="s">
        <v>255</v>
      </c>
      <c r="C16" t="s">
        <v>0</v>
      </c>
      <c r="D16" t="s">
        <v>17</v>
      </c>
      <c r="E16" t="s">
        <v>41</v>
      </c>
      <c r="F16" t="s">
        <v>137</v>
      </c>
      <c r="G16">
        <v>500</v>
      </c>
      <c r="H16">
        <v>2501</v>
      </c>
      <c r="I16">
        <f t="shared" si="0"/>
        <v>0.2</v>
      </c>
      <c r="J16">
        <v>0</v>
      </c>
    </row>
    <row r="17" spans="1:10">
      <c r="A17">
        <v>2019</v>
      </c>
      <c r="B17" t="s">
        <v>255</v>
      </c>
      <c r="C17" t="s">
        <v>0</v>
      </c>
      <c r="D17" t="s">
        <v>17</v>
      </c>
      <c r="E17" t="s">
        <v>41</v>
      </c>
      <c r="F17" t="s">
        <v>61</v>
      </c>
      <c r="G17">
        <v>347</v>
      </c>
      <c r="H17">
        <v>1084</v>
      </c>
      <c r="I17">
        <f t="shared" si="0"/>
        <v>0.32</v>
      </c>
      <c r="J17">
        <v>0</v>
      </c>
    </row>
    <row r="18" spans="1:10">
      <c r="A18">
        <v>2019</v>
      </c>
      <c r="B18" t="s">
        <v>255</v>
      </c>
      <c r="C18" t="s">
        <v>0</v>
      </c>
      <c r="D18" t="s">
        <v>17</v>
      </c>
      <c r="E18" t="s">
        <v>42</v>
      </c>
      <c r="F18" t="s">
        <v>58</v>
      </c>
      <c r="G18">
        <v>188</v>
      </c>
      <c r="H18">
        <v>9376</v>
      </c>
      <c r="I18">
        <f t="shared" si="0"/>
        <v>0.02</v>
      </c>
      <c r="J18">
        <v>0</v>
      </c>
    </row>
    <row r="19" spans="1:10">
      <c r="A19">
        <v>2019</v>
      </c>
      <c r="B19" t="s">
        <v>255</v>
      </c>
      <c r="C19" t="s">
        <v>0</v>
      </c>
      <c r="D19" t="s">
        <v>17</v>
      </c>
      <c r="E19" t="s">
        <v>42</v>
      </c>
      <c r="F19" t="s">
        <v>59</v>
      </c>
      <c r="G19">
        <v>750</v>
      </c>
      <c r="H19">
        <v>12500</v>
      </c>
      <c r="I19">
        <f t="shared" si="0"/>
        <v>0.06</v>
      </c>
      <c r="J19">
        <v>0</v>
      </c>
    </row>
    <row r="20" spans="1:10">
      <c r="A20">
        <v>2019</v>
      </c>
      <c r="B20" t="s">
        <v>255</v>
      </c>
      <c r="C20" t="s">
        <v>0</v>
      </c>
      <c r="D20" t="s">
        <v>17</v>
      </c>
      <c r="E20" t="s">
        <v>42</v>
      </c>
      <c r="F20" t="s">
        <v>137</v>
      </c>
      <c r="G20">
        <v>565</v>
      </c>
      <c r="H20">
        <v>2566</v>
      </c>
      <c r="I20">
        <f t="shared" si="0"/>
        <v>0.22</v>
      </c>
      <c r="J20">
        <v>0</v>
      </c>
    </row>
    <row r="21" spans="1:10">
      <c r="A21">
        <v>2019</v>
      </c>
      <c r="B21" t="s">
        <v>255</v>
      </c>
      <c r="C21" t="s">
        <v>0</v>
      </c>
      <c r="D21" t="s">
        <v>17</v>
      </c>
      <c r="E21" t="s">
        <v>42</v>
      </c>
      <c r="F21" t="s">
        <v>61</v>
      </c>
      <c r="G21">
        <v>379</v>
      </c>
      <c r="H21">
        <v>1023</v>
      </c>
      <c r="I21">
        <f t="shared" si="0"/>
        <v>0.37</v>
      </c>
      <c r="J21">
        <v>0</v>
      </c>
    </row>
    <row r="22" spans="1:10">
      <c r="A22">
        <v>2021</v>
      </c>
      <c r="B22" t="s">
        <v>255</v>
      </c>
      <c r="C22" t="s">
        <v>0</v>
      </c>
      <c r="D22" t="s">
        <v>25</v>
      </c>
      <c r="E22" t="s">
        <v>259</v>
      </c>
      <c r="F22" t="s">
        <v>58</v>
      </c>
      <c r="G22">
        <v>10133</v>
      </c>
      <c r="H22">
        <v>76478</v>
      </c>
      <c r="I22">
        <f t="shared" si="0"/>
        <v>0.13200000000000001</v>
      </c>
      <c r="J22">
        <v>0</v>
      </c>
    </row>
    <row r="23" spans="1:10">
      <c r="A23">
        <v>2021</v>
      </c>
      <c r="B23" t="s">
        <v>255</v>
      </c>
      <c r="C23" t="s">
        <v>0</v>
      </c>
      <c r="D23" t="s">
        <v>25</v>
      </c>
      <c r="E23" t="s">
        <v>259</v>
      </c>
      <c r="F23" t="s">
        <v>59</v>
      </c>
      <c r="G23">
        <v>7539</v>
      </c>
      <c r="H23">
        <v>95809</v>
      </c>
      <c r="I23">
        <f t="shared" si="0"/>
        <v>7.9000000000000001E-2</v>
      </c>
      <c r="J23">
        <v>0</v>
      </c>
    </row>
    <row r="24" spans="1:10">
      <c r="A24">
        <v>2021</v>
      </c>
      <c r="B24" t="s">
        <v>255</v>
      </c>
      <c r="C24" t="s">
        <v>0</v>
      </c>
      <c r="D24" t="s">
        <v>25</v>
      </c>
      <c r="E24" t="s">
        <v>259</v>
      </c>
      <c r="F24" t="s">
        <v>137</v>
      </c>
      <c r="G24">
        <v>1325</v>
      </c>
      <c r="H24">
        <v>23965</v>
      </c>
      <c r="I24">
        <f t="shared" si="0"/>
        <v>5.5E-2</v>
      </c>
      <c r="J24">
        <v>0</v>
      </c>
    </row>
    <row r="25" spans="1:10">
      <c r="A25">
        <v>2021</v>
      </c>
      <c r="B25" t="s">
        <v>255</v>
      </c>
      <c r="C25" t="s">
        <v>0</v>
      </c>
      <c r="D25" t="s">
        <v>25</v>
      </c>
      <c r="E25" t="s">
        <v>259</v>
      </c>
      <c r="F25" t="s">
        <v>61</v>
      </c>
      <c r="G25">
        <v>1354</v>
      </c>
      <c r="H25">
        <v>9402</v>
      </c>
      <c r="I25">
        <f t="shared" si="0"/>
        <v>0.14399999999999999</v>
      </c>
      <c r="J25">
        <v>0</v>
      </c>
    </row>
    <row r="26" spans="1:10">
      <c r="A26" t="s">
        <v>140</v>
      </c>
      <c r="B26" t="s">
        <v>255</v>
      </c>
      <c r="C26" t="s">
        <v>0</v>
      </c>
      <c r="D26" t="s">
        <v>25</v>
      </c>
      <c r="E26" t="s">
        <v>260</v>
      </c>
      <c r="F26" t="s">
        <v>58</v>
      </c>
      <c r="G26" t="s">
        <v>140</v>
      </c>
      <c r="H26" t="s">
        <v>140</v>
      </c>
      <c r="I26" t="s">
        <v>140</v>
      </c>
      <c r="J26" t="s">
        <v>140</v>
      </c>
    </row>
    <row r="27" spans="1:10">
      <c r="A27" t="s">
        <v>140</v>
      </c>
      <c r="B27" t="s">
        <v>255</v>
      </c>
      <c r="C27" t="s">
        <v>0</v>
      </c>
      <c r="D27" t="s">
        <v>25</v>
      </c>
      <c r="E27" t="s">
        <v>260</v>
      </c>
      <c r="F27" t="s">
        <v>59</v>
      </c>
      <c r="G27" t="s">
        <v>140</v>
      </c>
      <c r="H27" t="s">
        <v>140</v>
      </c>
      <c r="I27" t="s">
        <v>140</v>
      </c>
      <c r="J27" t="s">
        <v>140</v>
      </c>
    </row>
    <row r="28" spans="1:10">
      <c r="A28" t="s">
        <v>140</v>
      </c>
      <c r="B28" t="s">
        <v>255</v>
      </c>
      <c r="C28" t="s">
        <v>0</v>
      </c>
      <c r="D28" t="s">
        <v>25</v>
      </c>
      <c r="E28" t="s">
        <v>260</v>
      </c>
      <c r="F28" t="s">
        <v>137</v>
      </c>
      <c r="G28" t="s">
        <v>140</v>
      </c>
      <c r="H28" t="s">
        <v>140</v>
      </c>
      <c r="I28" t="s">
        <v>140</v>
      </c>
      <c r="J28" t="s">
        <v>140</v>
      </c>
    </row>
    <row r="29" spans="1:10">
      <c r="A29" t="s">
        <v>140</v>
      </c>
      <c r="B29" t="s">
        <v>255</v>
      </c>
      <c r="C29" t="s">
        <v>0</v>
      </c>
      <c r="D29" t="s">
        <v>25</v>
      </c>
      <c r="E29" t="s">
        <v>260</v>
      </c>
      <c r="F29" t="s">
        <v>61</v>
      </c>
      <c r="G29" t="s">
        <v>140</v>
      </c>
      <c r="H29" t="s">
        <v>140</v>
      </c>
      <c r="I29" t="s">
        <v>140</v>
      </c>
      <c r="J29" t="s">
        <v>140</v>
      </c>
    </row>
    <row r="30" spans="1:10">
      <c r="A30">
        <v>2017</v>
      </c>
      <c r="B30" t="s">
        <v>255</v>
      </c>
      <c r="C30" t="s">
        <v>0</v>
      </c>
      <c r="D30" t="s">
        <v>25</v>
      </c>
      <c r="E30" t="s">
        <v>63</v>
      </c>
      <c r="F30" t="s">
        <v>58</v>
      </c>
      <c r="G30">
        <v>1138</v>
      </c>
      <c r="H30">
        <v>9376</v>
      </c>
      <c r="I30">
        <f t="shared" si="0"/>
        <v>0.121</v>
      </c>
      <c r="J30">
        <v>0</v>
      </c>
    </row>
    <row r="31" spans="1:10">
      <c r="A31">
        <v>2017</v>
      </c>
      <c r="B31" t="s">
        <v>255</v>
      </c>
      <c r="C31" t="s">
        <v>0</v>
      </c>
      <c r="D31" t="s">
        <v>25</v>
      </c>
      <c r="E31" t="s">
        <v>63</v>
      </c>
      <c r="F31" t="s">
        <v>59</v>
      </c>
      <c r="G31">
        <v>2778</v>
      </c>
      <c r="H31">
        <v>12500</v>
      </c>
      <c r="I31">
        <f t="shared" si="0"/>
        <v>0.222</v>
      </c>
      <c r="J31">
        <v>0</v>
      </c>
    </row>
    <row r="32" spans="1:10">
      <c r="A32">
        <v>2017</v>
      </c>
      <c r="B32" t="s">
        <v>255</v>
      </c>
      <c r="C32" t="s">
        <v>0</v>
      </c>
      <c r="D32" t="s">
        <v>25</v>
      </c>
      <c r="E32" t="s">
        <v>63</v>
      </c>
      <c r="F32" t="s">
        <v>137</v>
      </c>
      <c r="G32">
        <v>1286</v>
      </c>
      <c r="H32">
        <v>2566</v>
      </c>
      <c r="I32">
        <f t="shared" si="0"/>
        <v>0.501</v>
      </c>
      <c r="J32">
        <v>0</v>
      </c>
    </row>
    <row r="33" spans="1:10">
      <c r="A33">
        <v>2017</v>
      </c>
      <c r="B33" t="s">
        <v>255</v>
      </c>
      <c r="C33" t="s">
        <v>0</v>
      </c>
      <c r="D33" t="s">
        <v>25</v>
      </c>
      <c r="E33" t="s">
        <v>63</v>
      </c>
      <c r="F33" t="s">
        <v>61</v>
      </c>
      <c r="G33">
        <v>547</v>
      </c>
      <c r="H33">
        <v>1023</v>
      </c>
      <c r="I33">
        <f t="shared" si="0"/>
        <v>0.53500000000000003</v>
      </c>
      <c r="J33">
        <v>0</v>
      </c>
    </row>
    <row r="34" spans="1:10">
      <c r="A34">
        <v>2020</v>
      </c>
      <c r="B34" t="s">
        <v>255</v>
      </c>
      <c r="C34" t="s">
        <v>0</v>
      </c>
      <c r="D34" t="s">
        <v>25</v>
      </c>
      <c r="E34" t="s">
        <v>119</v>
      </c>
      <c r="F34" t="s">
        <v>58</v>
      </c>
      <c r="G34">
        <v>187129</v>
      </c>
      <c r="H34">
        <v>776467</v>
      </c>
      <c r="I34">
        <f t="shared" si="0"/>
        <v>0.24099999999999999</v>
      </c>
      <c r="J34">
        <v>0</v>
      </c>
    </row>
    <row r="35" spans="1:10">
      <c r="A35">
        <v>2020</v>
      </c>
      <c r="B35" t="s">
        <v>255</v>
      </c>
      <c r="C35" t="s">
        <v>0</v>
      </c>
      <c r="D35" t="s">
        <v>25</v>
      </c>
      <c r="E35" t="s">
        <v>119</v>
      </c>
      <c r="F35" t="s">
        <v>59</v>
      </c>
      <c r="G35">
        <v>144501</v>
      </c>
      <c r="H35">
        <v>772735</v>
      </c>
      <c r="I35">
        <f t="shared" si="0"/>
        <v>0.187</v>
      </c>
      <c r="J35">
        <v>0</v>
      </c>
    </row>
    <row r="36" spans="1:10">
      <c r="A36">
        <v>2020</v>
      </c>
      <c r="B36" t="s">
        <v>255</v>
      </c>
      <c r="C36" t="s">
        <v>0</v>
      </c>
      <c r="D36" t="s">
        <v>25</v>
      </c>
      <c r="E36" t="s">
        <v>119</v>
      </c>
      <c r="F36" t="s">
        <v>137</v>
      </c>
      <c r="G36">
        <v>106110</v>
      </c>
      <c r="H36">
        <v>899235</v>
      </c>
      <c r="I36">
        <f t="shared" si="0"/>
        <v>0.11799999999999999</v>
      </c>
      <c r="J36">
        <v>0</v>
      </c>
    </row>
    <row r="37" spans="1:10">
      <c r="A37">
        <v>2020</v>
      </c>
      <c r="B37" t="s">
        <v>255</v>
      </c>
      <c r="C37" t="s">
        <v>0</v>
      </c>
      <c r="D37" t="s">
        <v>25</v>
      </c>
      <c r="E37" t="s">
        <v>119</v>
      </c>
      <c r="F37" t="s">
        <v>61</v>
      </c>
      <c r="G37">
        <v>23140</v>
      </c>
      <c r="H37">
        <v>182202</v>
      </c>
      <c r="I37">
        <f t="shared" si="0"/>
        <v>0.127</v>
      </c>
      <c r="J37">
        <v>0</v>
      </c>
    </row>
    <row r="38" spans="1:10">
      <c r="A38">
        <v>2021</v>
      </c>
      <c r="B38" t="s">
        <v>255</v>
      </c>
      <c r="C38" t="s">
        <v>72</v>
      </c>
      <c r="D38" t="s">
        <v>8</v>
      </c>
      <c r="E38" t="s">
        <v>261</v>
      </c>
      <c r="F38" t="s">
        <v>58</v>
      </c>
      <c r="G38">
        <v>887</v>
      </c>
      <c r="H38">
        <v>7850</v>
      </c>
      <c r="I38">
        <f t="shared" si="0"/>
        <v>0.113</v>
      </c>
      <c r="J38">
        <v>0</v>
      </c>
    </row>
    <row r="39" spans="1:10">
      <c r="A39">
        <v>2021</v>
      </c>
      <c r="B39" t="s">
        <v>255</v>
      </c>
      <c r="C39" t="s">
        <v>72</v>
      </c>
      <c r="D39" t="s">
        <v>8</v>
      </c>
      <c r="E39" t="s">
        <v>261</v>
      </c>
      <c r="F39" t="s">
        <v>59</v>
      </c>
      <c r="G39">
        <v>2169</v>
      </c>
      <c r="H39">
        <v>11418</v>
      </c>
      <c r="I39">
        <f t="shared" si="0"/>
        <v>0.19</v>
      </c>
      <c r="J39">
        <v>0</v>
      </c>
    </row>
    <row r="40" spans="1:10">
      <c r="A40">
        <v>2021</v>
      </c>
      <c r="B40" t="s">
        <v>255</v>
      </c>
      <c r="C40" t="s">
        <v>72</v>
      </c>
      <c r="D40" t="s">
        <v>8</v>
      </c>
      <c r="E40" t="s">
        <v>261</v>
      </c>
      <c r="F40" t="s">
        <v>137</v>
      </c>
      <c r="G40">
        <v>1449</v>
      </c>
      <c r="H40">
        <v>2278</v>
      </c>
      <c r="I40">
        <f t="shared" si="0"/>
        <v>0.63600000000000001</v>
      </c>
      <c r="J40">
        <v>0</v>
      </c>
    </row>
    <row r="41" spans="1:10">
      <c r="A41">
        <v>2021</v>
      </c>
      <c r="B41" t="s">
        <v>255</v>
      </c>
      <c r="C41" t="s">
        <v>72</v>
      </c>
      <c r="D41" t="s">
        <v>8</v>
      </c>
      <c r="E41" t="s">
        <v>261</v>
      </c>
      <c r="F41" t="s">
        <v>61</v>
      </c>
      <c r="G41">
        <v>574</v>
      </c>
      <c r="H41">
        <v>1090</v>
      </c>
      <c r="I41">
        <f t="shared" si="0"/>
        <v>0.52700000000000002</v>
      </c>
      <c r="J41">
        <v>0</v>
      </c>
    </row>
    <row r="42" spans="1:10">
      <c r="A42">
        <v>2021</v>
      </c>
      <c r="B42" t="s">
        <v>255</v>
      </c>
      <c r="C42" t="s">
        <v>72</v>
      </c>
      <c r="D42" t="s">
        <v>8</v>
      </c>
      <c r="E42" t="s">
        <v>262</v>
      </c>
      <c r="F42" t="s">
        <v>58</v>
      </c>
      <c r="G42">
        <v>71</v>
      </c>
      <c r="H42">
        <f>412</f>
        <v>412</v>
      </c>
      <c r="I42">
        <f t="shared" si="0"/>
        <v>0.17199999999999999</v>
      </c>
      <c r="J42">
        <v>0</v>
      </c>
    </row>
    <row r="43" spans="1:10">
      <c r="A43">
        <v>2021</v>
      </c>
      <c r="B43" t="s">
        <v>255</v>
      </c>
      <c r="C43" t="s">
        <v>72</v>
      </c>
      <c r="D43" t="s">
        <v>8</v>
      </c>
      <c r="E43" t="s">
        <v>262</v>
      </c>
      <c r="F43" t="s">
        <v>59</v>
      </c>
      <c r="G43">
        <v>324</v>
      </c>
      <c r="H43">
        <v>1004</v>
      </c>
      <c r="I43">
        <f t="shared" si="0"/>
        <v>0.32300000000000001</v>
      </c>
      <c r="J43">
        <v>0</v>
      </c>
    </row>
    <row r="44" spans="1:10">
      <c r="A44">
        <v>2021</v>
      </c>
      <c r="B44" t="s">
        <v>255</v>
      </c>
      <c r="C44" t="s">
        <v>72</v>
      </c>
      <c r="D44" t="s">
        <v>8</v>
      </c>
      <c r="E44" t="s">
        <v>262</v>
      </c>
      <c r="F44" t="s">
        <v>137</v>
      </c>
      <c r="G44">
        <v>434</v>
      </c>
      <c r="H44">
        <v>627</v>
      </c>
      <c r="I44">
        <f t="shared" si="0"/>
        <v>0.69199999999999995</v>
      </c>
      <c r="J44">
        <v>0</v>
      </c>
    </row>
    <row r="45" spans="1:10">
      <c r="A45">
        <v>2021</v>
      </c>
      <c r="B45" t="s">
        <v>255</v>
      </c>
      <c r="C45" t="s">
        <v>72</v>
      </c>
      <c r="D45" t="s">
        <v>8</v>
      </c>
      <c r="E45" t="s">
        <v>262</v>
      </c>
      <c r="F45" t="s">
        <v>61</v>
      </c>
      <c r="G45">
        <v>209</v>
      </c>
      <c r="H45">
        <v>338</v>
      </c>
      <c r="I45">
        <f t="shared" si="0"/>
        <v>0.61799999999999999</v>
      </c>
      <c r="J45">
        <v>0</v>
      </c>
    </row>
    <row r="46" spans="1:10">
      <c r="A46">
        <v>2021</v>
      </c>
      <c r="B46" t="s">
        <v>255</v>
      </c>
      <c r="C46" t="s">
        <v>72</v>
      </c>
      <c r="D46" t="s">
        <v>8</v>
      </c>
      <c r="E46" t="s">
        <v>263</v>
      </c>
      <c r="F46" t="s">
        <v>58</v>
      </c>
      <c r="G46">
        <v>157</v>
      </c>
      <c r="H46">
        <v>37203</v>
      </c>
      <c r="I46">
        <f t="shared" si="0"/>
        <v>4.0000000000000001E-3</v>
      </c>
      <c r="J46">
        <v>0</v>
      </c>
    </row>
    <row r="47" spans="1:10">
      <c r="A47">
        <v>2021</v>
      </c>
      <c r="B47" t="s">
        <v>255</v>
      </c>
      <c r="C47" t="s">
        <v>72</v>
      </c>
      <c r="D47" t="s">
        <v>8</v>
      </c>
      <c r="E47" t="s">
        <v>263</v>
      </c>
      <c r="F47" t="s">
        <v>59</v>
      </c>
      <c r="G47">
        <v>116</v>
      </c>
      <c r="H47">
        <v>51228</v>
      </c>
      <c r="I47">
        <f t="shared" si="0"/>
        <v>2E-3</v>
      </c>
      <c r="J47">
        <v>0</v>
      </c>
    </row>
    <row r="48" spans="1:10">
      <c r="A48">
        <v>2021</v>
      </c>
      <c r="B48" t="s">
        <v>255</v>
      </c>
      <c r="C48" t="s">
        <v>72</v>
      </c>
      <c r="D48" t="s">
        <v>8</v>
      </c>
      <c r="E48" t="s">
        <v>263</v>
      </c>
      <c r="F48" t="s">
        <v>137</v>
      </c>
      <c r="G48">
        <v>19</v>
      </c>
      <c r="H48">
        <v>9724</v>
      </c>
      <c r="I48">
        <f t="shared" si="0"/>
        <v>2E-3</v>
      </c>
      <c r="J48">
        <v>0</v>
      </c>
    </row>
    <row r="49" spans="1:10">
      <c r="A49">
        <v>2021</v>
      </c>
      <c r="B49" t="s">
        <v>255</v>
      </c>
      <c r="C49" t="s">
        <v>72</v>
      </c>
      <c r="D49" t="s">
        <v>8</v>
      </c>
      <c r="E49" t="s">
        <v>263</v>
      </c>
      <c r="F49" t="s">
        <v>61</v>
      </c>
      <c r="G49">
        <v>5</v>
      </c>
      <c r="H49">
        <v>4262</v>
      </c>
      <c r="I49">
        <f t="shared" si="0"/>
        <v>1E-3</v>
      </c>
      <c r="J49">
        <v>0</v>
      </c>
    </row>
    <row r="50" spans="1:10">
      <c r="A50">
        <v>2021</v>
      </c>
      <c r="B50" t="s">
        <v>255</v>
      </c>
      <c r="C50" t="s">
        <v>72</v>
      </c>
      <c r="D50" t="s">
        <v>17</v>
      </c>
      <c r="E50" t="s">
        <v>264</v>
      </c>
      <c r="F50" t="s">
        <v>58</v>
      </c>
      <c r="G50">
        <v>55</v>
      </c>
      <c r="H50">
        <v>7850</v>
      </c>
      <c r="I50">
        <f t="shared" si="0"/>
        <v>7.0000000000000001E-3</v>
      </c>
      <c r="J50">
        <v>0</v>
      </c>
    </row>
    <row r="51" spans="1:10">
      <c r="A51">
        <v>2021</v>
      </c>
      <c r="B51" t="s">
        <v>255</v>
      </c>
      <c r="C51" t="s">
        <v>72</v>
      </c>
      <c r="D51" t="s">
        <v>17</v>
      </c>
      <c r="E51" t="s">
        <v>264</v>
      </c>
      <c r="F51" t="s">
        <v>59</v>
      </c>
      <c r="G51">
        <v>206</v>
      </c>
      <c r="H51">
        <v>11418</v>
      </c>
      <c r="I51">
        <f t="shared" si="0"/>
        <v>1.7999999999999999E-2</v>
      </c>
      <c r="J51">
        <v>0</v>
      </c>
    </row>
    <row r="52" spans="1:10">
      <c r="A52">
        <v>2021</v>
      </c>
      <c r="B52" t="s">
        <v>255</v>
      </c>
      <c r="C52" t="s">
        <v>72</v>
      </c>
      <c r="D52" t="s">
        <v>17</v>
      </c>
      <c r="E52" t="s">
        <v>264</v>
      </c>
      <c r="F52" t="s">
        <v>137</v>
      </c>
      <c r="G52">
        <v>508</v>
      </c>
      <c r="H52">
        <v>2278</v>
      </c>
      <c r="I52">
        <f t="shared" si="0"/>
        <v>0.223</v>
      </c>
      <c r="J52">
        <v>0</v>
      </c>
    </row>
    <row r="53" spans="1:10">
      <c r="A53">
        <v>2021</v>
      </c>
      <c r="B53" t="s">
        <v>255</v>
      </c>
      <c r="C53" t="s">
        <v>72</v>
      </c>
      <c r="D53" t="s">
        <v>17</v>
      </c>
      <c r="E53" t="s">
        <v>264</v>
      </c>
      <c r="F53" t="s">
        <v>61</v>
      </c>
      <c r="G53">
        <v>256</v>
      </c>
      <c r="H53">
        <v>1090</v>
      </c>
      <c r="I53">
        <f t="shared" si="0"/>
        <v>0.23499999999999999</v>
      </c>
      <c r="J53">
        <v>0</v>
      </c>
    </row>
    <row r="54" spans="1:10">
      <c r="A54">
        <v>2021</v>
      </c>
      <c r="B54" t="s">
        <v>255</v>
      </c>
      <c r="C54" t="s">
        <v>72</v>
      </c>
      <c r="D54" t="s">
        <v>17</v>
      </c>
      <c r="E54" t="s">
        <v>265</v>
      </c>
      <c r="F54" t="s">
        <v>58</v>
      </c>
      <c r="G54">
        <v>5</v>
      </c>
      <c r="H54">
        <f>412</f>
        <v>412</v>
      </c>
      <c r="I54">
        <f t="shared" si="0"/>
        <v>1.2E-2</v>
      </c>
      <c r="J54">
        <v>0</v>
      </c>
    </row>
    <row r="55" spans="1:10">
      <c r="A55">
        <v>2021</v>
      </c>
      <c r="B55" t="s">
        <v>255</v>
      </c>
      <c r="C55" t="s">
        <v>72</v>
      </c>
      <c r="D55" t="s">
        <v>17</v>
      </c>
      <c r="E55" t="s">
        <v>265</v>
      </c>
      <c r="F55" t="s">
        <v>59</v>
      </c>
      <c r="G55">
        <v>29</v>
      </c>
      <c r="H55">
        <v>1004</v>
      </c>
      <c r="I55">
        <f t="shared" si="0"/>
        <v>2.9000000000000001E-2</v>
      </c>
      <c r="J55">
        <v>0</v>
      </c>
    </row>
    <row r="56" spans="1:10">
      <c r="A56">
        <v>2021</v>
      </c>
      <c r="B56" t="s">
        <v>255</v>
      </c>
      <c r="C56" t="s">
        <v>72</v>
      </c>
      <c r="D56" t="s">
        <v>17</v>
      </c>
      <c r="E56" t="s">
        <v>265</v>
      </c>
      <c r="F56" t="s">
        <v>137</v>
      </c>
      <c r="G56">
        <v>131</v>
      </c>
      <c r="H56">
        <v>627</v>
      </c>
      <c r="I56">
        <f t="shared" si="0"/>
        <v>0.20899999999999999</v>
      </c>
      <c r="J56">
        <v>0</v>
      </c>
    </row>
    <row r="57" spans="1:10">
      <c r="A57">
        <v>2021</v>
      </c>
      <c r="B57" t="s">
        <v>255</v>
      </c>
      <c r="C57" t="s">
        <v>72</v>
      </c>
      <c r="D57" t="s">
        <v>17</v>
      </c>
      <c r="E57" t="s">
        <v>265</v>
      </c>
      <c r="F57" t="s">
        <v>61</v>
      </c>
      <c r="G57">
        <v>61</v>
      </c>
      <c r="H57">
        <v>338</v>
      </c>
      <c r="I57">
        <f t="shared" si="0"/>
        <v>0.18</v>
      </c>
      <c r="J57">
        <v>0</v>
      </c>
    </row>
    <row r="58" spans="1:10">
      <c r="A58">
        <v>2021</v>
      </c>
      <c r="B58" t="s">
        <v>255</v>
      </c>
      <c r="C58" t="s">
        <v>72</v>
      </c>
      <c r="D58" t="s">
        <v>25</v>
      </c>
      <c r="E58" t="s">
        <v>266</v>
      </c>
      <c r="F58" t="s">
        <v>58</v>
      </c>
      <c r="G58">
        <f>412</f>
        <v>412</v>
      </c>
      <c r="H58">
        <f>37203</f>
        <v>37203</v>
      </c>
      <c r="I58">
        <f t="shared" si="0"/>
        <v>1.0999999999999999E-2</v>
      </c>
      <c r="J58">
        <v>0</v>
      </c>
    </row>
    <row r="59" spans="1:10">
      <c r="A59">
        <v>2021</v>
      </c>
      <c r="B59" t="s">
        <v>255</v>
      </c>
      <c r="C59" t="s">
        <v>72</v>
      </c>
      <c r="D59" t="s">
        <v>25</v>
      </c>
      <c r="E59" t="s">
        <v>266</v>
      </c>
      <c r="F59" t="s">
        <v>59</v>
      </c>
      <c r="G59">
        <v>1004</v>
      </c>
      <c r="H59">
        <v>51228</v>
      </c>
      <c r="I59">
        <f t="shared" si="0"/>
        <v>0.02</v>
      </c>
      <c r="J59">
        <v>0</v>
      </c>
    </row>
    <row r="60" spans="1:10">
      <c r="A60">
        <v>2021</v>
      </c>
      <c r="B60" t="s">
        <v>255</v>
      </c>
      <c r="C60" t="s">
        <v>72</v>
      </c>
      <c r="D60" t="s">
        <v>25</v>
      </c>
      <c r="E60" t="s">
        <v>266</v>
      </c>
      <c r="F60" t="s">
        <v>137</v>
      </c>
      <c r="G60">
        <v>627</v>
      </c>
      <c r="H60">
        <v>9724</v>
      </c>
      <c r="I60">
        <f t="shared" si="0"/>
        <v>6.4000000000000001E-2</v>
      </c>
      <c r="J60">
        <v>0</v>
      </c>
    </row>
    <row r="61" spans="1:10">
      <c r="A61">
        <v>2021</v>
      </c>
      <c r="B61" t="s">
        <v>255</v>
      </c>
      <c r="C61" t="s">
        <v>72</v>
      </c>
      <c r="D61" t="s">
        <v>25</v>
      </c>
      <c r="E61" t="s">
        <v>266</v>
      </c>
      <c r="F61" t="s">
        <v>61</v>
      </c>
      <c r="G61">
        <v>338</v>
      </c>
      <c r="H61">
        <v>4262</v>
      </c>
      <c r="I61">
        <f t="shared" si="0"/>
        <v>7.9000000000000001E-2</v>
      </c>
      <c r="J61">
        <v>0</v>
      </c>
    </row>
    <row r="62" spans="1:10">
      <c r="A62">
        <v>2021</v>
      </c>
      <c r="B62" t="s">
        <v>255</v>
      </c>
      <c r="C62" t="s">
        <v>72</v>
      </c>
      <c r="D62" t="s">
        <v>25</v>
      </c>
      <c r="E62" t="s">
        <v>267</v>
      </c>
      <c r="F62" t="s">
        <v>58</v>
      </c>
      <c r="G62">
        <v>3274</v>
      </c>
      <c r="H62">
        <v>37203</v>
      </c>
      <c r="I62">
        <f t="shared" si="0"/>
        <v>8.7999999999999995E-2</v>
      </c>
      <c r="J62">
        <v>0</v>
      </c>
    </row>
    <row r="63" spans="1:10">
      <c r="A63">
        <v>2021</v>
      </c>
      <c r="B63" t="s">
        <v>255</v>
      </c>
      <c r="C63" t="s">
        <v>72</v>
      </c>
      <c r="D63" t="s">
        <v>25</v>
      </c>
      <c r="E63" t="s">
        <v>267</v>
      </c>
      <c r="F63" t="s">
        <v>59</v>
      </c>
      <c r="G63">
        <v>10092</v>
      </c>
      <c r="H63">
        <v>51228</v>
      </c>
      <c r="I63">
        <f t="shared" si="0"/>
        <v>0.19700000000000001</v>
      </c>
      <c r="J63">
        <v>0</v>
      </c>
    </row>
    <row r="64" spans="1:10">
      <c r="A64">
        <v>2021</v>
      </c>
      <c r="B64" t="s">
        <v>255</v>
      </c>
      <c r="C64" t="s">
        <v>72</v>
      </c>
      <c r="D64" t="s">
        <v>25</v>
      </c>
      <c r="E64" t="s">
        <v>267</v>
      </c>
      <c r="F64" t="s">
        <v>137</v>
      </c>
      <c r="G64">
        <v>1322</v>
      </c>
      <c r="H64">
        <v>9724</v>
      </c>
      <c r="I64">
        <f t="shared" si="0"/>
        <v>0.13600000000000001</v>
      </c>
      <c r="J64">
        <v>0</v>
      </c>
    </row>
    <row r="65" spans="1:10">
      <c r="A65">
        <v>2021</v>
      </c>
      <c r="B65" t="s">
        <v>255</v>
      </c>
      <c r="C65" t="s">
        <v>72</v>
      </c>
      <c r="D65" t="s">
        <v>25</v>
      </c>
      <c r="E65" t="s">
        <v>267</v>
      </c>
      <c r="F65" t="s">
        <v>61</v>
      </c>
      <c r="G65">
        <v>844</v>
      </c>
      <c r="H65">
        <v>4262</v>
      </c>
      <c r="I65">
        <f t="shared" si="0"/>
        <v>0.19800000000000001</v>
      </c>
      <c r="J65">
        <v>0</v>
      </c>
    </row>
    <row r="66" spans="1:10">
      <c r="A66">
        <v>2021</v>
      </c>
      <c r="B66" t="s">
        <v>255</v>
      </c>
      <c r="C66" t="s">
        <v>72</v>
      </c>
      <c r="D66" t="s">
        <v>25</v>
      </c>
      <c r="E66" t="s">
        <v>268</v>
      </c>
      <c r="F66" t="s">
        <v>58</v>
      </c>
      <c r="G66">
        <v>2054</v>
      </c>
      <c r="H66">
        <v>37203</v>
      </c>
      <c r="I66">
        <f t="shared" si="0"/>
        <v>5.5E-2</v>
      </c>
      <c r="J66">
        <v>0</v>
      </c>
    </row>
    <row r="67" spans="1:10">
      <c r="A67">
        <v>2021</v>
      </c>
      <c r="B67" t="s">
        <v>255</v>
      </c>
      <c r="C67" t="s">
        <v>72</v>
      </c>
      <c r="D67" t="s">
        <v>25</v>
      </c>
      <c r="E67" t="s">
        <v>268</v>
      </c>
      <c r="F67" t="s">
        <v>59</v>
      </c>
      <c r="G67">
        <v>4752</v>
      </c>
      <c r="H67">
        <v>51228</v>
      </c>
      <c r="I67">
        <f t="shared" ref="I67:I129" si="1">ROUND(G67/H67,3)</f>
        <v>9.2999999999999999E-2</v>
      </c>
      <c r="J67">
        <v>0</v>
      </c>
    </row>
    <row r="68" spans="1:10">
      <c r="A68">
        <v>2021</v>
      </c>
      <c r="B68" t="s">
        <v>255</v>
      </c>
      <c r="C68" t="s">
        <v>72</v>
      </c>
      <c r="D68" t="s">
        <v>25</v>
      </c>
      <c r="E68" t="s">
        <v>268</v>
      </c>
      <c r="F68" t="s">
        <v>137</v>
      </c>
      <c r="G68">
        <v>1905</v>
      </c>
      <c r="H68">
        <v>9724</v>
      </c>
      <c r="I68">
        <f t="shared" si="1"/>
        <v>0.19600000000000001</v>
      </c>
      <c r="J68">
        <v>0</v>
      </c>
    </row>
    <row r="69" spans="1:10">
      <c r="A69">
        <v>2021</v>
      </c>
      <c r="B69" t="s">
        <v>255</v>
      </c>
      <c r="C69" t="s">
        <v>72</v>
      </c>
      <c r="D69" t="s">
        <v>25</v>
      </c>
      <c r="E69" t="s">
        <v>268</v>
      </c>
      <c r="F69" t="s">
        <v>61</v>
      </c>
      <c r="G69">
        <v>1081</v>
      </c>
      <c r="H69">
        <v>4262</v>
      </c>
      <c r="I69">
        <f t="shared" si="1"/>
        <v>0.254</v>
      </c>
      <c r="J69">
        <v>0</v>
      </c>
    </row>
    <row r="70" spans="1:10">
      <c r="A70">
        <v>2017</v>
      </c>
      <c r="B70" t="s">
        <v>255</v>
      </c>
      <c r="C70" t="s">
        <v>72</v>
      </c>
      <c r="D70" t="s">
        <v>25</v>
      </c>
      <c r="E70" t="s">
        <v>73</v>
      </c>
      <c r="F70" t="s">
        <v>58</v>
      </c>
      <c r="G70">
        <v>10952</v>
      </c>
      <c r="H70">
        <v>37203</v>
      </c>
      <c r="I70">
        <f t="shared" si="1"/>
        <v>0.29399999999999998</v>
      </c>
      <c r="J70">
        <v>0</v>
      </c>
    </row>
    <row r="71" spans="1:10">
      <c r="A71">
        <v>2017</v>
      </c>
      <c r="B71" t="s">
        <v>255</v>
      </c>
      <c r="C71" t="s">
        <v>72</v>
      </c>
      <c r="D71" t="s">
        <v>25</v>
      </c>
      <c r="E71" t="s">
        <v>73</v>
      </c>
      <c r="F71" t="s">
        <v>59</v>
      </c>
      <c r="G71">
        <v>15275</v>
      </c>
      <c r="H71">
        <v>51228</v>
      </c>
      <c r="I71">
        <f t="shared" si="1"/>
        <v>0.29799999999999999</v>
      </c>
      <c r="J71">
        <v>0</v>
      </c>
    </row>
    <row r="72" spans="1:10">
      <c r="A72">
        <v>2017</v>
      </c>
      <c r="B72" t="s">
        <v>255</v>
      </c>
      <c r="C72" t="s">
        <v>72</v>
      </c>
      <c r="D72" t="s">
        <v>25</v>
      </c>
      <c r="E72" t="s">
        <v>73</v>
      </c>
      <c r="F72" t="s">
        <v>137</v>
      </c>
      <c r="G72">
        <v>3728</v>
      </c>
      <c r="H72">
        <v>9724</v>
      </c>
      <c r="I72">
        <f t="shared" si="1"/>
        <v>0.38300000000000001</v>
      </c>
      <c r="J72">
        <v>0</v>
      </c>
    </row>
    <row r="73" spans="1:10">
      <c r="A73">
        <v>2017</v>
      </c>
      <c r="B73" t="s">
        <v>255</v>
      </c>
      <c r="C73" t="s">
        <v>72</v>
      </c>
      <c r="D73" t="s">
        <v>25</v>
      </c>
      <c r="E73" t="s">
        <v>73</v>
      </c>
      <c r="F73" t="s">
        <v>61</v>
      </c>
      <c r="G73">
        <v>1847</v>
      </c>
      <c r="H73">
        <v>4262</v>
      </c>
      <c r="I73">
        <f t="shared" si="1"/>
        <v>0.433</v>
      </c>
      <c r="J73">
        <v>0</v>
      </c>
    </row>
    <row r="74" spans="1:10">
      <c r="A74">
        <v>2021</v>
      </c>
      <c r="B74" t="s">
        <v>255</v>
      </c>
      <c r="C74" t="s">
        <v>269</v>
      </c>
      <c r="D74" t="s">
        <v>8</v>
      </c>
      <c r="E74" t="s">
        <v>270</v>
      </c>
      <c r="F74" t="s">
        <v>58</v>
      </c>
      <c r="G74">
        <v>193</v>
      </c>
      <c r="H74">
        <v>1066</v>
      </c>
      <c r="I74">
        <f t="shared" si="1"/>
        <v>0.18099999999999999</v>
      </c>
      <c r="J74">
        <v>0</v>
      </c>
    </row>
    <row r="75" spans="1:10">
      <c r="A75">
        <v>2021</v>
      </c>
      <c r="B75" t="s">
        <v>255</v>
      </c>
      <c r="C75" t="s">
        <v>269</v>
      </c>
      <c r="D75" t="s">
        <v>8</v>
      </c>
      <c r="E75" t="s">
        <v>270</v>
      </c>
      <c r="F75" t="s">
        <v>59</v>
      </c>
      <c r="G75">
        <v>448</v>
      </c>
      <c r="H75">
        <v>2134</v>
      </c>
      <c r="I75">
        <f t="shared" si="1"/>
        <v>0.21</v>
      </c>
      <c r="J75">
        <v>0</v>
      </c>
    </row>
    <row r="76" spans="1:10">
      <c r="A76">
        <v>2021</v>
      </c>
      <c r="B76" t="s">
        <v>255</v>
      </c>
      <c r="C76" t="s">
        <v>269</v>
      </c>
      <c r="D76" t="s">
        <v>8</v>
      </c>
      <c r="E76" t="s">
        <v>270</v>
      </c>
      <c r="F76" t="s">
        <v>137</v>
      </c>
      <c r="G76">
        <v>1437</v>
      </c>
      <c r="H76">
        <v>5264</v>
      </c>
      <c r="I76">
        <f t="shared" si="1"/>
        <v>0.27300000000000002</v>
      </c>
      <c r="J76">
        <v>0</v>
      </c>
    </row>
    <row r="77" spans="1:10">
      <c r="A77">
        <v>2021</v>
      </c>
      <c r="B77" t="s">
        <v>255</v>
      </c>
      <c r="C77" t="s">
        <v>269</v>
      </c>
      <c r="D77" t="s">
        <v>8</v>
      </c>
      <c r="E77" t="s">
        <v>270</v>
      </c>
      <c r="F77" t="s">
        <v>61</v>
      </c>
      <c r="G77">
        <v>873</v>
      </c>
      <c r="H77">
        <v>3295</v>
      </c>
      <c r="I77">
        <f t="shared" si="1"/>
        <v>0.26500000000000001</v>
      </c>
      <c r="J77">
        <v>0</v>
      </c>
    </row>
    <row r="78" spans="1:10">
      <c r="A78">
        <v>2021</v>
      </c>
      <c r="B78" t="s">
        <v>255</v>
      </c>
      <c r="C78" t="s">
        <v>269</v>
      </c>
      <c r="D78" t="s">
        <v>8</v>
      </c>
      <c r="E78" t="s">
        <v>271</v>
      </c>
      <c r="F78" t="s">
        <v>58</v>
      </c>
      <c r="G78">
        <v>195</v>
      </c>
      <c r="H78">
        <v>6102</v>
      </c>
      <c r="I78">
        <f t="shared" si="1"/>
        <v>3.2000000000000001E-2</v>
      </c>
      <c r="J78">
        <v>0</v>
      </c>
    </row>
    <row r="79" spans="1:10">
      <c r="A79">
        <v>2021</v>
      </c>
      <c r="B79" t="s">
        <v>255</v>
      </c>
      <c r="C79" t="s">
        <v>269</v>
      </c>
      <c r="D79" t="s">
        <v>8</v>
      </c>
      <c r="E79" t="s">
        <v>271</v>
      </c>
      <c r="F79" t="s">
        <v>59</v>
      </c>
      <c r="G79">
        <v>452</v>
      </c>
      <c r="H79">
        <v>11594</v>
      </c>
      <c r="I79">
        <f t="shared" si="1"/>
        <v>3.9E-2</v>
      </c>
      <c r="J79">
        <v>0</v>
      </c>
    </row>
    <row r="80" spans="1:10">
      <c r="A80">
        <v>2021</v>
      </c>
      <c r="B80" t="s">
        <v>255</v>
      </c>
      <c r="C80" t="s">
        <v>269</v>
      </c>
      <c r="D80" t="s">
        <v>8</v>
      </c>
      <c r="E80" t="s">
        <v>271</v>
      </c>
      <c r="F80" t="s">
        <v>137</v>
      </c>
      <c r="G80">
        <v>1452</v>
      </c>
      <c r="H80">
        <v>37224</v>
      </c>
      <c r="I80">
        <f t="shared" si="1"/>
        <v>3.9E-2</v>
      </c>
      <c r="J80">
        <v>0</v>
      </c>
    </row>
    <row r="81" spans="1:10">
      <c r="A81">
        <v>2021</v>
      </c>
      <c r="B81" t="s">
        <v>255</v>
      </c>
      <c r="C81" t="s">
        <v>269</v>
      </c>
      <c r="D81" t="s">
        <v>8</v>
      </c>
      <c r="E81" t="s">
        <v>271</v>
      </c>
      <c r="F81" t="s">
        <v>61</v>
      </c>
      <c r="G81">
        <v>873</v>
      </c>
      <c r="H81">
        <v>6713</v>
      </c>
      <c r="I81">
        <f t="shared" si="1"/>
        <v>0.13</v>
      </c>
      <c r="J81">
        <v>0</v>
      </c>
    </row>
    <row r="82" spans="1:10">
      <c r="A82">
        <v>2021</v>
      </c>
      <c r="B82" t="s">
        <v>255</v>
      </c>
      <c r="C82" t="s">
        <v>269</v>
      </c>
      <c r="D82" t="s">
        <v>17</v>
      </c>
      <c r="E82" t="s">
        <v>272</v>
      </c>
      <c r="F82" t="s">
        <v>58</v>
      </c>
      <c r="G82">
        <v>41</v>
      </c>
      <c r="H82">
        <v>1457</v>
      </c>
      <c r="I82">
        <f t="shared" si="1"/>
        <v>2.8000000000000001E-2</v>
      </c>
      <c r="J82">
        <v>0</v>
      </c>
    </row>
    <row r="83" spans="1:10">
      <c r="A83">
        <v>2021</v>
      </c>
      <c r="B83" t="s">
        <v>255</v>
      </c>
      <c r="C83" t="s">
        <v>269</v>
      </c>
      <c r="D83" t="s">
        <v>17</v>
      </c>
      <c r="E83" t="s">
        <v>272</v>
      </c>
      <c r="F83" t="s">
        <v>59</v>
      </c>
      <c r="G83">
        <v>75</v>
      </c>
      <c r="H83">
        <v>1659</v>
      </c>
      <c r="I83">
        <f t="shared" si="1"/>
        <v>4.4999999999999998E-2</v>
      </c>
      <c r="J83">
        <v>0</v>
      </c>
    </row>
    <row r="84" spans="1:10">
      <c r="A84">
        <v>2021</v>
      </c>
      <c r="B84" t="s">
        <v>255</v>
      </c>
      <c r="C84" t="s">
        <v>269</v>
      </c>
      <c r="D84" t="s">
        <v>17</v>
      </c>
      <c r="E84" t="s">
        <v>272</v>
      </c>
      <c r="F84" t="s">
        <v>137</v>
      </c>
      <c r="G84">
        <v>719</v>
      </c>
      <c r="H84">
        <v>14664</v>
      </c>
      <c r="I84">
        <f t="shared" si="1"/>
        <v>4.9000000000000002E-2</v>
      </c>
      <c r="J84">
        <v>0</v>
      </c>
    </row>
    <row r="85" spans="1:10">
      <c r="A85">
        <v>2021</v>
      </c>
      <c r="B85" t="s">
        <v>255</v>
      </c>
      <c r="C85" t="s">
        <v>269</v>
      </c>
      <c r="D85" t="s">
        <v>17</v>
      </c>
      <c r="E85" t="s">
        <v>272</v>
      </c>
      <c r="F85" t="s">
        <v>61</v>
      </c>
      <c r="G85">
        <v>652</v>
      </c>
      <c r="H85">
        <v>4078</v>
      </c>
      <c r="I85">
        <f t="shared" si="1"/>
        <v>0.16</v>
      </c>
      <c r="J85">
        <v>0</v>
      </c>
    </row>
    <row r="86" spans="1:10">
      <c r="A86">
        <v>2022</v>
      </c>
      <c r="B86" t="s">
        <v>255</v>
      </c>
      <c r="C86" t="s">
        <v>269</v>
      </c>
      <c r="D86" t="s">
        <v>17</v>
      </c>
      <c r="E86" t="s">
        <v>273</v>
      </c>
      <c r="F86" t="s">
        <v>58</v>
      </c>
      <c r="G86">
        <v>98</v>
      </c>
      <c r="H86">
        <v>3059</v>
      </c>
      <c r="I86">
        <f t="shared" si="1"/>
        <v>3.2000000000000001E-2</v>
      </c>
      <c r="J86">
        <v>0</v>
      </c>
    </row>
    <row r="87" spans="1:10">
      <c r="A87">
        <v>2022</v>
      </c>
      <c r="B87" t="s">
        <v>255</v>
      </c>
      <c r="C87" t="s">
        <v>269</v>
      </c>
      <c r="D87" t="s">
        <v>17</v>
      </c>
      <c r="E87" t="s">
        <v>273</v>
      </c>
      <c r="F87" t="s">
        <v>59</v>
      </c>
      <c r="G87">
        <v>283</v>
      </c>
      <c r="H87">
        <v>7078</v>
      </c>
      <c r="I87">
        <f t="shared" si="1"/>
        <v>0.04</v>
      </c>
      <c r="J87">
        <v>0</v>
      </c>
    </row>
    <row r="88" spans="1:10">
      <c r="A88">
        <v>2022</v>
      </c>
      <c r="B88" t="s">
        <v>255</v>
      </c>
      <c r="C88" t="s">
        <v>269</v>
      </c>
      <c r="D88" t="s">
        <v>17</v>
      </c>
      <c r="E88" t="s">
        <v>273</v>
      </c>
      <c r="F88" t="s">
        <v>137</v>
      </c>
      <c r="G88">
        <v>982</v>
      </c>
      <c r="H88">
        <v>19643</v>
      </c>
      <c r="I88">
        <f t="shared" si="1"/>
        <v>0.05</v>
      </c>
      <c r="J88">
        <v>0</v>
      </c>
    </row>
    <row r="89" spans="1:10">
      <c r="A89">
        <v>2022</v>
      </c>
      <c r="B89" t="s">
        <v>255</v>
      </c>
      <c r="C89" t="s">
        <v>269</v>
      </c>
      <c r="D89" t="s">
        <v>17</v>
      </c>
      <c r="E89" t="s">
        <v>273</v>
      </c>
      <c r="F89" t="s">
        <v>61</v>
      </c>
      <c r="G89">
        <v>1838</v>
      </c>
      <c r="H89">
        <v>10623</v>
      </c>
      <c r="I89">
        <f t="shared" si="1"/>
        <v>0.17299999999999999</v>
      </c>
      <c r="J89">
        <v>0</v>
      </c>
    </row>
    <row r="90" spans="1:10">
      <c r="A90">
        <v>2021</v>
      </c>
      <c r="B90" t="s">
        <v>255</v>
      </c>
      <c r="C90" t="s">
        <v>269</v>
      </c>
      <c r="D90" t="s">
        <v>17</v>
      </c>
      <c r="E90" t="s">
        <v>274</v>
      </c>
      <c r="F90" t="s">
        <v>58</v>
      </c>
      <c r="G90">
        <v>19</v>
      </c>
      <c r="H90">
        <v>97</v>
      </c>
      <c r="I90">
        <f t="shared" si="1"/>
        <v>0.19600000000000001</v>
      </c>
      <c r="J90">
        <v>0</v>
      </c>
    </row>
    <row r="91" spans="1:10">
      <c r="A91">
        <v>2021</v>
      </c>
      <c r="B91" t="s">
        <v>255</v>
      </c>
      <c r="C91" t="s">
        <v>269</v>
      </c>
      <c r="D91" t="s">
        <v>17</v>
      </c>
      <c r="E91" t="s">
        <v>274</v>
      </c>
      <c r="F91" t="s">
        <v>59</v>
      </c>
      <c r="G91">
        <v>65</v>
      </c>
      <c r="H91">
        <v>283</v>
      </c>
      <c r="I91">
        <f t="shared" si="1"/>
        <v>0.23</v>
      </c>
      <c r="J91">
        <v>0</v>
      </c>
    </row>
    <row r="92" spans="1:10">
      <c r="A92">
        <v>2021</v>
      </c>
      <c r="B92" t="s">
        <v>255</v>
      </c>
      <c r="C92" t="s">
        <v>269</v>
      </c>
      <c r="D92" t="s">
        <v>17</v>
      </c>
      <c r="E92" t="s">
        <v>274</v>
      </c>
      <c r="F92" t="s">
        <v>137</v>
      </c>
      <c r="G92">
        <v>261</v>
      </c>
      <c r="H92">
        <v>983</v>
      </c>
      <c r="I92">
        <f t="shared" si="1"/>
        <v>0.26600000000000001</v>
      </c>
      <c r="J92">
        <v>0</v>
      </c>
    </row>
    <row r="93" spans="1:10">
      <c r="A93">
        <v>2021</v>
      </c>
      <c r="B93" t="s">
        <v>255</v>
      </c>
      <c r="C93" t="s">
        <v>269</v>
      </c>
      <c r="D93" t="s">
        <v>17</v>
      </c>
      <c r="E93" t="s">
        <v>274</v>
      </c>
      <c r="F93" t="s">
        <v>61</v>
      </c>
      <c r="G93">
        <v>376</v>
      </c>
      <c r="H93">
        <v>1841</v>
      </c>
      <c r="I93">
        <f t="shared" si="1"/>
        <v>0.20399999999999999</v>
      </c>
      <c r="J93">
        <v>0</v>
      </c>
    </row>
    <row r="94" spans="1:10">
      <c r="A94">
        <v>2022</v>
      </c>
      <c r="B94" t="s">
        <v>255</v>
      </c>
      <c r="C94" t="s">
        <v>269</v>
      </c>
      <c r="D94" t="s">
        <v>25</v>
      </c>
      <c r="E94" t="s">
        <v>275</v>
      </c>
      <c r="F94" t="s">
        <v>58</v>
      </c>
      <c r="G94">
        <v>1063</v>
      </c>
      <c r="H94">
        <v>27966</v>
      </c>
      <c r="I94">
        <f t="shared" si="1"/>
        <v>3.7999999999999999E-2</v>
      </c>
      <c r="J94">
        <v>0</v>
      </c>
    </row>
    <row r="95" spans="1:10">
      <c r="A95">
        <v>2022</v>
      </c>
      <c r="B95" t="s">
        <v>255</v>
      </c>
      <c r="C95" t="s">
        <v>269</v>
      </c>
      <c r="D95" t="s">
        <v>25</v>
      </c>
      <c r="E95" t="s">
        <v>275</v>
      </c>
      <c r="F95" t="s">
        <v>59</v>
      </c>
      <c r="G95">
        <v>2153</v>
      </c>
      <c r="H95">
        <v>51271</v>
      </c>
      <c r="I95">
        <f t="shared" si="1"/>
        <v>4.2000000000000003E-2</v>
      </c>
      <c r="J95">
        <v>0</v>
      </c>
    </row>
    <row r="96" spans="1:10">
      <c r="A96">
        <v>2022</v>
      </c>
      <c r="B96" t="s">
        <v>255</v>
      </c>
      <c r="C96" t="s">
        <v>269</v>
      </c>
      <c r="D96" t="s">
        <v>25</v>
      </c>
      <c r="E96" t="s">
        <v>275</v>
      </c>
      <c r="F96" t="s">
        <v>137</v>
      </c>
      <c r="G96">
        <v>5220</v>
      </c>
      <c r="H96">
        <v>130509</v>
      </c>
      <c r="I96">
        <f t="shared" si="1"/>
        <v>0.04</v>
      </c>
      <c r="J96">
        <v>0</v>
      </c>
    </row>
    <row r="97" spans="1:10">
      <c r="A97">
        <v>2022</v>
      </c>
      <c r="B97" t="s">
        <v>255</v>
      </c>
      <c r="C97" t="s">
        <v>269</v>
      </c>
      <c r="D97" t="s">
        <v>25</v>
      </c>
      <c r="E97" t="s">
        <v>275</v>
      </c>
      <c r="F97" t="s">
        <v>61</v>
      </c>
      <c r="G97">
        <v>3286</v>
      </c>
      <c r="H97">
        <v>23305</v>
      </c>
      <c r="I97">
        <f t="shared" si="1"/>
        <v>0.14099999999999999</v>
      </c>
      <c r="J97">
        <v>0</v>
      </c>
    </row>
    <row r="98" spans="1:10">
      <c r="A98">
        <v>2019</v>
      </c>
      <c r="B98" t="s">
        <v>255</v>
      </c>
      <c r="C98" t="s">
        <v>269</v>
      </c>
      <c r="D98" t="s">
        <v>25</v>
      </c>
      <c r="E98" t="s">
        <v>276</v>
      </c>
      <c r="F98" t="s">
        <v>58</v>
      </c>
      <c r="G98">
        <v>8003</v>
      </c>
      <c r="H98">
        <v>24399</v>
      </c>
      <c r="I98">
        <f t="shared" si="1"/>
        <v>0.32800000000000001</v>
      </c>
      <c r="J98">
        <v>0</v>
      </c>
    </row>
    <row r="99" spans="1:10">
      <c r="A99">
        <v>2019</v>
      </c>
      <c r="B99" t="s">
        <v>255</v>
      </c>
      <c r="C99" t="s">
        <v>269</v>
      </c>
      <c r="D99" t="s">
        <v>25</v>
      </c>
      <c r="E99" t="s">
        <v>276</v>
      </c>
      <c r="F99" t="s">
        <v>59</v>
      </c>
      <c r="G99">
        <v>9981</v>
      </c>
      <c r="H99">
        <v>37382</v>
      </c>
      <c r="I99">
        <f t="shared" si="1"/>
        <v>0.26700000000000002</v>
      </c>
      <c r="J99">
        <v>0</v>
      </c>
    </row>
    <row r="100" spans="1:10">
      <c r="A100">
        <v>2019</v>
      </c>
      <c r="B100" t="s">
        <v>255</v>
      </c>
      <c r="C100" t="s">
        <v>269</v>
      </c>
      <c r="D100" t="s">
        <v>25</v>
      </c>
      <c r="E100" t="s">
        <v>276</v>
      </c>
      <c r="F100" t="s">
        <v>137</v>
      </c>
      <c r="G100">
        <v>33489</v>
      </c>
      <c r="H100">
        <v>76460</v>
      </c>
      <c r="I100">
        <f t="shared" si="1"/>
        <v>0.438</v>
      </c>
      <c r="J100">
        <v>0</v>
      </c>
    </row>
    <row r="101" spans="1:10">
      <c r="A101">
        <v>2019</v>
      </c>
      <c r="B101" t="s">
        <v>255</v>
      </c>
      <c r="C101" t="s">
        <v>269</v>
      </c>
      <c r="D101" t="s">
        <v>25</v>
      </c>
      <c r="E101" t="s">
        <v>276</v>
      </c>
      <c r="F101" t="s">
        <v>61</v>
      </c>
      <c r="G101">
        <v>4860</v>
      </c>
      <c r="H101">
        <v>7813</v>
      </c>
      <c r="I101">
        <f t="shared" si="1"/>
        <v>0.622</v>
      </c>
      <c r="J101">
        <v>0</v>
      </c>
    </row>
    <row r="102" spans="1:10">
      <c r="A102">
        <v>2022</v>
      </c>
      <c r="B102" t="s">
        <v>255</v>
      </c>
      <c r="C102" t="s">
        <v>277</v>
      </c>
      <c r="D102" t="s">
        <v>8</v>
      </c>
      <c r="E102" t="s">
        <v>278</v>
      </c>
      <c r="F102" t="s">
        <v>58</v>
      </c>
      <c r="G102">
        <v>8618</v>
      </c>
      <c r="H102">
        <v>350308</v>
      </c>
      <c r="I102">
        <f t="shared" si="1"/>
        <v>2.5000000000000001E-2</v>
      </c>
      <c r="J102">
        <v>0</v>
      </c>
    </row>
    <row r="103" spans="1:10">
      <c r="A103">
        <v>2022</v>
      </c>
      <c r="B103" t="s">
        <v>255</v>
      </c>
      <c r="C103" t="s">
        <v>277</v>
      </c>
      <c r="D103" t="s">
        <v>8</v>
      </c>
      <c r="E103" t="s">
        <v>278</v>
      </c>
      <c r="F103" t="s">
        <v>59</v>
      </c>
      <c r="G103">
        <v>9223</v>
      </c>
      <c r="H103">
        <v>255494</v>
      </c>
      <c r="I103">
        <f t="shared" si="1"/>
        <v>3.5999999999999997E-2</v>
      </c>
      <c r="J103">
        <v>0</v>
      </c>
    </row>
    <row r="104" spans="1:10">
      <c r="A104">
        <v>2022</v>
      </c>
      <c r="B104" t="s">
        <v>255</v>
      </c>
      <c r="C104" t="s">
        <v>277</v>
      </c>
      <c r="D104" t="s">
        <v>8</v>
      </c>
      <c r="E104" t="s">
        <v>278</v>
      </c>
      <c r="F104" t="s">
        <v>137</v>
      </c>
      <c r="G104">
        <v>72285</v>
      </c>
      <c r="H104">
        <v>2007922</v>
      </c>
      <c r="I104">
        <f t="shared" si="1"/>
        <v>3.5999999999999997E-2</v>
      </c>
      <c r="J104">
        <v>0</v>
      </c>
    </row>
    <row r="105" spans="1:10">
      <c r="A105">
        <v>2022</v>
      </c>
      <c r="B105" t="s">
        <v>255</v>
      </c>
      <c r="C105" t="s">
        <v>277</v>
      </c>
      <c r="D105" t="s">
        <v>8</v>
      </c>
      <c r="E105" t="s">
        <v>278</v>
      </c>
      <c r="F105" t="s">
        <v>61</v>
      </c>
      <c r="G105">
        <v>33465</v>
      </c>
      <c r="H105">
        <v>340436</v>
      </c>
      <c r="I105">
        <f t="shared" si="1"/>
        <v>9.8000000000000004E-2</v>
      </c>
      <c r="J105">
        <v>0</v>
      </c>
    </row>
    <row r="106" spans="1:10">
      <c r="A106">
        <v>2022</v>
      </c>
      <c r="B106" t="s">
        <v>255</v>
      </c>
      <c r="C106" t="s">
        <v>277</v>
      </c>
      <c r="D106" t="s">
        <v>17</v>
      </c>
      <c r="E106" t="s">
        <v>279</v>
      </c>
      <c r="F106" t="s">
        <v>58</v>
      </c>
      <c r="G106">
        <v>1471</v>
      </c>
      <c r="H106">
        <v>350308</v>
      </c>
      <c r="I106">
        <f t="shared" si="1"/>
        <v>4.0000000000000001E-3</v>
      </c>
      <c r="J106">
        <v>0</v>
      </c>
    </row>
    <row r="107" spans="1:10">
      <c r="A107">
        <v>2022</v>
      </c>
      <c r="B107" t="s">
        <v>255</v>
      </c>
      <c r="C107" t="s">
        <v>277</v>
      </c>
      <c r="D107" t="s">
        <v>17</v>
      </c>
      <c r="E107" t="s">
        <v>279</v>
      </c>
      <c r="F107" t="s">
        <v>59</v>
      </c>
      <c r="G107">
        <v>1661</v>
      </c>
      <c r="H107">
        <v>255494</v>
      </c>
      <c r="I107">
        <f t="shared" si="1"/>
        <v>7.0000000000000001E-3</v>
      </c>
      <c r="J107">
        <v>0</v>
      </c>
    </row>
    <row r="108" spans="1:10">
      <c r="A108">
        <v>2022</v>
      </c>
      <c r="B108" t="s">
        <v>255</v>
      </c>
      <c r="C108" t="s">
        <v>277</v>
      </c>
      <c r="D108" t="s">
        <v>17</v>
      </c>
      <c r="E108" t="s">
        <v>279</v>
      </c>
      <c r="F108" t="s">
        <v>137</v>
      </c>
      <c r="G108">
        <v>14658</v>
      </c>
      <c r="H108">
        <v>2007922</v>
      </c>
      <c r="I108">
        <f t="shared" si="1"/>
        <v>7.0000000000000001E-3</v>
      </c>
      <c r="J108">
        <v>0</v>
      </c>
    </row>
    <row r="109" spans="1:10">
      <c r="A109">
        <v>2022</v>
      </c>
      <c r="B109" t="s">
        <v>255</v>
      </c>
      <c r="C109" t="s">
        <v>277</v>
      </c>
      <c r="D109" t="s">
        <v>17</v>
      </c>
      <c r="E109" t="s">
        <v>279</v>
      </c>
      <c r="F109" t="s">
        <v>61</v>
      </c>
      <c r="G109">
        <v>4085</v>
      </c>
      <c r="H109">
        <v>340436</v>
      </c>
      <c r="I109">
        <f t="shared" si="1"/>
        <v>1.2E-2</v>
      </c>
      <c r="J109">
        <v>0</v>
      </c>
    </row>
    <row r="110" spans="1:10">
      <c r="A110">
        <v>2019</v>
      </c>
      <c r="B110" t="s">
        <v>280</v>
      </c>
      <c r="C110" t="s">
        <v>0</v>
      </c>
      <c r="D110" t="s">
        <v>8</v>
      </c>
      <c r="E110" t="s">
        <v>256</v>
      </c>
      <c r="F110" t="s">
        <v>58</v>
      </c>
      <c r="G110">
        <v>110000</v>
      </c>
      <c r="H110">
        <v>550000</v>
      </c>
      <c r="I110">
        <f t="shared" si="1"/>
        <v>0.2</v>
      </c>
      <c r="J110">
        <v>0</v>
      </c>
    </row>
    <row r="111" spans="1:10">
      <c r="A111">
        <v>2019</v>
      </c>
      <c r="B111" t="s">
        <v>280</v>
      </c>
      <c r="C111" t="s">
        <v>0</v>
      </c>
      <c r="D111" t="s">
        <v>8</v>
      </c>
      <c r="E111" t="s">
        <v>256</v>
      </c>
      <c r="F111" t="s">
        <v>59</v>
      </c>
      <c r="G111">
        <v>285600</v>
      </c>
      <c r="H111">
        <v>1020000</v>
      </c>
      <c r="I111">
        <f t="shared" si="1"/>
        <v>0.28000000000000003</v>
      </c>
      <c r="J111">
        <v>0</v>
      </c>
    </row>
    <row r="112" spans="1:10">
      <c r="A112">
        <v>2019</v>
      </c>
      <c r="B112" t="s">
        <v>280</v>
      </c>
      <c r="C112" t="s">
        <v>0</v>
      </c>
      <c r="D112" t="s">
        <v>8</v>
      </c>
      <c r="E112" t="s">
        <v>256</v>
      </c>
      <c r="F112" t="s">
        <v>137</v>
      </c>
      <c r="G112">
        <v>841880</v>
      </c>
      <c r="H112">
        <v>1619000</v>
      </c>
      <c r="I112">
        <f t="shared" si="1"/>
        <v>0.52</v>
      </c>
      <c r="J112">
        <v>0</v>
      </c>
    </row>
    <row r="113" spans="1:10">
      <c r="A113">
        <v>2019</v>
      </c>
      <c r="B113" t="s">
        <v>280</v>
      </c>
      <c r="C113" t="s">
        <v>0</v>
      </c>
      <c r="D113" t="s">
        <v>8</v>
      </c>
      <c r="E113" t="s">
        <v>256</v>
      </c>
      <c r="F113" t="s">
        <v>61</v>
      </c>
      <c r="G113">
        <v>137200</v>
      </c>
      <c r="H113">
        <v>196000</v>
      </c>
      <c r="I113">
        <f t="shared" si="1"/>
        <v>0.7</v>
      </c>
      <c r="J113">
        <v>0</v>
      </c>
    </row>
    <row r="114" spans="1:10">
      <c r="A114">
        <v>2019</v>
      </c>
      <c r="B114" t="s">
        <v>280</v>
      </c>
      <c r="C114" s="92" t="s">
        <v>0</v>
      </c>
      <c r="D114" t="s">
        <v>8</v>
      </c>
      <c r="E114" t="s">
        <v>257</v>
      </c>
      <c r="F114" t="s">
        <v>58</v>
      </c>
      <c r="G114">
        <v>76310</v>
      </c>
      <c r="H114">
        <v>587000</v>
      </c>
      <c r="I114">
        <f t="shared" si="1"/>
        <v>0.13</v>
      </c>
      <c r="J114">
        <v>0</v>
      </c>
    </row>
    <row r="115" spans="1:10">
      <c r="A115">
        <v>2019</v>
      </c>
      <c r="B115" t="s">
        <v>280</v>
      </c>
      <c r="C115" s="92" t="s">
        <v>0</v>
      </c>
      <c r="D115" t="s">
        <v>8</v>
      </c>
      <c r="E115" t="s">
        <v>257</v>
      </c>
      <c r="F115" t="s">
        <v>59</v>
      </c>
      <c r="G115">
        <v>208050</v>
      </c>
      <c r="H115">
        <v>1095000</v>
      </c>
      <c r="I115">
        <f t="shared" si="1"/>
        <v>0.19</v>
      </c>
      <c r="J115">
        <v>0</v>
      </c>
    </row>
    <row r="116" spans="1:10">
      <c r="A116">
        <v>2019</v>
      </c>
      <c r="B116" t="s">
        <v>280</v>
      </c>
      <c r="C116" s="92" t="s">
        <v>0</v>
      </c>
      <c r="D116" t="s">
        <v>8</v>
      </c>
      <c r="E116" t="s">
        <v>257</v>
      </c>
      <c r="F116" t="s">
        <v>137</v>
      </c>
      <c r="G116">
        <v>769270</v>
      </c>
      <c r="H116">
        <v>1789000</v>
      </c>
      <c r="I116">
        <f t="shared" si="1"/>
        <v>0.43</v>
      </c>
      <c r="J116">
        <v>0</v>
      </c>
    </row>
    <row r="117" spans="1:10">
      <c r="A117">
        <v>2019</v>
      </c>
      <c r="B117" t="s">
        <v>280</v>
      </c>
      <c r="C117" t="s">
        <v>0</v>
      </c>
      <c r="D117" t="s">
        <v>8</v>
      </c>
      <c r="E117" t="s">
        <v>257</v>
      </c>
      <c r="F117" t="s">
        <v>61</v>
      </c>
      <c r="G117">
        <v>129920</v>
      </c>
      <c r="H117">
        <v>203000</v>
      </c>
      <c r="I117">
        <f t="shared" si="1"/>
        <v>0.64</v>
      </c>
      <c r="J117">
        <v>0</v>
      </c>
    </row>
    <row r="118" spans="1:10">
      <c r="A118" t="s">
        <v>140</v>
      </c>
      <c r="B118" t="s">
        <v>280</v>
      </c>
      <c r="C118" t="s">
        <v>0</v>
      </c>
      <c r="D118" t="s">
        <v>8</v>
      </c>
      <c r="E118" t="s">
        <v>258</v>
      </c>
      <c r="F118" t="s">
        <v>58</v>
      </c>
      <c r="G118">
        <f>'Raw Data'!D66</f>
        <v>62252</v>
      </c>
      <c r="H118">
        <v>92736</v>
      </c>
      <c r="I118">
        <f t="shared" si="1"/>
        <v>0.67100000000000004</v>
      </c>
      <c r="J118">
        <v>0</v>
      </c>
    </row>
    <row r="119" spans="1:10">
      <c r="A119" t="s">
        <v>140</v>
      </c>
      <c r="B119" t="s">
        <v>280</v>
      </c>
      <c r="C119" t="s">
        <v>0</v>
      </c>
      <c r="D119" t="s">
        <v>8</v>
      </c>
      <c r="E119" t="s">
        <v>258</v>
      </c>
      <c r="F119" t="s">
        <v>59</v>
      </c>
      <c r="G119">
        <f>'Raw Data'!E66</f>
        <v>85510</v>
      </c>
      <c r="H119">
        <v>208620</v>
      </c>
      <c r="I119">
        <f t="shared" si="1"/>
        <v>0.41</v>
      </c>
      <c r="J119">
        <v>0</v>
      </c>
    </row>
    <row r="120" spans="1:10">
      <c r="A120" t="s">
        <v>140</v>
      </c>
      <c r="B120" t="s">
        <v>280</v>
      </c>
      <c r="C120" t="s">
        <v>0</v>
      </c>
      <c r="D120" t="s">
        <v>8</v>
      </c>
      <c r="E120" t="s">
        <v>258</v>
      </c>
      <c r="F120" t="s">
        <v>137</v>
      </c>
      <c r="G120">
        <f>'Raw Data'!F66</f>
        <v>380133</v>
      </c>
      <c r="H120">
        <v>533249</v>
      </c>
      <c r="I120">
        <f t="shared" si="1"/>
        <v>0.71299999999999997</v>
      </c>
      <c r="J120">
        <v>0</v>
      </c>
    </row>
    <row r="121" spans="1:10">
      <c r="A121" t="s">
        <v>140</v>
      </c>
      <c r="B121" t="s">
        <v>280</v>
      </c>
      <c r="C121" t="s">
        <v>0</v>
      </c>
      <c r="D121" t="s">
        <v>8</v>
      </c>
      <c r="E121" t="s">
        <v>258</v>
      </c>
      <c r="F121" t="s">
        <v>61</v>
      </c>
      <c r="G121">
        <f>'Raw Data'!G66</f>
        <v>49157</v>
      </c>
      <c r="H121">
        <v>79880</v>
      </c>
      <c r="I121">
        <f t="shared" si="1"/>
        <v>0.61499999999999999</v>
      </c>
      <c r="J121">
        <v>0</v>
      </c>
    </row>
    <row r="122" spans="1:10">
      <c r="A122">
        <v>2019</v>
      </c>
      <c r="B122" t="s">
        <v>280</v>
      </c>
      <c r="C122" t="s">
        <v>0</v>
      </c>
      <c r="D122" t="s">
        <v>17</v>
      </c>
      <c r="E122" t="s">
        <v>41</v>
      </c>
      <c r="F122" t="s">
        <v>58</v>
      </c>
      <c r="G122">
        <v>11000</v>
      </c>
      <c r="H122">
        <v>550000</v>
      </c>
      <c r="I122">
        <f t="shared" si="1"/>
        <v>0.02</v>
      </c>
      <c r="J122">
        <v>0</v>
      </c>
    </row>
    <row r="123" spans="1:10">
      <c r="A123">
        <v>2019</v>
      </c>
      <c r="B123" t="s">
        <v>280</v>
      </c>
      <c r="C123" t="s">
        <v>0</v>
      </c>
      <c r="D123" t="s">
        <v>17</v>
      </c>
      <c r="E123" t="s">
        <v>41</v>
      </c>
      <c r="F123" t="s">
        <v>59</v>
      </c>
      <c r="G123">
        <v>30600</v>
      </c>
      <c r="H123">
        <v>1020000</v>
      </c>
      <c r="I123">
        <f t="shared" si="1"/>
        <v>0.03</v>
      </c>
      <c r="J123">
        <v>0</v>
      </c>
    </row>
    <row r="124" spans="1:10">
      <c r="A124">
        <v>2019</v>
      </c>
      <c r="B124" t="s">
        <v>280</v>
      </c>
      <c r="C124" t="s">
        <v>0</v>
      </c>
      <c r="D124" t="s">
        <v>17</v>
      </c>
      <c r="E124" t="s">
        <v>41</v>
      </c>
      <c r="F124" t="s">
        <v>137</v>
      </c>
      <c r="G124">
        <v>194280</v>
      </c>
      <c r="H124">
        <v>1619000</v>
      </c>
      <c r="I124">
        <f t="shared" si="1"/>
        <v>0.12</v>
      </c>
      <c r="J124">
        <v>0</v>
      </c>
    </row>
    <row r="125" spans="1:10">
      <c r="A125">
        <v>2019</v>
      </c>
      <c r="B125" t="s">
        <v>280</v>
      </c>
      <c r="C125" t="s">
        <v>0</v>
      </c>
      <c r="D125" t="s">
        <v>17</v>
      </c>
      <c r="E125" t="s">
        <v>41</v>
      </c>
      <c r="F125" t="s">
        <v>61</v>
      </c>
      <c r="G125">
        <v>56839.999999999993</v>
      </c>
      <c r="H125">
        <v>196000</v>
      </c>
      <c r="I125">
        <f t="shared" si="1"/>
        <v>0.28999999999999998</v>
      </c>
      <c r="J125">
        <v>0</v>
      </c>
    </row>
    <row r="126" spans="1:10">
      <c r="A126">
        <v>2019</v>
      </c>
      <c r="B126" t="s">
        <v>280</v>
      </c>
      <c r="C126" t="s">
        <v>0</v>
      </c>
      <c r="D126" t="s">
        <v>17</v>
      </c>
      <c r="E126" t="s">
        <v>42</v>
      </c>
      <c r="F126" t="s">
        <v>58</v>
      </c>
      <c r="G126">
        <v>11740</v>
      </c>
      <c r="H126">
        <v>587000</v>
      </c>
      <c r="I126">
        <f t="shared" si="1"/>
        <v>0.02</v>
      </c>
      <c r="J126">
        <v>0</v>
      </c>
    </row>
    <row r="127" spans="1:10">
      <c r="A127">
        <v>2019</v>
      </c>
      <c r="B127" t="s">
        <v>280</v>
      </c>
      <c r="C127" t="s">
        <v>0</v>
      </c>
      <c r="D127" t="s">
        <v>17</v>
      </c>
      <c r="E127" t="s">
        <v>42</v>
      </c>
      <c r="F127" t="s">
        <v>59</v>
      </c>
      <c r="G127">
        <v>32850</v>
      </c>
      <c r="H127">
        <v>1095000</v>
      </c>
      <c r="I127">
        <f t="shared" si="1"/>
        <v>0.03</v>
      </c>
      <c r="J127">
        <v>0</v>
      </c>
    </row>
    <row r="128" spans="1:10">
      <c r="A128">
        <v>2019</v>
      </c>
      <c r="B128" t="s">
        <v>280</v>
      </c>
      <c r="C128" t="s">
        <v>0</v>
      </c>
      <c r="D128" t="s">
        <v>17</v>
      </c>
      <c r="E128" t="s">
        <v>42</v>
      </c>
      <c r="F128" t="s">
        <v>137</v>
      </c>
      <c r="G128">
        <v>232570</v>
      </c>
      <c r="H128">
        <v>1789000</v>
      </c>
      <c r="I128">
        <f t="shared" si="1"/>
        <v>0.13</v>
      </c>
      <c r="J128">
        <v>0</v>
      </c>
    </row>
    <row r="129" spans="1:10">
      <c r="A129">
        <v>2019</v>
      </c>
      <c r="B129" t="s">
        <v>280</v>
      </c>
      <c r="C129" t="s">
        <v>0</v>
      </c>
      <c r="D129" t="s">
        <v>17</v>
      </c>
      <c r="E129" t="s">
        <v>42</v>
      </c>
      <c r="F129" t="s">
        <v>61</v>
      </c>
      <c r="G129">
        <v>66990</v>
      </c>
      <c r="H129">
        <v>203000</v>
      </c>
      <c r="I129">
        <f t="shared" si="1"/>
        <v>0.33</v>
      </c>
      <c r="J129">
        <v>0</v>
      </c>
    </row>
    <row r="130" spans="1:10">
      <c r="A130">
        <v>2021</v>
      </c>
      <c r="B130" t="s">
        <v>280</v>
      </c>
      <c r="C130" t="s">
        <v>0</v>
      </c>
      <c r="D130" t="s">
        <v>25</v>
      </c>
      <c r="E130" t="s">
        <v>281</v>
      </c>
      <c r="F130" t="s">
        <v>58</v>
      </c>
      <c r="G130" t="s">
        <v>140</v>
      </c>
      <c r="H130" t="s">
        <v>140</v>
      </c>
      <c r="I130">
        <v>0.26</v>
      </c>
      <c r="J130">
        <v>0</v>
      </c>
    </row>
    <row r="131" spans="1:10">
      <c r="A131">
        <v>2021</v>
      </c>
      <c r="B131" t="s">
        <v>280</v>
      </c>
      <c r="C131" t="s">
        <v>0</v>
      </c>
      <c r="D131" t="s">
        <v>25</v>
      </c>
      <c r="E131" t="s">
        <v>281</v>
      </c>
      <c r="F131" t="s">
        <v>59</v>
      </c>
      <c r="G131" t="s">
        <v>140</v>
      </c>
      <c r="H131" t="s">
        <v>140</v>
      </c>
      <c r="I131">
        <v>0.35</v>
      </c>
      <c r="J131">
        <v>0</v>
      </c>
    </row>
    <row r="132" spans="1:10">
      <c r="A132">
        <v>2021</v>
      </c>
      <c r="B132" t="s">
        <v>280</v>
      </c>
      <c r="C132" t="s">
        <v>0</v>
      </c>
      <c r="D132" t="s">
        <v>25</v>
      </c>
      <c r="E132" t="s">
        <v>281</v>
      </c>
      <c r="F132" t="s">
        <v>137</v>
      </c>
      <c r="G132" t="s">
        <v>140</v>
      </c>
      <c r="H132" t="s">
        <v>140</v>
      </c>
      <c r="I132">
        <v>0.36</v>
      </c>
      <c r="J132">
        <v>0</v>
      </c>
    </row>
    <row r="133" spans="1:10">
      <c r="A133">
        <v>2021</v>
      </c>
      <c r="B133" t="s">
        <v>280</v>
      </c>
      <c r="C133" t="s">
        <v>0</v>
      </c>
      <c r="D133" t="s">
        <v>25</v>
      </c>
      <c r="E133" t="s">
        <v>281</v>
      </c>
      <c r="F133" t="s">
        <v>61</v>
      </c>
      <c r="G133" t="s">
        <v>140</v>
      </c>
      <c r="H133" t="s">
        <v>140</v>
      </c>
      <c r="I133">
        <v>0.43</v>
      </c>
      <c r="J133">
        <v>0</v>
      </c>
    </row>
    <row r="134" spans="1:10">
      <c r="A134" t="s">
        <v>140</v>
      </c>
      <c r="B134" t="s">
        <v>280</v>
      </c>
      <c r="C134" t="s">
        <v>0</v>
      </c>
      <c r="D134" t="s">
        <v>25</v>
      </c>
      <c r="E134" t="s">
        <v>260</v>
      </c>
      <c r="F134" t="s">
        <v>58</v>
      </c>
      <c r="G134" t="s">
        <v>140</v>
      </c>
      <c r="H134" t="s">
        <v>140</v>
      </c>
      <c r="I134" t="s">
        <v>140</v>
      </c>
      <c r="J134" t="s">
        <v>140</v>
      </c>
    </row>
    <row r="135" spans="1:10">
      <c r="A135" t="s">
        <v>140</v>
      </c>
      <c r="B135" t="s">
        <v>280</v>
      </c>
      <c r="C135" t="s">
        <v>0</v>
      </c>
      <c r="D135" t="s">
        <v>25</v>
      </c>
      <c r="E135" t="s">
        <v>260</v>
      </c>
      <c r="F135" t="s">
        <v>59</v>
      </c>
      <c r="G135" t="s">
        <v>140</v>
      </c>
      <c r="H135" t="s">
        <v>140</v>
      </c>
      <c r="I135" t="s">
        <v>140</v>
      </c>
      <c r="J135" t="s">
        <v>140</v>
      </c>
    </row>
    <row r="136" spans="1:10">
      <c r="A136" t="s">
        <v>140</v>
      </c>
      <c r="B136" t="s">
        <v>280</v>
      </c>
      <c r="C136" t="s">
        <v>0</v>
      </c>
      <c r="D136" t="s">
        <v>25</v>
      </c>
      <c r="E136" t="s">
        <v>260</v>
      </c>
      <c r="F136" t="s">
        <v>137</v>
      </c>
      <c r="G136" t="s">
        <v>140</v>
      </c>
      <c r="H136" t="s">
        <v>140</v>
      </c>
      <c r="I136" t="s">
        <v>140</v>
      </c>
      <c r="J136" t="s">
        <v>140</v>
      </c>
    </row>
    <row r="137" spans="1:10">
      <c r="A137" t="s">
        <v>140</v>
      </c>
      <c r="B137" t="s">
        <v>280</v>
      </c>
      <c r="C137" t="s">
        <v>0</v>
      </c>
      <c r="D137" t="s">
        <v>25</v>
      </c>
      <c r="E137" t="s">
        <v>260</v>
      </c>
      <c r="F137" t="s">
        <v>61</v>
      </c>
      <c r="G137" t="s">
        <v>140</v>
      </c>
      <c r="H137" t="s">
        <v>140</v>
      </c>
      <c r="I137" t="s">
        <v>140</v>
      </c>
      <c r="J137" t="s">
        <v>140</v>
      </c>
    </row>
    <row r="138" spans="1:10">
      <c r="A138" t="s">
        <v>140</v>
      </c>
      <c r="B138" t="s">
        <v>280</v>
      </c>
      <c r="C138" t="s">
        <v>0</v>
      </c>
      <c r="D138" t="s">
        <v>25</v>
      </c>
      <c r="E138" t="s">
        <v>63</v>
      </c>
      <c r="F138" t="s">
        <v>58</v>
      </c>
      <c r="G138">
        <v>92736</v>
      </c>
      <c r="H138">
        <f>'Demographics Data'!C25</f>
        <v>587000</v>
      </c>
      <c r="I138">
        <f>ROUND(G138/H138,3)</f>
        <v>0.158</v>
      </c>
      <c r="J138">
        <v>0</v>
      </c>
    </row>
    <row r="139" spans="1:10">
      <c r="A139" t="s">
        <v>140</v>
      </c>
      <c r="B139" t="s">
        <v>280</v>
      </c>
      <c r="C139" t="s">
        <v>0</v>
      </c>
      <c r="D139" t="s">
        <v>25</v>
      </c>
      <c r="E139" t="s">
        <v>63</v>
      </c>
      <c r="F139" t="s">
        <v>59</v>
      </c>
      <c r="G139">
        <v>208620</v>
      </c>
      <c r="H139">
        <f>'Demographics Data'!D25</f>
        <v>1095000</v>
      </c>
      <c r="I139">
        <f t="shared" ref="I139:I141" si="2">ROUND(G139/H139,3)</f>
        <v>0.191</v>
      </c>
      <c r="J139">
        <v>0</v>
      </c>
    </row>
    <row r="140" spans="1:10">
      <c r="A140" t="s">
        <v>140</v>
      </c>
      <c r="B140" t="s">
        <v>280</v>
      </c>
      <c r="C140" t="s">
        <v>0</v>
      </c>
      <c r="D140" t="s">
        <v>25</v>
      </c>
      <c r="E140" t="s">
        <v>63</v>
      </c>
      <c r="F140" t="s">
        <v>137</v>
      </c>
      <c r="G140">
        <v>533249</v>
      </c>
      <c r="H140">
        <f>'Demographics Data'!E25</f>
        <v>1789000</v>
      </c>
      <c r="I140">
        <f t="shared" si="2"/>
        <v>0.29799999999999999</v>
      </c>
      <c r="J140">
        <v>0</v>
      </c>
    </row>
    <row r="141" spans="1:10">
      <c r="A141" t="s">
        <v>140</v>
      </c>
      <c r="B141" t="s">
        <v>280</v>
      </c>
      <c r="C141" t="s">
        <v>0</v>
      </c>
      <c r="D141" t="s">
        <v>25</v>
      </c>
      <c r="E141" t="s">
        <v>63</v>
      </c>
      <c r="F141" t="s">
        <v>61</v>
      </c>
      <c r="G141">
        <v>79880</v>
      </c>
      <c r="H141">
        <f>'Demographics Data'!F25</f>
        <v>203000</v>
      </c>
      <c r="I141">
        <f t="shared" si="2"/>
        <v>0.39300000000000002</v>
      </c>
      <c r="J141">
        <v>0</v>
      </c>
    </row>
    <row r="142" spans="1:10">
      <c r="A142">
        <v>2019</v>
      </c>
      <c r="B142" t="s">
        <v>280</v>
      </c>
      <c r="C142" t="s">
        <v>0</v>
      </c>
      <c r="D142" t="s">
        <v>25</v>
      </c>
      <c r="E142" t="s">
        <v>119</v>
      </c>
      <c r="F142" t="s">
        <v>58</v>
      </c>
      <c r="G142">
        <v>517275</v>
      </c>
      <c r="H142">
        <v>6897000</v>
      </c>
      <c r="I142">
        <v>7.4999999999999997E-2</v>
      </c>
      <c r="J142">
        <v>0</v>
      </c>
    </row>
    <row r="143" spans="1:10">
      <c r="A143">
        <v>2019</v>
      </c>
      <c r="B143" t="s">
        <v>280</v>
      </c>
      <c r="C143" t="s">
        <v>0</v>
      </c>
      <c r="D143" t="s">
        <v>25</v>
      </c>
      <c r="E143" t="s">
        <v>119</v>
      </c>
      <c r="F143" t="s">
        <v>59</v>
      </c>
      <c r="G143">
        <v>905832.00000000012</v>
      </c>
      <c r="H143">
        <v>13128000</v>
      </c>
      <c r="I143">
        <v>6.9000000000000006E-2</v>
      </c>
      <c r="J143">
        <v>0</v>
      </c>
    </row>
    <row r="144" spans="1:10">
      <c r="A144">
        <v>2019</v>
      </c>
      <c r="B144" t="s">
        <v>280</v>
      </c>
      <c r="C144" t="s">
        <v>0</v>
      </c>
      <c r="D144" t="s">
        <v>25</v>
      </c>
      <c r="E144" t="s">
        <v>119</v>
      </c>
      <c r="F144" t="s">
        <v>137</v>
      </c>
      <c r="G144">
        <v>830272</v>
      </c>
      <c r="H144">
        <v>25946000</v>
      </c>
      <c r="I144">
        <v>3.2000000000000001E-2</v>
      </c>
      <c r="J144">
        <v>0</v>
      </c>
    </row>
    <row r="145" spans="1:10">
      <c r="A145">
        <v>2019</v>
      </c>
      <c r="B145" t="s">
        <v>280</v>
      </c>
      <c r="C145" t="s">
        <v>0</v>
      </c>
      <c r="D145" t="s">
        <v>25</v>
      </c>
      <c r="E145" t="s">
        <v>119</v>
      </c>
      <c r="F145" t="s">
        <v>61</v>
      </c>
      <c r="G145">
        <v>35364</v>
      </c>
      <c r="H145">
        <v>2526000</v>
      </c>
      <c r="I145">
        <v>1.4E-2</v>
      </c>
      <c r="J145">
        <v>0</v>
      </c>
    </row>
    <row r="146" spans="1:10">
      <c r="A146">
        <v>2021</v>
      </c>
      <c r="B146" t="s">
        <v>280</v>
      </c>
      <c r="C146" t="s">
        <v>72</v>
      </c>
      <c r="D146" t="s">
        <v>8</v>
      </c>
      <c r="E146" t="s">
        <v>261</v>
      </c>
      <c r="F146" t="s">
        <v>58</v>
      </c>
      <c r="G146">
        <v>38744</v>
      </c>
      <c r="H146">
        <f>168454</f>
        <v>168454</v>
      </c>
      <c r="I146">
        <v>0.23</v>
      </c>
      <c r="J146">
        <v>0</v>
      </c>
    </row>
    <row r="147" spans="1:10">
      <c r="A147">
        <v>2021</v>
      </c>
      <c r="B147" t="s">
        <v>280</v>
      </c>
      <c r="C147" t="s">
        <v>72</v>
      </c>
      <c r="D147" t="s">
        <v>8</v>
      </c>
      <c r="E147" t="s">
        <v>261</v>
      </c>
      <c r="F147" t="s">
        <v>59</v>
      </c>
      <c r="G147">
        <v>105868</v>
      </c>
      <c r="H147">
        <f>352894</f>
        <v>352894</v>
      </c>
      <c r="I147">
        <v>0.3</v>
      </c>
      <c r="J147">
        <v>0</v>
      </c>
    </row>
    <row r="148" spans="1:10">
      <c r="A148">
        <v>2021</v>
      </c>
      <c r="B148" t="s">
        <v>280</v>
      </c>
      <c r="C148" t="s">
        <v>72</v>
      </c>
      <c r="D148" t="s">
        <v>8</v>
      </c>
      <c r="E148" t="s">
        <v>261</v>
      </c>
      <c r="F148" t="s">
        <v>137</v>
      </c>
      <c r="G148">
        <v>374937</v>
      </c>
      <c r="H148">
        <f>635486</f>
        <v>635486</v>
      </c>
      <c r="I148">
        <v>0.59</v>
      </c>
      <c r="J148">
        <v>0</v>
      </c>
    </row>
    <row r="149" spans="1:10">
      <c r="A149">
        <v>2021</v>
      </c>
      <c r="B149" t="s">
        <v>280</v>
      </c>
      <c r="C149" t="s">
        <v>72</v>
      </c>
      <c r="D149" t="s">
        <v>8</v>
      </c>
      <c r="E149" t="s">
        <v>261</v>
      </c>
      <c r="F149" t="s">
        <v>61</v>
      </c>
      <c r="G149">
        <v>138783</v>
      </c>
      <c r="H149">
        <f>167208</f>
        <v>167208</v>
      </c>
      <c r="I149">
        <v>0.83</v>
      </c>
      <c r="J149">
        <v>0</v>
      </c>
    </row>
    <row r="150" spans="1:10">
      <c r="A150">
        <v>2020</v>
      </c>
      <c r="B150" t="s">
        <v>280</v>
      </c>
      <c r="C150" t="s">
        <v>72</v>
      </c>
      <c r="D150" t="s">
        <v>8</v>
      </c>
      <c r="E150" t="s">
        <v>262</v>
      </c>
      <c r="F150" t="s">
        <v>58</v>
      </c>
      <c r="G150">
        <v>5050</v>
      </c>
      <c r="H150" s="85">
        <v>10163</v>
      </c>
      <c r="I150">
        <f>ROUND(G150/H150,3)</f>
        <v>0.497</v>
      </c>
      <c r="J150">
        <v>0</v>
      </c>
    </row>
    <row r="151" spans="1:10">
      <c r="A151">
        <v>2020</v>
      </c>
      <c r="B151" t="s">
        <v>280</v>
      </c>
      <c r="C151" t="s">
        <v>72</v>
      </c>
      <c r="D151" t="s">
        <v>8</v>
      </c>
      <c r="E151" t="s">
        <v>262</v>
      </c>
      <c r="F151" t="s">
        <v>59</v>
      </c>
      <c r="G151">
        <v>16497</v>
      </c>
      <c r="H151" s="85">
        <v>28208</v>
      </c>
      <c r="I151">
        <f t="shared" ref="I151:I153" si="3">ROUND(G151/H151,3)</f>
        <v>0.58499999999999996</v>
      </c>
      <c r="J151">
        <v>0</v>
      </c>
    </row>
    <row r="152" spans="1:10">
      <c r="A152">
        <v>2020</v>
      </c>
      <c r="B152" t="s">
        <v>280</v>
      </c>
      <c r="C152" t="s">
        <v>72</v>
      </c>
      <c r="D152" t="s">
        <v>8</v>
      </c>
      <c r="E152" t="s">
        <v>262</v>
      </c>
      <c r="F152" t="s">
        <v>137</v>
      </c>
      <c r="G152" s="85">
        <v>54718</v>
      </c>
      <c r="H152" s="85">
        <v>76508</v>
      </c>
      <c r="I152">
        <f t="shared" si="3"/>
        <v>0.71499999999999997</v>
      </c>
      <c r="J152">
        <v>0</v>
      </c>
    </row>
    <row r="153" spans="1:10">
      <c r="A153">
        <v>2020</v>
      </c>
      <c r="B153" t="s">
        <v>280</v>
      </c>
      <c r="C153" t="s">
        <v>72</v>
      </c>
      <c r="D153" t="s">
        <v>8</v>
      </c>
      <c r="E153" t="s">
        <v>262</v>
      </c>
      <c r="F153" t="s">
        <v>61</v>
      </c>
      <c r="G153" s="85">
        <v>37759</v>
      </c>
      <c r="H153" s="85">
        <v>46600</v>
      </c>
      <c r="I153">
        <f t="shared" si="3"/>
        <v>0.81</v>
      </c>
      <c r="J153">
        <v>0</v>
      </c>
    </row>
    <row r="154" spans="1:10">
      <c r="A154" t="s">
        <v>140</v>
      </c>
      <c r="B154" t="s">
        <v>280</v>
      </c>
      <c r="C154" t="s">
        <v>72</v>
      </c>
      <c r="D154" t="s">
        <v>8</v>
      </c>
      <c r="E154" t="s">
        <v>263</v>
      </c>
      <c r="F154" t="s">
        <v>58</v>
      </c>
      <c r="G154" t="s">
        <v>140</v>
      </c>
      <c r="H154" t="s">
        <v>140</v>
      </c>
      <c r="I154" t="s">
        <v>140</v>
      </c>
      <c r="J154" t="s">
        <v>140</v>
      </c>
    </row>
    <row r="155" spans="1:10">
      <c r="A155" t="s">
        <v>140</v>
      </c>
      <c r="B155" t="s">
        <v>280</v>
      </c>
      <c r="C155" t="s">
        <v>72</v>
      </c>
      <c r="D155" t="s">
        <v>8</v>
      </c>
      <c r="E155" t="s">
        <v>263</v>
      </c>
      <c r="F155" t="s">
        <v>59</v>
      </c>
      <c r="G155" t="s">
        <v>140</v>
      </c>
      <c r="H155" t="s">
        <v>140</v>
      </c>
      <c r="I155" t="s">
        <v>140</v>
      </c>
      <c r="J155" t="s">
        <v>140</v>
      </c>
    </row>
    <row r="156" spans="1:10">
      <c r="A156" t="s">
        <v>140</v>
      </c>
      <c r="B156" t="s">
        <v>280</v>
      </c>
      <c r="C156" t="s">
        <v>72</v>
      </c>
      <c r="D156" t="s">
        <v>8</v>
      </c>
      <c r="E156" t="s">
        <v>263</v>
      </c>
      <c r="F156" t="s">
        <v>137</v>
      </c>
      <c r="G156" t="s">
        <v>140</v>
      </c>
      <c r="H156" t="s">
        <v>140</v>
      </c>
      <c r="I156" t="s">
        <v>140</v>
      </c>
      <c r="J156" t="s">
        <v>140</v>
      </c>
    </row>
    <row r="157" spans="1:10">
      <c r="A157" t="s">
        <v>140</v>
      </c>
      <c r="B157" t="s">
        <v>280</v>
      </c>
      <c r="C157" t="s">
        <v>72</v>
      </c>
      <c r="D157" t="s">
        <v>8</v>
      </c>
      <c r="E157" t="s">
        <v>263</v>
      </c>
      <c r="F157" t="s">
        <v>61</v>
      </c>
      <c r="G157" t="s">
        <v>140</v>
      </c>
      <c r="H157" t="s">
        <v>140</v>
      </c>
      <c r="I157" t="s">
        <v>140</v>
      </c>
      <c r="J157" t="s">
        <v>140</v>
      </c>
    </row>
    <row r="158" spans="1:10">
      <c r="A158">
        <v>2021</v>
      </c>
      <c r="B158" t="s">
        <v>280</v>
      </c>
      <c r="C158" t="s">
        <v>72</v>
      </c>
      <c r="D158" t="s">
        <v>17</v>
      </c>
      <c r="E158" t="s">
        <v>264</v>
      </c>
      <c r="F158" t="s">
        <v>58</v>
      </c>
      <c r="G158">
        <v>8423</v>
      </c>
      <c r="H158">
        <f>168454</f>
        <v>168454</v>
      </c>
      <c r="I158">
        <f>ROUND(G158/H158,3)</f>
        <v>0.05</v>
      </c>
      <c r="J158">
        <v>0</v>
      </c>
    </row>
    <row r="159" spans="1:10">
      <c r="A159">
        <v>2021</v>
      </c>
      <c r="B159" t="s">
        <v>280</v>
      </c>
      <c r="C159" t="s">
        <v>72</v>
      </c>
      <c r="D159" t="s">
        <v>17</v>
      </c>
      <c r="E159" t="s">
        <v>264</v>
      </c>
      <c r="F159" t="s">
        <v>59</v>
      </c>
      <c r="G159">
        <v>24703</v>
      </c>
      <c r="H159">
        <f>352894</f>
        <v>352894</v>
      </c>
      <c r="I159">
        <f t="shared" ref="I159:I169" si="4">ROUND(G159/H159,3)</f>
        <v>7.0000000000000007E-2</v>
      </c>
      <c r="J159">
        <v>0</v>
      </c>
    </row>
    <row r="160" spans="1:10">
      <c r="A160">
        <v>2021</v>
      </c>
      <c r="B160" t="s">
        <v>280</v>
      </c>
      <c r="C160" t="s">
        <v>72</v>
      </c>
      <c r="D160" t="s">
        <v>17</v>
      </c>
      <c r="E160" t="s">
        <v>264</v>
      </c>
      <c r="F160" t="s">
        <v>137</v>
      </c>
      <c r="G160">
        <v>101678</v>
      </c>
      <c r="H160">
        <f>635486</f>
        <v>635486</v>
      </c>
      <c r="I160">
        <f t="shared" si="4"/>
        <v>0.16</v>
      </c>
      <c r="J160">
        <v>0</v>
      </c>
    </row>
    <row r="161" spans="1:10">
      <c r="A161">
        <v>2021</v>
      </c>
      <c r="B161" t="s">
        <v>280</v>
      </c>
      <c r="C161" t="s">
        <v>72</v>
      </c>
      <c r="D161" t="s">
        <v>17</v>
      </c>
      <c r="E161" t="s">
        <v>264</v>
      </c>
      <c r="F161" t="s">
        <v>61</v>
      </c>
      <c r="G161">
        <v>78588</v>
      </c>
      <c r="H161">
        <f>167208</f>
        <v>167208</v>
      </c>
      <c r="I161">
        <f t="shared" si="4"/>
        <v>0.47</v>
      </c>
      <c r="J161">
        <v>0</v>
      </c>
    </row>
    <row r="162" spans="1:10">
      <c r="A162">
        <v>2020</v>
      </c>
      <c r="B162" t="s">
        <v>280</v>
      </c>
      <c r="C162" t="s">
        <v>72</v>
      </c>
      <c r="D162" t="s">
        <v>17</v>
      </c>
      <c r="E162" t="s">
        <v>265</v>
      </c>
      <c r="F162" t="s">
        <v>58</v>
      </c>
      <c r="G162">
        <v>559</v>
      </c>
      <c r="H162" s="85">
        <v>10163</v>
      </c>
      <c r="I162">
        <f t="shared" si="4"/>
        <v>5.5E-2</v>
      </c>
      <c r="J162">
        <v>0</v>
      </c>
    </row>
    <row r="163" spans="1:10">
      <c r="A163">
        <v>2020</v>
      </c>
      <c r="B163" t="s">
        <v>280</v>
      </c>
      <c r="C163" t="s">
        <v>72</v>
      </c>
      <c r="D163" t="s">
        <v>17</v>
      </c>
      <c r="E163" t="s">
        <v>265</v>
      </c>
      <c r="F163" t="s">
        <v>59</v>
      </c>
      <c r="G163">
        <v>2447</v>
      </c>
      <c r="H163" s="85">
        <v>28208</v>
      </c>
      <c r="I163">
        <f t="shared" si="4"/>
        <v>8.6999999999999994E-2</v>
      </c>
      <c r="J163">
        <v>0</v>
      </c>
    </row>
    <row r="164" spans="1:10">
      <c r="A164">
        <v>2020</v>
      </c>
      <c r="B164" t="s">
        <v>280</v>
      </c>
      <c r="C164" t="s">
        <v>72</v>
      </c>
      <c r="D164" t="s">
        <v>17</v>
      </c>
      <c r="E164" t="s">
        <v>265</v>
      </c>
      <c r="F164" t="s">
        <v>137</v>
      </c>
      <c r="G164">
        <v>11498</v>
      </c>
      <c r="H164" s="85">
        <v>76508</v>
      </c>
      <c r="I164">
        <f t="shared" si="4"/>
        <v>0.15</v>
      </c>
      <c r="J164">
        <v>0</v>
      </c>
    </row>
    <row r="165" spans="1:10">
      <c r="A165">
        <v>2020</v>
      </c>
      <c r="B165" t="s">
        <v>280</v>
      </c>
      <c r="C165" t="s">
        <v>72</v>
      </c>
      <c r="D165" t="s">
        <v>17</v>
      </c>
      <c r="E165" t="s">
        <v>265</v>
      </c>
      <c r="F165" t="s">
        <v>61</v>
      </c>
      <c r="G165">
        <v>11133</v>
      </c>
      <c r="H165" s="85">
        <v>46600</v>
      </c>
      <c r="I165">
        <f t="shared" si="4"/>
        <v>0.23899999999999999</v>
      </c>
      <c r="J165">
        <v>0</v>
      </c>
    </row>
    <row r="166" spans="1:10">
      <c r="A166">
        <v>2020</v>
      </c>
      <c r="B166" t="s">
        <v>280</v>
      </c>
      <c r="C166" t="s">
        <v>72</v>
      </c>
      <c r="D166" t="s">
        <v>25</v>
      </c>
      <c r="E166" t="s">
        <v>266</v>
      </c>
      <c r="F166" t="s">
        <v>58</v>
      </c>
      <c r="G166" s="85">
        <v>10163</v>
      </c>
      <c r="H166">
        <v>2241000</v>
      </c>
      <c r="I166">
        <f t="shared" si="4"/>
        <v>5.0000000000000001E-3</v>
      </c>
      <c r="J166">
        <v>0</v>
      </c>
    </row>
    <row r="167" spans="1:10">
      <c r="A167">
        <v>2020</v>
      </c>
      <c r="B167" t="s">
        <v>280</v>
      </c>
      <c r="C167" t="s">
        <v>72</v>
      </c>
      <c r="D167" t="s">
        <v>25</v>
      </c>
      <c r="E167" t="s">
        <v>266</v>
      </c>
      <c r="F167" t="s">
        <v>59</v>
      </c>
      <c r="G167" s="85">
        <v>28208</v>
      </c>
      <c r="H167">
        <v>4223000</v>
      </c>
      <c r="I167">
        <f t="shared" si="4"/>
        <v>7.0000000000000001E-3</v>
      </c>
      <c r="J167">
        <v>0</v>
      </c>
    </row>
    <row r="168" spans="1:10">
      <c r="A168">
        <v>2020</v>
      </c>
      <c r="B168" t="s">
        <v>280</v>
      </c>
      <c r="C168" t="s">
        <v>72</v>
      </c>
      <c r="D168" t="s">
        <v>25</v>
      </c>
      <c r="E168" t="s">
        <v>266</v>
      </c>
      <c r="F168" t="s">
        <v>137</v>
      </c>
      <c r="G168" s="85">
        <v>76508</v>
      </c>
      <c r="H168">
        <v>7230000</v>
      </c>
      <c r="I168">
        <f t="shared" si="4"/>
        <v>1.0999999999999999E-2</v>
      </c>
      <c r="J168">
        <v>0</v>
      </c>
    </row>
    <row r="169" spans="1:10">
      <c r="A169">
        <v>2020</v>
      </c>
      <c r="B169" t="s">
        <v>280</v>
      </c>
      <c r="C169" t="s">
        <v>72</v>
      </c>
      <c r="D169" t="s">
        <v>25</v>
      </c>
      <c r="E169" t="s">
        <v>266</v>
      </c>
      <c r="F169" t="s">
        <v>61</v>
      </c>
      <c r="G169" s="85">
        <v>46600</v>
      </c>
      <c r="H169">
        <v>840000</v>
      </c>
      <c r="I169">
        <f t="shared" si="4"/>
        <v>5.5E-2</v>
      </c>
      <c r="J169">
        <v>0</v>
      </c>
    </row>
    <row r="170" spans="1:10">
      <c r="A170">
        <v>2021</v>
      </c>
      <c r="B170" t="s">
        <v>280</v>
      </c>
      <c r="C170" t="s">
        <v>72</v>
      </c>
      <c r="D170" t="s">
        <v>25</v>
      </c>
      <c r="E170" t="s">
        <v>282</v>
      </c>
      <c r="F170" t="s">
        <v>58</v>
      </c>
      <c r="G170" t="s">
        <v>140</v>
      </c>
      <c r="H170" t="s">
        <v>140</v>
      </c>
      <c r="I170">
        <v>0.73</v>
      </c>
      <c r="J170">
        <v>0</v>
      </c>
    </row>
    <row r="171" spans="1:10">
      <c r="A171">
        <v>2021</v>
      </c>
      <c r="B171" t="s">
        <v>280</v>
      </c>
      <c r="C171" t="s">
        <v>72</v>
      </c>
      <c r="D171" t="s">
        <v>25</v>
      </c>
      <c r="E171" t="s">
        <v>282</v>
      </c>
      <c r="F171" t="s">
        <v>59</v>
      </c>
      <c r="G171" t="s">
        <v>140</v>
      </c>
      <c r="H171" t="s">
        <v>140</v>
      </c>
      <c r="I171">
        <v>0.76</v>
      </c>
      <c r="J171">
        <v>0</v>
      </c>
    </row>
    <row r="172" spans="1:10">
      <c r="A172">
        <v>2021</v>
      </c>
      <c r="B172" t="s">
        <v>280</v>
      </c>
      <c r="C172" t="s">
        <v>72</v>
      </c>
      <c r="D172" t="s">
        <v>25</v>
      </c>
      <c r="E172" t="s">
        <v>282</v>
      </c>
      <c r="F172" t="s">
        <v>137</v>
      </c>
      <c r="G172" t="s">
        <v>140</v>
      </c>
      <c r="H172" t="s">
        <v>140</v>
      </c>
      <c r="I172">
        <v>0.79</v>
      </c>
      <c r="J172">
        <v>0</v>
      </c>
    </row>
    <row r="173" spans="1:10">
      <c r="A173">
        <v>2021</v>
      </c>
      <c r="B173" t="s">
        <v>280</v>
      </c>
      <c r="C173" t="s">
        <v>72</v>
      </c>
      <c r="D173" t="s">
        <v>25</v>
      </c>
      <c r="E173" t="s">
        <v>282</v>
      </c>
      <c r="F173" t="s">
        <v>61</v>
      </c>
      <c r="G173" t="s">
        <v>140</v>
      </c>
      <c r="H173" t="s">
        <v>140</v>
      </c>
      <c r="I173">
        <v>0.89</v>
      </c>
      <c r="J173">
        <v>0</v>
      </c>
    </row>
    <row r="174" spans="1:10">
      <c r="A174">
        <v>2021</v>
      </c>
      <c r="B174" t="s">
        <v>280</v>
      </c>
      <c r="C174" t="s">
        <v>72</v>
      </c>
      <c r="D174" t="s">
        <v>25</v>
      </c>
      <c r="E174" t="s">
        <v>268</v>
      </c>
      <c r="F174" t="s">
        <v>58</v>
      </c>
      <c r="G174" t="s">
        <v>140</v>
      </c>
      <c r="H174" t="s">
        <v>140</v>
      </c>
      <c r="I174">
        <v>0.67</v>
      </c>
      <c r="J174">
        <v>1</v>
      </c>
    </row>
    <row r="175" spans="1:10">
      <c r="A175">
        <v>2021</v>
      </c>
      <c r="B175" t="s">
        <v>280</v>
      </c>
      <c r="C175" t="s">
        <v>72</v>
      </c>
      <c r="D175" t="s">
        <v>25</v>
      </c>
      <c r="E175" t="s">
        <v>268</v>
      </c>
      <c r="F175" t="s">
        <v>59</v>
      </c>
      <c r="G175" t="s">
        <v>140</v>
      </c>
      <c r="H175" t="s">
        <v>140</v>
      </c>
      <c r="I175">
        <v>0.68</v>
      </c>
      <c r="J175">
        <v>1</v>
      </c>
    </row>
    <row r="176" spans="1:10">
      <c r="A176">
        <v>2021</v>
      </c>
      <c r="B176" t="s">
        <v>280</v>
      </c>
      <c r="C176" t="s">
        <v>72</v>
      </c>
      <c r="D176" t="s">
        <v>25</v>
      </c>
      <c r="E176" t="s">
        <v>268</v>
      </c>
      <c r="F176" t="s">
        <v>137</v>
      </c>
      <c r="G176" t="s">
        <v>140</v>
      </c>
      <c r="H176" t="s">
        <v>140</v>
      </c>
      <c r="I176">
        <v>0.7</v>
      </c>
      <c r="J176">
        <v>1</v>
      </c>
    </row>
    <row r="177" spans="1:10">
      <c r="A177">
        <v>2021</v>
      </c>
      <c r="B177" t="s">
        <v>280</v>
      </c>
      <c r="C177" t="s">
        <v>72</v>
      </c>
      <c r="D177" t="s">
        <v>25</v>
      </c>
      <c r="E177" t="s">
        <v>268</v>
      </c>
      <c r="F177" t="s">
        <v>61</v>
      </c>
      <c r="G177" t="s">
        <v>140</v>
      </c>
      <c r="H177" t="s">
        <v>140</v>
      </c>
      <c r="I177">
        <v>0.79</v>
      </c>
      <c r="J177">
        <v>1</v>
      </c>
    </row>
    <row r="178" spans="1:10">
      <c r="A178" t="s">
        <v>140</v>
      </c>
      <c r="B178" t="s">
        <v>280</v>
      </c>
      <c r="C178" t="s">
        <v>72</v>
      </c>
      <c r="D178" t="s">
        <v>25</v>
      </c>
      <c r="E178" t="s">
        <v>73</v>
      </c>
      <c r="F178" t="s">
        <v>58</v>
      </c>
      <c r="G178">
        <v>310756</v>
      </c>
      <c r="H178">
        <f>'Demographics Data'!C26</f>
        <v>2241000</v>
      </c>
      <c r="I178">
        <f t="shared" ref="I178:I181" si="5">ROUND(G178/H178,3)</f>
        <v>0.13900000000000001</v>
      </c>
      <c r="J178">
        <v>1</v>
      </c>
    </row>
    <row r="179" spans="1:10">
      <c r="A179" t="s">
        <v>140</v>
      </c>
      <c r="B179" t="s">
        <v>280</v>
      </c>
      <c r="C179" t="s">
        <v>72</v>
      </c>
      <c r="D179" t="s">
        <v>25</v>
      </c>
      <c r="E179" t="s">
        <v>73</v>
      </c>
      <c r="F179" t="s">
        <v>59</v>
      </c>
      <c r="G179">
        <v>501960</v>
      </c>
      <c r="H179">
        <f>'Demographics Data'!D26</f>
        <v>4223000</v>
      </c>
      <c r="I179">
        <f t="shared" si="5"/>
        <v>0.11899999999999999</v>
      </c>
      <c r="J179">
        <v>1</v>
      </c>
    </row>
    <row r="180" spans="1:10">
      <c r="A180" t="s">
        <v>140</v>
      </c>
      <c r="B180" t="s">
        <v>280</v>
      </c>
      <c r="C180" t="s">
        <v>72</v>
      </c>
      <c r="D180" t="s">
        <v>25</v>
      </c>
      <c r="E180" t="s">
        <v>73</v>
      </c>
      <c r="F180" t="s">
        <v>137</v>
      </c>
      <c r="G180">
        <v>1234815</v>
      </c>
      <c r="H180">
        <f>'Demographics Data'!E26</f>
        <v>7230000</v>
      </c>
      <c r="I180">
        <f t="shared" si="5"/>
        <v>0.17100000000000001</v>
      </c>
      <c r="J180">
        <v>1</v>
      </c>
    </row>
    <row r="181" spans="1:10">
      <c r="A181" t="s">
        <v>140</v>
      </c>
      <c r="B181" t="s">
        <v>280</v>
      </c>
      <c r="C181" t="s">
        <v>72</v>
      </c>
      <c r="D181" t="s">
        <v>25</v>
      </c>
      <c r="E181" t="s">
        <v>73</v>
      </c>
      <c r="F181" t="s">
        <v>61</v>
      </c>
      <c r="G181">
        <v>195852</v>
      </c>
      <c r="H181">
        <f>'Demographics Data'!F26</f>
        <v>840000</v>
      </c>
      <c r="I181">
        <f t="shared" si="5"/>
        <v>0.23300000000000001</v>
      </c>
      <c r="J181">
        <v>1</v>
      </c>
    </row>
    <row r="182" spans="1:10">
      <c r="A182">
        <v>2021</v>
      </c>
      <c r="B182" t="s">
        <v>280</v>
      </c>
      <c r="C182" t="s">
        <v>269</v>
      </c>
      <c r="D182" t="s">
        <v>8</v>
      </c>
      <c r="E182" t="s">
        <v>270</v>
      </c>
      <c r="F182" t="s">
        <v>58</v>
      </c>
      <c r="G182">
        <v>8779</v>
      </c>
      <c r="H182">
        <v>57000</v>
      </c>
      <c r="I182">
        <f t="shared" ref="I182:I217" si="6">ROUND(G182/H182,3)</f>
        <v>0.154</v>
      </c>
      <c r="J182">
        <v>1</v>
      </c>
    </row>
    <row r="183" spans="1:10">
      <c r="A183">
        <v>2021</v>
      </c>
      <c r="B183" t="s">
        <v>280</v>
      </c>
      <c r="C183" t="s">
        <v>269</v>
      </c>
      <c r="D183" t="s">
        <v>8</v>
      </c>
      <c r="E183" t="s">
        <v>270</v>
      </c>
      <c r="F183" t="s">
        <v>59</v>
      </c>
      <c r="G183">
        <v>12080</v>
      </c>
      <c r="H183">
        <v>78000</v>
      </c>
      <c r="I183">
        <f t="shared" si="6"/>
        <v>0.155</v>
      </c>
      <c r="J183">
        <v>1</v>
      </c>
    </row>
    <row r="184" spans="1:10">
      <c r="A184">
        <v>2021</v>
      </c>
      <c r="B184" t="s">
        <v>280</v>
      </c>
      <c r="C184" t="s">
        <v>269</v>
      </c>
      <c r="D184" t="s">
        <v>8</v>
      </c>
      <c r="E184" t="s">
        <v>270</v>
      </c>
      <c r="F184" t="s">
        <v>137</v>
      </c>
      <c r="G184">
        <v>53788</v>
      </c>
      <c r="H184">
        <v>350000</v>
      </c>
      <c r="I184">
        <f t="shared" si="6"/>
        <v>0.154</v>
      </c>
      <c r="J184">
        <v>1</v>
      </c>
    </row>
    <row r="185" spans="1:10">
      <c r="A185">
        <v>2021</v>
      </c>
      <c r="B185" t="s">
        <v>280</v>
      </c>
      <c r="C185" t="s">
        <v>269</v>
      </c>
      <c r="D185" t="s">
        <v>8</v>
      </c>
      <c r="E185" t="s">
        <v>270</v>
      </c>
      <c r="F185" t="s">
        <v>61</v>
      </c>
      <c r="G185">
        <v>19466</v>
      </c>
      <c r="H185">
        <f>215000</f>
        <v>215000</v>
      </c>
      <c r="I185">
        <f t="shared" si="6"/>
        <v>9.0999999999999998E-2</v>
      </c>
      <c r="J185">
        <v>1</v>
      </c>
    </row>
    <row r="186" spans="1:10">
      <c r="A186">
        <v>2021</v>
      </c>
      <c r="B186" t="s">
        <v>280</v>
      </c>
      <c r="C186" t="s">
        <v>269</v>
      </c>
      <c r="D186" t="s">
        <v>8</v>
      </c>
      <c r="E186" t="s">
        <v>271</v>
      </c>
      <c r="F186" t="s">
        <v>58</v>
      </c>
      <c r="G186">
        <v>8779</v>
      </c>
      <c r="H186">
        <v>197444</v>
      </c>
      <c r="I186">
        <f t="shared" si="6"/>
        <v>4.3999999999999997E-2</v>
      </c>
      <c r="J186">
        <v>1</v>
      </c>
    </row>
    <row r="187" spans="1:10">
      <c r="A187">
        <v>2021</v>
      </c>
      <c r="B187" t="s">
        <v>280</v>
      </c>
      <c r="C187" t="s">
        <v>269</v>
      </c>
      <c r="D187" t="s">
        <v>8</v>
      </c>
      <c r="E187" t="s">
        <v>271</v>
      </c>
      <c r="F187" t="s">
        <v>59</v>
      </c>
      <c r="G187">
        <v>12080</v>
      </c>
      <c r="H187">
        <v>302615</v>
      </c>
      <c r="I187">
        <f t="shared" si="6"/>
        <v>0.04</v>
      </c>
      <c r="J187">
        <v>1</v>
      </c>
    </row>
    <row r="188" spans="1:10">
      <c r="A188">
        <v>2021</v>
      </c>
      <c r="B188" t="s">
        <v>280</v>
      </c>
      <c r="C188" t="s">
        <v>269</v>
      </c>
      <c r="D188" t="s">
        <v>8</v>
      </c>
      <c r="E188" t="s">
        <v>271</v>
      </c>
      <c r="F188" t="s">
        <v>137</v>
      </c>
      <c r="G188">
        <v>53788</v>
      </c>
      <c r="H188">
        <v>1183959</v>
      </c>
      <c r="I188">
        <f t="shared" si="6"/>
        <v>4.4999999999999998E-2</v>
      </c>
      <c r="J188">
        <v>1</v>
      </c>
    </row>
    <row r="189" spans="1:10">
      <c r="A189">
        <v>2021</v>
      </c>
      <c r="B189" t="s">
        <v>280</v>
      </c>
      <c r="C189" t="s">
        <v>269</v>
      </c>
      <c r="D189" t="s">
        <v>8</v>
      </c>
      <c r="E189" t="s">
        <v>271</v>
      </c>
      <c r="F189" t="s">
        <v>61</v>
      </c>
      <c r="G189">
        <v>19466</v>
      </c>
      <c r="H189">
        <v>157062</v>
      </c>
      <c r="I189">
        <f t="shared" si="6"/>
        <v>0.124</v>
      </c>
      <c r="J189">
        <v>1</v>
      </c>
    </row>
    <row r="190" spans="1:10">
      <c r="A190">
        <v>2021</v>
      </c>
      <c r="B190" t="s">
        <v>280</v>
      </c>
      <c r="C190" t="s">
        <v>269</v>
      </c>
      <c r="D190" t="s">
        <v>17</v>
      </c>
      <c r="E190" t="s">
        <v>272</v>
      </c>
      <c r="F190" t="s">
        <v>58</v>
      </c>
      <c r="G190">
        <v>41</v>
      </c>
      <c r="H190">
        <v>231</v>
      </c>
      <c r="I190">
        <f t="shared" si="6"/>
        <v>0.17699999999999999</v>
      </c>
      <c r="J190">
        <v>1</v>
      </c>
    </row>
    <row r="191" spans="1:10">
      <c r="A191">
        <v>2021</v>
      </c>
      <c r="B191" t="s">
        <v>280</v>
      </c>
      <c r="C191" t="s">
        <v>269</v>
      </c>
      <c r="D191" t="s">
        <v>17</v>
      </c>
      <c r="E191" t="s">
        <v>272</v>
      </c>
      <c r="F191" t="s">
        <v>59</v>
      </c>
      <c r="G191">
        <v>128</v>
      </c>
      <c r="H191">
        <v>561</v>
      </c>
      <c r="I191">
        <f t="shared" si="6"/>
        <v>0.22800000000000001</v>
      </c>
      <c r="J191">
        <v>1</v>
      </c>
    </row>
    <row r="192" spans="1:10">
      <c r="A192">
        <v>2021</v>
      </c>
      <c r="B192" t="s">
        <v>280</v>
      </c>
      <c r="C192" t="s">
        <v>269</v>
      </c>
      <c r="D192" t="s">
        <v>17</v>
      </c>
      <c r="E192" t="s">
        <v>272</v>
      </c>
      <c r="F192" t="s">
        <v>137</v>
      </c>
      <c r="G192">
        <v>486</v>
      </c>
      <c r="H192">
        <v>1541</v>
      </c>
      <c r="I192">
        <f t="shared" si="6"/>
        <v>0.315</v>
      </c>
      <c r="J192">
        <v>1</v>
      </c>
    </row>
    <row r="193" spans="1:10">
      <c r="A193">
        <v>2021</v>
      </c>
      <c r="B193" t="s">
        <v>280</v>
      </c>
      <c r="C193" t="s">
        <v>269</v>
      </c>
      <c r="D193" t="s">
        <v>17</v>
      </c>
      <c r="E193" t="s">
        <v>272</v>
      </c>
      <c r="F193" t="s">
        <v>61</v>
      </c>
      <c r="G193">
        <v>376</v>
      </c>
      <c r="H193">
        <v>1154</v>
      </c>
      <c r="I193">
        <f t="shared" si="6"/>
        <v>0.32600000000000001</v>
      </c>
      <c r="J193">
        <v>1</v>
      </c>
    </row>
    <row r="194" spans="1:10">
      <c r="A194">
        <v>2021</v>
      </c>
      <c r="B194" t="s">
        <v>280</v>
      </c>
      <c r="C194" t="s">
        <v>269</v>
      </c>
      <c r="D194" t="s">
        <v>17</v>
      </c>
      <c r="E194" t="s">
        <v>273</v>
      </c>
      <c r="F194" t="s">
        <v>58</v>
      </c>
      <c r="G194">
        <v>136</v>
      </c>
      <c r="H194">
        <v>1128</v>
      </c>
      <c r="I194">
        <f t="shared" si="6"/>
        <v>0.121</v>
      </c>
      <c r="J194">
        <v>1</v>
      </c>
    </row>
    <row r="195" spans="1:10">
      <c r="A195">
        <v>2021</v>
      </c>
      <c r="B195" t="s">
        <v>280</v>
      </c>
      <c r="C195" t="s">
        <v>269</v>
      </c>
      <c r="D195" t="s">
        <v>17</v>
      </c>
      <c r="E195" t="s">
        <v>273</v>
      </c>
      <c r="F195" t="s">
        <v>59</v>
      </c>
      <c r="G195">
        <v>345</v>
      </c>
      <c r="H195">
        <v>2690</v>
      </c>
      <c r="I195">
        <f t="shared" si="6"/>
        <v>0.128</v>
      </c>
      <c r="J195">
        <v>1</v>
      </c>
    </row>
    <row r="196" spans="1:10">
      <c r="A196">
        <v>2021</v>
      </c>
      <c r="B196" t="s">
        <v>280</v>
      </c>
      <c r="C196" t="s">
        <v>269</v>
      </c>
      <c r="D196" t="s">
        <v>17</v>
      </c>
      <c r="E196" t="s">
        <v>273</v>
      </c>
      <c r="F196" t="s">
        <v>137</v>
      </c>
      <c r="G196">
        <v>823</v>
      </c>
      <c r="H196">
        <v>5161</v>
      </c>
      <c r="I196">
        <f t="shared" si="6"/>
        <v>0.159</v>
      </c>
      <c r="J196">
        <v>1</v>
      </c>
    </row>
    <row r="197" spans="1:10">
      <c r="A197">
        <v>2021</v>
      </c>
      <c r="B197" t="s">
        <v>280</v>
      </c>
      <c r="C197" t="s">
        <v>269</v>
      </c>
      <c r="D197" t="s">
        <v>17</v>
      </c>
      <c r="E197" t="s">
        <v>273</v>
      </c>
      <c r="F197" t="s">
        <v>61</v>
      </c>
      <c r="G197">
        <v>1251</v>
      </c>
      <c r="H197">
        <v>5967</v>
      </c>
      <c r="I197">
        <f t="shared" si="6"/>
        <v>0.21</v>
      </c>
      <c r="J197">
        <v>1</v>
      </c>
    </row>
    <row r="198" spans="1:10">
      <c r="A198">
        <v>2021</v>
      </c>
      <c r="B198" t="s">
        <v>280</v>
      </c>
      <c r="C198" t="s">
        <v>269</v>
      </c>
      <c r="D198" t="s">
        <v>17</v>
      </c>
      <c r="E198" t="s">
        <v>274</v>
      </c>
      <c r="F198" t="s">
        <v>58</v>
      </c>
      <c r="G198">
        <v>41</v>
      </c>
      <c r="H198">
        <v>136</v>
      </c>
      <c r="I198">
        <f t="shared" si="6"/>
        <v>0.30099999999999999</v>
      </c>
      <c r="J198">
        <v>1</v>
      </c>
    </row>
    <row r="199" spans="1:10">
      <c r="A199">
        <v>2021</v>
      </c>
      <c r="B199" t="s">
        <v>280</v>
      </c>
      <c r="C199" t="s">
        <v>269</v>
      </c>
      <c r="D199" t="s">
        <v>17</v>
      </c>
      <c r="E199" t="s">
        <v>274</v>
      </c>
      <c r="F199" t="s">
        <v>59</v>
      </c>
      <c r="G199">
        <v>128</v>
      </c>
      <c r="H199">
        <v>345</v>
      </c>
      <c r="I199">
        <f t="shared" si="6"/>
        <v>0.371</v>
      </c>
      <c r="J199">
        <v>1</v>
      </c>
    </row>
    <row r="200" spans="1:10">
      <c r="A200">
        <v>2021</v>
      </c>
      <c r="B200" t="s">
        <v>280</v>
      </c>
      <c r="C200" t="s">
        <v>269</v>
      </c>
      <c r="D200" t="s">
        <v>17</v>
      </c>
      <c r="E200" t="s">
        <v>274</v>
      </c>
      <c r="F200" t="s">
        <v>137</v>
      </c>
      <c r="G200">
        <v>486</v>
      </c>
      <c r="H200">
        <v>823</v>
      </c>
      <c r="I200">
        <f t="shared" si="6"/>
        <v>0.59099999999999997</v>
      </c>
      <c r="J200">
        <v>1</v>
      </c>
    </row>
    <row r="201" spans="1:10">
      <c r="A201">
        <v>2021</v>
      </c>
      <c r="B201" t="s">
        <v>280</v>
      </c>
      <c r="C201" t="s">
        <v>269</v>
      </c>
      <c r="D201" t="s">
        <v>17</v>
      </c>
      <c r="E201" t="s">
        <v>274</v>
      </c>
      <c r="F201" t="s">
        <v>61</v>
      </c>
      <c r="G201">
        <v>376</v>
      </c>
      <c r="H201">
        <v>1251</v>
      </c>
      <c r="I201">
        <f t="shared" si="6"/>
        <v>0.30099999999999999</v>
      </c>
      <c r="J201">
        <v>1</v>
      </c>
    </row>
    <row r="202" spans="1:10">
      <c r="A202">
        <v>2021</v>
      </c>
      <c r="B202" t="s">
        <v>280</v>
      </c>
      <c r="C202" t="s">
        <v>269</v>
      </c>
      <c r="D202" t="s">
        <v>25</v>
      </c>
      <c r="E202" t="s">
        <v>275</v>
      </c>
      <c r="F202" t="s">
        <v>58</v>
      </c>
      <c r="G202">
        <v>57000</v>
      </c>
      <c r="H202">
        <v>1901153</v>
      </c>
      <c r="I202">
        <f t="shared" si="6"/>
        <v>0.03</v>
      </c>
      <c r="J202">
        <v>1</v>
      </c>
    </row>
    <row r="203" spans="1:10">
      <c r="A203">
        <v>2021</v>
      </c>
      <c r="B203" t="s">
        <v>280</v>
      </c>
      <c r="C203" t="s">
        <v>269</v>
      </c>
      <c r="D203" t="s">
        <v>25</v>
      </c>
      <c r="E203" t="s">
        <v>275</v>
      </c>
      <c r="F203" t="s">
        <v>59</v>
      </c>
      <c r="G203">
        <v>78000</v>
      </c>
      <c r="H203">
        <v>3220694</v>
      </c>
      <c r="I203">
        <f t="shared" si="6"/>
        <v>2.4E-2</v>
      </c>
      <c r="J203">
        <v>1</v>
      </c>
    </row>
    <row r="204" spans="1:10">
      <c r="A204">
        <v>2021</v>
      </c>
      <c r="B204" t="s">
        <v>280</v>
      </c>
      <c r="C204" t="s">
        <v>269</v>
      </c>
      <c r="D204" t="s">
        <v>25</v>
      </c>
      <c r="E204" t="s">
        <v>275</v>
      </c>
      <c r="F204" t="s">
        <v>137</v>
      </c>
      <c r="G204">
        <v>350000</v>
      </c>
      <c r="H204">
        <v>7751815</v>
      </c>
      <c r="I204">
        <f t="shared" si="6"/>
        <v>4.4999999999999998E-2</v>
      </c>
      <c r="J204">
        <v>1</v>
      </c>
    </row>
    <row r="205" spans="1:10">
      <c r="A205">
        <v>2021</v>
      </c>
      <c r="B205" t="s">
        <v>280</v>
      </c>
      <c r="C205" t="s">
        <v>269</v>
      </c>
      <c r="D205" t="s">
        <v>25</v>
      </c>
      <c r="E205" t="s">
        <v>275</v>
      </c>
      <c r="F205" t="s">
        <v>61</v>
      </c>
      <c r="G205">
        <v>215000</v>
      </c>
      <c r="H205">
        <v>1061160</v>
      </c>
      <c r="I205">
        <f t="shared" si="6"/>
        <v>0.20300000000000001</v>
      </c>
      <c r="J205">
        <v>1</v>
      </c>
    </row>
    <row r="206" spans="1:10">
      <c r="A206">
        <v>2020</v>
      </c>
      <c r="B206" t="s">
        <v>280</v>
      </c>
      <c r="C206" t="s">
        <v>269</v>
      </c>
      <c r="D206" t="s">
        <v>25</v>
      </c>
      <c r="E206" t="s">
        <v>276</v>
      </c>
      <c r="F206" t="s">
        <v>58</v>
      </c>
      <c r="G206" t="s">
        <v>140</v>
      </c>
      <c r="H206" t="s">
        <v>140</v>
      </c>
      <c r="I206">
        <v>0.57499999999999996</v>
      </c>
      <c r="J206">
        <v>0</v>
      </c>
    </row>
    <row r="207" spans="1:10">
      <c r="A207">
        <v>2020</v>
      </c>
      <c r="B207" t="s">
        <v>280</v>
      </c>
      <c r="C207" t="s">
        <v>269</v>
      </c>
      <c r="D207" t="s">
        <v>25</v>
      </c>
      <c r="E207" t="s">
        <v>276</v>
      </c>
      <c r="F207" t="s">
        <v>59</v>
      </c>
      <c r="G207" t="s">
        <v>140</v>
      </c>
      <c r="H207" t="s">
        <v>140</v>
      </c>
      <c r="I207">
        <v>0.56200000000000006</v>
      </c>
      <c r="J207">
        <v>0</v>
      </c>
    </row>
    <row r="208" spans="1:10">
      <c r="A208">
        <v>2020</v>
      </c>
      <c r="B208" t="s">
        <v>280</v>
      </c>
      <c r="C208" t="s">
        <v>269</v>
      </c>
      <c r="D208" t="s">
        <v>25</v>
      </c>
      <c r="E208" t="s">
        <v>276</v>
      </c>
      <c r="F208" t="s">
        <v>137</v>
      </c>
      <c r="G208" t="s">
        <v>140</v>
      </c>
      <c r="H208" t="s">
        <v>140</v>
      </c>
      <c r="I208">
        <v>0.65</v>
      </c>
      <c r="J208">
        <v>0</v>
      </c>
    </row>
    <row r="209" spans="1:13">
      <c r="A209">
        <v>2020</v>
      </c>
      <c r="B209" t="s">
        <v>280</v>
      </c>
      <c r="C209" t="s">
        <v>269</v>
      </c>
      <c r="D209" t="s">
        <v>25</v>
      </c>
      <c r="E209" t="s">
        <v>276</v>
      </c>
      <c r="F209" t="s">
        <v>61</v>
      </c>
      <c r="G209" t="s">
        <v>140</v>
      </c>
      <c r="H209" t="s">
        <v>140</v>
      </c>
      <c r="I209">
        <v>0.82699999999999996</v>
      </c>
      <c r="J209">
        <v>0</v>
      </c>
    </row>
    <row r="210" spans="1:13">
      <c r="A210">
        <v>2021</v>
      </c>
      <c r="B210" t="s">
        <v>280</v>
      </c>
      <c r="C210" t="s">
        <v>277</v>
      </c>
      <c r="D210" t="s">
        <v>8</v>
      </c>
      <c r="E210" t="s">
        <v>278</v>
      </c>
      <c r="F210" t="s">
        <v>58</v>
      </c>
      <c r="G210">
        <v>401798</v>
      </c>
      <c r="H210">
        <v>8938595</v>
      </c>
      <c r="I210">
        <f t="shared" si="6"/>
        <v>4.4999999999999998E-2</v>
      </c>
      <c r="J210">
        <v>0</v>
      </c>
    </row>
    <row r="211" spans="1:13">
      <c r="A211">
        <v>2021</v>
      </c>
      <c r="B211" t="s">
        <v>280</v>
      </c>
      <c r="C211" t="s">
        <v>277</v>
      </c>
      <c r="D211" t="s">
        <v>8</v>
      </c>
      <c r="E211" t="s">
        <v>278</v>
      </c>
      <c r="F211" t="s">
        <v>59</v>
      </c>
      <c r="G211">
        <v>401158</v>
      </c>
      <c r="H211">
        <v>7991992</v>
      </c>
      <c r="I211">
        <f t="shared" si="6"/>
        <v>0.05</v>
      </c>
      <c r="J211">
        <v>0</v>
      </c>
    </row>
    <row r="212" spans="1:13">
      <c r="A212">
        <v>2021</v>
      </c>
      <c r="B212" t="s">
        <v>280</v>
      </c>
      <c r="C212" t="s">
        <v>277</v>
      </c>
      <c r="D212" t="s">
        <v>8</v>
      </c>
      <c r="E212" t="s">
        <v>278</v>
      </c>
      <c r="F212" t="s">
        <v>137</v>
      </c>
      <c r="G212">
        <v>3117300</v>
      </c>
      <c r="H212">
        <v>67265010</v>
      </c>
      <c r="I212">
        <f t="shared" si="6"/>
        <v>4.5999999999999999E-2</v>
      </c>
      <c r="J212">
        <v>0</v>
      </c>
    </row>
    <row r="213" spans="1:13">
      <c r="A213">
        <v>2021</v>
      </c>
      <c r="B213" t="s">
        <v>280</v>
      </c>
      <c r="C213" t="s">
        <v>277</v>
      </c>
      <c r="D213" t="s">
        <v>8</v>
      </c>
      <c r="E213" t="s">
        <v>278</v>
      </c>
      <c r="F213" t="s">
        <v>61</v>
      </c>
      <c r="G213">
        <v>1129327</v>
      </c>
      <c r="H213">
        <v>8559471</v>
      </c>
      <c r="I213">
        <f t="shared" si="6"/>
        <v>0.13200000000000001</v>
      </c>
      <c r="J213">
        <v>0</v>
      </c>
    </row>
    <row r="214" spans="1:13">
      <c r="A214">
        <v>2021</v>
      </c>
      <c r="B214" t="s">
        <v>280</v>
      </c>
      <c r="C214" t="s">
        <v>277</v>
      </c>
      <c r="D214" t="s">
        <v>17</v>
      </c>
      <c r="E214" t="s">
        <v>279</v>
      </c>
      <c r="F214" t="s">
        <v>58</v>
      </c>
      <c r="G214">
        <v>48317</v>
      </c>
      <c r="H214">
        <v>8938595</v>
      </c>
      <c r="I214">
        <f t="shared" si="6"/>
        <v>5.0000000000000001E-3</v>
      </c>
      <c r="J214">
        <v>0</v>
      </c>
    </row>
    <row r="215" spans="1:13">
      <c r="A215">
        <v>2021</v>
      </c>
      <c r="B215" t="s">
        <v>280</v>
      </c>
      <c r="C215" t="s">
        <v>277</v>
      </c>
      <c r="D215" t="s">
        <v>17</v>
      </c>
      <c r="E215" t="s">
        <v>279</v>
      </c>
      <c r="F215" t="s">
        <v>59</v>
      </c>
      <c r="G215">
        <v>50868</v>
      </c>
      <c r="H215">
        <v>7991992</v>
      </c>
      <c r="I215">
        <f t="shared" si="6"/>
        <v>6.0000000000000001E-3</v>
      </c>
      <c r="J215">
        <v>0</v>
      </c>
    </row>
    <row r="216" spans="1:13">
      <c r="A216">
        <v>2021</v>
      </c>
      <c r="B216" t="s">
        <v>280</v>
      </c>
      <c r="C216" t="s">
        <v>277</v>
      </c>
      <c r="D216" t="s">
        <v>17</v>
      </c>
      <c r="E216" t="s">
        <v>279</v>
      </c>
      <c r="F216" t="s">
        <v>137</v>
      </c>
      <c r="G216">
        <v>451767</v>
      </c>
      <c r="H216">
        <v>67265010</v>
      </c>
      <c r="I216">
        <f t="shared" si="6"/>
        <v>7.0000000000000001E-3</v>
      </c>
      <c r="J216">
        <v>0</v>
      </c>
    </row>
    <row r="217" spans="1:13">
      <c r="A217">
        <v>2021</v>
      </c>
      <c r="B217" t="s">
        <v>280</v>
      </c>
      <c r="C217" t="s">
        <v>277</v>
      </c>
      <c r="D217" t="s">
        <v>17</v>
      </c>
      <c r="E217" t="s">
        <v>279</v>
      </c>
      <c r="F217" t="s">
        <v>61</v>
      </c>
      <c r="G217">
        <v>127733</v>
      </c>
      <c r="H217">
        <v>8559471</v>
      </c>
      <c r="I217">
        <f t="shared" si="6"/>
        <v>1.4999999999999999E-2</v>
      </c>
      <c r="J217">
        <v>0</v>
      </c>
    </row>
    <row r="218" spans="1:13">
      <c r="A218">
        <v>2019</v>
      </c>
      <c r="B218" t="s">
        <v>283</v>
      </c>
      <c r="C218" t="s">
        <v>0</v>
      </c>
      <c r="D218" t="s">
        <v>8</v>
      </c>
      <c r="E218" t="s">
        <v>256</v>
      </c>
      <c r="F218" t="s">
        <v>58</v>
      </c>
      <c r="G218">
        <v>17277</v>
      </c>
      <c r="H218">
        <v>115180</v>
      </c>
      <c r="I218">
        <v>0.15</v>
      </c>
      <c r="J218">
        <v>0</v>
      </c>
      <c r="M218" s="84" t="s">
        <v>284</v>
      </c>
    </row>
    <row r="219" spans="1:13">
      <c r="A219">
        <v>2019</v>
      </c>
      <c r="B219" t="s">
        <v>283</v>
      </c>
      <c r="C219" t="s">
        <v>0</v>
      </c>
      <c r="D219" t="s">
        <v>8</v>
      </c>
      <c r="E219" t="s">
        <v>256</v>
      </c>
      <c r="F219" t="s">
        <v>59</v>
      </c>
      <c r="G219">
        <v>29087</v>
      </c>
      <c r="H219">
        <v>161597</v>
      </c>
      <c r="I219">
        <v>0.18</v>
      </c>
      <c r="J219">
        <v>0</v>
      </c>
      <c r="M219" s="84" t="s">
        <v>284</v>
      </c>
    </row>
    <row r="220" spans="1:13">
      <c r="A220">
        <v>2019</v>
      </c>
      <c r="B220" t="s">
        <v>283</v>
      </c>
      <c r="C220" t="s">
        <v>0</v>
      </c>
      <c r="D220" t="s">
        <v>8</v>
      </c>
      <c r="E220" t="s">
        <v>256</v>
      </c>
      <c r="F220" t="s">
        <v>137</v>
      </c>
      <c r="G220">
        <v>25761</v>
      </c>
      <c r="H220">
        <v>49540</v>
      </c>
      <c r="I220">
        <v>0.52</v>
      </c>
      <c r="J220">
        <v>0</v>
      </c>
      <c r="M220" s="84" t="s">
        <v>284</v>
      </c>
    </row>
    <row r="221" spans="1:13">
      <c r="A221">
        <v>2019</v>
      </c>
      <c r="B221" t="s">
        <v>283</v>
      </c>
      <c r="C221" t="s">
        <v>0</v>
      </c>
      <c r="D221" t="s">
        <v>8</v>
      </c>
      <c r="E221" t="s">
        <v>256</v>
      </c>
      <c r="F221" t="s">
        <v>61</v>
      </c>
      <c r="G221">
        <v>35645</v>
      </c>
      <c r="H221">
        <v>54839</v>
      </c>
      <c r="I221">
        <v>0.65</v>
      </c>
      <c r="J221">
        <v>0</v>
      </c>
      <c r="M221" s="84" t="s">
        <v>284</v>
      </c>
    </row>
    <row r="222" spans="1:13">
      <c r="A222">
        <v>2019</v>
      </c>
      <c r="B222" t="s">
        <v>283</v>
      </c>
      <c r="C222" s="92" t="s">
        <v>0</v>
      </c>
      <c r="D222" t="s">
        <v>8</v>
      </c>
      <c r="E222" t="s">
        <v>257</v>
      </c>
      <c r="F222" t="s">
        <v>58</v>
      </c>
      <c r="G222">
        <v>11302</v>
      </c>
      <c r="H222" s="93">
        <v>113019</v>
      </c>
      <c r="I222">
        <v>0.1</v>
      </c>
      <c r="J222">
        <v>0</v>
      </c>
      <c r="M222" s="84" t="s">
        <v>285</v>
      </c>
    </row>
    <row r="223" spans="1:13">
      <c r="A223">
        <v>2019</v>
      </c>
      <c r="B223" t="s">
        <v>283</v>
      </c>
      <c r="C223" s="92" t="s">
        <v>0</v>
      </c>
      <c r="D223" t="s">
        <v>8</v>
      </c>
      <c r="E223" t="s">
        <v>257</v>
      </c>
      <c r="F223" t="s">
        <v>59</v>
      </c>
      <c r="G223">
        <v>22199</v>
      </c>
      <c r="H223" s="93">
        <v>158564</v>
      </c>
      <c r="I223">
        <v>0.14000000000000001</v>
      </c>
      <c r="J223">
        <v>0</v>
      </c>
      <c r="M223" s="84" t="s">
        <v>285</v>
      </c>
    </row>
    <row r="224" spans="1:13">
      <c r="A224">
        <v>2019</v>
      </c>
      <c r="B224" t="s">
        <v>283</v>
      </c>
      <c r="C224" s="92" t="s">
        <v>0</v>
      </c>
      <c r="D224" t="s">
        <v>8</v>
      </c>
      <c r="E224" t="s">
        <v>257</v>
      </c>
      <c r="F224" t="s">
        <v>137</v>
      </c>
      <c r="G224">
        <v>23333</v>
      </c>
      <c r="H224" s="93">
        <v>48610</v>
      </c>
      <c r="I224">
        <v>0.48</v>
      </c>
      <c r="J224">
        <v>0</v>
      </c>
      <c r="M224" s="84" t="s">
        <v>285</v>
      </c>
    </row>
    <row r="225" spans="1:13">
      <c r="A225">
        <v>2019</v>
      </c>
      <c r="B225" t="s">
        <v>283</v>
      </c>
      <c r="C225" t="s">
        <v>0</v>
      </c>
      <c r="D225" t="s">
        <v>8</v>
      </c>
      <c r="E225" t="s">
        <v>257</v>
      </c>
      <c r="F225" t="s">
        <v>61</v>
      </c>
      <c r="G225">
        <v>32824</v>
      </c>
      <c r="H225" s="93">
        <v>53810</v>
      </c>
      <c r="I225">
        <v>0.61</v>
      </c>
      <c r="J225">
        <v>0</v>
      </c>
      <c r="M225" s="84" t="s">
        <v>285</v>
      </c>
    </row>
    <row r="226" spans="1:13">
      <c r="A226">
        <v>2017</v>
      </c>
      <c r="B226" t="s">
        <v>283</v>
      </c>
      <c r="C226" t="s">
        <v>0</v>
      </c>
      <c r="D226" t="s">
        <v>8</v>
      </c>
      <c r="E226" t="s">
        <v>258</v>
      </c>
      <c r="F226" t="s">
        <v>58</v>
      </c>
      <c r="G226">
        <v>2242</v>
      </c>
      <c r="H226">
        <v>4075</v>
      </c>
      <c r="I226">
        <f>ROUND(G226/H226,3)</f>
        <v>0.55000000000000004</v>
      </c>
      <c r="J226">
        <v>0</v>
      </c>
      <c r="K226" s="84" t="s">
        <v>286</v>
      </c>
      <c r="L226" s="84" t="s">
        <v>286</v>
      </c>
      <c r="M226" t="s">
        <v>140</v>
      </c>
    </row>
    <row r="227" spans="1:13">
      <c r="A227">
        <v>2017</v>
      </c>
      <c r="B227" t="s">
        <v>283</v>
      </c>
      <c r="C227" t="s">
        <v>0</v>
      </c>
      <c r="D227" t="s">
        <v>8</v>
      </c>
      <c r="E227" t="s">
        <v>258</v>
      </c>
      <c r="F227" t="s">
        <v>59</v>
      </c>
      <c r="G227">
        <v>4365</v>
      </c>
      <c r="H227">
        <v>6781</v>
      </c>
      <c r="I227">
        <f t="shared" ref="I227:I229" si="7">ROUND(G227/H227,3)</f>
        <v>0.64400000000000002</v>
      </c>
      <c r="J227">
        <v>0</v>
      </c>
      <c r="K227" s="84" t="s">
        <v>286</v>
      </c>
      <c r="L227" s="84" t="s">
        <v>286</v>
      </c>
      <c r="M227" t="s">
        <v>140</v>
      </c>
    </row>
    <row r="228" spans="1:13">
      <c r="A228">
        <v>2017</v>
      </c>
      <c r="B228" t="s">
        <v>283</v>
      </c>
      <c r="C228" t="s">
        <v>0</v>
      </c>
      <c r="D228" t="s">
        <v>8</v>
      </c>
      <c r="E228" t="s">
        <v>258</v>
      </c>
      <c r="F228" t="s">
        <v>137</v>
      </c>
      <c r="G228">
        <v>4032</v>
      </c>
      <c r="H228">
        <v>4585</v>
      </c>
      <c r="I228">
        <f t="shared" si="7"/>
        <v>0.879</v>
      </c>
      <c r="J228">
        <v>0</v>
      </c>
      <c r="K228" s="84" t="s">
        <v>286</v>
      </c>
      <c r="L228" s="84" t="s">
        <v>286</v>
      </c>
      <c r="M228" t="s">
        <v>140</v>
      </c>
    </row>
    <row r="229" spans="1:13">
      <c r="A229">
        <v>2017</v>
      </c>
      <c r="B229" t="s">
        <v>283</v>
      </c>
      <c r="C229" t="s">
        <v>0</v>
      </c>
      <c r="D229" t="s">
        <v>8</v>
      </c>
      <c r="E229" t="s">
        <v>258</v>
      </c>
      <c r="F229" t="s">
        <v>61</v>
      </c>
      <c r="G229">
        <v>5640</v>
      </c>
      <c r="H229">
        <v>6165</v>
      </c>
      <c r="I229">
        <f t="shared" si="7"/>
        <v>0.91500000000000004</v>
      </c>
      <c r="J229">
        <v>0</v>
      </c>
      <c r="K229" s="84" t="s">
        <v>286</v>
      </c>
      <c r="L229" s="84" t="s">
        <v>286</v>
      </c>
      <c r="M229" t="s">
        <v>140</v>
      </c>
    </row>
    <row r="230" spans="1:13">
      <c r="A230">
        <v>2019</v>
      </c>
      <c r="B230" t="s">
        <v>283</v>
      </c>
      <c r="C230" t="s">
        <v>0</v>
      </c>
      <c r="D230" t="s">
        <v>17</v>
      </c>
      <c r="E230" t="s">
        <v>41</v>
      </c>
      <c r="F230" t="s">
        <v>58</v>
      </c>
      <c r="G230">
        <v>1616</v>
      </c>
      <c r="H230">
        <v>161597</v>
      </c>
      <c r="I230">
        <v>0.01</v>
      </c>
      <c r="J230">
        <v>0</v>
      </c>
      <c r="M230" s="84" t="s">
        <v>284</v>
      </c>
    </row>
    <row r="231" spans="1:13">
      <c r="A231">
        <v>2019</v>
      </c>
      <c r="B231" t="s">
        <v>283</v>
      </c>
      <c r="C231" t="s">
        <v>0</v>
      </c>
      <c r="D231" t="s">
        <v>17</v>
      </c>
      <c r="E231" t="s">
        <v>41</v>
      </c>
      <c r="F231" t="s">
        <v>59</v>
      </c>
      <c r="G231">
        <v>991</v>
      </c>
      <c r="H231">
        <v>49540</v>
      </c>
      <c r="I231">
        <v>0.02</v>
      </c>
      <c r="J231">
        <v>0</v>
      </c>
      <c r="M231" s="84" t="s">
        <v>284</v>
      </c>
    </row>
    <row r="232" spans="1:13">
      <c r="A232">
        <v>2019</v>
      </c>
      <c r="B232" t="s">
        <v>283</v>
      </c>
      <c r="C232" t="s">
        <v>0</v>
      </c>
      <c r="D232" t="s">
        <v>17</v>
      </c>
      <c r="E232" t="s">
        <v>41</v>
      </c>
      <c r="F232" t="s">
        <v>137</v>
      </c>
      <c r="G232">
        <v>7677</v>
      </c>
      <c r="H232">
        <v>54839</v>
      </c>
      <c r="I232">
        <v>0.14000000000000001</v>
      </c>
      <c r="J232">
        <v>0</v>
      </c>
      <c r="M232" s="84" t="s">
        <v>284</v>
      </c>
    </row>
    <row r="233" spans="1:13">
      <c r="A233">
        <v>2019</v>
      </c>
      <c r="B233" t="s">
        <v>283</v>
      </c>
      <c r="C233" t="s">
        <v>0</v>
      </c>
      <c r="D233" t="s">
        <v>17</v>
      </c>
      <c r="E233" t="s">
        <v>41</v>
      </c>
      <c r="F233" t="s">
        <v>61</v>
      </c>
      <c r="G233">
        <v>22604</v>
      </c>
      <c r="H233" s="93">
        <v>113019</v>
      </c>
      <c r="I233">
        <v>0.2</v>
      </c>
      <c r="J233">
        <v>0</v>
      </c>
      <c r="M233" s="84" t="s">
        <v>284</v>
      </c>
    </row>
    <row r="234" spans="1:13">
      <c r="A234">
        <v>2019</v>
      </c>
      <c r="B234" t="s">
        <v>283</v>
      </c>
      <c r="C234" t="s">
        <v>0</v>
      </c>
      <c r="D234" t="s">
        <v>17</v>
      </c>
      <c r="E234" t="s">
        <v>42</v>
      </c>
      <c r="F234" t="s">
        <v>58</v>
      </c>
      <c r="G234">
        <v>2260</v>
      </c>
      <c r="H234" s="93">
        <v>113019</v>
      </c>
      <c r="I234">
        <v>0.02</v>
      </c>
      <c r="J234">
        <v>1</v>
      </c>
      <c r="K234" t="s">
        <v>140</v>
      </c>
      <c r="L234" s="84" t="s">
        <v>287</v>
      </c>
      <c r="M234" s="84" t="s">
        <v>285</v>
      </c>
    </row>
    <row r="235" spans="1:13">
      <c r="A235">
        <v>2019</v>
      </c>
      <c r="B235" t="s">
        <v>283</v>
      </c>
      <c r="C235" t="s">
        <v>0</v>
      </c>
      <c r="D235" t="s">
        <v>17</v>
      </c>
      <c r="E235" t="s">
        <v>42</v>
      </c>
      <c r="F235" t="s">
        <v>59</v>
      </c>
      <c r="G235">
        <v>4757</v>
      </c>
      <c r="H235" s="93">
        <v>158564</v>
      </c>
      <c r="I235">
        <v>0.03</v>
      </c>
      <c r="J235">
        <v>1</v>
      </c>
      <c r="K235" t="s">
        <v>140</v>
      </c>
      <c r="L235" s="84" t="s">
        <v>287</v>
      </c>
      <c r="M235" s="84" t="s">
        <v>285</v>
      </c>
    </row>
    <row r="236" spans="1:13">
      <c r="A236">
        <v>2019</v>
      </c>
      <c r="B236" t="s">
        <v>283</v>
      </c>
      <c r="C236" t="s">
        <v>0</v>
      </c>
      <c r="D236" t="s">
        <v>17</v>
      </c>
      <c r="E236" t="s">
        <v>42</v>
      </c>
      <c r="F236" t="s">
        <v>137</v>
      </c>
      <c r="G236">
        <v>9722</v>
      </c>
      <c r="H236" s="93">
        <v>48610</v>
      </c>
      <c r="I236">
        <v>0.2</v>
      </c>
      <c r="J236">
        <v>1</v>
      </c>
      <c r="K236" t="s">
        <v>140</v>
      </c>
      <c r="L236" s="84" t="s">
        <v>287</v>
      </c>
      <c r="M236" s="84" t="s">
        <v>285</v>
      </c>
    </row>
    <row r="237" spans="1:13">
      <c r="A237">
        <v>2019</v>
      </c>
      <c r="B237" t="s">
        <v>283</v>
      </c>
      <c r="C237" t="s">
        <v>0</v>
      </c>
      <c r="D237" t="s">
        <v>17</v>
      </c>
      <c r="E237" t="s">
        <v>42</v>
      </c>
      <c r="F237" t="s">
        <v>61</v>
      </c>
      <c r="G237">
        <v>16143</v>
      </c>
      <c r="H237" s="93">
        <v>53810</v>
      </c>
      <c r="I237">
        <v>0.3</v>
      </c>
      <c r="J237">
        <v>1</v>
      </c>
      <c r="K237" t="s">
        <v>140</v>
      </c>
      <c r="L237" s="84" t="s">
        <v>287</v>
      </c>
      <c r="M237" s="84" t="s">
        <v>285</v>
      </c>
    </row>
    <row r="238" spans="1:13">
      <c r="A238">
        <v>2021</v>
      </c>
      <c r="B238" t="s">
        <v>283</v>
      </c>
      <c r="C238" t="s">
        <v>0</v>
      </c>
      <c r="D238" t="s">
        <v>25</v>
      </c>
      <c r="E238" t="s">
        <v>259</v>
      </c>
      <c r="F238" t="s">
        <v>58</v>
      </c>
      <c r="G238">
        <v>6183</v>
      </c>
      <c r="H238" s="93">
        <v>1025006</v>
      </c>
      <c r="I238">
        <f>ROUND(G238/H238,4)</f>
        <v>6.0000000000000001E-3</v>
      </c>
      <c r="J238">
        <v>1</v>
      </c>
      <c r="K238" s="84" t="s">
        <v>287</v>
      </c>
      <c r="L238" s="84" t="s">
        <v>287</v>
      </c>
      <c r="M238" t="s">
        <v>140</v>
      </c>
    </row>
    <row r="239" spans="1:13">
      <c r="A239">
        <v>2021</v>
      </c>
      <c r="B239" t="s">
        <v>283</v>
      </c>
      <c r="C239" t="s">
        <v>0</v>
      </c>
      <c r="D239" t="s">
        <v>25</v>
      </c>
      <c r="E239" t="s">
        <v>259</v>
      </c>
      <c r="F239" t="s">
        <v>59</v>
      </c>
      <c r="G239">
        <v>6995</v>
      </c>
      <c r="H239" s="93">
        <v>1438076</v>
      </c>
      <c r="I239">
        <f t="shared" ref="I239:I241" si="8">ROUND(G239/H239,4)</f>
        <v>4.8999999999999998E-3</v>
      </c>
      <c r="J239">
        <v>1</v>
      </c>
      <c r="K239" s="84" t="s">
        <v>287</v>
      </c>
      <c r="L239" s="84" t="s">
        <v>287</v>
      </c>
      <c r="M239" t="s">
        <v>140</v>
      </c>
    </row>
    <row r="240" spans="1:13">
      <c r="A240">
        <v>2021</v>
      </c>
      <c r="B240" t="s">
        <v>283</v>
      </c>
      <c r="C240" t="s">
        <v>0</v>
      </c>
      <c r="D240" t="s">
        <v>25</v>
      </c>
      <c r="E240" t="s">
        <v>259</v>
      </c>
      <c r="F240" t="s">
        <v>137</v>
      </c>
      <c r="G240">
        <v>11683</v>
      </c>
      <c r="H240" s="93">
        <v>440861</v>
      </c>
      <c r="I240">
        <f t="shared" si="8"/>
        <v>2.6499999999999999E-2</v>
      </c>
      <c r="J240">
        <v>1</v>
      </c>
      <c r="K240" s="84" t="s">
        <v>287</v>
      </c>
      <c r="L240" s="84" t="s">
        <v>287</v>
      </c>
      <c r="M240" t="s">
        <v>140</v>
      </c>
    </row>
    <row r="241" spans="1:13">
      <c r="A241">
        <v>2021</v>
      </c>
      <c r="B241" t="s">
        <v>283</v>
      </c>
      <c r="C241" t="s">
        <v>0</v>
      </c>
      <c r="D241" t="s">
        <v>25</v>
      </c>
      <c r="E241" t="s">
        <v>259</v>
      </c>
      <c r="F241" t="s">
        <v>61</v>
      </c>
      <c r="G241">
        <v>3995</v>
      </c>
      <c r="H241" s="93">
        <v>488022</v>
      </c>
      <c r="I241">
        <f t="shared" si="8"/>
        <v>8.2000000000000007E-3</v>
      </c>
      <c r="J241">
        <v>1</v>
      </c>
      <c r="K241" s="84" t="s">
        <v>287</v>
      </c>
      <c r="L241" s="84" t="s">
        <v>287</v>
      </c>
      <c r="M241" t="s">
        <v>140</v>
      </c>
    </row>
    <row r="242" spans="1:13">
      <c r="A242" t="s">
        <v>140</v>
      </c>
      <c r="B242" t="s">
        <v>283</v>
      </c>
      <c r="C242" t="s">
        <v>0</v>
      </c>
      <c r="D242" t="s">
        <v>25</v>
      </c>
      <c r="E242" t="s">
        <v>260</v>
      </c>
      <c r="F242" t="s">
        <v>58</v>
      </c>
      <c r="G242" t="s">
        <v>140</v>
      </c>
      <c r="H242" t="s">
        <v>140</v>
      </c>
      <c r="I242" t="s">
        <v>140</v>
      </c>
      <c r="J242" t="s">
        <v>140</v>
      </c>
    </row>
    <row r="243" spans="1:13">
      <c r="A243" t="s">
        <v>140</v>
      </c>
      <c r="B243" t="s">
        <v>283</v>
      </c>
      <c r="C243" t="s">
        <v>0</v>
      </c>
      <c r="D243" t="s">
        <v>25</v>
      </c>
      <c r="E243" t="s">
        <v>260</v>
      </c>
      <c r="F243" t="s">
        <v>59</v>
      </c>
      <c r="G243" t="s">
        <v>140</v>
      </c>
      <c r="H243" t="s">
        <v>140</v>
      </c>
      <c r="I243" t="s">
        <v>140</v>
      </c>
      <c r="J243" t="s">
        <v>140</v>
      </c>
    </row>
    <row r="244" spans="1:13">
      <c r="A244" t="s">
        <v>140</v>
      </c>
      <c r="B244" t="s">
        <v>283</v>
      </c>
      <c r="C244" t="s">
        <v>0</v>
      </c>
      <c r="D244" t="s">
        <v>25</v>
      </c>
      <c r="E244" t="s">
        <v>260</v>
      </c>
      <c r="F244" t="s">
        <v>137</v>
      </c>
      <c r="G244" t="s">
        <v>140</v>
      </c>
      <c r="H244" t="s">
        <v>140</v>
      </c>
      <c r="I244" t="s">
        <v>140</v>
      </c>
      <c r="J244" t="s">
        <v>140</v>
      </c>
    </row>
    <row r="245" spans="1:13">
      <c r="A245" t="s">
        <v>140</v>
      </c>
      <c r="B245" t="s">
        <v>283</v>
      </c>
      <c r="C245" t="s">
        <v>0</v>
      </c>
      <c r="D245" t="s">
        <v>25</v>
      </c>
      <c r="E245" t="s">
        <v>260</v>
      </c>
      <c r="F245" t="s">
        <v>61</v>
      </c>
      <c r="G245" t="s">
        <v>140</v>
      </c>
      <c r="H245" t="s">
        <v>140</v>
      </c>
      <c r="I245" t="s">
        <v>140</v>
      </c>
      <c r="J245" t="s">
        <v>140</v>
      </c>
    </row>
    <row r="246" spans="1:13">
      <c r="A246">
        <v>2017</v>
      </c>
      <c r="B246" t="s">
        <v>283</v>
      </c>
      <c r="C246" t="s">
        <v>0</v>
      </c>
      <c r="D246" t="s">
        <v>25</v>
      </c>
      <c r="E246" t="s">
        <v>63</v>
      </c>
      <c r="F246" t="s">
        <v>58</v>
      </c>
      <c r="G246">
        <v>4075</v>
      </c>
      <c r="H246" s="93">
        <v>113019</v>
      </c>
      <c r="I246">
        <f>ROUND(G246/H246,3)</f>
        <v>3.5999999999999997E-2</v>
      </c>
      <c r="J246">
        <v>1</v>
      </c>
    </row>
    <row r="247" spans="1:13">
      <c r="A247">
        <v>2017</v>
      </c>
      <c r="B247" t="s">
        <v>283</v>
      </c>
      <c r="C247" t="s">
        <v>0</v>
      </c>
      <c r="D247" t="s">
        <v>25</v>
      </c>
      <c r="E247" t="s">
        <v>63</v>
      </c>
      <c r="F247" t="s">
        <v>59</v>
      </c>
      <c r="G247">
        <v>6781</v>
      </c>
      <c r="H247" s="93">
        <v>158564</v>
      </c>
      <c r="I247">
        <f t="shared" ref="I247:I248" si="9">ROUND(G247/H247,3)</f>
        <v>4.2999999999999997E-2</v>
      </c>
      <c r="J247">
        <v>1</v>
      </c>
    </row>
    <row r="248" spans="1:13">
      <c r="A248">
        <v>2017</v>
      </c>
      <c r="B248" t="s">
        <v>283</v>
      </c>
      <c r="C248" t="s">
        <v>0</v>
      </c>
      <c r="D248" t="s">
        <v>25</v>
      </c>
      <c r="E248" t="s">
        <v>63</v>
      </c>
      <c r="F248" t="s">
        <v>137</v>
      </c>
      <c r="G248">
        <v>4585</v>
      </c>
      <c r="H248" s="93">
        <v>48610</v>
      </c>
      <c r="I248">
        <f t="shared" si="9"/>
        <v>9.4E-2</v>
      </c>
      <c r="J248">
        <v>1</v>
      </c>
    </row>
    <row r="249" spans="1:13">
      <c r="A249">
        <v>2017</v>
      </c>
      <c r="B249" t="s">
        <v>283</v>
      </c>
      <c r="C249" t="s">
        <v>0</v>
      </c>
      <c r="D249" t="s">
        <v>25</v>
      </c>
      <c r="E249" t="s">
        <v>63</v>
      </c>
      <c r="F249" t="s">
        <v>61</v>
      </c>
      <c r="G249">
        <v>6165</v>
      </c>
      <c r="H249" s="93">
        <v>53810</v>
      </c>
      <c r="I249">
        <f>ROUND(G249/H249,3)</f>
        <v>0.115</v>
      </c>
      <c r="J249">
        <v>1</v>
      </c>
    </row>
    <row r="250" spans="1:13">
      <c r="B250" t="s">
        <v>283</v>
      </c>
      <c r="C250" t="s">
        <v>0</v>
      </c>
      <c r="D250" t="s">
        <v>25</v>
      </c>
      <c r="E250" t="s">
        <v>119</v>
      </c>
      <c r="F250" t="s">
        <v>58</v>
      </c>
      <c r="G250" t="s">
        <v>140</v>
      </c>
      <c r="H250" t="s">
        <v>140</v>
      </c>
      <c r="I250" t="s">
        <v>140</v>
      </c>
      <c r="J250" t="s">
        <v>140</v>
      </c>
    </row>
    <row r="251" spans="1:13">
      <c r="B251" t="s">
        <v>283</v>
      </c>
      <c r="C251" t="s">
        <v>0</v>
      </c>
      <c r="D251" t="s">
        <v>25</v>
      </c>
      <c r="E251" t="s">
        <v>119</v>
      </c>
      <c r="F251" t="s">
        <v>59</v>
      </c>
      <c r="G251" t="s">
        <v>140</v>
      </c>
      <c r="H251" t="s">
        <v>140</v>
      </c>
      <c r="I251" t="s">
        <v>140</v>
      </c>
      <c r="J251" t="s">
        <v>140</v>
      </c>
    </row>
    <row r="252" spans="1:13">
      <c r="B252" t="s">
        <v>283</v>
      </c>
      <c r="C252" t="s">
        <v>0</v>
      </c>
      <c r="D252" t="s">
        <v>25</v>
      </c>
      <c r="E252" t="s">
        <v>119</v>
      </c>
      <c r="F252" t="s">
        <v>137</v>
      </c>
      <c r="G252" t="s">
        <v>140</v>
      </c>
      <c r="H252" t="s">
        <v>140</v>
      </c>
      <c r="I252" t="s">
        <v>140</v>
      </c>
      <c r="J252" t="s">
        <v>140</v>
      </c>
    </row>
    <row r="253" spans="1:13">
      <c r="B253" t="s">
        <v>283</v>
      </c>
      <c r="C253" t="s">
        <v>0</v>
      </c>
      <c r="D253" t="s">
        <v>25</v>
      </c>
      <c r="E253" t="s">
        <v>119</v>
      </c>
      <c r="F253" t="s">
        <v>61</v>
      </c>
      <c r="G253" t="s">
        <v>140</v>
      </c>
      <c r="H253" t="s">
        <v>140</v>
      </c>
      <c r="I253" t="s">
        <v>140</v>
      </c>
      <c r="J253" t="s">
        <v>140</v>
      </c>
    </row>
    <row r="254" spans="1:13">
      <c r="B254" t="s">
        <v>283</v>
      </c>
      <c r="C254" t="s">
        <v>72</v>
      </c>
      <c r="D254" t="s">
        <v>8</v>
      </c>
      <c r="E254" t="s">
        <v>261</v>
      </c>
      <c r="F254" t="s">
        <v>58</v>
      </c>
    </row>
    <row r="255" spans="1:13">
      <c r="B255" t="s">
        <v>283</v>
      </c>
      <c r="C255" t="s">
        <v>72</v>
      </c>
      <c r="D255" t="s">
        <v>8</v>
      </c>
      <c r="E255" t="s">
        <v>261</v>
      </c>
      <c r="F255" t="s">
        <v>59</v>
      </c>
    </row>
    <row r="256" spans="1:13">
      <c r="B256" t="s">
        <v>283</v>
      </c>
      <c r="C256" t="s">
        <v>72</v>
      </c>
      <c r="D256" t="s">
        <v>8</v>
      </c>
      <c r="E256" t="s">
        <v>261</v>
      </c>
      <c r="F256" t="s">
        <v>137</v>
      </c>
    </row>
    <row r="257" spans="2:6">
      <c r="B257" t="s">
        <v>283</v>
      </c>
      <c r="C257" t="s">
        <v>72</v>
      </c>
      <c r="D257" t="s">
        <v>8</v>
      </c>
      <c r="E257" t="s">
        <v>261</v>
      </c>
      <c r="F257" t="s">
        <v>61</v>
      </c>
    </row>
    <row r="258" spans="2:6">
      <c r="B258" t="s">
        <v>283</v>
      </c>
      <c r="C258" t="s">
        <v>72</v>
      </c>
      <c r="D258" t="s">
        <v>8</v>
      </c>
      <c r="E258" t="s">
        <v>262</v>
      </c>
      <c r="F258" t="s">
        <v>58</v>
      </c>
    </row>
    <row r="259" spans="2:6">
      <c r="B259" t="s">
        <v>283</v>
      </c>
      <c r="C259" t="s">
        <v>72</v>
      </c>
      <c r="D259" t="s">
        <v>8</v>
      </c>
      <c r="E259" t="s">
        <v>262</v>
      </c>
      <c r="F259" t="s">
        <v>59</v>
      </c>
    </row>
    <row r="260" spans="2:6">
      <c r="B260" t="s">
        <v>283</v>
      </c>
      <c r="C260" t="s">
        <v>72</v>
      </c>
      <c r="D260" t="s">
        <v>8</v>
      </c>
      <c r="E260" t="s">
        <v>262</v>
      </c>
      <c r="F260" t="s">
        <v>137</v>
      </c>
    </row>
    <row r="261" spans="2:6">
      <c r="B261" t="s">
        <v>283</v>
      </c>
      <c r="C261" t="s">
        <v>72</v>
      </c>
      <c r="D261" t="s">
        <v>8</v>
      </c>
      <c r="E261" t="s">
        <v>262</v>
      </c>
      <c r="F261" t="s">
        <v>61</v>
      </c>
    </row>
    <row r="262" spans="2:6">
      <c r="B262" t="s">
        <v>283</v>
      </c>
      <c r="C262" t="s">
        <v>72</v>
      </c>
      <c r="D262" t="s">
        <v>8</v>
      </c>
      <c r="E262" t="s">
        <v>263</v>
      </c>
      <c r="F262" t="s">
        <v>58</v>
      </c>
    </row>
    <row r="263" spans="2:6">
      <c r="B263" t="s">
        <v>283</v>
      </c>
      <c r="C263" t="s">
        <v>72</v>
      </c>
      <c r="D263" t="s">
        <v>8</v>
      </c>
      <c r="E263" t="s">
        <v>263</v>
      </c>
      <c r="F263" t="s">
        <v>59</v>
      </c>
    </row>
    <row r="264" spans="2:6">
      <c r="B264" t="s">
        <v>283</v>
      </c>
      <c r="C264" t="s">
        <v>72</v>
      </c>
      <c r="D264" t="s">
        <v>8</v>
      </c>
      <c r="E264" t="s">
        <v>263</v>
      </c>
      <c r="F264" t="s">
        <v>137</v>
      </c>
    </row>
    <row r="265" spans="2:6">
      <c r="B265" t="s">
        <v>283</v>
      </c>
      <c r="C265" t="s">
        <v>72</v>
      </c>
      <c r="D265" t="s">
        <v>8</v>
      </c>
      <c r="E265" t="s">
        <v>263</v>
      </c>
      <c r="F265" t="s">
        <v>61</v>
      </c>
    </row>
    <row r="266" spans="2:6">
      <c r="B266" t="s">
        <v>283</v>
      </c>
      <c r="C266" t="s">
        <v>72</v>
      </c>
      <c r="D266" t="s">
        <v>17</v>
      </c>
      <c r="E266" t="s">
        <v>264</v>
      </c>
      <c r="F266" t="s">
        <v>58</v>
      </c>
    </row>
    <row r="267" spans="2:6">
      <c r="B267" t="s">
        <v>283</v>
      </c>
      <c r="C267" t="s">
        <v>72</v>
      </c>
      <c r="D267" t="s">
        <v>17</v>
      </c>
      <c r="E267" t="s">
        <v>264</v>
      </c>
      <c r="F267" t="s">
        <v>59</v>
      </c>
    </row>
    <row r="268" spans="2:6">
      <c r="B268" t="s">
        <v>283</v>
      </c>
      <c r="C268" t="s">
        <v>72</v>
      </c>
      <c r="D268" t="s">
        <v>17</v>
      </c>
      <c r="E268" t="s">
        <v>264</v>
      </c>
      <c r="F268" t="s">
        <v>137</v>
      </c>
    </row>
    <row r="269" spans="2:6">
      <c r="B269" t="s">
        <v>283</v>
      </c>
      <c r="C269" t="s">
        <v>72</v>
      </c>
      <c r="D269" t="s">
        <v>17</v>
      </c>
      <c r="E269" t="s">
        <v>264</v>
      </c>
      <c r="F269" t="s">
        <v>61</v>
      </c>
    </row>
    <row r="270" spans="2:6">
      <c r="B270" t="s">
        <v>283</v>
      </c>
      <c r="C270" t="s">
        <v>72</v>
      </c>
      <c r="D270" t="s">
        <v>17</v>
      </c>
      <c r="E270" t="s">
        <v>265</v>
      </c>
      <c r="F270" t="s">
        <v>58</v>
      </c>
    </row>
    <row r="271" spans="2:6">
      <c r="B271" t="s">
        <v>283</v>
      </c>
      <c r="C271" t="s">
        <v>72</v>
      </c>
      <c r="D271" t="s">
        <v>17</v>
      </c>
      <c r="E271" t="s">
        <v>265</v>
      </c>
      <c r="F271" t="s">
        <v>59</v>
      </c>
    </row>
    <row r="272" spans="2:6">
      <c r="B272" t="s">
        <v>283</v>
      </c>
      <c r="C272" t="s">
        <v>72</v>
      </c>
      <c r="D272" t="s">
        <v>17</v>
      </c>
      <c r="E272" t="s">
        <v>265</v>
      </c>
      <c r="F272" t="s">
        <v>137</v>
      </c>
    </row>
    <row r="273" spans="2:6">
      <c r="B273" t="s">
        <v>283</v>
      </c>
      <c r="C273" t="s">
        <v>72</v>
      </c>
      <c r="D273" t="s">
        <v>17</v>
      </c>
      <c r="E273" t="s">
        <v>265</v>
      </c>
      <c r="F273" t="s">
        <v>61</v>
      </c>
    </row>
    <row r="274" spans="2:6">
      <c r="B274" t="s">
        <v>283</v>
      </c>
      <c r="C274" t="s">
        <v>72</v>
      </c>
      <c r="D274" t="s">
        <v>25</v>
      </c>
      <c r="E274" t="s">
        <v>266</v>
      </c>
      <c r="F274" t="s">
        <v>58</v>
      </c>
    </row>
    <row r="275" spans="2:6">
      <c r="B275" t="s">
        <v>283</v>
      </c>
      <c r="C275" t="s">
        <v>72</v>
      </c>
      <c r="D275" t="s">
        <v>25</v>
      </c>
      <c r="E275" t="s">
        <v>266</v>
      </c>
      <c r="F275" t="s">
        <v>59</v>
      </c>
    </row>
    <row r="276" spans="2:6">
      <c r="B276" t="s">
        <v>283</v>
      </c>
      <c r="C276" t="s">
        <v>72</v>
      </c>
      <c r="D276" t="s">
        <v>25</v>
      </c>
      <c r="E276" t="s">
        <v>266</v>
      </c>
      <c r="F276" t="s">
        <v>137</v>
      </c>
    </row>
    <row r="277" spans="2:6">
      <c r="B277" t="s">
        <v>283</v>
      </c>
      <c r="C277" t="s">
        <v>72</v>
      </c>
      <c r="D277" t="s">
        <v>25</v>
      </c>
      <c r="E277" t="s">
        <v>266</v>
      </c>
      <c r="F277" t="s">
        <v>61</v>
      </c>
    </row>
    <row r="278" spans="2:6">
      <c r="B278" t="s">
        <v>283</v>
      </c>
      <c r="C278" t="s">
        <v>72</v>
      </c>
      <c r="D278" t="s">
        <v>25</v>
      </c>
      <c r="E278" t="s">
        <v>267</v>
      </c>
      <c r="F278" t="s">
        <v>58</v>
      </c>
    </row>
    <row r="279" spans="2:6">
      <c r="B279" t="s">
        <v>283</v>
      </c>
      <c r="C279" t="s">
        <v>72</v>
      </c>
      <c r="D279" t="s">
        <v>25</v>
      </c>
      <c r="E279" t="s">
        <v>267</v>
      </c>
      <c r="F279" t="s">
        <v>59</v>
      </c>
    </row>
    <row r="280" spans="2:6">
      <c r="B280" t="s">
        <v>283</v>
      </c>
      <c r="C280" t="s">
        <v>72</v>
      </c>
      <c r="D280" t="s">
        <v>25</v>
      </c>
      <c r="E280" t="s">
        <v>267</v>
      </c>
      <c r="F280" t="s">
        <v>137</v>
      </c>
    </row>
    <row r="281" spans="2:6">
      <c r="B281" t="s">
        <v>283</v>
      </c>
      <c r="C281" t="s">
        <v>72</v>
      </c>
      <c r="D281" t="s">
        <v>25</v>
      </c>
      <c r="E281" t="s">
        <v>267</v>
      </c>
      <c r="F281" t="s">
        <v>61</v>
      </c>
    </row>
    <row r="282" spans="2:6">
      <c r="B282" t="s">
        <v>283</v>
      </c>
      <c r="C282" t="s">
        <v>72</v>
      </c>
      <c r="D282" t="s">
        <v>25</v>
      </c>
      <c r="E282" t="s">
        <v>268</v>
      </c>
      <c r="F282" t="s">
        <v>58</v>
      </c>
    </row>
    <row r="283" spans="2:6">
      <c r="B283" t="s">
        <v>283</v>
      </c>
      <c r="C283" t="s">
        <v>72</v>
      </c>
      <c r="D283" t="s">
        <v>25</v>
      </c>
      <c r="E283" t="s">
        <v>268</v>
      </c>
      <c r="F283" t="s">
        <v>59</v>
      </c>
    </row>
    <row r="284" spans="2:6">
      <c r="B284" t="s">
        <v>283</v>
      </c>
      <c r="C284" t="s">
        <v>72</v>
      </c>
      <c r="D284" t="s">
        <v>25</v>
      </c>
      <c r="E284" t="s">
        <v>268</v>
      </c>
      <c r="F284" t="s">
        <v>137</v>
      </c>
    </row>
    <row r="285" spans="2:6">
      <c r="B285" t="s">
        <v>283</v>
      </c>
      <c r="C285" t="s">
        <v>72</v>
      </c>
      <c r="D285" t="s">
        <v>25</v>
      </c>
      <c r="E285" t="s">
        <v>268</v>
      </c>
      <c r="F285" t="s">
        <v>61</v>
      </c>
    </row>
    <row r="286" spans="2:6">
      <c r="B286" t="s">
        <v>283</v>
      </c>
      <c r="C286" t="s">
        <v>72</v>
      </c>
      <c r="D286" t="s">
        <v>25</v>
      </c>
      <c r="E286" t="s">
        <v>73</v>
      </c>
      <c r="F286" t="s">
        <v>58</v>
      </c>
    </row>
    <row r="287" spans="2:6">
      <c r="B287" t="s">
        <v>283</v>
      </c>
      <c r="C287" t="s">
        <v>72</v>
      </c>
      <c r="D287" t="s">
        <v>25</v>
      </c>
      <c r="E287" t="s">
        <v>73</v>
      </c>
      <c r="F287" t="s">
        <v>59</v>
      </c>
    </row>
    <row r="288" spans="2:6">
      <c r="B288" t="s">
        <v>283</v>
      </c>
      <c r="C288" t="s">
        <v>72</v>
      </c>
      <c r="D288" t="s">
        <v>25</v>
      </c>
      <c r="E288" t="s">
        <v>73</v>
      </c>
      <c r="F288" t="s">
        <v>137</v>
      </c>
    </row>
    <row r="289" spans="2:6">
      <c r="B289" t="s">
        <v>283</v>
      </c>
      <c r="C289" t="s">
        <v>72</v>
      </c>
      <c r="D289" t="s">
        <v>25</v>
      </c>
      <c r="E289" t="s">
        <v>73</v>
      </c>
      <c r="F289" t="s">
        <v>61</v>
      </c>
    </row>
    <row r="290" spans="2:6">
      <c r="B290" t="s">
        <v>283</v>
      </c>
      <c r="C290" t="s">
        <v>269</v>
      </c>
      <c r="D290" t="s">
        <v>8</v>
      </c>
      <c r="E290" t="s">
        <v>270</v>
      </c>
      <c r="F290" t="s">
        <v>58</v>
      </c>
    </row>
    <row r="291" spans="2:6">
      <c r="B291" t="s">
        <v>283</v>
      </c>
      <c r="C291" t="s">
        <v>269</v>
      </c>
      <c r="D291" t="s">
        <v>8</v>
      </c>
      <c r="E291" t="s">
        <v>270</v>
      </c>
      <c r="F291" t="s">
        <v>59</v>
      </c>
    </row>
    <row r="292" spans="2:6">
      <c r="B292" t="s">
        <v>283</v>
      </c>
      <c r="C292" t="s">
        <v>269</v>
      </c>
      <c r="D292" t="s">
        <v>8</v>
      </c>
      <c r="E292" t="s">
        <v>270</v>
      </c>
      <c r="F292" t="s">
        <v>137</v>
      </c>
    </row>
    <row r="293" spans="2:6">
      <c r="B293" t="s">
        <v>283</v>
      </c>
      <c r="C293" t="s">
        <v>269</v>
      </c>
      <c r="D293" t="s">
        <v>8</v>
      </c>
      <c r="E293" t="s">
        <v>270</v>
      </c>
      <c r="F293" t="s">
        <v>61</v>
      </c>
    </row>
    <row r="294" spans="2:6">
      <c r="B294" t="s">
        <v>283</v>
      </c>
      <c r="C294" t="s">
        <v>269</v>
      </c>
      <c r="D294" t="s">
        <v>8</v>
      </c>
      <c r="E294" t="s">
        <v>271</v>
      </c>
      <c r="F294" t="s">
        <v>58</v>
      </c>
    </row>
    <row r="295" spans="2:6">
      <c r="B295" t="s">
        <v>283</v>
      </c>
      <c r="C295" t="s">
        <v>269</v>
      </c>
      <c r="D295" t="s">
        <v>8</v>
      </c>
      <c r="E295" t="s">
        <v>271</v>
      </c>
      <c r="F295" t="s">
        <v>59</v>
      </c>
    </row>
    <row r="296" spans="2:6">
      <c r="B296" t="s">
        <v>283</v>
      </c>
      <c r="C296" t="s">
        <v>269</v>
      </c>
      <c r="D296" t="s">
        <v>8</v>
      </c>
      <c r="E296" t="s">
        <v>271</v>
      </c>
      <c r="F296" t="s">
        <v>137</v>
      </c>
    </row>
    <row r="297" spans="2:6">
      <c r="B297" t="s">
        <v>283</v>
      </c>
      <c r="C297" t="s">
        <v>269</v>
      </c>
      <c r="D297" t="s">
        <v>8</v>
      </c>
      <c r="E297" t="s">
        <v>271</v>
      </c>
      <c r="F297" t="s">
        <v>61</v>
      </c>
    </row>
    <row r="298" spans="2:6">
      <c r="B298" t="s">
        <v>283</v>
      </c>
      <c r="C298" t="s">
        <v>269</v>
      </c>
      <c r="D298" t="s">
        <v>17</v>
      </c>
      <c r="E298" t="s">
        <v>272</v>
      </c>
      <c r="F298" t="s">
        <v>58</v>
      </c>
    </row>
    <row r="299" spans="2:6">
      <c r="B299" t="s">
        <v>283</v>
      </c>
      <c r="C299" t="s">
        <v>269</v>
      </c>
      <c r="D299" t="s">
        <v>17</v>
      </c>
      <c r="E299" t="s">
        <v>272</v>
      </c>
      <c r="F299" t="s">
        <v>59</v>
      </c>
    </row>
    <row r="300" spans="2:6">
      <c r="B300" t="s">
        <v>283</v>
      </c>
      <c r="C300" t="s">
        <v>269</v>
      </c>
      <c r="D300" t="s">
        <v>17</v>
      </c>
      <c r="E300" t="s">
        <v>272</v>
      </c>
      <c r="F300" t="s">
        <v>137</v>
      </c>
    </row>
    <row r="301" spans="2:6">
      <c r="B301" t="s">
        <v>283</v>
      </c>
      <c r="C301" t="s">
        <v>269</v>
      </c>
      <c r="D301" t="s">
        <v>17</v>
      </c>
      <c r="E301" t="s">
        <v>272</v>
      </c>
      <c r="F301" t="s">
        <v>61</v>
      </c>
    </row>
    <row r="302" spans="2:6">
      <c r="B302" t="s">
        <v>283</v>
      </c>
      <c r="C302" t="s">
        <v>269</v>
      </c>
      <c r="D302" t="s">
        <v>17</v>
      </c>
      <c r="E302" t="s">
        <v>273</v>
      </c>
      <c r="F302" t="s">
        <v>58</v>
      </c>
    </row>
    <row r="303" spans="2:6">
      <c r="B303" t="s">
        <v>283</v>
      </c>
      <c r="C303" t="s">
        <v>269</v>
      </c>
      <c r="D303" t="s">
        <v>17</v>
      </c>
      <c r="E303" t="s">
        <v>273</v>
      </c>
      <c r="F303" t="s">
        <v>59</v>
      </c>
    </row>
    <row r="304" spans="2:6">
      <c r="B304" t="s">
        <v>283</v>
      </c>
      <c r="C304" t="s">
        <v>269</v>
      </c>
      <c r="D304" t="s">
        <v>17</v>
      </c>
      <c r="E304" t="s">
        <v>273</v>
      </c>
      <c r="F304" t="s">
        <v>137</v>
      </c>
    </row>
    <row r="305" spans="2:6">
      <c r="B305" t="s">
        <v>283</v>
      </c>
      <c r="C305" t="s">
        <v>269</v>
      </c>
      <c r="D305" t="s">
        <v>17</v>
      </c>
      <c r="E305" t="s">
        <v>273</v>
      </c>
      <c r="F305" t="s">
        <v>61</v>
      </c>
    </row>
    <row r="306" spans="2:6">
      <c r="B306" t="s">
        <v>283</v>
      </c>
      <c r="C306" t="s">
        <v>269</v>
      </c>
      <c r="D306" t="s">
        <v>17</v>
      </c>
      <c r="E306" t="s">
        <v>274</v>
      </c>
      <c r="F306" t="s">
        <v>58</v>
      </c>
    </row>
    <row r="307" spans="2:6">
      <c r="B307" t="s">
        <v>283</v>
      </c>
      <c r="C307" t="s">
        <v>269</v>
      </c>
      <c r="D307" t="s">
        <v>17</v>
      </c>
      <c r="E307" t="s">
        <v>274</v>
      </c>
      <c r="F307" t="s">
        <v>59</v>
      </c>
    </row>
    <row r="308" spans="2:6">
      <c r="B308" t="s">
        <v>283</v>
      </c>
      <c r="C308" t="s">
        <v>269</v>
      </c>
      <c r="D308" t="s">
        <v>17</v>
      </c>
      <c r="E308" t="s">
        <v>274</v>
      </c>
      <c r="F308" t="s">
        <v>137</v>
      </c>
    </row>
    <row r="309" spans="2:6">
      <c r="B309" t="s">
        <v>283</v>
      </c>
      <c r="C309" t="s">
        <v>269</v>
      </c>
      <c r="D309" t="s">
        <v>17</v>
      </c>
      <c r="E309" t="s">
        <v>274</v>
      </c>
      <c r="F309" t="s">
        <v>61</v>
      </c>
    </row>
    <row r="310" spans="2:6">
      <c r="B310" t="s">
        <v>283</v>
      </c>
      <c r="C310" t="s">
        <v>269</v>
      </c>
      <c r="D310" t="s">
        <v>25</v>
      </c>
      <c r="E310" t="s">
        <v>275</v>
      </c>
      <c r="F310" t="s">
        <v>58</v>
      </c>
    </row>
    <row r="311" spans="2:6">
      <c r="B311" t="s">
        <v>283</v>
      </c>
      <c r="C311" t="s">
        <v>269</v>
      </c>
      <c r="D311" t="s">
        <v>25</v>
      </c>
      <c r="E311" t="s">
        <v>275</v>
      </c>
      <c r="F311" t="s">
        <v>59</v>
      </c>
    </row>
    <row r="312" spans="2:6">
      <c r="B312" t="s">
        <v>283</v>
      </c>
      <c r="C312" t="s">
        <v>269</v>
      </c>
      <c r="D312" t="s">
        <v>25</v>
      </c>
      <c r="E312" t="s">
        <v>275</v>
      </c>
      <c r="F312" t="s">
        <v>137</v>
      </c>
    </row>
    <row r="313" spans="2:6">
      <c r="B313" t="s">
        <v>283</v>
      </c>
      <c r="C313" t="s">
        <v>269</v>
      </c>
      <c r="D313" t="s">
        <v>25</v>
      </c>
      <c r="E313" t="s">
        <v>275</v>
      </c>
      <c r="F313" t="s">
        <v>61</v>
      </c>
    </row>
    <row r="314" spans="2:6">
      <c r="B314" t="s">
        <v>283</v>
      </c>
      <c r="C314" t="s">
        <v>269</v>
      </c>
      <c r="D314" t="s">
        <v>25</v>
      </c>
      <c r="E314" t="s">
        <v>276</v>
      </c>
      <c r="F314" t="s">
        <v>58</v>
      </c>
    </row>
    <row r="315" spans="2:6">
      <c r="B315" t="s">
        <v>283</v>
      </c>
      <c r="C315" t="s">
        <v>269</v>
      </c>
      <c r="D315" t="s">
        <v>25</v>
      </c>
      <c r="E315" t="s">
        <v>276</v>
      </c>
      <c r="F315" t="s">
        <v>59</v>
      </c>
    </row>
    <row r="316" spans="2:6">
      <c r="B316" t="s">
        <v>283</v>
      </c>
      <c r="C316" t="s">
        <v>269</v>
      </c>
      <c r="D316" t="s">
        <v>25</v>
      </c>
      <c r="E316" t="s">
        <v>276</v>
      </c>
      <c r="F316" t="s">
        <v>137</v>
      </c>
    </row>
    <row r="317" spans="2:6">
      <c r="B317" t="s">
        <v>283</v>
      </c>
      <c r="C317" t="s">
        <v>269</v>
      </c>
      <c r="D317" t="s">
        <v>25</v>
      </c>
      <c r="E317" t="s">
        <v>276</v>
      </c>
      <c r="F317" t="s">
        <v>61</v>
      </c>
    </row>
    <row r="318" spans="2:6">
      <c r="B318" t="s">
        <v>283</v>
      </c>
      <c r="C318" t="s">
        <v>277</v>
      </c>
      <c r="D318" t="s">
        <v>8</v>
      </c>
      <c r="E318" t="s">
        <v>278</v>
      </c>
      <c r="F318" t="s">
        <v>58</v>
      </c>
    </row>
    <row r="319" spans="2:6">
      <c r="B319" t="s">
        <v>283</v>
      </c>
      <c r="C319" t="s">
        <v>277</v>
      </c>
      <c r="D319" t="s">
        <v>8</v>
      </c>
      <c r="E319" t="s">
        <v>278</v>
      </c>
      <c r="F319" t="s">
        <v>59</v>
      </c>
    </row>
    <row r="320" spans="2:6">
      <c r="B320" t="s">
        <v>283</v>
      </c>
      <c r="C320" t="s">
        <v>277</v>
      </c>
      <c r="D320" t="s">
        <v>8</v>
      </c>
      <c r="E320" t="s">
        <v>278</v>
      </c>
      <c r="F320" t="s">
        <v>137</v>
      </c>
    </row>
    <row r="321" spans="2:6">
      <c r="B321" t="s">
        <v>283</v>
      </c>
      <c r="C321" t="s">
        <v>277</v>
      </c>
      <c r="D321" t="s">
        <v>8</v>
      </c>
      <c r="E321" t="s">
        <v>278</v>
      </c>
      <c r="F321" t="s">
        <v>61</v>
      </c>
    </row>
    <row r="322" spans="2:6">
      <c r="B322" t="s">
        <v>283</v>
      </c>
      <c r="C322" t="s">
        <v>277</v>
      </c>
      <c r="D322" t="s">
        <v>17</v>
      </c>
      <c r="E322" t="s">
        <v>279</v>
      </c>
      <c r="F322" t="s">
        <v>58</v>
      </c>
    </row>
    <row r="323" spans="2:6">
      <c r="B323" t="s">
        <v>283</v>
      </c>
      <c r="C323" t="s">
        <v>277</v>
      </c>
      <c r="D323" t="s">
        <v>17</v>
      </c>
      <c r="E323" t="s">
        <v>279</v>
      </c>
      <c r="F323" t="s">
        <v>59</v>
      </c>
    </row>
    <row r="324" spans="2:6">
      <c r="B324" t="s">
        <v>283</v>
      </c>
      <c r="C324" t="s">
        <v>277</v>
      </c>
      <c r="D324" t="s">
        <v>17</v>
      </c>
      <c r="E324" t="s">
        <v>279</v>
      </c>
      <c r="F324" t="s">
        <v>137</v>
      </c>
    </row>
  </sheetData>
  <hyperlinks>
    <hyperlink ref="K226" r:id="rId1" xr:uid="{1565A42A-D917-42FE-B1CB-A27939C976D3}"/>
    <hyperlink ref="L226" r:id="rId2" xr:uid="{A0A7EE40-CBE1-4FE3-854E-0243EFFA7AFF}"/>
    <hyperlink ref="K227" r:id="rId3" xr:uid="{B9DA8803-EFA8-40A3-88BE-406089B6CA7A}"/>
    <hyperlink ref="K228" r:id="rId4" xr:uid="{CE990455-326F-4E83-931F-0181EFF6B0F9}"/>
    <hyperlink ref="K229" r:id="rId5" xr:uid="{50CD2927-75EF-4BCF-8E73-B6DFA180F268}"/>
    <hyperlink ref="L227" r:id="rId6" xr:uid="{077205C6-6041-4CF8-950F-B49FB7336791}"/>
    <hyperlink ref="L228" r:id="rId7" xr:uid="{7CFE1013-FFF6-453F-A910-B6166ADB7AF2}"/>
    <hyperlink ref="L229" r:id="rId8" xr:uid="{8DBDD639-BB59-4CEB-84E4-C308DFA692F3}"/>
    <hyperlink ref="M218" r:id="rId9" xr:uid="{2BC3A112-2DAF-4329-850A-EB68B82B7620}"/>
    <hyperlink ref="M219:M220" r:id="rId10" display="https://nces.ed.gov/nationsreportcard/subject/publications/dst2019/pdf/2020015xn4.pdf" xr:uid="{3453E464-3BBA-43DA-A0A4-2B0C343DCDC3}"/>
    <hyperlink ref="M221" r:id="rId11" xr:uid="{329A5F3B-E4F4-4C22-B226-F103C0DCC999}"/>
    <hyperlink ref="M230" r:id="rId12" xr:uid="{BA601FC5-B2A4-4383-8D9A-E56A0660D151}"/>
    <hyperlink ref="M231:M232" r:id="rId13" display="https://nces.ed.gov/nationsreportcard/subject/publications/dst2019/pdf/2020015xn4.pdf" xr:uid="{0D9D0C89-9DBE-492A-8FCE-66ED05438BF9}"/>
    <hyperlink ref="M233" r:id="rId14" xr:uid="{BB4ADE27-9C12-4EA0-864F-8B2E6787C5E2}"/>
    <hyperlink ref="M234" r:id="rId15" xr:uid="{E34DC3BF-B2D6-4061-94D6-14D0ACD13EA4}"/>
    <hyperlink ref="M235:M237" r:id="rId16" display="https://nces.ed.gov/nationsreportcard/subject/publications/dst2019/pdf/2020015xn8.pdf" xr:uid="{692E3FE3-3F64-4CCD-94CD-BC24A32BF5E5}"/>
    <hyperlink ref="M222" r:id="rId17" xr:uid="{199EBF5C-4C40-4B80-A383-706C90C90E16}"/>
    <hyperlink ref="M223:M225" r:id="rId18" display="https://nces.ed.gov/nationsreportcard/subject/publications/dst2019/pdf/2020015xn8.pdf" xr:uid="{3CE2A53A-B727-485A-81B9-ACA9FCE45FA6}"/>
    <hyperlink ref="K238" r:id="rId19" xr:uid="{92FB4FC1-4D8F-40CA-9D29-A7E466105DBE}"/>
    <hyperlink ref="K239:K241" r:id="rId20" display="https://infohub.nyced.org/reports/school-quality/information-and-data-overview" xr:uid="{4321D435-0829-4751-87A1-FF43E0976228}"/>
    <hyperlink ref="L238" r:id="rId21" xr:uid="{6910C601-87D8-447E-B852-47376DFC2C70}"/>
    <hyperlink ref="L239:L241" r:id="rId22" display="https://infohub.nyced.org/reports/school-quality/information-and-data-overview" xr:uid="{BFDE21E5-D15B-44FF-8683-F04AAF5C63DC}"/>
    <hyperlink ref="L234" r:id="rId23" xr:uid="{3DB21F68-ED2E-41D5-83FC-A5D80E49881F}"/>
    <hyperlink ref="L235:L237" r:id="rId24" display="https://infohub.nyced.org/reports/school-quality/information-and-data-overview" xr:uid="{30E118EC-9A8E-491A-9919-1F664752682E}"/>
  </hyperlinks>
  <pageMargins left="0.7" right="0.7" top="0.75" bottom="0.75" header="0.3" footer="0.3"/>
  <pageSetup orientation="portrait" horizontalDpi="1200" verticalDpi="1200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Metric Weights</vt:lpstr>
      <vt:lpstr>Metrics and Framework Simple</vt:lpstr>
      <vt:lpstr>Metrics breakdown</vt:lpstr>
      <vt:lpstr>Gender Data</vt:lpstr>
      <vt:lpstr>Raw Data</vt:lpstr>
      <vt:lpstr>Demographics Data</vt:lpstr>
      <vt:lpstr>Economic Impact</vt:lpstr>
      <vt:lpstr>Metric Importance</vt:lpstr>
      <vt:lpstr>Metrics Data</vt:lpstr>
      <vt:lpstr>Equity Index</vt:lpstr>
      <vt:lpstr>Deep Dive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Reid</dc:creator>
  <cp:lastModifiedBy>Sebastian Reid</cp:lastModifiedBy>
  <dcterms:created xsi:type="dcterms:W3CDTF">2022-08-19T21:27:09Z</dcterms:created>
  <dcterms:modified xsi:type="dcterms:W3CDTF">2022-08-30T19:04:04Z</dcterms:modified>
</cp:coreProperties>
</file>