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1970" yWindow="15" windowWidth="14610" windowHeight="12255"/>
  </bookViews>
  <sheets>
    <sheet name="Notas" sheetId="4" r:id="rId1"/>
    <sheet name="Carteira" sheetId="5" r:id="rId2"/>
    <sheet name="NassauSt" sheetId="6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38" i="6" l="1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K3" i="4" l="1"/>
  <c r="I3" i="4" s="1"/>
  <c r="K2" i="4"/>
  <c r="H8" i="5"/>
  <c r="F8" i="5"/>
  <c r="E8" i="5"/>
  <c r="C8" i="5"/>
  <c r="M27" i="4"/>
  <c r="N27" i="4" s="1"/>
  <c r="L27" i="4"/>
  <c r="K27" i="4"/>
  <c r="M33" i="4"/>
  <c r="N33" i="4" s="1"/>
  <c r="K33" i="4"/>
  <c r="L33" i="4" s="1"/>
  <c r="M32" i="4"/>
  <c r="N32" i="4" s="1"/>
  <c r="K32" i="4"/>
  <c r="L32" i="4" s="1"/>
  <c r="M31" i="4"/>
  <c r="N31" i="4" s="1"/>
  <c r="K31" i="4"/>
  <c r="L31" i="4" s="1"/>
  <c r="M30" i="4"/>
  <c r="N30" i="4" s="1"/>
  <c r="K30" i="4"/>
  <c r="L30" i="4" s="1"/>
  <c r="D8" i="5" l="1"/>
  <c r="I8" i="5"/>
  <c r="D31" i="5" s="1"/>
  <c r="E3" i="4"/>
  <c r="M23" i="4"/>
  <c r="N23" i="4" s="1"/>
  <c r="E6" i="5" s="1"/>
  <c r="K23" i="4"/>
  <c r="L23" i="4" s="1"/>
  <c r="H7" i="5"/>
  <c r="C5" i="5"/>
  <c r="E5" i="5"/>
  <c r="N25" i="4"/>
  <c r="N21" i="4"/>
  <c r="N20" i="4"/>
  <c r="N19" i="4"/>
  <c r="N17" i="4"/>
  <c r="N16" i="4"/>
  <c r="N15" i="4"/>
  <c r="N13" i="4"/>
  <c r="N12" i="4"/>
  <c r="N11" i="4"/>
  <c r="F7" i="5"/>
  <c r="M28" i="4"/>
  <c r="N28" i="4" s="1"/>
  <c r="M26" i="4"/>
  <c r="N26" i="4" s="1"/>
  <c r="M25" i="4"/>
  <c r="M21" i="4"/>
  <c r="M20" i="4"/>
  <c r="M19" i="4"/>
  <c r="M17" i="4"/>
  <c r="M16" i="4"/>
  <c r="M15" i="4"/>
  <c r="M13" i="4"/>
  <c r="M12" i="4"/>
  <c r="M11" i="4"/>
  <c r="K28" i="4"/>
  <c r="L28" i="4" s="1"/>
  <c r="I25" i="5" s="1"/>
  <c r="K26" i="4"/>
  <c r="L26" i="4" s="1"/>
  <c r="K25" i="4"/>
  <c r="K21" i="4"/>
  <c r="L21" i="4" s="1"/>
  <c r="K20" i="4"/>
  <c r="L20" i="4" s="1"/>
  <c r="K19" i="4"/>
  <c r="L19" i="4" s="1"/>
  <c r="G18" i="4" s="1"/>
  <c r="K17" i="4"/>
  <c r="L17" i="4" s="1"/>
  <c r="K16" i="4"/>
  <c r="L16" i="4" s="1"/>
  <c r="K15" i="4"/>
  <c r="L15" i="4" s="1"/>
  <c r="K13" i="4"/>
  <c r="L13" i="4" s="1"/>
  <c r="K12" i="4"/>
  <c r="L12" i="4" s="1"/>
  <c r="K11" i="4"/>
  <c r="F4" i="5"/>
  <c r="H6" i="5"/>
  <c r="H5" i="5"/>
  <c r="F6" i="5"/>
  <c r="F5" i="5"/>
  <c r="H4" i="5"/>
  <c r="K8" i="5" l="1"/>
  <c r="L8" i="5" s="1"/>
  <c r="C7" i="5"/>
  <c r="I7" i="5" s="1"/>
  <c r="D30" i="5" s="1"/>
  <c r="C6" i="5"/>
  <c r="D6" i="5" s="1"/>
  <c r="E4" i="5"/>
  <c r="E7" i="5"/>
  <c r="D5" i="5"/>
  <c r="C4" i="5"/>
  <c r="I4" i="5" s="1"/>
  <c r="G14" i="4"/>
  <c r="L25" i="4"/>
  <c r="H24" i="4" s="1"/>
  <c r="F24" i="5"/>
  <c r="L11" i="4"/>
  <c r="D7" i="5" l="1"/>
  <c r="K7" i="5" s="1"/>
  <c r="L7" i="5" s="1"/>
  <c r="D4" i="5"/>
  <c r="H10" i="4"/>
  <c r="C24" i="5"/>
  <c r="I5" i="5"/>
  <c r="D29" i="5" s="1"/>
  <c r="I6" i="5"/>
  <c r="D28" i="5" s="1"/>
  <c r="K6" i="5" l="1"/>
  <c r="L6" i="5" s="1"/>
  <c r="K5" i="5"/>
  <c r="L5" i="5" s="1"/>
  <c r="I24" i="5"/>
  <c r="D24" i="5"/>
  <c r="K4" i="5"/>
  <c r="L4" i="5" s="1"/>
  <c r="D32" i="5"/>
  <c r="E29" i="5" s="1"/>
  <c r="J8" i="5" l="1"/>
  <c r="I2" i="4"/>
  <c r="G2" i="4" s="1"/>
  <c r="G3" i="4" s="1"/>
  <c r="J4" i="5"/>
  <c r="J7" i="5"/>
  <c r="J5" i="5"/>
  <c r="J6" i="5"/>
  <c r="I26" i="5"/>
  <c r="K24" i="5"/>
  <c r="E32" i="5"/>
  <c r="E28" i="5"/>
  <c r="E30" i="5"/>
  <c r="E31" i="5"/>
  <c r="J24" i="5" l="1"/>
</calcChain>
</file>

<file path=xl/comments1.xml><?xml version="1.0" encoding="utf-8"?>
<comments xmlns="http://schemas.openxmlformats.org/spreadsheetml/2006/main">
  <authors>
    <author>Omar Reis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valor inicial investido
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= valor atual dos ativos da carteira + caixa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= valor atual dos ativos da carteira</t>
        </r>
      </text>
    </comment>
    <comment ref="K2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= valor inicial + saldo das ops - despesas e IRRF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valor atual  da quota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= valor inicial + saldo do financeiro - despesas e IRRF
</t>
        </r>
      </text>
    </comment>
    <comment ref="K3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valor atual  da quota
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usar C ou V ( maiusculas)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codigo do ativo
usar maiúsculas</t>
        </r>
      </text>
    </comment>
    <comment ref="I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Custos ( impostos+  taxas + corretagem + emonumentos) exceto IR retido na fonte ( dedo duro ) </t>
        </r>
      </text>
    </comment>
    <comment ref="J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IR retido na Fonte
( conhecido por imposto dedo-duro )
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formula com valor negativo para compras
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somente compras</t>
        </r>
      </text>
    </comment>
    <comment ref="G2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faça a soma das vendas, para checar com o valor da nota</t>
        </r>
      </text>
    </comment>
    <comment ref="H2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some as compras
para checar com o valor da nota</t>
        </r>
      </text>
    </comment>
    <comment ref="I29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custos da nota ( emolumentos + corretagem + taxas ) exceto IRRF
</t>
        </r>
      </text>
    </comment>
  </commentList>
</comments>
</file>

<file path=xl/comments2.xml><?xml version="1.0" encoding="utf-8"?>
<comments xmlns="http://schemas.openxmlformats.org/spreadsheetml/2006/main">
  <authors>
    <author>Omar Reis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Quantidade atual considerando compras e vendas registradas na pagina Notas</t>
        </r>
      </text>
    </comment>
    <comment ref="F3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numero de negocios
(compras + vendas)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Omar Reis:
A ação
FI fundo imob
ETF
BDR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>
      <text>
        <r>
          <rPr>
            <b/>
            <sz val="9"/>
            <color indexed="81"/>
            <rFont val="Tahoma"/>
            <family val="2"/>
          </rPr>
          <t xml:space="preserve">Omar Reis
cotação atual obtida do NassauSt via fórmula DDE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Omar Reis:</t>
        </r>
        <r>
          <rPr>
            <sz val="9"/>
            <color indexed="81"/>
            <rFont val="Tahoma"/>
            <family val="2"/>
          </rPr>
          <t xml:space="preserve">
valoriz em rel ao valor histortico medio</t>
        </r>
      </text>
    </comment>
  </commentList>
</comments>
</file>

<file path=xl/sharedStrings.xml><?xml version="1.0" encoding="utf-8"?>
<sst xmlns="http://schemas.openxmlformats.org/spreadsheetml/2006/main" count="101" uniqueCount="61">
  <si>
    <t>BOVA11</t>
  </si>
  <si>
    <t>qde</t>
  </si>
  <si>
    <t>op</t>
  </si>
  <si>
    <t>data</t>
  </si>
  <si>
    <t>PETR4</t>
  </si>
  <si>
    <t>C</t>
  </si>
  <si>
    <t>V</t>
  </si>
  <si>
    <t>Despesas</t>
  </si>
  <si>
    <t>papel</t>
  </si>
  <si>
    <t>Ativo</t>
  </si>
  <si>
    <t>PrMed</t>
  </si>
  <si>
    <t>IRRF</t>
  </si>
  <si>
    <t>preço med</t>
  </si>
  <si>
    <t>WEGE3</t>
  </si>
  <si>
    <t>HGLG11</t>
  </si>
  <si>
    <t>A</t>
  </si>
  <si>
    <t>ETF</t>
  </si>
  <si>
    <t>FI</t>
  </si>
  <si>
    <t>BDR</t>
  </si>
  <si>
    <t>Alocação por tipo de ativo</t>
  </si>
  <si>
    <t>cotação</t>
  </si>
  <si>
    <t>valor atu</t>
  </si>
  <si>
    <t>part%</t>
  </si>
  <si>
    <t>Lucro$</t>
  </si>
  <si>
    <t>Valor Hist</t>
  </si>
  <si>
    <t>nota</t>
  </si>
  <si>
    <t>Tot vendas</t>
  </si>
  <si>
    <t>Tot Compras</t>
  </si>
  <si>
    <t xml:space="preserve">Planilha de Controle de Carteira de Ativos Financeiros </t>
  </si>
  <si>
    <t>cont negs</t>
  </si>
  <si>
    <t>tipo</t>
  </si>
  <si>
    <t>Valoriz</t>
  </si>
  <si>
    <t>// carteira de ativos- suporta até 1000 lançamentos ( depois tem que ajustar as formulas )</t>
  </si>
  <si>
    <t>qde c/ sinal]</t>
  </si>
  <si>
    <t xml:space="preserve"> (+) Caixa</t>
  </si>
  <si>
    <t>valor aquis</t>
  </si>
  <si>
    <t>qde adiq</t>
  </si>
  <si>
    <t>valor ini</t>
  </si>
  <si>
    <t>numquotas</t>
  </si>
  <si>
    <t>caixa</t>
  </si>
  <si>
    <t>Qde</t>
  </si>
  <si>
    <t>quota</t>
  </si>
  <si>
    <t>// digite as notas de corretagem abaixo, como exemplificado ( até linha 1010)</t>
  </si>
  <si>
    <t>valor cart</t>
  </si>
  <si>
    <t>financeiro</t>
  </si>
  <si>
    <t>AAPL34</t>
  </si>
  <si>
    <t>despesas</t>
  </si>
  <si>
    <t>desdobramento WEGE3</t>
  </si>
  <si>
    <t>**Aquisição**</t>
  </si>
  <si>
    <t>// Quando um novo ativo for adicionado, copie linha da tabela e digite o codigo do novo ativo. Suporta até 20 ativos.</t>
  </si>
  <si>
    <t>val ativos</t>
  </si>
  <si>
    <t>val atual</t>
  </si>
  <si>
    <t>&lt;-- exemplo de apropriação de desdobramento de ações</t>
  </si>
  <si>
    <t>// digite dados nas partes com fundo colorido (partes brancas contém formulas)</t>
  </si>
  <si>
    <t>// by Omar Reis  - jun/21 - github.com/omarreis/NassauSt</t>
  </si>
  <si>
    <t>digite data..</t>
  </si>
  <si>
    <t>&lt;-- template de nova nota. Copie para acrescentar novas.</t>
  </si>
  <si>
    <t>&lt;-- desdobramento WEGE3 2x1 ( registra como compra do saldo =599 a $zero )</t>
  </si>
  <si>
    <t>valor tot</t>
  </si>
  <si>
    <t xml:space="preserve">// As linhas abaixo podem ser copiadas e coladas no app NassauSt, para transferir notas. </t>
  </si>
  <si>
    <t>// Selecione range na coluna A e use Ctrl-C para copiar. No app Nassau, na carteira, abra o menu e clique "Cola objetos"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</si>
</sst>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"/>
    <numFmt numFmtId="165" formatCode="[$-409]d\-mmm\-yy;@"/>
    <numFmt numFmtId="166" formatCode="#,##0.00_ ;[Red]\-#,##0.00\ "/>
    <numFmt numFmtId="167" formatCode="0.0%"/>
    <numFmt numFmtId="168" formatCode="0.0%\ ;[Red]\-0.0%\ "/>
    <numFmt numFmtId="169" formatCode="#,##0_ ;[Red]\-#,##0\ 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sz val="10"/>
      <color theme="5" tint="-0.249977111117893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sz val="9"/>
      <color theme="3" tint="-0.249977111117893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b/>
      <i/>
      <sz val="10"/>
      <color theme="3" tint="-0.249977111117893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3" tint="-0.249977111117893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4" tint="-0.249977111117893"/>
      <name val="Arial"/>
      <family val="2"/>
    </font>
    <font>
      <i/>
      <sz val="9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3" fontId="0" fillId="0" borderId="0" xfId="0" applyNumberFormat="1"/>
    <xf numFmtId="0" fontId="1" fillId="0" borderId="0" xfId="0" applyFont="1"/>
    <xf numFmtId="4" fontId="1" fillId="0" borderId="1" xfId="0" applyNumberFormat="1" applyFont="1" applyBorder="1"/>
    <xf numFmtId="0" fontId="1" fillId="0" borderId="2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4" fontId="0" fillId="0" borderId="1" xfId="0" applyNumberFormat="1" applyBorder="1"/>
    <xf numFmtId="167" fontId="9" fillId="0" borderId="1" xfId="0" applyNumberFormat="1" applyFont="1" applyBorder="1" applyAlignment="1">
      <alignment horizontal="center"/>
    </xf>
    <xf numFmtId="0" fontId="0" fillId="0" borderId="0" xfId="0" applyBorder="1"/>
    <xf numFmtId="4" fontId="1" fillId="0" borderId="0" xfId="0" applyNumberFormat="1" applyFont="1" applyBorder="1"/>
    <xf numFmtId="0" fontId="6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Fill="1" applyAlignment="1">
      <alignment horizontal="right"/>
    </xf>
    <xf numFmtId="0" fontId="14" fillId="0" borderId="0" xfId="0" applyFont="1" applyFill="1" applyAlignment="1">
      <alignment horizontal="righ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right"/>
    </xf>
    <xf numFmtId="4" fontId="14" fillId="0" borderId="0" xfId="0" applyNumberFormat="1" applyFont="1" applyAlignment="1">
      <alignment horizontal="right"/>
    </xf>
    <xf numFmtId="0" fontId="6" fillId="0" borderId="0" xfId="0" applyFont="1" applyBorder="1" applyAlignment="1">
      <alignment horizontal="center"/>
    </xf>
    <xf numFmtId="3" fontId="0" fillId="2" borderId="0" xfId="0" applyNumberFormat="1" applyFill="1"/>
    <xf numFmtId="164" fontId="0" fillId="2" borderId="0" xfId="0" applyNumberFormat="1" applyFill="1"/>
    <xf numFmtId="0" fontId="11" fillId="2" borderId="0" xfId="0" applyFont="1" applyFill="1"/>
    <xf numFmtId="0" fontId="14" fillId="3" borderId="1" xfId="0" applyFont="1" applyFill="1" applyBorder="1" applyAlignment="1">
      <alignment horizontal="right"/>
    </xf>
    <xf numFmtId="0" fontId="14" fillId="3" borderId="1" xfId="0" applyFont="1" applyFill="1" applyBorder="1" applyAlignment="1">
      <alignment horizontal="right" vertical="center"/>
    </xf>
    <xf numFmtId="166" fontId="4" fillId="3" borderId="1" xfId="0" applyNumberFormat="1" applyFont="1" applyFill="1" applyBorder="1" applyAlignment="1">
      <alignment horizontal="right"/>
    </xf>
    <xf numFmtId="2" fontId="4" fillId="3" borderId="1" xfId="0" applyNumberFormat="1" applyFont="1" applyFill="1" applyBorder="1" applyAlignment="1">
      <alignment horizontal="right"/>
    </xf>
    <xf numFmtId="0" fontId="11" fillId="0" borderId="0" xfId="0" applyFont="1"/>
    <xf numFmtId="3" fontId="11" fillId="0" borderId="1" xfId="0" applyNumberFormat="1" applyFont="1" applyBorder="1"/>
    <xf numFmtId="164" fontId="1" fillId="0" borderId="1" xfId="0" applyNumberFormat="1" applyFont="1" applyFill="1" applyBorder="1"/>
    <xf numFmtId="167" fontId="9" fillId="0" borderId="0" xfId="0" applyNumberFormat="1" applyFont="1" applyBorder="1" applyAlignment="1">
      <alignment horizontal="center"/>
    </xf>
    <xf numFmtId="4" fontId="13" fillId="0" borderId="0" xfId="0" applyNumberFormat="1" applyFont="1" applyBorder="1"/>
    <xf numFmtId="168" fontId="8" fillId="0" borderId="0" xfId="0" applyNumberFormat="1" applyFont="1" applyBorder="1" applyAlignment="1">
      <alignment horizontal="center"/>
    </xf>
    <xf numFmtId="165" fontId="4" fillId="3" borderId="1" xfId="0" applyNumberFormat="1" applyFont="1" applyFill="1" applyBorder="1"/>
    <xf numFmtId="0" fontId="4" fillId="0" borderId="0" xfId="0" applyFont="1"/>
    <xf numFmtId="0" fontId="15" fillId="0" borderId="1" xfId="0" applyFont="1" applyFill="1" applyBorder="1" applyAlignment="1">
      <alignment horizontal="right"/>
    </xf>
    <xf numFmtId="3" fontId="16" fillId="0" borderId="0" xfId="0" applyNumberFormat="1" applyFont="1" applyFill="1"/>
    <xf numFmtId="166" fontId="16" fillId="0" borderId="0" xfId="0" applyNumberFormat="1" applyFont="1"/>
    <xf numFmtId="0" fontId="11" fillId="0" borderId="0" xfId="0" applyFont="1" applyAlignment="1">
      <alignment vertical="center"/>
    </xf>
    <xf numFmtId="2" fontId="17" fillId="0" borderId="0" xfId="0" applyNumberFormat="1" applyFont="1" applyBorder="1" applyAlignment="1">
      <alignment horizontal="right" vertical="center" wrapText="1"/>
    </xf>
    <xf numFmtId="4" fontId="18" fillId="0" borderId="0" xfId="0" applyNumberFormat="1" applyFont="1" applyAlignment="1">
      <alignment vertical="center"/>
    </xf>
    <xf numFmtId="40" fontId="7" fillId="0" borderId="0" xfId="0" applyNumberFormat="1" applyFont="1" applyAlignment="1">
      <alignment vertical="center"/>
    </xf>
    <xf numFmtId="168" fontId="12" fillId="0" borderId="0" xfId="0" applyNumberFormat="1" applyFont="1" applyAlignment="1">
      <alignment horizontal="right" vertical="center"/>
    </xf>
    <xf numFmtId="167" fontId="11" fillId="0" borderId="5" xfId="0" applyNumberFormat="1" applyFont="1" applyBorder="1"/>
    <xf numFmtId="167" fontId="11" fillId="0" borderId="8" xfId="0" applyNumberFormat="1" applyFont="1" applyBorder="1"/>
    <xf numFmtId="167" fontId="11" fillId="0" borderId="0" xfId="0" applyNumberFormat="1" applyFont="1" applyBorder="1"/>
    <xf numFmtId="0" fontId="5" fillId="0" borderId="0" xfId="0" applyFont="1"/>
    <xf numFmtId="0" fontId="14" fillId="0" borderId="0" xfId="0" applyFont="1" applyAlignment="1">
      <alignment horizontal="left"/>
    </xf>
    <xf numFmtId="0" fontId="15" fillId="0" borderId="0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4" fontId="1" fillId="0" borderId="0" xfId="0" applyNumberFormat="1" applyFont="1" applyFill="1" applyBorder="1"/>
    <xf numFmtId="0" fontId="6" fillId="0" borderId="0" xfId="0" quotePrefix="1" applyFont="1" applyAlignment="1">
      <alignment horizontal="right"/>
    </xf>
    <xf numFmtId="0" fontId="6" fillId="0" borderId="1" xfId="0" quotePrefix="1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166" fontId="4" fillId="0" borderId="0" xfId="0" applyNumberFormat="1" applyFont="1"/>
    <xf numFmtId="0" fontId="0" fillId="3" borderId="0" xfId="0" applyFill="1"/>
    <xf numFmtId="0" fontId="14" fillId="3" borderId="0" xfId="0" applyFont="1" applyFill="1"/>
    <xf numFmtId="0" fontId="14" fillId="0" borderId="0" xfId="0" applyFont="1"/>
    <xf numFmtId="4" fontId="11" fillId="0" borderId="1" xfId="0" applyNumberFormat="1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/>
    <xf numFmtId="0" fontId="5" fillId="0" borderId="1" xfId="0" applyFont="1" applyBorder="1" applyAlignment="1">
      <alignment vertical="center"/>
    </xf>
    <xf numFmtId="167" fontId="9" fillId="0" borderId="0" xfId="0" applyNumberFormat="1" applyFont="1" applyAlignment="1">
      <alignment horizontal="right" vertical="center"/>
    </xf>
    <xf numFmtId="0" fontId="0" fillId="0" borderId="2" xfId="0" applyBorder="1"/>
    <xf numFmtId="0" fontId="6" fillId="0" borderId="1" xfId="0" applyFont="1" applyBorder="1" applyAlignment="1">
      <alignment horizontal="right"/>
    </xf>
    <xf numFmtId="166" fontId="14" fillId="2" borderId="1" xfId="0" applyNumberFormat="1" applyFont="1" applyFill="1" applyBorder="1"/>
    <xf numFmtId="0" fontId="6" fillId="0" borderId="1" xfId="0" applyFont="1" applyBorder="1" applyAlignment="1">
      <alignment horizontal="center"/>
    </xf>
    <xf numFmtId="166" fontId="1" fillId="0" borderId="1" xfId="0" applyNumberFormat="1" applyFont="1" applyBorder="1"/>
    <xf numFmtId="166" fontId="0" fillId="0" borderId="3" xfId="0" applyNumberFormat="1" applyBorder="1"/>
    <xf numFmtId="0" fontId="0" fillId="0" borderId="6" xfId="0" applyBorder="1"/>
    <xf numFmtId="0" fontId="6" fillId="0" borderId="7" xfId="0" applyFont="1" applyBorder="1" applyAlignment="1">
      <alignment horizontal="right"/>
    </xf>
    <xf numFmtId="169" fontId="14" fillId="2" borderId="7" xfId="0" applyNumberFormat="1" applyFont="1" applyFill="1" applyBorder="1"/>
    <xf numFmtId="164" fontId="0" fillId="0" borderId="7" xfId="0" applyNumberFormat="1" applyBorder="1"/>
    <xf numFmtId="166" fontId="0" fillId="0" borderId="7" xfId="0" applyNumberFormat="1" applyBorder="1"/>
    <xf numFmtId="164" fontId="0" fillId="0" borderId="8" xfId="0" applyNumberFormat="1" applyBorder="1"/>
    <xf numFmtId="0" fontId="14" fillId="0" borderId="0" xfId="0" applyFont="1" applyFill="1" applyBorder="1" applyAlignment="1">
      <alignment horizontal="right"/>
    </xf>
    <xf numFmtId="165" fontId="4" fillId="0" borderId="0" xfId="0" applyNumberFormat="1" applyFont="1" applyFill="1" applyBorder="1"/>
    <xf numFmtId="0" fontId="14" fillId="0" borderId="0" xfId="0" applyFont="1" applyFill="1" applyBorder="1" applyAlignment="1">
      <alignment horizontal="right" vertical="center"/>
    </xf>
    <xf numFmtId="166" fontId="4" fillId="0" borderId="0" xfId="0" applyNumberFormat="1" applyFont="1" applyFill="1" applyBorder="1" applyAlignment="1">
      <alignment horizontal="right"/>
    </xf>
    <xf numFmtId="2" fontId="4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4" fillId="0" borderId="0" xfId="0" applyFont="1" applyFill="1" applyBorder="1"/>
    <xf numFmtId="0" fontId="11" fillId="0" borderId="0" xfId="0" applyFont="1" applyFill="1" applyBorder="1"/>
    <xf numFmtId="165" fontId="0" fillId="0" borderId="0" xfId="0" applyNumberFormat="1" applyFill="1" applyBorder="1"/>
    <xf numFmtId="0" fontId="0" fillId="0" borderId="0" xfId="0" applyFill="1" applyBorder="1" applyAlignment="1">
      <alignment horizontal="center" vertical="center"/>
    </xf>
    <xf numFmtId="3" fontId="0" fillId="0" borderId="0" xfId="0" applyNumberFormat="1" applyFill="1" applyBorder="1"/>
    <xf numFmtId="164" fontId="0" fillId="0" borderId="0" xfId="0" applyNumberFormat="1" applyFill="1" applyBorder="1"/>
    <xf numFmtId="0" fontId="4" fillId="0" borderId="0" xfId="0" applyFont="1" applyFill="1" applyBorder="1" applyAlignment="1">
      <alignment horizontal="right"/>
    </xf>
    <xf numFmtId="3" fontId="16" fillId="0" borderId="0" xfId="0" applyNumberFormat="1" applyFont="1" applyFill="1" applyBorder="1"/>
    <xf numFmtId="166" fontId="4" fillId="0" borderId="0" xfId="0" applyNumberFormat="1" applyFont="1" applyFill="1" applyBorder="1"/>
    <xf numFmtId="166" fontId="16" fillId="0" borderId="0" xfId="0" applyNumberFormat="1" applyFont="1" applyFill="1" applyBorder="1"/>
    <xf numFmtId="0" fontId="6" fillId="0" borderId="7" xfId="0" applyFont="1" applyBorder="1" applyAlignment="1">
      <alignment horizontal="center" vertical="center"/>
    </xf>
    <xf numFmtId="4" fontId="4" fillId="0" borderId="0" xfId="0" applyNumberFormat="1" applyFont="1" applyBorder="1"/>
    <xf numFmtId="4" fontId="4" fillId="0" borderId="7" xfId="0" applyNumberFormat="1" applyFont="1" applyBorder="1"/>
    <xf numFmtId="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64" fontId="4" fillId="0" borderId="0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65" fontId="5" fillId="2" borderId="0" xfId="0" applyNumberFormat="1" applyFont="1" applyFill="1"/>
    <xf numFmtId="165" fontId="5" fillId="3" borderId="1" xfId="0" applyNumberFormat="1" applyFont="1" applyFill="1" applyBorder="1"/>
    <xf numFmtId="0" fontId="5" fillId="3" borderId="0" xfId="0" applyFont="1" applyFill="1"/>
    <xf numFmtId="165" fontId="5" fillId="3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right"/>
    </xf>
    <xf numFmtId="0" fontId="0" fillId="0" borderId="7" xfId="0" applyBorder="1"/>
    <xf numFmtId="0" fontId="14" fillId="0" borderId="7" xfId="0" applyFont="1" applyBorder="1"/>
    <xf numFmtId="0" fontId="4" fillId="2" borderId="0" xfId="0" applyFont="1" applyFill="1" applyAlignment="1">
      <alignment vertic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Nassau" ddeTopic="val">
    <ddeItems>
      <ddeItem name="AAPL34" advise="1">
        <values>
          <value>
            <val>66.260000000000005</val>
          </value>
        </values>
      </ddeItem>
      <ddeItem name="BOVA11" advise="1">
        <values>
          <value>
            <val>124.69</val>
          </value>
        </values>
      </ddeItem>
      <ddeItem name="HGLG11" advise="1">
        <values>
          <value>
            <val>170.32</val>
          </value>
        </values>
      </ddeItem>
      <ddeItem name="PETR4" advise="1">
        <values>
          <value>
            <val>29.4</val>
          </value>
        </values>
      </ddeItem>
      <ddeItem name="StdDocumentName" ole="1" advise="1"/>
      <ddeItem name="WEGE3" advise="1">
        <values>
          <value>
            <val>34.4</val>
          </value>
        </values>
      </ddeItem>
    </ddeItems>
  </ddeLin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9"/>
  <sheetViews>
    <sheetView tabSelected="1" workbookViewId="0">
      <pane ySplit="9" topLeftCell="A10" activePane="bottomLeft" state="frozen"/>
      <selection activeCell="E4" sqref="E4"/>
      <selection pane="bottomLeft" activeCell="B38" sqref="B38"/>
    </sheetView>
  </sheetViews>
  <sheetFormatPr defaultRowHeight="15" x14ac:dyDescent="0.25"/>
  <cols>
    <col min="1" max="1" width="4.7109375" customWidth="1"/>
    <col min="2" max="2" width="12" customWidth="1"/>
    <col min="3" max="3" width="5.28515625" customWidth="1"/>
    <col min="4" max="4" width="12.140625" customWidth="1"/>
    <col min="5" max="5" width="8.28515625" customWidth="1"/>
    <col min="6" max="6" width="11.28515625" customWidth="1"/>
    <col min="7" max="7" width="14" customWidth="1"/>
    <col min="8" max="8" width="12.140625" customWidth="1"/>
    <col min="9" max="9" width="16.140625" customWidth="1"/>
    <col min="11" max="11" width="10.140625" customWidth="1"/>
    <col min="12" max="12" width="12.5703125" customWidth="1"/>
    <col min="13" max="13" width="7.42578125" customWidth="1"/>
    <col min="14" max="14" width="8.7109375" customWidth="1"/>
  </cols>
  <sheetData>
    <row r="1" spans="1:14" x14ac:dyDescent="0.25">
      <c r="A1" s="2" t="s">
        <v>28</v>
      </c>
    </row>
    <row r="2" spans="1:14" ht="15" customHeight="1" x14ac:dyDescent="0.25">
      <c r="A2" s="21"/>
      <c r="B2" s="66"/>
      <c r="C2" s="67" t="s">
        <v>37</v>
      </c>
      <c r="D2" s="68">
        <v>300000</v>
      </c>
      <c r="E2" s="69"/>
      <c r="F2" s="67" t="s">
        <v>51</v>
      </c>
      <c r="G2" s="70">
        <f>I2+I3</f>
        <v>328352.2</v>
      </c>
      <c r="H2" s="67" t="s">
        <v>50</v>
      </c>
      <c r="I2" s="70">
        <f>Carteira!I24</f>
        <v>309717.2</v>
      </c>
      <c r="J2" s="67" t="s">
        <v>46</v>
      </c>
      <c r="K2" s="71">
        <f>SUM(I10:I1010)</f>
        <v>103</v>
      </c>
    </row>
    <row r="3" spans="1:14" ht="15" customHeight="1" x14ac:dyDescent="0.25">
      <c r="A3" s="11"/>
      <c r="B3" s="72"/>
      <c r="C3" s="73" t="s">
        <v>38</v>
      </c>
      <c r="D3" s="74">
        <v>300000</v>
      </c>
      <c r="E3" s="75">
        <f>D2/D3</f>
        <v>1</v>
      </c>
      <c r="F3" s="73" t="s">
        <v>41</v>
      </c>
      <c r="G3" s="75">
        <f>G2/D3</f>
        <v>1.0945073333333333</v>
      </c>
      <c r="H3" s="73" t="s">
        <v>39</v>
      </c>
      <c r="I3" s="76">
        <f>D2+SUM(L10:L1010)-K3-K2</f>
        <v>18635</v>
      </c>
      <c r="J3" s="73" t="s">
        <v>11</v>
      </c>
      <c r="K3" s="77">
        <f>SUM(J10:J1010)</f>
        <v>9</v>
      </c>
    </row>
    <row r="4" spans="1:14" ht="2.25" customHeight="1" x14ac:dyDescent="0.25">
      <c r="B4" s="1"/>
      <c r="C4" s="1"/>
      <c r="D4" s="1"/>
      <c r="E4" s="1"/>
    </row>
    <row r="5" spans="1:14" ht="2.25" customHeight="1" x14ac:dyDescent="0.25">
      <c r="B5" s="1"/>
      <c r="C5" s="1"/>
      <c r="D5" s="1"/>
      <c r="E5" s="1"/>
    </row>
    <row r="6" spans="1:14" ht="15" customHeight="1" x14ac:dyDescent="0.25">
      <c r="A6" s="60" t="s">
        <v>54</v>
      </c>
      <c r="B6" s="1"/>
      <c r="C6" s="1"/>
      <c r="D6" s="1"/>
      <c r="E6" s="1"/>
    </row>
    <row r="7" spans="1:14" ht="13.5" customHeight="1" x14ac:dyDescent="0.25">
      <c r="A7" s="60" t="s">
        <v>53</v>
      </c>
      <c r="B7" s="1"/>
      <c r="C7" s="1"/>
      <c r="D7" s="1"/>
      <c r="E7" s="1"/>
    </row>
    <row r="8" spans="1:14" x14ac:dyDescent="0.25">
      <c r="A8" s="60" t="s">
        <v>42</v>
      </c>
      <c r="B8" s="1"/>
      <c r="C8" s="1"/>
      <c r="D8" s="1"/>
      <c r="E8" s="1"/>
      <c r="M8" s="60" t="s">
        <v>48</v>
      </c>
    </row>
    <row r="9" spans="1:14" x14ac:dyDescent="0.25">
      <c r="A9" s="15"/>
      <c r="B9" s="15" t="s">
        <v>3</v>
      </c>
      <c r="C9" s="16" t="s">
        <v>2</v>
      </c>
      <c r="D9" s="15" t="s">
        <v>8</v>
      </c>
      <c r="E9" s="15" t="s">
        <v>1</v>
      </c>
      <c r="F9" s="15" t="s">
        <v>12</v>
      </c>
      <c r="G9" s="20" t="s">
        <v>26</v>
      </c>
      <c r="H9" s="14" t="s">
        <v>27</v>
      </c>
      <c r="I9" s="14" t="s">
        <v>7</v>
      </c>
      <c r="J9" s="14" t="s">
        <v>11</v>
      </c>
      <c r="K9" s="15" t="s">
        <v>33</v>
      </c>
      <c r="L9" s="14" t="s">
        <v>44</v>
      </c>
      <c r="M9" s="49" t="s">
        <v>36</v>
      </c>
      <c r="N9" s="14" t="s">
        <v>35</v>
      </c>
    </row>
    <row r="10" spans="1:14" ht="12" customHeight="1" x14ac:dyDescent="0.25">
      <c r="A10" s="25" t="s">
        <v>25</v>
      </c>
      <c r="B10" s="35"/>
      <c r="C10" s="26"/>
      <c r="D10" s="25"/>
      <c r="E10" s="25"/>
      <c r="F10" s="25"/>
      <c r="G10" s="27">
        <v>0</v>
      </c>
      <c r="H10" s="27">
        <f>-SUM(L11:L13)</f>
        <v>272400</v>
      </c>
      <c r="I10" s="28">
        <v>50</v>
      </c>
      <c r="J10" s="28">
        <v>0</v>
      </c>
      <c r="K10" s="37"/>
      <c r="L10" s="56"/>
      <c r="M10" s="50"/>
    </row>
    <row r="11" spans="1:14" ht="12" customHeight="1" x14ac:dyDescent="0.25">
      <c r="A11" s="24">
        <v>1</v>
      </c>
      <c r="B11" s="101">
        <v>43838</v>
      </c>
      <c r="C11" s="18" t="s">
        <v>5</v>
      </c>
      <c r="D11" s="17" t="s">
        <v>4</v>
      </c>
      <c r="E11" s="22">
        <v>2000</v>
      </c>
      <c r="F11" s="23">
        <v>29</v>
      </c>
      <c r="G11" s="19"/>
      <c r="H11" s="19"/>
      <c r="I11" s="19"/>
      <c r="J11" s="19"/>
      <c r="K11" s="38">
        <f>E11*IF(C11="C",1,-1)</f>
        <v>2000</v>
      </c>
      <c r="L11" s="57">
        <f>-K11*F11</f>
        <v>-58000</v>
      </c>
      <c r="M11" s="38">
        <f>IF(C11="C",E11,0)</f>
        <v>2000</v>
      </c>
      <c r="N11" s="39">
        <f>M11*F11</f>
        <v>58000</v>
      </c>
    </row>
    <row r="12" spans="1:14" ht="12" customHeight="1" x14ac:dyDescent="0.25">
      <c r="A12" s="24">
        <v>2</v>
      </c>
      <c r="B12" s="101">
        <v>43838</v>
      </c>
      <c r="C12" s="18" t="s">
        <v>5</v>
      </c>
      <c r="D12" s="17" t="s">
        <v>14</v>
      </c>
      <c r="E12" s="22">
        <v>800</v>
      </c>
      <c r="F12" s="23">
        <v>173</v>
      </c>
      <c r="G12" s="19"/>
      <c r="H12" s="19"/>
      <c r="I12" s="19"/>
      <c r="J12" s="19"/>
      <c r="K12" s="38">
        <f>E12*IF(C12="C",1,-1)</f>
        <v>800</v>
      </c>
      <c r="L12" s="57">
        <f>-K12*F12</f>
        <v>-138400</v>
      </c>
      <c r="M12" s="38">
        <f>IF(C12="C",E12,0)</f>
        <v>800</v>
      </c>
      <c r="N12" s="39">
        <f>M12*F12</f>
        <v>138400</v>
      </c>
    </row>
    <row r="13" spans="1:14" ht="12" customHeight="1" x14ac:dyDescent="0.25">
      <c r="A13" s="24">
        <v>3</v>
      </c>
      <c r="B13" s="101">
        <v>43838</v>
      </c>
      <c r="C13" s="18" t="s">
        <v>5</v>
      </c>
      <c r="D13" s="17" t="s">
        <v>13</v>
      </c>
      <c r="E13" s="22">
        <v>2000</v>
      </c>
      <c r="F13" s="23">
        <v>38</v>
      </c>
      <c r="G13" s="19"/>
      <c r="H13" s="19"/>
      <c r="I13" s="19"/>
      <c r="J13" s="19"/>
      <c r="K13" s="38">
        <f>E13*IF(C13="C",1,-1)</f>
        <v>2000</v>
      </c>
      <c r="L13" s="57">
        <f>-K13*F13</f>
        <v>-76000</v>
      </c>
      <c r="M13" s="38">
        <f>IF(C13="C",E13,0)</f>
        <v>2000</v>
      </c>
      <c r="N13" s="39">
        <f>M13*F13</f>
        <v>76000</v>
      </c>
    </row>
    <row r="14" spans="1:14" ht="12" customHeight="1" x14ac:dyDescent="0.25">
      <c r="A14" s="25" t="s">
        <v>25</v>
      </c>
      <c r="B14" s="102"/>
      <c r="C14" s="26"/>
      <c r="D14" s="25"/>
      <c r="E14" s="25"/>
      <c r="F14" s="25"/>
      <c r="G14" s="27">
        <f>SUM(L15:L17)</f>
        <v>61000</v>
      </c>
      <c r="H14" s="27">
        <v>0</v>
      </c>
      <c r="I14" s="28">
        <v>20</v>
      </c>
      <c r="J14" s="28">
        <v>5</v>
      </c>
      <c r="K14" s="37"/>
      <c r="L14" s="56"/>
      <c r="M14" s="50"/>
      <c r="N14" s="39"/>
    </row>
    <row r="15" spans="1:14" ht="12" customHeight="1" x14ac:dyDescent="0.25">
      <c r="A15" s="24">
        <v>1</v>
      </c>
      <c r="B15" s="101">
        <v>43914</v>
      </c>
      <c r="C15" s="18" t="s">
        <v>6</v>
      </c>
      <c r="D15" s="17" t="s">
        <v>4</v>
      </c>
      <c r="E15" s="22">
        <v>1000</v>
      </c>
      <c r="F15" s="23">
        <v>13</v>
      </c>
      <c r="G15" s="19"/>
      <c r="H15" s="19"/>
      <c r="I15" s="19"/>
      <c r="J15" s="19"/>
      <c r="K15" s="38">
        <f>E15*IF(C15="C",1,-1)</f>
        <v>-1000</v>
      </c>
      <c r="L15" s="57">
        <f>-K15*F15</f>
        <v>13000</v>
      </c>
      <c r="M15" s="38">
        <f>IF(C15="C",E15,0)</f>
        <v>0</v>
      </c>
      <c r="N15" s="39">
        <f>M15*F15</f>
        <v>0</v>
      </c>
    </row>
    <row r="16" spans="1:14" ht="12" customHeight="1" x14ac:dyDescent="0.25">
      <c r="A16" s="24">
        <v>2</v>
      </c>
      <c r="B16" s="101">
        <v>43914</v>
      </c>
      <c r="C16" s="18" t="s">
        <v>6</v>
      </c>
      <c r="D16" s="17" t="s">
        <v>14</v>
      </c>
      <c r="E16" s="22">
        <v>100</v>
      </c>
      <c r="F16" s="23">
        <v>120</v>
      </c>
      <c r="G16" s="19"/>
      <c r="H16" s="19"/>
      <c r="I16" s="19"/>
      <c r="J16" s="19"/>
      <c r="K16" s="38">
        <f>E16*IF(C16="C",1,-1)</f>
        <v>-100</v>
      </c>
      <c r="L16" s="57">
        <f>-K16*F16</f>
        <v>12000</v>
      </c>
      <c r="M16" s="38">
        <f>IF(C16="C",E16,0)</f>
        <v>0</v>
      </c>
      <c r="N16" s="39">
        <f>M16*F16</f>
        <v>0</v>
      </c>
    </row>
    <row r="17" spans="1:15" ht="12" customHeight="1" x14ac:dyDescent="0.25">
      <c r="A17" s="24">
        <v>3</v>
      </c>
      <c r="B17" s="101">
        <v>43914</v>
      </c>
      <c r="C17" s="18" t="s">
        <v>6</v>
      </c>
      <c r="D17" s="17" t="s">
        <v>13</v>
      </c>
      <c r="E17" s="22">
        <v>1000</v>
      </c>
      <c r="F17" s="23">
        <v>36</v>
      </c>
      <c r="G17" s="19"/>
      <c r="H17" s="19"/>
      <c r="I17" s="19"/>
      <c r="J17" s="19"/>
      <c r="K17" s="38">
        <f>E17*IF(C17="C",1,-1)</f>
        <v>-1000</v>
      </c>
      <c r="L17" s="57">
        <f>-K17*F17</f>
        <v>36000</v>
      </c>
      <c r="M17" s="38">
        <f>IF(C17="C",E17,0)</f>
        <v>0</v>
      </c>
      <c r="N17" s="39">
        <f>M17*F17</f>
        <v>0</v>
      </c>
    </row>
    <row r="18" spans="1:15" ht="12" customHeight="1" x14ac:dyDescent="0.25">
      <c r="A18" s="25" t="s">
        <v>25</v>
      </c>
      <c r="B18" s="102"/>
      <c r="C18" s="26"/>
      <c r="D18" s="25"/>
      <c r="E18" s="25"/>
      <c r="F18" s="25"/>
      <c r="G18" s="27">
        <f>SUM(L19:L21)</f>
        <v>145688</v>
      </c>
      <c r="H18" s="27">
        <v>0</v>
      </c>
      <c r="I18" s="28">
        <v>15</v>
      </c>
      <c r="J18" s="28">
        <v>4</v>
      </c>
      <c r="K18" s="37"/>
      <c r="L18" s="56"/>
      <c r="M18" s="50"/>
      <c r="N18" s="39"/>
    </row>
    <row r="19" spans="1:15" ht="12" customHeight="1" x14ac:dyDescent="0.25">
      <c r="A19" s="24">
        <v>1</v>
      </c>
      <c r="B19" s="101">
        <v>44218</v>
      </c>
      <c r="C19" s="18" t="s">
        <v>6</v>
      </c>
      <c r="D19" s="17" t="s">
        <v>4</v>
      </c>
      <c r="E19" s="22">
        <v>400</v>
      </c>
      <c r="F19" s="23">
        <v>26</v>
      </c>
      <c r="G19" s="19"/>
      <c r="H19" s="19"/>
      <c r="I19" s="19"/>
      <c r="J19" s="19"/>
      <c r="K19" s="38">
        <f>E19*IF(C19="C",1,-1)</f>
        <v>-400</v>
      </c>
      <c r="L19" s="57">
        <f>-K19*F19</f>
        <v>10400</v>
      </c>
      <c r="M19" s="38">
        <f>IF(C19="C",E19,0)</f>
        <v>0</v>
      </c>
      <c r="N19" s="39">
        <f>M19*F19</f>
        <v>0</v>
      </c>
    </row>
    <row r="20" spans="1:15" ht="12" customHeight="1" x14ac:dyDescent="0.25">
      <c r="A20" s="24">
        <v>2</v>
      </c>
      <c r="B20" s="101">
        <v>44218</v>
      </c>
      <c r="C20" s="18" t="s">
        <v>6</v>
      </c>
      <c r="D20" s="17" t="s">
        <v>14</v>
      </c>
      <c r="E20" s="22">
        <v>500</v>
      </c>
      <c r="F20" s="23">
        <v>200</v>
      </c>
      <c r="G20" s="19"/>
      <c r="H20" s="19"/>
      <c r="I20" s="19"/>
      <c r="J20" s="19"/>
      <c r="K20" s="38">
        <f>E20*IF(C20="C",1,-1)</f>
        <v>-500</v>
      </c>
      <c r="L20" s="57">
        <f>-K20*F20</f>
        <v>100000</v>
      </c>
      <c r="M20" s="38">
        <f>IF(C20="C",E20,0)</f>
        <v>0</v>
      </c>
      <c r="N20" s="39">
        <f>M20*F20</f>
        <v>0</v>
      </c>
    </row>
    <row r="21" spans="1:15" ht="12" customHeight="1" x14ac:dyDescent="0.25">
      <c r="A21" s="24">
        <v>3</v>
      </c>
      <c r="B21" s="101">
        <v>44218</v>
      </c>
      <c r="C21" s="18" t="s">
        <v>6</v>
      </c>
      <c r="D21" s="17" t="s">
        <v>13</v>
      </c>
      <c r="E21" s="22">
        <v>401</v>
      </c>
      <c r="F21" s="23">
        <v>88</v>
      </c>
      <c r="G21" s="19"/>
      <c r="H21" s="19"/>
      <c r="I21" s="19"/>
      <c r="J21" s="19"/>
      <c r="K21" s="38">
        <f>E21*IF(C21="C",1,-1)</f>
        <v>-401</v>
      </c>
      <c r="L21" s="57">
        <f>-K21*F21</f>
        <v>35288</v>
      </c>
      <c r="M21" s="38">
        <f>IF(C21="C",E21,0)</f>
        <v>0</v>
      </c>
      <c r="N21" s="39">
        <f>M21*F21</f>
        <v>0</v>
      </c>
    </row>
    <row r="22" spans="1:15" ht="12" customHeight="1" x14ac:dyDescent="0.25">
      <c r="A22" s="59" t="s">
        <v>47</v>
      </c>
      <c r="B22" s="103"/>
      <c r="C22" s="58"/>
      <c r="D22" s="58"/>
      <c r="E22" s="58"/>
      <c r="F22" s="58"/>
      <c r="G22" s="58"/>
      <c r="H22" s="58"/>
      <c r="I22" s="58"/>
      <c r="J22" s="58"/>
      <c r="K22" s="37"/>
      <c r="L22" s="56"/>
      <c r="M22" s="50"/>
      <c r="N22" s="39"/>
      <c r="O22" s="48" t="s">
        <v>52</v>
      </c>
    </row>
    <row r="23" spans="1:15" ht="12" customHeight="1" x14ac:dyDescent="0.25">
      <c r="A23" s="24">
        <v>1</v>
      </c>
      <c r="B23" s="101">
        <v>44300</v>
      </c>
      <c r="C23" s="18" t="s">
        <v>5</v>
      </c>
      <c r="D23" s="17" t="s">
        <v>13</v>
      </c>
      <c r="E23" s="22">
        <v>599</v>
      </c>
      <c r="F23" s="23">
        <v>0</v>
      </c>
      <c r="G23" s="19"/>
      <c r="H23" s="19"/>
      <c r="I23" s="19"/>
      <c r="J23" s="19"/>
      <c r="K23" s="38">
        <f>E23*IF(C23="C",1,-1)</f>
        <v>599</v>
      </c>
      <c r="L23" s="57">
        <f>-K23*F23</f>
        <v>0</v>
      </c>
      <c r="M23" s="38">
        <f>IF(C23="C",E23,0)</f>
        <v>599</v>
      </c>
      <c r="N23" s="39">
        <f>M23*F23</f>
        <v>0</v>
      </c>
      <c r="O23" s="48" t="s">
        <v>57</v>
      </c>
    </row>
    <row r="24" spans="1:15" ht="12" customHeight="1" x14ac:dyDescent="0.25">
      <c r="A24" s="25" t="s">
        <v>25</v>
      </c>
      <c r="B24" s="102"/>
      <c r="C24" s="26"/>
      <c r="D24" s="25"/>
      <c r="E24" s="25"/>
      <c r="F24" s="25"/>
      <c r="G24" s="27">
        <v>0</v>
      </c>
      <c r="H24" s="27">
        <f>-SUM(L25:L28)</f>
        <v>215541</v>
      </c>
      <c r="I24" s="28">
        <v>18</v>
      </c>
      <c r="J24" s="28">
        <v>0</v>
      </c>
      <c r="L24" s="36"/>
    </row>
    <row r="25" spans="1:15" ht="12" customHeight="1" x14ac:dyDescent="0.25">
      <c r="A25" s="24">
        <v>1</v>
      </c>
      <c r="B25" s="101">
        <v>44369</v>
      </c>
      <c r="C25" s="18" t="s">
        <v>5</v>
      </c>
      <c r="D25" s="17" t="s">
        <v>4</v>
      </c>
      <c r="E25" s="22">
        <v>300</v>
      </c>
      <c r="F25" s="23">
        <v>28.91</v>
      </c>
      <c r="G25" s="19"/>
      <c r="H25" s="19"/>
      <c r="I25" s="19"/>
      <c r="J25" s="19"/>
      <c r="K25" s="38">
        <f>E25*IF(C25="C",1,-1)</f>
        <v>300</v>
      </c>
      <c r="L25" s="57">
        <f>-K25*F25</f>
        <v>-8673</v>
      </c>
      <c r="M25" s="38">
        <f>IF(C25="C",E25,0)</f>
        <v>300</v>
      </c>
      <c r="N25" s="39">
        <f>M25*F25</f>
        <v>8673</v>
      </c>
    </row>
    <row r="26" spans="1:15" ht="12" customHeight="1" x14ac:dyDescent="0.25">
      <c r="A26" s="24">
        <v>2</v>
      </c>
      <c r="B26" s="101">
        <v>44369</v>
      </c>
      <c r="C26" s="18" t="s">
        <v>5</v>
      </c>
      <c r="D26" s="17" t="s">
        <v>14</v>
      </c>
      <c r="E26" s="22">
        <v>100</v>
      </c>
      <c r="F26" s="23">
        <v>170.08</v>
      </c>
      <c r="G26" s="19"/>
      <c r="H26" s="19"/>
      <c r="I26" s="19"/>
      <c r="J26" s="19"/>
      <c r="K26" s="38">
        <f>E26*IF(C26="C",1,-1)</f>
        <v>100</v>
      </c>
      <c r="L26" s="57">
        <f>-K26*F26</f>
        <v>-17008</v>
      </c>
      <c r="M26" s="38">
        <f>IF(C26="C",E26,0)</f>
        <v>100</v>
      </c>
      <c r="N26" s="39">
        <f>M26*F26</f>
        <v>17008</v>
      </c>
    </row>
    <row r="27" spans="1:15" ht="12" customHeight="1" x14ac:dyDescent="0.25">
      <c r="A27" s="24">
        <v>3</v>
      </c>
      <c r="B27" s="101">
        <v>44369</v>
      </c>
      <c r="C27" s="18" t="s">
        <v>5</v>
      </c>
      <c r="D27" s="17" t="s">
        <v>45</v>
      </c>
      <c r="E27" s="22">
        <v>1000</v>
      </c>
      <c r="F27" s="23">
        <v>66.56</v>
      </c>
      <c r="G27" s="19"/>
      <c r="H27" s="19"/>
      <c r="I27" s="19"/>
      <c r="J27" s="19"/>
      <c r="K27" s="38">
        <f>E27*IF(C27="C",1,-1)</f>
        <v>1000</v>
      </c>
      <c r="L27" s="57">
        <f>-K27*F27</f>
        <v>-66560</v>
      </c>
      <c r="M27" s="38">
        <f>IF(C27="C",E27,0)</f>
        <v>1000</v>
      </c>
      <c r="N27" s="39">
        <f>M27*F27</f>
        <v>66560</v>
      </c>
    </row>
    <row r="28" spans="1:15" ht="12" customHeight="1" x14ac:dyDescent="0.25">
      <c r="A28" s="24">
        <v>4</v>
      </c>
      <c r="B28" s="101">
        <v>44369</v>
      </c>
      <c r="C28" s="18" t="s">
        <v>5</v>
      </c>
      <c r="D28" s="17" t="s">
        <v>0</v>
      </c>
      <c r="E28" s="22">
        <v>1000</v>
      </c>
      <c r="F28" s="23">
        <v>123.3</v>
      </c>
      <c r="G28" s="19"/>
      <c r="H28" s="19"/>
      <c r="I28" s="19"/>
      <c r="J28" s="19"/>
      <c r="K28" s="38">
        <f>E28*IF(C28="C",1,-1)</f>
        <v>1000</v>
      </c>
      <c r="L28" s="57">
        <f>-K28*F28</f>
        <v>-123300</v>
      </c>
      <c r="M28" s="38">
        <f>IF(C28="C",E28,0)</f>
        <v>1000</v>
      </c>
      <c r="N28" s="39">
        <f>M28*F28</f>
        <v>123300</v>
      </c>
    </row>
    <row r="29" spans="1:15" ht="12" customHeight="1" x14ac:dyDescent="0.25">
      <c r="A29" s="25" t="s">
        <v>25</v>
      </c>
      <c r="B29" s="104"/>
      <c r="C29" s="26"/>
      <c r="D29" s="25"/>
      <c r="E29" s="25"/>
      <c r="F29" s="25"/>
      <c r="G29" s="27">
        <v>0</v>
      </c>
      <c r="H29" s="27">
        <v>0</v>
      </c>
      <c r="I29" s="28">
        <v>0</v>
      </c>
      <c r="J29" s="28">
        <v>0</v>
      </c>
      <c r="L29" s="36"/>
      <c r="O29" s="36" t="s">
        <v>56</v>
      </c>
    </row>
    <row r="30" spans="1:15" ht="12" customHeight="1" x14ac:dyDescent="0.25">
      <c r="A30" s="24">
        <v>1</v>
      </c>
      <c r="B30" s="105" t="s">
        <v>55</v>
      </c>
      <c r="C30" s="18" t="s">
        <v>5</v>
      </c>
      <c r="D30" s="17"/>
      <c r="E30" s="22">
        <v>0</v>
      </c>
      <c r="F30" s="23">
        <v>0</v>
      </c>
      <c r="G30" s="19"/>
      <c r="H30" s="19"/>
      <c r="I30" s="19"/>
      <c r="J30" s="19"/>
      <c r="K30" s="38">
        <f>E30*IF(C30="C",1,-1)</f>
        <v>0</v>
      </c>
      <c r="L30" s="57">
        <f>-K30*F30</f>
        <v>0</v>
      </c>
      <c r="M30" s="38">
        <f>IF(C30="C",E30,0)</f>
        <v>0</v>
      </c>
      <c r="N30" s="39">
        <f>M30*F30</f>
        <v>0</v>
      </c>
    </row>
    <row r="31" spans="1:15" ht="12" customHeight="1" x14ac:dyDescent="0.25">
      <c r="A31" s="24">
        <v>2</v>
      </c>
      <c r="B31" s="101"/>
      <c r="C31" s="18" t="s">
        <v>5</v>
      </c>
      <c r="D31" s="17"/>
      <c r="E31" s="22">
        <v>0</v>
      </c>
      <c r="F31" s="23">
        <v>0</v>
      </c>
      <c r="G31" s="19"/>
      <c r="H31" s="19"/>
      <c r="I31" s="19"/>
      <c r="J31" s="19"/>
      <c r="K31" s="38">
        <f>E31*IF(C31="C",1,-1)</f>
        <v>0</v>
      </c>
      <c r="L31" s="57">
        <f>-K31*F31</f>
        <v>0</v>
      </c>
      <c r="M31" s="38">
        <f>IF(C31="C",E31,0)</f>
        <v>0</v>
      </c>
      <c r="N31" s="39">
        <f>M31*F31</f>
        <v>0</v>
      </c>
    </row>
    <row r="32" spans="1:15" ht="12" customHeight="1" x14ac:dyDescent="0.25">
      <c r="A32" s="24">
        <v>3</v>
      </c>
      <c r="B32" s="101"/>
      <c r="C32" s="18" t="s">
        <v>6</v>
      </c>
      <c r="D32" s="17"/>
      <c r="E32" s="22">
        <v>0</v>
      </c>
      <c r="F32" s="23">
        <v>0</v>
      </c>
      <c r="G32" s="19"/>
      <c r="H32" s="19"/>
      <c r="I32" s="19"/>
      <c r="J32" s="19"/>
      <c r="K32" s="38">
        <f>E32*IF(C32="C",1,-1)</f>
        <v>0</v>
      </c>
      <c r="L32" s="57">
        <f>-K32*F32</f>
        <v>0</v>
      </c>
      <c r="M32" s="38">
        <f>IF(C32="C",E32,0)</f>
        <v>0</v>
      </c>
      <c r="N32" s="39">
        <f>M32*F32</f>
        <v>0</v>
      </c>
    </row>
    <row r="33" spans="1:14" ht="12" customHeight="1" x14ac:dyDescent="0.25">
      <c r="A33" s="24">
        <v>4</v>
      </c>
      <c r="B33" s="101"/>
      <c r="C33" s="18" t="s">
        <v>6</v>
      </c>
      <c r="D33" s="17"/>
      <c r="E33" s="22">
        <v>0</v>
      </c>
      <c r="F33" s="23">
        <v>0</v>
      </c>
      <c r="G33" s="19"/>
      <c r="H33" s="19"/>
      <c r="I33" s="19"/>
      <c r="J33" s="19"/>
      <c r="K33" s="38">
        <f>E33*IF(C33="C",1,-1)</f>
        <v>0</v>
      </c>
      <c r="L33" s="57">
        <f>-K33*F33</f>
        <v>0</v>
      </c>
      <c r="M33" s="38">
        <f>IF(C33="C",E33,0)</f>
        <v>0</v>
      </c>
      <c r="N33" s="39">
        <f>M33*F33</f>
        <v>0</v>
      </c>
    </row>
    <row r="34" spans="1:14" ht="12" customHeight="1" x14ac:dyDescent="0.25">
      <c r="C34" s="1"/>
      <c r="E34" s="1"/>
    </row>
    <row r="35" spans="1:14" ht="12" customHeight="1" x14ac:dyDescent="0.25">
      <c r="A35" s="78"/>
      <c r="B35" s="79"/>
      <c r="C35" s="80"/>
      <c r="D35" s="78"/>
      <c r="E35" s="78"/>
      <c r="F35" s="78"/>
      <c r="G35" s="81"/>
      <c r="H35" s="81"/>
      <c r="I35" s="82"/>
      <c r="J35" s="82"/>
      <c r="K35" s="83"/>
      <c r="L35" s="84"/>
      <c r="M35" s="83"/>
      <c r="N35" s="83"/>
    </row>
    <row r="36" spans="1:14" ht="12" customHeight="1" x14ac:dyDescent="0.25">
      <c r="A36" s="85"/>
      <c r="B36" s="86"/>
      <c r="C36" s="87"/>
      <c r="D36" s="83"/>
      <c r="E36" s="88"/>
      <c r="F36" s="89"/>
      <c r="G36" s="90"/>
      <c r="H36" s="90"/>
      <c r="I36" s="90"/>
      <c r="J36" s="90"/>
      <c r="K36" s="91"/>
      <c r="L36" s="92"/>
      <c r="M36" s="91"/>
      <c r="N36" s="93"/>
    </row>
    <row r="37" spans="1:14" ht="12" customHeight="1" x14ac:dyDescent="0.25">
      <c r="A37" s="85"/>
      <c r="B37" s="86"/>
      <c r="C37" s="87"/>
      <c r="D37" s="83"/>
      <c r="E37" s="88"/>
      <c r="F37" s="89"/>
      <c r="G37" s="90"/>
      <c r="H37" s="90"/>
      <c r="I37" s="90"/>
      <c r="J37" s="90"/>
      <c r="K37" s="91"/>
      <c r="L37" s="92"/>
      <c r="M37" s="91"/>
      <c r="N37" s="93"/>
    </row>
    <row r="38" spans="1:14" ht="12" customHeight="1" x14ac:dyDescent="0.25">
      <c r="A38" s="85"/>
      <c r="B38" s="86"/>
      <c r="C38" s="87"/>
      <c r="D38" s="83"/>
      <c r="E38" s="88"/>
      <c r="F38" s="89"/>
      <c r="G38" s="90"/>
      <c r="H38" s="90"/>
      <c r="I38" s="90"/>
      <c r="J38" s="90"/>
      <c r="K38" s="91"/>
      <c r="L38" s="92"/>
      <c r="M38" s="91"/>
      <c r="N38" s="93"/>
    </row>
    <row r="39" spans="1:14" ht="12" customHeight="1" x14ac:dyDescent="0.25">
      <c r="A39" s="83"/>
      <c r="B39" s="83"/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</row>
    <row r="40" spans="1:14" ht="12" customHeight="1" x14ac:dyDescent="0.25">
      <c r="A40" s="83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</row>
    <row r="41" spans="1:14" ht="12" customHeight="1" x14ac:dyDescent="0.25"/>
    <row r="42" spans="1:14" ht="12" customHeight="1" x14ac:dyDescent="0.25"/>
    <row r="43" spans="1:14" ht="12" customHeight="1" x14ac:dyDescent="0.25"/>
    <row r="44" spans="1:14" ht="12" customHeight="1" x14ac:dyDescent="0.25"/>
    <row r="45" spans="1:14" ht="12" customHeight="1" x14ac:dyDescent="0.25"/>
    <row r="46" spans="1:14" ht="12" customHeight="1" x14ac:dyDescent="0.25"/>
    <row r="47" spans="1:14" ht="12" customHeight="1" x14ac:dyDescent="0.25"/>
    <row r="48" spans="1:14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</sheetData>
  <sortState ref="A3:D33">
    <sortCondition ref="A3:A33"/>
  </sortState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3"/>
  <sheetViews>
    <sheetView workbookViewId="0">
      <pane ySplit="3" topLeftCell="A4" activePane="bottomLeft" state="frozen"/>
      <selection pane="bottomLeft" activeCell="H27" sqref="H27"/>
    </sheetView>
  </sheetViews>
  <sheetFormatPr defaultRowHeight="15" x14ac:dyDescent="0.25"/>
  <cols>
    <col min="1" max="1" width="5.28515625" customWidth="1"/>
    <col min="2" max="2" width="11.7109375" customWidth="1"/>
    <col min="3" max="3" width="8.42578125" customWidth="1"/>
    <col min="4" max="4" width="11.7109375" customWidth="1"/>
    <col min="5" max="5" width="12.28515625" customWidth="1"/>
    <col min="6" max="6" width="6.85546875" customWidth="1"/>
    <col min="7" max="7" width="5" customWidth="1"/>
    <col min="9" max="9" width="11.28515625" customWidth="1"/>
    <col min="10" max="10" width="8.140625" customWidth="1"/>
    <col min="11" max="11" width="11.5703125" customWidth="1"/>
  </cols>
  <sheetData>
    <row r="1" spans="1:12" x14ac:dyDescent="0.25">
      <c r="A1" s="36" t="s">
        <v>32</v>
      </c>
    </row>
    <row r="2" spans="1:12" x14ac:dyDescent="0.25">
      <c r="A2" s="36" t="s">
        <v>49</v>
      </c>
    </row>
    <row r="3" spans="1:12" ht="18" customHeight="1" x14ac:dyDescent="0.25">
      <c r="B3" s="51" t="s">
        <v>9</v>
      </c>
      <c r="C3" s="51" t="s">
        <v>40</v>
      </c>
      <c r="D3" s="94" t="s">
        <v>24</v>
      </c>
      <c r="E3" s="94" t="s">
        <v>10</v>
      </c>
      <c r="F3" s="51" t="s">
        <v>29</v>
      </c>
      <c r="G3" s="51" t="s">
        <v>30</v>
      </c>
      <c r="H3" s="51" t="s">
        <v>20</v>
      </c>
      <c r="I3" s="51" t="s">
        <v>21</v>
      </c>
      <c r="J3" s="51" t="s">
        <v>22</v>
      </c>
      <c r="K3" s="51" t="s">
        <v>23</v>
      </c>
      <c r="L3" s="52" t="s">
        <v>31</v>
      </c>
    </row>
    <row r="4" spans="1:12" ht="12.75" customHeight="1" x14ac:dyDescent="0.25">
      <c r="A4" s="40">
        <v>1</v>
      </c>
      <c r="B4" s="108" t="s">
        <v>4</v>
      </c>
      <c r="C4" s="97">
        <f>SUMIFS(Notas!$K$10:$K$1011,Notas!$D$10:$D$1011,B4)</f>
        <v>900</v>
      </c>
      <c r="D4" s="98">
        <f>C4*E4</f>
        <v>26089.434782608696</v>
      </c>
      <c r="E4" s="99">
        <f>SUMIFS(Notas!$N$10:$N$1011,Notas!$D$10:$D$1011,B4)/SUMIFS(Notas!$M$10:$M$1011,Notas!$D$10:$D$1011,B4)</f>
        <v>28.988260869565217</v>
      </c>
      <c r="F4" s="100">
        <f>ABS(COUNTIFS(Notas!$D$10:$D$1011,B4))</f>
        <v>4</v>
      </c>
      <c r="G4" s="62" t="s">
        <v>15</v>
      </c>
      <c r="H4" s="41">
        <f>[1]!PETR4</f>
        <v>29.4</v>
      </c>
      <c r="I4" s="42">
        <f>C4*H4</f>
        <v>26460</v>
      </c>
      <c r="J4" s="65">
        <f>I4/$I$24</f>
        <v>8.5432775448053902E-2</v>
      </c>
      <c r="K4" s="43">
        <f>I4-D4</f>
        <v>370.56521739130403</v>
      </c>
      <c r="L4" s="44">
        <f>K4/D4</f>
        <v>1.4203650653187934E-2</v>
      </c>
    </row>
    <row r="5" spans="1:12" ht="12.75" customHeight="1" x14ac:dyDescent="0.25">
      <c r="A5" s="40">
        <v>2</v>
      </c>
      <c r="B5" s="108" t="s">
        <v>14</v>
      </c>
      <c r="C5" s="97">
        <f>SUMIFS(Notas!$K$10:$K$1011,Notas!$D$10:$D$1011,B5)</f>
        <v>300</v>
      </c>
      <c r="D5" s="98">
        <f>C5*E5</f>
        <v>51802.666666666664</v>
      </c>
      <c r="E5" s="99">
        <f>SUMIFS(Notas!$N$10:$N$1011,Notas!$D$10:$D$1011,B5)/SUMIFS(Notas!$M$10:$M$1011,Notas!$D$10:$D$1011,B5)</f>
        <v>172.67555555555555</v>
      </c>
      <c r="F5" s="100">
        <f>ABS(COUNTIFS(Notas!$D$10:$D$501,B5))</f>
        <v>4</v>
      </c>
      <c r="G5" s="62" t="s">
        <v>17</v>
      </c>
      <c r="H5" s="41">
        <f>[1]!HGLG11</f>
        <v>170.32</v>
      </c>
      <c r="I5" s="42">
        <f>C5*H5</f>
        <v>51096</v>
      </c>
      <c r="J5" s="65">
        <f>I5/$I$24</f>
        <v>0.16497630741850952</v>
      </c>
      <c r="K5" s="43">
        <f>I5-D5</f>
        <v>-706.66666666666424</v>
      </c>
      <c r="L5" s="44">
        <f>K5/D5</f>
        <v>-1.3641511376505667E-2</v>
      </c>
    </row>
    <row r="6" spans="1:12" ht="12.75" customHeight="1" x14ac:dyDescent="0.25">
      <c r="A6" s="40">
        <v>3</v>
      </c>
      <c r="B6" s="108" t="s">
        <v>13</v>
      </c>
      <c r="C6" s="97">
        <f>SUMIFS(Notas!$K$10:$K$1011,Notas!$D$10:$D$1011,B6)</f>
        <v>1198</v>
      </c>
      <c r="D6" s="98">
        <f>C6*E6</f>
        <v>35031.935359753756</v>
      </c>
      <c r="E6" s="99">
        <f>SUMIFS(Notas!$N$10:$N$1011,Notas!$D$10:$D$1011,B6)/SUMIFS(Notas!$M$10:$M$1011,Notas!$D$10:$D$1011,B6)</f>
        <v>29.242016160061564</v>
      </c>
      <c r="F6" s="100">
        <f>ABS(COUNTIFS(Notas!$D$10:$D$501,B6))</f>
        <v>4</v>
      </c>
      <c r="G6" s="62" t="s">
        <v>15</v>
      </c>
      <c r="H6" s="41">
        <f>[1]!WEGE3</f>
        <v>34.4</v>
      </c>
      <c r="I6" s="42">
        <f>C6*H6</f>
        <v>41211.199999999997</v>
      </c>
      <c r="J6" s="65">
        <f>I6/$I$24</f>
        <v>0.1330607405723673</v>
      </c>
      <c r="K6" s="43">
        <f>I6-D6</f>
        <v>6179.2646402462415</v>
      </c>
      <c r="L6" s="44">
        <f>K6/D6</f>
        <v>0.17638947368421029</v>
      </c>
    </row>
    <row r="7" spans="1:12" ht="12.75" customHeight="1" x14ac:dyDescent="0.25">
      <c r="A7" s="29">
        <v>4</v>
      </c>
      <c r="B7" s="108" t="s">
        <v>0</v>
      </c>
      <c r="C7" s="97">
        <f>SUMIFS(Notas!$K$10:$K$1011,Notas!$D$10:$D$1011,B7)</f>
        <v>1000</v>
      </c>
      <c r="D7" s="98">
        <f>C7*E7</f>
        <v>123300</v>
      </c>
      <c r="E7" s="99">
        <f>SUMIFS(Notas!$N$10:$N$1011,Notas!$D$10:$D$1011,B7)/SUMIFS(Notas!$M$10:$M$1011,Notas!$D$10:$D$1011,B7)</f>
        <v>123.3</v>
      </c>
      <c r="F7" s="100">
        <f>ABS(COUNTIFS(Notas!$D$10:$D$501,B7))</f>
        <v>1</v>
      </c>
      <c r="G7" s="62" t="s">
        <v>16</v>
      </c>
      <c r="H7" s="41">
        <f>[1]!BOVA11</f>
        <v>124.69</v>
      </c>
      <c r="I7" s="42">
        <f>C7*H7</f>
        <v>124690</v>
      </c>
      <c r="J7" s="65">
        <f>I7/$I$24</f>
        <v>0.40259307523121091</v>
      </c>
      <c r="K7" s="43">
        <f>I7-D7</f>
        <v>1390</v>
      </c>
      <c r="L7" s="44">
        <f>K7/D7</f>
        <v>1.1273317112733171E-2</v>
      </c>
    </row>
    <row r="8" spans="1:12" ht="12.75" customHeight="1" x14ac:dyDescent="0.25">
      <c r="A8" s="29">
        <v>5</v>
      </c>
      <c r="B8" s="109" t="s">
        <v>45</v>
      </c>
      <c r="C8" s="97">
        <f>SUMIFS(Notas!$K$10:$K$1011,Notas!$D$10:$D$1011,B8)</f>
        <v>1000</v>
      </c>
      <c r="D8" s="98">
        <f>C8*E8</f>
        <v>66560</v>
      </c>
      <c r="E8" s="99">
        <f>SUMIFS(Notas!$N$10:$N$1011,Notas!$D$10:$D$1011,B8)/SUMIFS(Notas!$M$10:$M$1011,Notas!$D$10:$D$1011,B8)</f>
        <v>66.56</v>
      </c>
      <c r="F8" s="100">
        <f>ABS(COUNTIFS(Notas!$D$10:$D$501,B8))</f>
        <v>1</v>
      </c>
      <c r="G8" s="62" t="s">
        <v>18</v>
      </c>
      <c r="H8" s="41">
        <f>[1]!AAPL34</f>
        <v>66.260000000000005</v>
      </c>
      <c r="I8" s="42">
        <f>C8*H8</f>
        <v>66260</v>
      </c>
      <c r="J8" s="65">
        <f>I8/$I$24</f>
        <v>0.21393710132985833</v>
      </c>
      <c r="K8" s="43">
        <f>I8-D8</f>
        <v>-300</v>
      </c>
      <c r="L8" s="44">
        <f>K8/D8</f>
        <v>-4.5072115384615381E-3</v>
      </c>
    </row>
    <row r="9" spans="1:12" ht="12.75" customHeight="1" x14ac:dyDescent="0.25">
      <c r="A9" s="29">
        <v>6</v>
      </c>
      <c r="B9" s="109"/>
      <c r="F9" s="48"/>
      <c r="G9" s="63"/>
    </row>
    <row r="10" spans="1:12" ht="12.75" customHeight="1" x14ac:dyDescent="0.25">
      <c r="A10" s="29">
        <v>7</v>
      </c>
      <c r="B10" s="109"/>
      <c r="F10" s="48"/>
      <c r="G10" s="63"/>
    </row>
    <row r="11" spans="1:12" ht="12.75" customHeight="1" x14ac:dyDescent="0.25">
      <c r="A11" s="29">
        <v>8</v>
      </c>
      <c r="B11" s="109"/>
      <c r="F11" s="48"/>
      <c r="G11" s="63"/>
    </row>
    <row r="12" spans="1:12" ht="12.75" customHeight="1" x14ac:dyDescent="0.25">
      <c r="A12" s="29">
        <v>9</v>
      </c>
      <c r="B12" s="109"/>
      <c r="F12" s="48"/>
      <c r="G12" s="63"/>
    </row>
    <row r="13" spans="1:12" ht="12.75" customHeight="1" x14ac:dyDescent="0.25">
      <c r="A13" s="29">
        <v>10</v>
      </c>
      <c r="B13" s="109"/>
      <c r="F13" s="48"/>
      <c r="G13" s="63"/>
    </row>
    <row r="14" spans="1:12" ht="12.75" customHeight="1" x14ac:dyDescent="0.25">
      <c r="A14" s="29">
        <v>11</v>
      </c>
      <c r="B14" s="109"/>
      <c r="F14" s="48"/>
      <c r="G14" s="63"/>
    </row>
    <row r="15" spans="1:12" ht="12.75" customHeight="1" x14ac:dyDescent="0.25">
      <c r="A15" s="29">
        <v>12</v>
      </c>
      <c r="B15" s="109"/>
      <c r="F15" s="48"/>
      <c r="G15" s="63"/>
    </row>
    <row r="16" spans="1:12" ht="12.75" customHeight="1" x14ac:dyDescent="0.25">
      <c r="A16" s="29">
        <v>13</v>
      </c>
      <c r="B16" s="109"/>
      <c r="F16" s="48"/>
      <c r="G16" s="63"/>
    </row>
    <row r="17" spans="1:15" ht="12.75" customHeight="1" x14ac:dyDescent="0.25">
      <c r="A17" s="29">
        <v>14</v>
      </c>
      <c r="B17" s="109"/>
      <c r="F17" s="48"/>
      <c r="G17" s="63"/>
    </row>
    <row r="18" spans="1:15" ht="12.75" customHeight="1" x14ac:dyDescent="0.25">
      <c r="A18" s="29">
        <v>15</v>
      </c>
      <c r="B18" s="109"/>
      <c r="F18" s="48"/>
      <c r="G18" s="63"/>
    </row>
    <row r="19" spans="1:15" ht="12.75" customHeight="1" x14ac:dyDescent="0.25">
      <c r="A19" s="29">
        <v>16</v>
      </c>
      <c r="B19" s="109"/>
      <c r="F19" s="48"/>
      <c r="G19" s="63"/>
    </row>
    <row r="20" spans="1:15" ht="12.75" customHeight="1" x14ac:dyDescent="0.25">
      <c r="A20" s="29">
        <v>17</v>
      </c>
      <c r="B20" s="109"/>
      <c r="F20" s="48"/>
      <c r="G20" s="63"/>
    </row>
    <row r="21" spans="1:15" ht="12.75" customHeight="1" x14ac:dyDescent="0.25">
      <c r="A21" s="29">
        <v>18</v>
      </c>
      <c r="B21" s="109"/>
      <c r="F21" s="48"/>
      <c r="G21" s="63"/>
    </row>
    <row r="22" spans="1:15" ht="12.75" customHeight="1" x14ac:dyDescent="0.25">
      <c r="A22" s="29">
        <v>19</v>
      </c>
      <c r="B22" s="109"/>
      <c r="F22" s="48"/>
      <c r="G22" s="63"/>
    </row>
    <row r="23" spans="1:15" ht="12.75" customHeight="1" x14ac:dyDescent="0.25">
      <c r="A23" s="29">
        <v>20</v>
      </c>
      <c r="B23" s="109"/>
      <c r="F23" s="48"/>
      <c r="G23" s="63"/>
    </row>
    <row r="24" spans="1:15" ht="14.25" customHeight="1" x14ac:dyDescent="0.25">
      <c r="A24" s="3"/>
      <c r="B24" s="3"/>
      <c r="C24" s="30">
        <f>SUM(C4:C23)</f>
        <v>4398</v>
      </c>
      <c r="D24" s="61">
        <f>SUM(D4:D23)</f>
        <v>302784.03680902912</v>
      </c>
      <c r="E24" s="31"/>
      <c r="F24" s="64">
        <f>SUM(F4:F23)</f>
        <v>14</v>
      </c>
      <c r="G24" s="3"/>
      <c r="H24" s="55" t="s">
        <v>43</v>
      </c>
      <c r="I24" s="3">
        <f>SUM(I4:I23)</f>
        <v>309717.2</v>
      </c>
      <c r="J24" s="10">
        <f>SUM(J4:J23)</f>
        <v>1</v>
      </c>
      <c r="K24" s="3">
        <f>SUM(K4:K23)</f>
        <v>6933.1631909708813</v>
      </c>
      <c r="L24" s="3"/>
      <c r="M24" s="32"/>
      <c r="N24" s="33"/>
      <c r="O24" s="34"/>
    </row>
    <row r="25" spans="1:15" ht="14.25" customHeight="1" x14ac:dyDescent="0.25">
      <c r="H25" s="54" t="s">
        <v>34</v>
      </c>
      <c r="I25" s="53">
        <f>Notas!I3</f>
        <v>18635</v>
      </c>
      <c r="M25" s="11"/>
      <c r="N25" s="11"/>
      <c r="O25" s="11"/>
    </row>
    <row r="26" spans="1:15" ht="14.25" customHeight="1" x14ac:dyDescent="0.25">
      <c r="H26" s="13" t="s">
        <v>58</v>
      </c>
      <c r="I26" s="9">
        <f>I24+I25</f>
        <v>328352.2</v>
      </c>
    </row>
    <row r="27" spans="1:15" ht="14.25" customHeight="1" x14ac:dyDescent="0.25">
      <c r="C27" s="4" t="s">
        <v>19</v>
      </c>
      <c r="D27" s="5"/>
      <c r="E27" s="6"/>
    </row>
    <row r="28" spans="1:15" ht="14.25" customHeight="1" x14ac:dyDescent="0.25">
      <c r="C28" s="7" t="s">
        <v>15</v>
      </c>
      <c r="D28" s="95">
        <f>SUMIFS($I$4:$I$23,$G$4:$G$23,C28)</f>
        <v>67671.199999999997</v>
      </c>
      <c r="E28" s="45">
        <f>D28/$D$32</f>
        <v>0.21849351602042119</v>
      </c>
    </row>
    <row r="29" spans="1:15" ht="14.25" customHeight="1" x14ac:dyDescent="0.25">
      <c r="C29" s="7" t="s">
        <v>17</v>
      </c>
      <c r="D29" s="95">
        <f>SUMIFS($I$4:$I$23,$G$4:$G$23,C29)</f>
        <v>51096</v>
      </c>
      <c r="E29" s="45">
        <f>D29/$D$32</f>
        <v>0.16497630741850952</v>
      </c>
    </row>
    <row r="30" spans="1:15" ht="14.25" customHeight="1" x14ac:dyDescent="0.25">
      <c r="C30" s="7" t="s">
        <v>16</v>
      </c>
      <c r="D30" s="95">
        <f>SUMIFS($I$4:$I$23,$G$4:$G$23,C30)</f>
        <v>124690</v>
      </c>
      <c r="E30" s="45">
        <f>D30/$D$32</f>
        <v>0.40259307523121091</v>
      </c>
    </row>
    <row r="31" spans="1:15" ht="14.25" customHeight="1" x14ac:dyDescent="0.25">
      <c r="C31" s="8" t="s">
        <v>18</v>
      </c>
      <c r="D31" s="96">
        <f>SUMIFS($I$4:$I$23,$G$4:$G$23,C31)</f>
        <v>66260</v>
      </c>
      <c r="E31" s="46">
        <f>D31/$D$32</f>
        <v>0.21393710132985833</v>
      </c>
    </row>
    <row r="32" spans="1:15" ht="14.25" customHeight="1" x14ac:dyDescent="0.25">
      <c r="D32" s="12">
        <f>SUM(D28:D31)</f>
        <v>309717.2</v>
      </c>
      <c r="E32" s="47">
        <f>D32/$D$32</f>
        <v>1</v>
      </c>
      <c r="F32" s="11"/>
    </row>
    <row r="33" spans="5:6" x14ac:dyDescent="0.25">
      <c r="E33" s="11"/>
      <c r="F33" s="1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8"/>
  <sheetViews>
    <sheetView workbookViewId="0">
      <selection activeCell="E14" sqref="E14"/>
    </sheetView>
  </sheetViews>
  <sheetFormatPr defaultRowHeight="15" x14ac:dyDescent="0.25"/>
  <cols>
    <col min="1" max="1" width="16.85546875" customWidth="1"/>
  </cols>
  <sheetData>
    <row r="2" spans="1:3" ht="6" customHeight="1" x14ac:dyDescent="0.25"/>
    <row r="3" spans="1:3" ht="6" customHeight="1" x14ac:dyDescent="0.25"/>
    <row r="4" spans="1:3" ht="6" customHeight="1" x14ac:dyDescent="0.25"/>
    <row r="5" spans="1:3" ht="6" customHeight="1" x14ac:dyDescent="0.25"/>
    <row r="6" spans="1:3" ht="6" customHeight="1" x14ac:dyDescent="0.25"/>
    <row r="7" spans="1:3" ht="6" customHeight="1" x14ac:dyDescent="0.25"/>
    <row r="8" spans="1:3" ht="6" customHeight="1" x14ac:dyDescent="0.25"/>
    <row r="9" spans="1:3" ht="14.25" customHeight="1" x14ac:dyDescent="0.25">
      <c r="A9" s="107" t="s">
        <v>59</v>
      </c>
    </row>
    <row r="10" spans="1:3" ht="15" customHeight="1" x14ac:dyDescent="0.25">
      <c r="A10" s="107" t="s">
        <v>60</v>
      </c>
      <c r="B10" s="106"/>
      <c r="C10" s="106"/>
    </row>
    <row r="11" spans="1:3" x14ac:dyDescent="0.25">
      <c r="A11" t="str">
        <f>IF(Notas!E11&lt;&gt;0,"e;"&amp;TEXT(Notas!B11,"DD/MM/AAAA HH:MM")&amp;";"&amp;Notas!C11&amp;";"&amp;Notas!D11&amp;";"&amp;ABS(Notas!E11)&amp;";"&amp;ABS(Notas!G11)&amp;";"&amp;Notas!F11,"")</f>
        <v>e;08/01/2020 00:00;C;PETR4;2000;0;29</v>
      </c>
    </row>
    <row r="12" spans="1:3" x14ac:dyDescent="0.25">
      <c r="A12" t="str">
        <f>IF(Notas!E12&lt;&gt;0,"e;"&amp;TEXT(Notas!B12,"DD/MM/AAAA HH:MM")&amp;";"&amp;Notas!C12&amp;";"&amp;Notas!D12&amp;";"&amp;ABS(Notas!E12)&amp;";"&amp;ABS(Notas!G12)&amp;";"&amp;Notas!F12,"")</f>
        <v>e;08/01/2020 00:00;C;HGLG11;800;0;173</v>
      </c>
    </row>
    <row r="13" spans="1:3" x14ac:dyDescent="0.25">
      <c r="A13" t="str">
        <f>IF(Notas!E13&lt;&gt;0,"e;"&amp;TEXT(Notas!B13,"DD/MM/AAAA HH:MM")&amp;";"&amp;Notas!C13&amp;";"&amp;Notas!D13&amp;";"&amp;ABS(Notas!E13)&amp;";"&amp;ABS(Notas!G13)&amp;";"&amp;Notas!F13,"")</f>
        <v>e;08/01/2020 00:00;C;WEGE3;2000;0;38</v>
      </c>
    </row>
    <row r="14" spans="1:3" x14ac:dyDescent="0.25">
      <c r="A14" t="str">
        <f>IF(Notas!E14&lt;&gt;0,"e;"&amp;TEXT(Notas!B14,"DD/MM/AAAA HH:MM")&amp;";"&amp;Notas!C14&amp;";"&amp;Notas!D14&amp;";"&amp;ABS(Notas!E14)&amp;";"&amp;ABS(Notas!G14)&amp;";"&amp;Notas!F14,"")</f>
        <v/>
      </c>
    </row>
    <row r="15" spans="1:3" x14ac:dyDescent="0.25">
      <c r="A15" t="str">
        <f>IF(Notas!E15&lt;&gt;0,"e;"&amp;TEXT(Notas!B15,"DD/MM/AAAA HH:MM")&amp;";"&amp;Notas!C15&amp;";"&amp;Notas!D15&amp;";"&amp;ABS(Notas!E15)&amp;";"&amp;ABS(Notas!G15)&amp;";"&amp;Notas!F15,"")</f>
        <v>e;24/03/2020 00:00;V;PETR4;1000;0;13</v>
      </c>
    </row>
    <row r="16" spans="1:3" x14ac:dyDescent="0.25">
      <c r="A16" t="str">
        <f>IF(Notas!E16&lt;&gt;0,"e;"&amp;TEXT(Notas!B16,"DD/MM/AAAA HH:MM")&amp;";"&amp;Notas!C16&amp;";"&amp;Notas!D16&amp;";"&amp;ABS(Notas!E16)&amp;";"&amp;ABS(Notas!G16)&amp;";"&amp;Notas!F16,"")</f>
        <v>e;24/03/2020 00:00;V;HGLG11;100;0;120</v>
      </c>
    </row>
    <row r="17" spans="1:1" x14ac:dyDescent="0.25">
      <c r="A17" t="str">
        <f>IF(Notas!E17&lt;&gt;0,"e;"&amp;TEXT(Notas!B17,"DD/MM/AAAA HH:MM")&amp;";"&amp;Notas!C17&amp;";"&amp;Notas!D17&amp;";"&amp;ABS(Notas!E17)&amp;";"&amp;ABS(Notas!G17)&amp;";"&amp;Notas!F17,"")</f>
        <v>e;24/03/2020 00:00;V;WEGE3;1000;0;36</v>
      </c>
    </row>
    <row r="18" spans="1:1" x14ac:dyDescent="0.25">
      <c r="A18" t="str">
        <f>IF(Notas!E18&lt;&gt;0,"e;"&amp;TEXT(Notas!B18,"DD/MM/AAAA HH:MM")&amp;";"&amp;Notas!C18&amp;";"&amp;Notas!D18&amp;";"&amp;ABS(Notas!E18)&amp;";"&amp;ABS(Notas!G18)&amp;";"&amp;Notas!F18,"")</f>
        <v/>
      </c>
    </row>
    <row r="19" spans="1:1" x14ac:dyDescent="0.25">
      <c r="A19" t="str">
        <f>IF(Notas!E19&lt;&gt;0,"e;"&amp;TEXT(Notas!B19,"DD/MM/AAAA HH:MM")&amp;";"&amp;Notas!C19&amp;";"&amp;Notas!D19&amp;";"&amp;ABS(Notas!E19)&amp;";"&amp;ABS(Notas!G19)&amp;";"&amp;Notas!F19,"")</f>
        <v>e;22/01/2021 00:00;V;PETR4;400;0;26</v>
      </c>
    </row>
    <row r="20" spans="1:1" x14ac:dyDescent="0.25">
      <c r="A20" t="str">
        <f>IF(Notas!E20&lt;&gt;0,"e;"&amp;TEXT(Notas!B20,"DD/MM/AAAA HH:MM")&amp;";"&amp;Notas!C20&amp;";"&amp;Notas!D20&amp;";"&amp;ABS(Notas!E20)&amp;";"&amp;ABS(Notas!G20)&amp;";"&amp;Notas!F20,"")</f>
        <v>e;22/01/2021 00:00;V;HGLG11;500;0;200</v>
      </c>
    </row>
    <row r="21" spans="1:1" x14ac:dyDescent="0.25">
      <c r="A21" t="str">
        <f>IF(Notas!E21&lt;&gt;0,"e;"&amp;TEXT(Notas!B21,"DD/MM/AAAA HH:MM")&amp;";"&amp;Notas!C21&amp;";"&amp;Notas!D21&amp;";"&amp;ABS(Notas!E21)&amp;";"&amp;ABS(Notas!G21)&amp;";"&amp;Notas!F21,"")</f>
        <v>e;22/01/2021 00:00;V;WEGE3;401;0;88</v>
      </c>
    </row>
    <row r="22" spans="1:1" x14ac:dyDescent="0.25">
      <c r="A22" t="str">
        <f>IF(Notas!E22&lt;&gt;0,"e;"&amp;TEXT(Notas!B22,"DD/MM/AAAA HH:MM")&amp;";"&amp;Notas!C22&amp;";"&amp;Notas!D22&amp;";"&amp;ABS(Notas!E22)&amp;";"&amp;ABS(Notas!G22)&amp;";"&amp;Notas!F22,"")</f>
        <v/>
      </c>
    </row>
    <row r="23" spans="1:1" x14ac:dyDescent="0.25">
      <c r="A23" t="str">
        <f>IF(Notas!E23&lt;&gt;0,"e;"&amp;TEXT(Notas!B23,"DD/MM/AAAA HH:MM")&amp;";"&amp;Notas!C23&amp;";"&amp;Notas!D23&amp;";"&amp;ABS(Notas!E23)&amp;";"&amp;ABS(Notas!G23)&amp;";"&amp;Notas!F23,"")</f>
        <v>e;14/04/2021 00:00;C;WEGE3;599;0;0</v>
      </c>
    </row>
    <row r="24" spans="1:1" x14ac:dyDescent="0.25">
      <c r="A24" t="str">
        <f>IF(Notas!E24&lt;&gt;0,"e;"&amp;TEXT(Notas!B24,"DD/MM/AAAA HH:MM")&amp;";"&amp;Notas!C24&amp;";"&amp;Notas!D24&amp;";"&amp;ABS(Notas!E24)&amp;";"&amp;ABS(Notas!G24)&amp;";"&amp;Notas!F24,"")</f>
        <v/>
      </c>
    </row>
    <row r="25" spans="1:1" x14ac:dyDescent="0.25">
      <c r="A25" t="str">
        <f>IF(Notas!E25&lt;&gt;0,"e;"&amp;TEXT(Notas!B25,"DD/MM/AAAA HH:MM")&amp;";"&amp;Notas!C25&amp;";"&amp;Notas!D25&amp;";"&amp;ABS(Notas!E25)&amp;";"&amp;ABS(Notas!G25)&amp;";"&amp;Notas!F25,"")</f>
        <v>e;22/06/2021 00:00;C;PETR4;300;0;28.91</v>
      </c>
    </row>
    <row r="26" spans="1:1" x14ac:dyDescent="0.25">
      <c r="A26" t="str">
        <f>IF(Notas!E26&lt;&gt;0,"e;"&amp;TEXT(Notas!B26,"DD/MM/AAAA HH:MM")&amp;";"&amp;Notas!C26&amp;";"&amp;Notas!D26&amp;";"&amp;ABS(Notas!E26)&amp;";"&amp;ABS(Notas!G26)&amp;";"&amp;Notas!F26,"")</f>
        <v>e;22/06/2021 00:00;C;HGLG11;100;0;170.08</v>
      </c>
    </row>
    <row r="27" spans="1:1" x14ac:dyDescent="0.25">
      <c r="A27" t="str">
        <f>IF(Notas!E27&lt;&gt;0,"e;"&amp;TEXT(Notas!B27,"DD/MM/AAAA HH:MM")&amp;";"&amp;Notas!C27&amp;";"&amp;Notas!D27&amp;";"&amp;ABS(Notas!E27)&amp;";"&amp;ABS(Notas!G27)&amp;";"&amp;Notas!F27,"")</f>
        <v>e;22/06/2021 00:00;C;AAPL34;1000;0;66.56</v>
      </c>
    </row>
    <row r="28" spans="1:1" x14ac:dyDescent="0.25">
      <c r="A28" t="str">
        <f>IF(Notas!E28&lt;&gt;0,"e;"&amp;TEXT(Notas!B28,"DD/MM/AAAA HH:MM")&amp;";"&amp;Notas!C28&amp;";"&amp;Notas!D28&amp;";"&amp;ABS(Notas!E28)&amp;";"&amp;ABS(Notas!G28)&amp;";"&amp;Notas!F28,"")</f>
        <v>e;22/06/2021 00:00;C;BOVA11;1000;0;123.3</v>
      </c>
    </row>
    <row r="29" spans="1:1" x14ac:dyDescent="0.25">
      <c r="A29" t="str">
        <f>IF(Notas!E29&lt;&gt;0,"e;"&amp;TEXT(Notas!B29,"DD/MM/AAAA HH:MM")&amp;";"&amp;Notas!C29&amp;";"&amp;Notas!D29&amp;";"&amp;ABS(Notas!E29)&amp;";"&amp;ABS(Notas!G29)&amp;";"&amp;Notas!F29,"")</f>
        <v/>
      </c>
    </row>
    <row r="30" spans="1:1" x14ac:dyDescent="0.25">
      <c r="A30" t="str">
        <f>IF(Notas!E30&lt;&gt;0,"e;"&amp;TEXT(Notas!B30,"DD/MM/AAAA HH:MM")&amp;";"&amp;Notas!C30&amp;";"&amp;Notas!D30&amp;";"&amp;ABS(Notas!E30)&amp;";"&amp;ABS(Notas!G30)&amp;";"&amp;Notas!F30,"")</f>
        <v/>
      </c>
    </row>
    <row r="31" spans="1:1" x14ac:dyDescent="0.25">
      <c r="A31" t="str">
        <f>IF(Notas!E31&lt;&gt;0,"e;"&amp;TEXT(Notas!B31,"DD/MM/AAAA HH:MM")&amp;";"&amp;Notas!C31&amp;";"&amp;Notas!D31&amp;";"&amp;ABS(Notas!E31)&amp;";"&amp;ABS(Notas!G31)&amp;";"&amp;Notas!F31,"")</f>
        <v/>
      </c>
    </row>
    <row r="32" spans="1:1" x14ac:dyDescent="0.25">
      <c r="A32" t="str">
        <f>IF(Notas!E32&lt;&gt;0,"e;"&amp;TEXT(Notas!B32,"DD/MM/AAAA HH:MM")&amp;";"&amp;Notas!C32&amp;";"&amp;Notas!D32&amp;";"&amp;ABS(Notas!E32)&amp;";"&amp;ABS(Notas!G32)&amp;";"&amp;Notas!F32,"")</f>
        <v/>
      </c>
    </row>
    <row r="33" spans="1:1" x14ac:dyDescent="0.25">
      <c r="A33" t="str">
        <f>IF(Notas!E33&lt;&gt;0,"e;"&amp;TEXT(Notas!B33,"DD/MM/AAAA HH:MM")&amp;";"&amp;Notas!C33&amp;";"&amp;Notas!D33&amp;";"&amp;ABS(Notas!E33)&amp;";"&amp;ABS(Notas!G33)&amp;";"&amp;Notas!F33,"")</f>
        <v/>
      </c>
    </row>
    <row r="34" spans="1:1" x14ac:dyDescent="0.25">
      <c r="A34" t="str">
        <f>IF(Notas!E34&lt;&gt;0,"e;"&amp;TEXT(Notas!B34,"DD/MM/AAAA HH:MM")&amp;";"&amp;Notas!C34&amp;";"&amp;Notas!D34&amp;";"&amp;ABS(Notas!E34)&amp;";"&amp;ABS(Notas!G34)&amp;";"&amp;Notas!F34,"")</f>
        <v/>
      </c>
    </row>
    <row r="35" spans="1:1" x14ac:dyDescent="0.25">
      <c r="A35" t="str">
        <f>IF(Notas!E35&lt;&gt;0,"e;"&amp;TEXT(Notas!B35,"DD/MM/AAAA HH:MM")&amp;";"&amp;Notas!C35&amp;";"&amp;Notas!D35&amp;";"&amp;ABS(Notas!E35)&amp;";"&amp;ABS(Notas!G35)&amp;";"&amp;Notas!F35,"")</f>
        <v/>
      </c>
    </row>
    <row r="36" spans="1:1" x14ac:dyDescent="0.25">
      <c r="A36" t="str">
        <f>IF(Notas!E36&lt;&gt;0,"e;"&amp;TEXT(Notas!B36,"DD/MM/AAAA HH:MM")&amp;";"&amp;Notas!C36&amp;";"&amp;Notas!D36&amp;";"&amp;ABS(Notas!E36)&amp;";"&amp;ABS(Notas!G36)&amp;";"&amp;Notas!F36,"")</f>
        <v/>
      </c>
    </row>
    <row r="37" spans="1:1" x14ac:dyDescent="0.25">
      <c r="A37" t="str">
        <f>IF(Notas!E37&lt;&gt;0,"e;"&amp;TEXT(Notas!B37,"DD/MM/AAAA HH:MM")&amp;";"&amp;Notas!C37&amp;";"&amp;Notas!D37&amp;";"&amp;ABS(Notas!E37)&amp;";"&amp;ABS(Notas!G37)&amp;";"&amp;Notas!F37,"")</f>
        <v/>
      </c>
    </row>
    <row r="38" spans="1:1" x14ac:dyDescent="0.25">
      <c r="A38" t="str">
        <f>IF(Notas!E38&lt;&gt;0,"e;"&amp;TEXT(Notas!B38,"DD/MM/AAAA HH:MM")&amp;";"&amp;Notas!C38&amp;";"&amp;Notas!D38&amp;";"&amp;ABS(Notas!E38)&amp;";"&amp;ABS(Notas!G38)&amp;";"&amp;Notas!F38,"")</f>
        <v/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Notas</vt:lpstr>
      <vt:lpstr>Carteira</vt:lpstr>
      <vt:lpstr>NassauSt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Reis</dc:creator>
  <cp:lastModifiedBy>Omar Reis</cp:lastModifiedBy>
  <cp:lastPrinted>2019-10-31T15:14:31Z</cp:lastPrinted>
  <dcterms:created xsi:type="dcterms:W3CDTF">2019-09-24T15:41:09Z</dcterms:created>
  <dcterms:modified xsi:type="dcterms:W3CDTF">2021-06-23T14:21:19Z</dcterms:modified>
</cp:coreProperties>
</file>