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<sst xmlns="http://schemas.openxmlformats.org/spreadsheetml/2006/main" count="4485" uniqueCount="2511">
  <si>
    <t>EventID</t>
  </si>
  <si>
    <t>Topic</t>
  </si>
  <si>
    <t>EventName</t>
  </si>
  <si>
    <t>EventDescription</t>
  </si>
  <si>
    <t>Date</t>
  </si>
  <si>
    <t>Authors</t>
  </si>
  <si>
    <t>GPT</t>
  </si>
  <si>
    <t>ChatGPT For Data Analytics</t>
  </si>
  <si>
    <t>How to 10x your data analysis productivity with generative AI</t>
  </si>
  <si>
    <t>2023-12-12</t>
  </si>
  <si>
    <t>Tobias Zwingmann</t>
  </si>
  <si>
    <t>GitHub Copilot</t>
  </si>
  <si>
    <t>GitHub Copilot Jumpstart</t>
  </si>
  <si>
    <t>Improve your code and efficiency with AI next-gen software development tools</t>
  </si>
  <si>
    <t>2023-12-08</t>
  </si>
  <si>
    <t>Shaun Wassell</t>
  </si>
  <si>
    <t>Artificial Intelligence (AI)</t>
  </si>
  <si>
    <t>AI Superstream: Large Language Models</t>
  </si>
  <si>
    <t>Leverage LLMs for Business</t>
  </si>
  <si>
    <t>2023-12-06</t>
  </si>
  <si>
    <t>Shingai Manjengwa</t>
  </si>
  <si>
    <t>Python</t>
  </si>
  <si>
    <t>Build a Discord Bot in Python</t>
  </si>
  <si>
    <t>Automate Bot Workflows with Generators and Coroutines</t>
  </si>
  <si>
    <t>James Powell Cameron Riddell</t>
  </si>
  <si>
    <t>Data Science</t>
  </si>
  <si>
    <t>Essential Math for Data Science in 4 Weeks—with Interactivity</t>
  </si>
  <si>
    <t>Achieve practical math proficiency using Python</t>
  </si>
  <si>
    <t>2023-11-13</t>
  </si>
  <si>
    <t>Thomas Nield</t>
  </si>
  <si>
    <t>ISO</t>
  </si>
  <si>
    <t>Certified ISO 31000 Internal Controls Risk Analyst (CICRA) Crash SuperReview by Allen Keele</t>
  </si>
  <si>
    <t>Crush the ISO 31000 CICRA Certification Exam</t>
  </si>
  <si>
    <t>2023-11-27</t>
  </si>
  <si>
    <t>Allen Keele</t>
  </si>
  <si>
    <t>Cloud Computing</t>
  </si>
  <si>
    <t>Kubernetes Threat Modeling</t>
  </si>
  <si>
    <t>Securing cloud native applications</t>
  </si>
  <si>
    <t>James Callaghan</t>
  </si>
  <si>
    <t>Quantum Computing</t>
  </si>
  <si>
    <t>Mathematics for Quantum Computing</t>
  </si>
  <si>
    <t>Just enough math to get you started</t>
  </si>
  <si>
    <t>Dr. Chuck Easttom</t>
  </si>
  <si>
    <t>Project Management</t>
  </si>
  <si>
    <t>AI Project Management</t>
  </si>
  <si>
    <t>Managing and delivering AI projects</t>
  </si>
  <si>
    <t>2023-11-21</t>
  </si>
  <si>
    <t>Adrián González Sánchez</t>
  </si>
  <si>
    <t>AWS Certified Solutions Architect - Associate</t>
  </si>
  <si>
    <t>AWS Certified Solutions Architect Associate (SAA-C03) Crash Course</t>
  </si>
  <si>
    <t>Get ready to crush the AWS Solutions Architect Associate exam!</t>
  </si>
  <si>
    <t>2023-11-20</t>
  </si>
  <si>
    <t>Chad Smith</t>
  </si>
  <si>
    <t>TypeScript</t>
  </si>
  <si>
    <t>TypeScript in 4 Weeks</t>
  </si>
  <si>
    <t>Build Maintainable Web Apps</t>
  </si>
  <si>
    <t>2023-10-30</t>
  </si>
  <si>
    <t>Brice Wilson</t>
  </si>
  <si>
    <t>Robotic Process Automation</t>
  </si>
  <si>
    <t>UiPath Fundamentals</t>
  </si>
  <si>
    <t>Enhancing workflows with robotic process automation</t>
  </si>
  <si>
    <t>2023-11-16</t>
  </si>
  <si>
    <t>Jeremy Nathan Jim Moore</t>
  </si>
  <si>
    <t>Linux</t>
  </si>
  <si>
    <t>Linux Security from Basics to Guru</t>
  </si>
  <si>
    <t>Learn how to build up Linux security from the basics through advanced features</t>
  </si>
  <si>
    <t>Sander van Vugt</t>
  </si>
  <si>
    <t>Cloud Superstream: Sustainability in the Cloud</t>
  </si>
  <si>
    <t>Understand the environmental impact of your cloud workloads and learn to build more sustainably</t>
  </si>
  <si>
    <t>2023-11-15</t>
  </si>
  <si>
    <t>Sam Newman</t>
  </si>
  <si>
    <t>Linux Troubleshooting: Advanced Linux Techniques</t>
  </si>
  <si>
    <t>Learn what to do when Linux stops working</t>
  </si>
  <si>
    <t>Security</t>
  </si>
  <si>
    <t>Machine Learning for Blue Teams</t>
  </si>
  <si>
    <t>Using Python and data analysis to help protect your organization</t>
  </si>
  <si>
    <t>Stijn Van Hijfte</t>
  </si>
  <si>
    <t>AI Catalyst Conference: Building Commercially Successful LLM Applications</t>
  </si>
  <si>
    <t>Accelerate Innovation and Profit with Generative AI</t>
  </si>
  <si>
    <t>2023-11-08</t>
  </si>
  <si>
    <t>Jon Krohn</t>
  </si>
  <si>
    <t>TCP/IP</t>
  </si>
  <si>
    <t>IPv4 Subnetting from Beginning to Mastery</t>
  </si>
  <si>
    <t>IP Subnetting for IT Pros and Cisco CCNA Candidates</t>
  </si>
  <si>
    <t>2023-11-06</t>
  </si>
  <si>
    <t>Wendell Odom</t>
  </si>
  <si>
    <t>AI Principles</t>
  </si>
  <si>
    <t>Jumpstart Your AI Career</t>
  </si>
  <si>
    <t>Design Your Roadmap to Upskill and Thrive in AI</t>
  </si>
  <si>
    <t>2023-11-07</t>
  </si>
  <si>
    <t>Anne T. Griffin</t>
  </si>
  <si>
    <t>Creative Writing</t>
  </si>
  <si>
    <t>The Power of Storytelling</t>
  </si>
  <si>
    <t>Communicate Your Vision with Impact to Deliver Your Message and Get the Desired Outcome</t>
  </si>
  <si>
    <t>2023-11-02</t>
  </si>
  <si>
    <t>Carl Pritchard</t>
  </si>
  <si>
    <t>Software Architecture</t>
  </si>
  <si>
    <t>Software Architecture Superstream: Data Architecture Styles and Patterns</t>
  </si>
  <si>
    <t>Achieve new levels of velocity, agility, reliability, and efficiency</t>
  </si>
  <si>
    <t>2023-11-01</t>
  </si>
  <si>
    <t>Neal Ford</t>
  </si>
  <si>
    <t>Django</t>
  </si>
  <si>
    <t>Python Web Development in 3 Weeks</t>
  </si>
  <si>
    <t>Using Django to Build Powerful Python Web Apps</t>
  </si>
  <si>
    <t>2023-10-06</t>
  </si>
  <si>
    <t>Trey Hunner</t>
  </si>
  <si>
    <t>Computer Networking</t>
  </si>
  <si>
    <t>How the Internet Really Works</t>
  </si>
  <si>
    <t>Learn about the organizations and technologies that create the Internet.</t>
  </si>
  <si>
    <t>2023-10-27</t>
  </si>
  <si>
    <t>Russ White</t>
  </si>
  <si>
    <t>Data Science Horror Stories</t>
  </si>
  <si>
    <t>When data takes a terrifying turn</t>
  </si>
  <si>
    <t>2023-10-26</t>
  </si>
  <si>
    <t>Alistair Croll</t>
  </si>
  <si>
    <t>Midjourney</t>
  </si>
  <si>
    <t>Image Generation using Stable Diffusion and Midjourney</t>
  </si>
  <si>
    <t>A hands-on approach</t>
  </si>
  <si>
    <t>2023-10-25</t>
  </si>
  <si>
    <t xml:space="preserve">Jonathan Fernandes	</t>
  </si>
  <si>
    <t>Blockchain</t>
  </si>
  <si>
    <t>Decentralized AI — Blockchain in a Centralized AI World</t>
  </si>
  <si>
    <t>Harness blockchain, AI, and decentralization to reshape industries and the future</t>
  </si>
  <si>
    <t>George Levy</t>
  </si>
  <si>
    <t>Ansible</t>
  </si>
  <si>
    <t>Ansible Beyond the Basics in 3 Weeks</t>
  </si>
  <si>
    <t>Automating Cloud and Datacenter with Ansible Tower and Ansible Engine</t>
  </si>
  <si>
    <t>2023-10-10</t>
  </si>
  <si>
    <t>Natural Language Processing</t>
  </si>
  <si>
    <t>O’Reilly Book Club: Lewis Tunstall and Leandro von Werra on Natural Language Processing with Transformers</t>
  </si>
  <si>
    <t>The foundations of LLMs</t>
  </si>
  <si>
    <t>2023-10-24</t>
  </si>
  <si>
    <t>Lewis Tunstall Timo Möller Leandro von Werra</t>
  </si>
  <si>
    <t>Kubernetes and Cloud Native Associate (KCNA)</t>
  </si>
  <si>
    <t>Certified Kubernetes Security Specialist (CKS) Crash Course</t>
  </si>
  <si>
    <t>In-depth and hands-on practice for acing the exam</t>
  </si>
  <si>
    <t>2023-10-19</t>
  </si>
  <si>
    <t>Benjamin Muschko</t>
  </si>
  <si>
    <t>Terraform</t>
  </si>
  <si>
    <t>Terraform Bootcamp in 3 Weeks</t>
  </si>
  <si>
    <t>Robust infrastructure management</t>
  </si>
  <si>
    <t>Sean P. Kane</t>
  </si>
  <si>
    <t>Containers</t>
  </si>
  <si>
    <t>Containers A-Z</t>
  </si>
  <si>
    <t>An overview of containers, Docker, Kubernetes, Istio, Helm, Kubernetes Operators, and GitOps</t>
  </si>
  <si>
    <t>2023-10-18</t>
  </si>
  <si>
    <t>Brent Laster</t>
  </si>
  <si>
    <t>Data Mesh</t>
  </si>
  <si>
    <t>Data Product Development Bootcamp</t>
  </si>
  <si>
    <t>Setting the foundations for federated data ownership</t>
  </si>
  <si>
    <t>Max Schultze Arif Wider</t>
  </si>
  <si>
    <t>Data Visualization</t>
  </si>
  <si>
    <t>Visualization and presentation of data</t>
  </si>
  <si>
    <t>Using your data to make persuasive business cases</t>
  </si>
  <si>
    <t>2023-10-17</t>
  </si>
  <si>
    <t>Curtis Newbold</t>
  </si>
  <si>
    <t>Generative AI for Government</t>
  </si>
  <si>
    <t>Unleashing the Power of Intelligent Automation</t>
  </si>
  <si>
    <t>Stephen Ibaraki</t>
  </si>
  <si>
    <t>AI Governance in 3 Weeks</t>
  </si>
  <si>
    <t>Mitigating risk and building trustworthy AI systems</t>
  </si>
  <si>
    <t>2023-10-03</t>
  </si>
  <si>
    <t>Ana Chubinidze</t>
  </si>
  <si>
    <t>AZ-700: Designing and Implementing Microsoft Azure Networking Solutions</t>
  </si>
  <si>
    <t>Azure Network Engineer Associate (AZ-700) Bootcamp</t>
  </si>
  <si>
    <t>2023-10-16</t>
  </si>
  <si>
    <t>Reza Salehi</t>
  </si>
  <si>
    <t>Mastering systemd</t>
  </si>
  <si>
    <t>Reinforcement Learning</t>
  </si>
  <si>
    <t>Reinforcement Learning with Large Language Models</t>
  </si>
  <si>
    <t>Practical exploration of reinforcement learning by honing large language models for impactful solutions</t>
  </si>
  <si>
    <t>2023-10-13</t>
  </si>
  <si>
    <t>Sinan Ozdemir</t>
  </si>
  <si>
    <t>React</t>
  </si>
  <si>
    <t>Spot the Mistake in This React Dashboard</t>
  </si>
  <si>
    <t>This React dashboard is too buggy! Can you spot the mistake?</t>
  </si>
  <si>
    <t>2023-10-12</t>
  </si>
  <si>
    <t>Linux Certification Labs Workshop</t>
  </si>
  <si>
    <t>Explore real-world RHCSA, LFCS, and CompTIA Linux+ practice labs before you take the test</t>
  </si>
  <si>
    <t>2023-10-11</t>
  </si>
  <si>
    <t>C++</t>
  </si>
  <si>
    <t>C++20 Full Throttle with Paul Deitel</t>
  </si>
  <si>
    <t>A One-Day, Presentation-Only, Code-Intensive Intro to C++20 Core Language Fundamentals, Arrays, Strings, Vectors, Pointers, and Object-Oriented Programming</t>
  </si>
  <si>
    <t>Paul J. Deitel</t>
  </si>
  <si>
    <t>Basic Introduction to Quantum Computing</t>
  </si>
  <si>
    <t>Quantum computing for everyone.</t>
  </si>
  <si>
    <t>2023-10-09</t>
  </si>
  <si>
    <t>Shell Scripting</t>
  </si>
  <si>
    <t>Spot the Error in This Shell Script</t>
  </si>
  <si>
    <t>This Shell Script Might Force Remove My Home Directory! Can You Spot the Mistake?</t>
  </si>
  <si>
    <t>Professional Communication Data Science</t>
  </si>
  <si>
    <t>How to Talk about Data</t>
  </si>
  <si>
    <t>Practical techniques to build your data fluency</t>
  </si>
  <si>
    <t>Dr. Fabienne Bünzli Martin J. Eppler</t>
  </si>
  <si>
    <t>Large Language Models (LLMs)</t>
  </si>
  <si>
    <t>LLMs from Prototypes to Production</t>
  </si>
  <si>
    <t>Integrating LLMs into workflows, deployment options, and model evaluation</t>
  </si>
  <si>
    <t>2023-10-05</t>
  </si>
  <si>
    <t>Azure OpenAI AI-900: Microsoft Azure AI Fundamentals DevOps</t>
  </si>
  <si>
    <t>Microsoft Azure OpenAI for DevOps</t>
  </si>
  <si>
    <t>Harnessing the Powers of Generative AI for Solutions, Performance, and Scalability</t>
  </si>
  <si>
    <t>Tim Warner</t>
  </si>
  <si>
    <t>Monitoring</t>
  </si>
  <si>
    <t>Kubernetes Monitoring and Observability</t>
  </si>
  <si>
    <t>Using DataDog, Prometheus, New Relic, and more to become production ready</t>
  </si>
  <si>
    <t>Michael Levan</t>
  </si>
  <si>
    <t>Visual Design Thinking for Software Requirements</t>
  </si>
  <si>
    <t>A standard process and visual blueprint for the design of complex software systems</t>
  </si>
  <si>
    <t>2023-10-04</t>
  </si>
  <si>
    <t>Craig Errey</t>
  </si>
  <si>
    <t>Generative AI Artificial Intelligence (AI)</t>
  </si>
  <si>
    <t>Generative Artificial Intelligence with the OpenAI API for Developers</t>
  </si>
  <si>
    <t>Easily deploy ChatGPT, DALL-E, and CODEX in your own applications</t>
  </si>
  <si>
    <t>Bruno Gonçalves</t>
  </si>
  <si>
    <t>AWS Networking</t>
  </si>
  <si>
    <t>AWS Security Deep Dive: VPCs, Networking, and DDoS Mitigation</t>
  </si>
  <si>
    <t>Design secure architectures with VPNs, firewalls, route tables, and more</t>
  </si>
  <si>
    <t>2023-10-02</t>
  </si>
  <si>
    <t>Rick Crisci</t>
  </si>
  <si>
    <t>CCSP (Certified Cloud Security Professional)</t>
  </si>
  <si>
    <t>CCSP - Certified Cloud Security Professional Crash Course</t>
  </si>
  <si>
    <t>2023-09-28</t>
  </si>
  <si>
    <t>Michael J. Shannon</t>
  </si>
  <si>
    <t>Prescriptive Analytics</t>
  </si>
  <si>
    <t>Using Data for Evidence-Based Management and Optimal Decision Making</t>
  </si>
  <si>
    <t>Dursun Delen</t>
  </si>
  <si>
    <t>Power BI</t>
  </si>
  <si>
    <t>Power BI Bootcamp</t>
  </si>
  <si>
    <t>Drive a data culture and power a new class of data first dashboards with Power BI</t>
  </si>
  <si>
    <t>2023-09-07</t>
  </si>
  <si>
    <t>Florencia Hourcouripé Nicolás Lagreste Zucchini</t>
  </si>
  <si>
    <t>Cloud Security</t>
  </si>
  <si>
    <t>Kubernetes and Cloud Security Associate (KCSA) Crash Course</t>
  </si>
  <si>
    <t>Get Your KCSA Certification and Start Your k8s Security Journey</t>
  </si>
  <si>
    <t>2023-09-27</t>
  </si>
  <si>
    <t>ETL</t>
  </si>
  <si>
    <t>Databricks Data Engineer Associate Certification Prep in 2 Weeks</t>
  </si>
  <si>
    <t>2023-09-19</t>
  </si>
  <si>
    <t>Derar Alhussein</t>
  </si>
  <si>
    <t>Generative AI for Finance</t>
  </si>
  <si>
    <t>Empowering Financial Innovation</t>
  </si>
  <si>
    <t>William Hurley</t>
  </si>
  <si>
    <t>Azure OpenAI</t>
  </si>
  <si>
    <t>Developing Cloud Native Apps with Azure OpenAI Service</t>
  </si>
  <si>
    <t>Generative AI for cloud practitioners</t>
  </si>
  <si>
    <t>Microsoft Excel</t>
  </si>
  <si>
    <t>Mastering Power Query with Microsoft Excel</t>
  </si>
  <si>
    <t>Transform data, automate repetitive tasks, and open the door to Power BI</t>
  </si>
  <si>
    <t>Dawn Griffiths</t>
  </si>
  <si>
    <t>AZ-103: Microsoft Azure Administrator</t>
  </si>
  <si>
    <t>Exam AZ-104: Microsoft Azure Administrator Crash Course</t>
  </si>
  <si>
    <t>2023-09-26</t>
  </si>
  <si>
    <t>Java</t>
  </si>
  <si>
    <t>Java 9 to 21: How to Code Like a Pro</t>
  </si>
  <si>
    <t>All You Need to Know about Java’s New Features and Benefits</t>
  </si>
  <si>
    <t>Henri Tremblay</t>
  </si>
  <si>
    <t>What’s New in AI: AI Chips with Evan Sparks</t>
  </si>
  <si>
    <t>Hardware for efficient and effective AI systems</t>
  </si>
  <si>
    <t>George Anadiotis Evan Sparks</t>
  </si>
  <si>
    <t>Linux System Administration in 3 Weeks</t>
  </si>
  <si>
    <t>2023-09-11</t>
  </si>
  <si>
    <t>Kenneth Hess</t>
  </si>
  <si>
    <t>Snowflake</t>
  </si>
  <si>
    <t>Snowflake for Data Engineering in 3 Weeks</t>
  </si>
  <si>
    <t>Transforming data and building data pipelines</t>
  </si>
  <si>
    <t>Tomáš Sobotík</t>
  </si>
  <si>
    <t>bash</t>
  </si>
  <si>
    <t>Bash Scripting in 3 Weeks</t>
  </si>
  <si>
    <t>From beginner to professional, robust shell scripter</t>
  </si>
  <si>
    <t>2023-09-08</t>
  </si>
  <si>
    <t>Ian Miell</t>
  </si>
  <si>
    <t>Docker</t>
  </si>
  <si>
    <t>Docker Fundamentals in 4 Weeks—with Interactivity</t>
  </si>
  <si>
    <t>Core skills for Docker and Linux containers</t>
  </si>
  <si>
    <t>2023-09-01</t>
  </si>
  <si>
    <t>Technical Writing</t>
  </si>
  <si>
    <t>Technical Writing Essentials</t>
  </si>
  <si>
    <t>Take your writing skills to the next level</t>
  </si>
  <si>
    <t>2023-09-21</t>
  </si>
  <si>
    <t>Nicholas Russo</t>
  </si>
  <si>
    <t>Using Open- and Closed-Source LLMs in Real World Applications</t>
  </si>
  <si>
    <t>Effective best practices and industry case studies</t>
  </si>
  <si>
    <t>2023-09-20</t>
  </si>
  <si>
    <t>Coding Practices</t>
  </si>
  <si>
    <t>Software Development Superstream: Building Better Software</t>
  </si>
  <si>
    <t>Designing, Architecting, Writing, and Maintaining code</t>
  </si>
  <si>
    <t>PyTorch</t>
  </si>
  <si>
    <t>PyTorch 2.0</t>
  </si>
  <si>
    <t>An introduction to PyTorch 2.0 and using AI for PyTorch development</t>
  </si>
  <si>
    <t>Joe Papa</t>
  </si>
  <si>
    <t>Certified Kubernetes Application Developer (CKAD)</t>
  </si>
  <si>
    <t>Certified Kubernetes Application Developer (CKAD) Crash Course in 3 Days</t>
  </si>
  <si>
    <t>In-depth and Hands-on Practice for Acing the Exam</t>
  </si>
  <si>
    <t>2023-09-18</t>
  </si>
  <si>
    <t>Enterprise Architecture</t>
  </si>
  <si>
    <t>Enterprise Architecture Bootcamp</t>
  </si>
  <si>
    <t>Building a digital transformation technology road map</t>
  </si>
  <si>
    <t>Rohit Bhardwaj</t>
  </si>
  <si>
    <t>Java SE 17 Developer (1Z0-829) Crash Course</t>
  </si>
  <si>
    <t>A focused study path for exam success</t>
  </si>
  <si>
    <t>2023-09-13</t>
  </si>
  <si>
    <t>Simon Roberts</t>
  </si>
  <si>
    <t>Predictive Analytics</t>
  </si>
  <si>
    <t>Best Practices for Evidence-Based Decision Making</t>
  </si>
  <si>
    <t>2023-09-14</t>
  </si>
  <si>
    <t>AI Superstream: Data-Centric AI</t>
  </si>
  <si>
    <t>Leverage Data-Centric AI Principles to Enhance Your Machine Learning System</t>
  </si>
  <si>
    <t>Fabiana Clemente</t>
  </si>
  <si>
    <t>Memory Efficient Java</t>
  </si>
  <si>
    <t>Stop Wasting Memory</t>
  </si>
  <si>
    <t>Kirk Pepperdine</t>
  </si>
  <si>
    <t>GitHub GitHub Actions</t>
  </si>
  <si>
    <t>GitHub Actions in 3 Hours</t>
  </si>
  <si>
    <t>How to easily automate and integrate with GitHub</t>
  </si>
  <si>
    <t>2023-09-12</t>
  </si>
  <si>
    <t>Machine Learning</t>
  </si>
  <si>
    <t>Machine Learning with Python</t>
  </si>
  <si>
    <t>Create Production-Quality Machine Learning Pipelines with Feature Engineering</t>
  </si>
  <si>
    <t>Noureddin Sadawi</t>
  </si>
  <si>
    <t>LLMs, GPT, and Prompt Engineering for Developers</t>
  </si>
  <si>
    <t>Unleash the power of LLMs and GPT through training models and prompt engineering</t>
  </si>
  <si>
    <t>Level Up with GitHub Copilot</t>
  </si>
  <si>
    <t>How an AI pair programmer can increase your productivity</t>
  </si>
  <si>
    <t>Rizel Scarlett</t>
  </si>
  <si>
    <t>C++ Essentials: The Special Member Functions</t>
  </si>
  <si>
    <t>Understanding copy and move semantics</t>
  </si>
  <si>
    <t>Klaus Iglberger</t>
  </si>
  <si>
    <t>Real-World Python by Example</t>
  </si>
  <si>
    <t>A No-Nonsense, Example-Based Python Course</t>
  </si>
  <si>
    <t>Efficiently Testing ETL Pipelines</t>
  </si>
  <si>
    <t>Enhancing data quality with PySpark and Python</t>
  </si>
  <si>
    <t>Jacqueline Lee</t>
  </si>
  <si>
    <t>Amazon EC2 (Elastic Compute Cloud)</t>
  </si>
  <si>
    <t>Hands-on with AWS EC2 and EBS</t>
  </si>
  <si>
    <t>A Practical AWS Elastic Compute Cloud (EC2) and Elastic Block Store (EBS) Deep Dive</t>
  </si>
  <si>
    <t>Rust</t>
  </si>
  <si>
    <t>Rust for Pythonistas</t>
  </si>
  <si>
    <t>Unlocking the power of systems programming</t>
  </si>
  <si>
    <t>Noah Gift</t>
  </si>
  <si>
    <t>Modern Enterprise Architecture Practices</t>
  </si>
  <si>
    <t>Becoming effective as an enterprise architect</t>
  </si>
  <si>
    <t>Mark Richards</t>
  </si>
  <si>
    <t>Hands-On Deep Neural Networks with PyTorch</t>
  </si>
  <si>
    <t>Build your own neural nets and computer vision models</t>
  </si>
  <si>
    <t>2023-09-06</t>
  </si>
  <si>
    <t>Robert Alvarez</t>
  </si>
  <si>
    <t>Fundamentals of Technical Writing</t>
  </si>
  <si>
    <t>How to explain complex ideas simply</t>
  </si>
  <si>
    <t>David Griffiths</t>
  </si>
  <si>
    <t>AWS Certified Solutions Architect - Associate SAA-C03 Bootcamp</t>
  </si>
  <si>
    <t>Get ready for the exam with this deep dive into Amazon's cloud offerings</t>
  </si>
  <si>
    <t>2023-08-02</t>
  </si>
  <si>
    <t>Mark Wilkins</t>
  </si>
  <si>
    <t>Artificial intelligence: An overview of AI and machine learning</t>
  </si>
  <si>
    <t>An overview of AI and machine learning</t>
  </si>
  <si>
    <t>2023-09-05</t>
  </si>
  <si>
    <t>Alex Castrounis</t>
  </si>
  <si>
    <t>Shell Scripting Clinic</t>
  </si>
  <si>
    <t>Everything you wanted to know about the shell but were afraid to ask</t>
  </si>
  <si>
    <t>Amazon Web Services (AWS)</t>
  </si>
  <si>
    <t>AWS Architecture Automation and Infrastructure Deployment</t>
  </si>
  <si>
    <t>Master the Art of Architecture in AWS and Learn Key Concepts in the AWS Certified</t>
  </si>
  <si>
    <t>2023-08-30</t>
  </si>
  <si>
    <t>Testing Java Applications in 3 Weeks</t>
  </si>
  <si>
    <t>Best practices for testing your Java applications</t>
  </si>
  <si>
    <t>2023-08-16</t>
  </si>
  <si>
    <t>Marcin Grzejszczak</t>
  </si>
  <si>
    <t>Building AI Agents with LLMs</t>
  </si>
  <si>
    <t>Harnessing the power of generative AI with autonomous agents</t>
  </si>
  <si>
    <t>2023-08-29</t>
  </si>
  <si>
    <t>Nicole Butterfield Abi Aryan</t>
  </si>
  <si>
    <t>Algorithms</t>
  </si>
  <si>
    <t>Algorithms for the Coding Interview</t>
  </si>
  <si>
    <t>Hands-On Practice with Interactive Visualizations</t>
  </si>
  <si>
    <t>Cay Horstmann</t>
  </si>
  <si>
    <t>Introduction to Docker CI/CD</t>
  </si>
  <si>
    <t>How to automate your DevOps pipeline</t>
  </si>
  <si>
    <t>2023-08-25</t>
  </si>
  <si>
    <t>Domain-Driven Design</t>
  </si>
  <si>
    <t>Domain-Driven Design for Data Architectures</t>
  </si>
  <si>
    <t>Learn domain modelling from a data-centric perspective and evolve your target data architecture</t>
  </si>
  <si>
    <t>2023-08-24</t>
  </si>
  <si>
    <t>Vanessa Turney</t>
  </si>
  <si>
    <t>Regression Models with Python</t>
  </si>
  <si>
    <t>Build and Correctly Diagnose a Machine Learning Model</t>
  </si>
  <si>
    <t>Konrad Ilczuk</t>
  </si>
  <si>
    <t>PostgreSQL</t>
  </si>
  <si>
    <t>PostgreSQL Bootcamp</t>
  </si>
  <si>
    <t>Learning Postgres from the ground up</t>
  </si>
  <si>
    <t>2023-08-23</t>
  </si>
  <si>
    <t>Haki Benita</t>
  </si>
  <si>
    <t>Microsoft Azure</t>
  </si>
  <si>
    <t>Exam DP-203: Data Engineering on Microsoft Azure Crash Course</t>
  </si>
  <si>
    <t>Prepare for the DP-203 certification exam, and the Azure Data Engineer Associate badge</t>
  </si>
  <si>
    <t>2023-08-22</t>
  </si>
  <si>
    <t>Building Text-Based Applications with the ChatGPT API and LangChain</t>
  </si>
  <si>
    <t>How to build with large language models</t>
  </si>
  <si>
    <t>2023-08-21</t>
  </si>
  <si>
    <t>Lucas Soares</t>
  </si>
  <si>
    <t>Data Science Tools</t>
  </si>
  <si>
    <t>Apache Airflow Technical Essentials</t>
  </si>
  <si>
    <t>Automate and manage workflows using Python</t>
  </si>
  <si>
    <t>2024-05-24</t>
  </si>
  <si>
    <t>Lee Gaines</t>
  </si>
  <si>
    <t>Go</t>
  </si>
  <si>
    <t>Go the Right Way</t>
  </si>
  <si>
    <t>Learn Go Programming Language Skills with Real-World Live Demos and Code</t>
  </si>
  <si>
    <t>2024-05-23</t>
  </si>
  <si>
    <t>Team Management</t>
  </si>
  <si>
    <t>New Manager Bootcamp</t>
  </si>
  <si>
    <t>Essential skills for managing and leading people</t>
  </si>
  <si>
    <t>2024-05-22</t>
  </si>
  <si>
    <t>Jennifer Stine Julie Jungalwala</t>
  </si>
  <si>
    <t>Snowflake Fundamentals in 3 Weeks</t>
  </si>
  <si>
    <t>Processing and transforming data at scale</t>
  </si>
  <si>
    <t>2024-05-09</t>
  </si>
  <si>
    <t>Tools for Making Major Changes to Architecture</t>
  </si>
  <si>
    <t>Tools to make major changes to architectures</t>
  </si>
  <si>
    <t>Calculus</t>
  </si>
  <si>
    <t>Calculus for Machine Learning: Intro (ML Foundations Series)</t>
  </si>
  <si>
    <t>Learn Differential Calculus Hands-on with Python and Interactive Exercises</t>
  </si>
  <si>
    <t>Machine Learning Interviews</t>
  </si>
  <si>
    <t>From beginner to pro</t>
  </si>
  <si>
    <t>2024-05-20</t>
  </si>
  <si>
    <t>Susan Shu Chang</t>
  </si>
  <si>
    <t>2024-05-21</t>
  </si>
  <si>
    <t>Linux Networking &amp; Security Fundamentals</t>
  </si>
  <si>
    <t>Learn how to connect and harden Linux servers.</t>
  </si>
  <si>
    <t>David L. Prowse</t>
  </si>
  <si>
    <t>Microservices</t>
  </si>
  <si>
    <t>RESTFul Microservices APIs Bootcamp</t>
  </si>
  <si>
    <t>A 7-step methodology for designing resilient APIs</t>
  </si>
  <si>
    <t>LLMs on Microsoft Azure</t>
  </si>
  <si>
    <t>Working with foundation models in the cloud</t>
  </si>
  <si>
    <t>Madhusudhan Konda</t>
  </si>
  <si>
    <t>Object-Oriented Architecture</t>
  </si>
  <si>
    <t>SOLID Principles of Object-Oriented and Agile Design</t>
  </si>
  <si>
    <t>Robert C. Martin</t>
  </si>
  <si>
    <t>Expert Transport Layer Security (TLS)</t>
  </si>
  <si>
    <t>A guide through the ins and outs of the internet's most important protocol</t>
  </si>
  <si>
    <t>Michael Pound</t>
  </si>
  <si>
    <t>Data Engineering</t>
  </si>
  <si>
    <t>Data Engineering Fundamentals in 3 Weeks</t>
  </si>
  <si>
    <t>Managing the lifecycle of data projects</t>
  </si>
  <si>
    <t>2024-05-06</t>
  </si>
  <si>
    <t>CompTIA Security+</t>
  </si>
  <si>
    <t>CompTIA Security+ Certification (SY0-701) Bootcamp</t>
  </si>
  <si>
    <t>Best way to break into the cybersecurity field +AI</t>
  </si>
  <si>
    <t>2024-05-15</t>
  </si>
  <si>
    <t>Dean Bushmiller</t>
  </si>
  <si>
    <t>How to Choose the Right LLM for your Application</t>
  </si>
  <si>
    <t>From GPT 3.5 to LLaMA, Falcon, Claude, and others</t>
  </si>
  <si>
    <t>2024-05-16</t>
  </si>
  <si>
    <t>Python Cookbook: Recipes for AI and Machine Learning</t>
  </si>
  <si>
    <t>Master the art of data science in Python with a showcase of reusable projects</t>
  </si>
  <si>
    <t>Generative AI for Automating Data Pipelines and Analytic Queries</t>
  </si>
  <si>
    <t>A code generation framework for data engineering and analytics</t>
  </si>
  <si>
    <t>Ashish Mrig</t>
  </si>
  <si>
    <t>Natural Language Processing in 3 Weeks</t>
  </si>
  <si>
    <t>From basics to production</t>
  </si>
  <si>
    <t>2024-05-01</t>
  </si>
  <si>
    <t>Till Lohfink</t>
  </si>
  <si>
    <t>Linux Fundamentals Bootcamp</t>
  </si>
  <si>
    <t>The intensive hands-on training you need to quickly get up and running with Linux</t>
  </si>
  <si>
    <t>2024-05-14</t>
  </si>
  <si>
    <t>2024-04-10</t>
  </si>
  <si>
    <t>Databricks Machine Learning Associate Certification Prep</t>
  </si>
  <si>
    <t>Get ready to ace the Databricks Machine Learning Associate Certification exam!</t>
  </si>
  <si>
    <t>2024-05-07</t>
  </si>
  <si>
    <t>Yasir Khan</t>
  </si>
  <si>
    <t>Introduction to the Go Programming Language</t>
  </si>
  <si>
    <t>Why Go is Great and How to Use it</t>
  </si>
  <si>
    <t>Jay McGavren</t>
  </si>
  <si>
    <t>GraphQL</t>
  </si>
  <si>
    <t>GraphQL First Steps</t>
  </si>
  <si>
    <t>Designing Modern APIs with GraphQL and Apollo</t>
  </si>
  <si>
    <t>Eve Porcello</t>
  </si>
  <si>
    <t>Advanced Microsoft Power BI</t>
  </si>
  <si>
    <t>Create enterprise-level models by using advanced techniques and external tools</t>
  </si>
  <si>
    <t>Daniil Maslyuk</t>
  </si>
  <si>
    <t>2024-05-13</t>
  </si>
  <si>
    <t>Microservice Communication Styles and Patterns</t>
  </si>
  <si>
    <t>Selecting the best solution for your system</t>
  </si>
  <si>
    <t>2024-05-10</t>
  </si>
  <si>
    <t>Web Development</t>
  </si>
  <si>
    <t>Fullstack Web Development in 2 Weeks</t>
  </si>
  <si>
    <t>Learn the flow of web development from frontend to backend</t>
  </si>
  <si>
    <t>2024-05-03</t>
  </si>
  <si>
    <t>Tamas Piros</t>
  </si>
  <si>
    <t>Amazon Web Services (AWS) AWS Certified Security - Specialty</t>
  </si>
  <si>
    <t>AWS IAM, Accounts, and Organizations Deep Dive</t>
  </si>
  <si>
    <t>A Practical Approach to Managing AWS Security with Identity and Access Management</t>
  </si>
  <si>
    <t>Google Cloud Certified - Professional Machine Learning Engineer Google Cloud Certified - Associate Cloud Engineer</t>
  </si>
  <si>
    <t>Google Cloud Professional Machine Learning Engineer Crash Course</t>
  </si>
  <si>
    <t>Master AutoML, BigQuery, ML pipelines, and more</t>
  </si>
  <si>
    <t>Richard Bryant</t>
  </si>
  <si>
    <t>Linear Algebra Machine Learning</t>
  </si>
  <si>
    <t>Linear Algebra for Machine Learning, Level III: Eigenvectors (ML Foundations Series)</t>
  </si>
  <si>
    <t>Decompose Matrices to Reduce Data Dimensionality &amp; Identify Meaningful Patterns</t>
  </si>
  <si>
    <t>2024-05-08</t>
  </si>
  <si>
    <t>Cloud Superstream: Navigating FinOps</t>
  </si>
  <si>
    <t>Building more cost-conscious systems for long-term efficiency and success</t>
  </si>
  <si>
    <t>Katie Gamanji Dieter Matzion Sebastian Kister Amy Ashby Deana Solis</t>
  </si>
  <si>
    <t>Internet Protocols</t>
  </si>
  <si>
    <t>TLS Handshake Deep Dive – TLS v1.3</t>
  </si>
  <si>
    <t>Understand the important changes, what didn't change, why, and take a deep dive into the TLS 1.3 handshake</t>
  </si>
  <si>
    <t>Ed Harmoush</t>
  </si>
  <si>
    <t>FastAPI</t>
  </si>
  <si>
    <t>Getting Started with FastAPI</t>
  </si>
  <si>
    <t>Build and deploy robust Python web apps</t>
  </si>
  <si>
    <t>Marcelo Trylesinski</t>
  </si>
  <si>
    <t>Accessibility</t>
  </si>
  <si>
    <t>Web Accessibility Workshop</t>
  </si>
  <si>
    <t>Auditing websites for accessible design, code, and content to empower all users</t>
  </si>
  <si>
    <t>Kathryn Grayson Nanz</t>
  </si>
  <si>
    <t>Professional Communication</t>
  </si>
  <si>
    <t>6 Rules for Communicating with Management</t>
  </si>
  <si>
    <t>Strategies for getting heard and advancing your career</t>
  </si>
  <si>
    <t>Roy Weissman</t>
  </si>
  <si>
    <t>AWS Event-Driven Automation and Operations</t>
  </si>
  <si>
    <t>Real-World Automation Skills using AWS CloudWatch, Config, EventBridge, GuardDuty, and Firewall Manager</t>
  </si>
  <si>
    <t>AZ-204: Developing Solutions for Microsoft Azure</t>
  </si>
  <si>
    <t>Exam AZ-204: Microsoft Azure Developer Crash Course</t>
  </si>
  <si>
    <t>Fast-track your success on the AZ-204 exam and build skills as an Azure developer</t>
  </si>
  <si>
    <t>Tiago Costa</t>
  </si>
  <si>
    <t>GitHub</t>
  </si>
  <si>
    <t>GitHub Actions Certification Crash Course</t>
  </si>
  <si>
    <t>Prepare for the exam to streamline workflows, automate tasks, &amp; optimize pipelines with ease</t>
  </si>
  <si>
    <t>Top 5 AWS Architecture and Infrastructure Strategies</t>
  </si>
  <si>
    <t>Discover how to effectively use and manage your AWS resources</t>
  </si>
  <si>
    <t>Encryption / Cryptography</t>
  </si>
  <si>
    <t>Quantum Cryptography</t>
  </si>
  <si>
    <t>Quantum Attacks on Cryptography and Quantum Responses</t>
  </si>
  <si>
    <t>Large Language Models in Production</t>
  </si>
  <si>
    <t>How to navigate the complexities of deploying and optimizing LLMs in production</t>
  </si>
  <si>
    <t>Skanda Vivek</t>
  </si>
  <si>
    <t>System Design Interview Boot Camp</t>
  </si>
  <si>
    <t>Solve complex problems using a proven framework</t>
  </si>
  <si>
    <t>2024-05-02</t>
  </si>
  <si>
    <t>Deep Learning</t>
  </si>
  <si>
    <t>AI &amp; ML Tools for Deep Learning, LLMs, and More</t>
  </si>
  <si>
    <t>Learn real-world AI using ChatGPT, Jupyter, PyTorch, SageMaker, and more</t>
  </si>
  <si>
    <t>Rob Barton Jerome Henry</t>
  </si>
  <si>
    <t>HashiCorp Terraform Associate</t>
  </si>
  <si>
    <t>Hashicorp Certified: Terraform Associate Certification Crash Course</t>
  </si>
  <si>
    <t>Using Power Query in Microsoft Power BI, Excel, and Fabric</t>
  </si>
  <si>
    <t>Learn How to Get, Transform, and Combine Data by Using Power Query</t>
  </si>
  <si>
    <t>LangChain</t>
  </si>
  <si>
    <t>Getting Started with LLM Agents using LangChain</t>
  </si>
  <si>
    <t>How to build AI agents using LangChain</t>
  </si>
  <si>
    <t>TypeScript Fundamentals</t>
  </si>
  <si>
    <t>Enhance Code Quality, Productivity, and Maintainability</t>
  </si>
  <si>
    <t>Introduction to encryption</t>
  </si>
  <si>
    <t>A hands-on course on applying symmetric and asymmetric encryption</t>
  </si>
  <si>
    <t>Full Stack Web Development with AI</t>
  </si>
  <si>
    <t>Learn AI while building a full stack application</t>
  </si>
  <si>
    <t>Optimizing Snowflake</t>
  </si>
  <si>
    <t>Fixing performance bottlenecks and reducing costs</t>
  </si>
  <si>
    <t>2024-04-30</t>
  </si>
  <si>
    <t>Certification Exam Cram: CompTIA Security+ SY0-701</t>
  </si>
  <si>
    <t>Build confidence and increase your chances of passing</t>
  </si>
  <si>
    <t>Google Cloud Certified - Professional Cloud Architect</t>
  </si>
  <si>
    <t>GCP Professional Cloud Architect Crash Course</t>
  </si>
  <si>
    <t>Get fully prepared to crush the Google Cloud Platform Professional Cloud Architect Exam!</t>
  </si>
  <si>
    <t>2024-04-29</t>
  </si>
  <si>
    <t>Victor Dantas</t>
  </si>
  <si>
    <t>Reactive Spring</t>
  </si>
  <si>
    <t>Reactive Spring and Spring Boot</t>
  </si>
  <si>
    <t>Using the Spring WebFlux module to build high-performance reactive systems</t>
  </si>
  <si>
    <t>Ken Kousen</t>
  </si>
  <si>
    <t>Open Source Large Language Models in 3 Weeks</t>
  </si>
  <si>
    <t>Learn how to answer questions, use SBERT, Llama 2 &amp; Co and tailor them to your needs</t>
  </si>
  <si>
    <t>2024-04-15</t>
  </si>
  <si>
    <t>Christian Winkler</t>
  </si>
  <si>
    <t>Kubernetes</t>
  </si>
  <si>
    <t>Kubernetes Tooling for Platform Engineering</t>
  </si>
  <si>
    <t>Learn to Make the Best Production-Grade Environments</t>
  </si>
  <si>
    <t>2024-04-26</t>
  </si>
  <si>
    <t>Spring Boot</t>
  </si>
  <si>
    <t>Hands-On Spring Boot in 3 Weeks</t>
  </si>
  <si>
    <t>Hands-on training for creating industrial-strength Spring Boot Applications</t>
  </si>
  <si>
    <t>2024-04-11</t>
  </si>
  <si>
    <t>Andy Olsen</t>
  </si>
  <si>
    <t>Hands-on GPT-4-Turbo</t>
  </si>
  <si>
    <t>OpenAI's New GPT-4 Models and What You Need to Know</t>
  </si>
  <si>
    <t>2024-04-25</t>
  </si>
  <si>
    <t>Mastering Platform Threads in Java</t>
  </si>
  <si>
    <t>Explore Java 21 updates to platform threads, including builders and enhanced executors</t>
  </si>
  <si>
    <t>2024-04-24</t>
  </si>
  <si>
    <t>Heinz Kabutz</t>
  </si>
  <si>
    <t>Exam AZ-305: Designing Microsoft Azure Infrastructure Solutions Crash Course</t>
  </si>
  <si>
    <t>Prepare for Exam AZ-305 to earn your Microsoft Azure Solutions Architect Expert badge</t>
  </si>
  <si>
    <t>Fundamentals of Large Language Models: A hands-on approach in 2 Weeks</t>
  </si>
  <si>
    <t>2024-04-17</t>
  </si>
  <si>
    <t>AI Superstream: Deploying and Managing LLMs in Production</t>
  </si>
  <si>
    <t>Best practices and practical tips for real-world applications</t>
  </si>
  <si>
    <t>Spring Microservices</t>
  </si>
  <si>
    <t>Java Microservices with Spring in 3 Weeks</t>
  </si>
  <si>
    <t>Spring Boot and Spring Cloud best practices for creating effective and resilient microservices</t>
  </si>
  <si>
    <t>Google Cloud Certified - Associate Cloud Engineer</t>
  </si>
  <si>
    <t>GCP Associate Cloud Engineer Crash Course</t>
  </si>
  <si>
    <t>Be Fully Prepared to Become a Certified Google Associate Cloud Engineer!</t>
  </si>
  <si>
    <t>2024-04-23</t>
  </si>
  <si>
    <t>Modern C++ Full Throttle with Paul Deitel: Intro to C++20 &amp; the Standard Library</t>
  </si>
  <si>
    <t>Presentation-Only Intro to Fundamentals, Arrays, Vectors, Pointers, OOP, Ranges, Views, Functional Programming; Brief Intro to Concepts, Modules &amp; Coroutines</t>
  </si>
  <si>
    <t>Analyze and Process Data with Snowflake</t>
  </si>
  <si>
    <t>Use simple SQL queries to analyze massive datasets on a modern SaaS data platform</t>
  </si>
  <si>
    <t xml:space="preserve">Janani Ravi </t>
  </si>
  <si>
    <t>Getting Started with LangChain</t>
  </si>
  <si>
    <t>Build your own LLM agents</t>
  </si>
  <si>
    <t>2024-04-22</t>
  </si>
  <si>
    <t>Adding AI to Your Applications</t>
  </si>
  <si>
    <t>Design, develop, and productionize AI-powered apps</t>
  </si>
  <si>
    <t>A Hands-On Workshop on Data Visualization Fundamentals</t>
  </si>
  <si>
    <t>How to select the right graph type</t>
  </si>
  <si>
    <t>Rebeca Pop</t>
  </si>
  <si>
    <t>React in 3 weeks</t>
  </si>
  <si>
    <t>A Hands-On and Fun Way to Grasp its Core Essentials</t>
  </si>
  <si>
    <t>2024-04-08</t>
  </si>
  <si>
    <t>Rap Payne</t>
  </si>
  <si>
    <t>Git</t>
  </si>
  <si>
    <t>Use Git Like A Pro</t>
  </si>
  <si>
    <t>Level up your software development workflow with Git and GitHub</t>
  </si>
  <si>
    <t>2024-04-19</t>
  </si>
  <si>
    <t>Aashima Ahuja</t>
  </si>
  <si>
    <t>Midjourney Stable Diffusion</t>
  </si>
  <si>
    <t>AI Text-to-Image Modeling with Stable Diffusion and Midjourney</t>
  </si>
  <si>
    <t>Imagine, visualize, and create with Stable Diffusion and Midjourney</t>
  </si>
  <si>
    <t>Aamir Lakhani</t>
  </si>
  <si>
    <t>DevOps</t>
  </si>
  <si>
    <t>Build a CI/CD Pipeline</t>
  </si>
  <si>
    <t>Getting Started with DevOps</t>
  </si>
  <si>
    <t>2024-04-18</t>
  </si>
  <si>
    <t>Byron Sommardahl</t>
  </si>
  <si>
    <t>Business Strategy</t>
  </si>
  <si>
    <t>Understanding business strategy</t>
  </si>
  <si>
    <t>Drive competitive advantage with a clear strategy</t>
  </si>
  <si>
    <t>Dr. Sharon Mertz</t>
  </si>
  <si>
    <t>AI and ML Algorithms for Non-mathematicians and Data Science Beginners</t>
  </si>
  <si>
    <t>Demystify AI and LLMs like ChatGPT</t>
  </si>
  <si>
    <t>Microsoft Excel PowerPivot</t>
  </si>
  <si>
    <t>Mastering Microsoft Excel pivot tables</t>
  </si>
  <si>
    <t>Go beyond the basics to gain proficiency of this important skill</t>
  </si>
  <si>
    <t>AI-900: Microsoft Azure AI Fundamentals</t>
  </si>
  <si>
    <t>Microsoft Azure AI Fundamentals (AI-900) Crash Course</t>
  </si>
  <si>
    <t>Prepare for and pass the AI-900: Microsoft Azure AI Fundamentals exam</t>
  </si>
  <si>
    <t>Event-Driven Architecture and Data</t>
  </si>
  <si>
    <t>A hands-on course for extracting and using events from existing data stores</t>
  </si>
  <si>
    <t>Adam Bellemare</t>
  </si>
  <si>
    <t>Linear Algebra for Machine Learning, Level II: Matrix Tensors (ML Foundations Series)</t>
  </si>
  <si>
    <t>Use Tensors in Python to Solve Systems of Equations</t>
  </si>
  <si>
    <t>OpenShift</t>
  </si>
  <si>
    <t>Getting Started with OpenShift</t>
  </si>
  <si>
    <t>Learn all about the foundations of the Red Hat Kubernetes distribution</t>
  </si>
  <si>
    <t>Career Development</t>
  </si>
  <si>
    <t>Building your personal brand</t>
  </si>
  <si>
    <t>Raise your profile and be viewed as an authority and leader in your industry</t>
  </si>
  <si>
    <t>Python Environments and Best Practices</t>
  </si>
  <si>
    <t>Go from Coder to Developer with these Python Best Practices</t>
  </si>
  <si>
    <t>2024-04-16</t>
  </si>
  <si>
    <t>Arianne Dee</t>
  </si>
  <si>
    <t>Large Language Models and ChatGPT in 3 Weeks</t>
  </si>
  <si>
    <t>Leverage NLP, GPT-4, ChatGPT, and LLMs to Unlock Business Value and Create Viable Prototypes</t>
  </si>
  <si>
    <t>2024-04-02</t>
  </si>
  <si>
    <t>CKA in 6 Hours: Certified Kubernetes Administrator Crash Course</t>
  </si>
  <si>
    <t>Prepare for the CKA exam with expert-led instruction and specialized sample assignments with real-time feedback</t>
  </si>
  <si>
    <t>AWS Certified Solutions Architect - Professional</t>
  </si>
  <si>
    <t>AWS Certified Solutions Architect - Professional (SAP-C02) Crash Course</t>
  </si>
  <si>
    <t>Get ready to crush the AWS Solutions Architect Professional exam!</t>
  </si>
  <si>
    <t>Go in 3 Weeks—with Interactivity</t>
  </si>
  <si>
    <t>Writing idiomatic and production-grade Go</t>
  </si>
  <si>
    <t>2024-04-01</t>
  </si>
  <si>
    <t>Johnny Boursiquot</t>
  </si>
  <si>
    <t>Critical Thinking</t>
  </si>
  <si>
    <t>Mental Models Fundamentals</t>
  </si>
  <si>
    <t>Learn better and faster using mental models</t>
  </si>
  <si>
    <t>Connie Missimer</t>
  </si>
  <si>
    <t>Kubernetes Intermediate in 3 Weeks—with Interactivity</t>
  </si>
  <si>
    <t>Designing with Operators, networking, meshes, security, observability, and CI/CD GitOps pipelines</t>
  </si>
  <si>
    <t xml:space="preserve">Jonathan Johnson </t>
  </si>
  <si>
    <t>Hands-on with Serverless Using AWS Lambda</t>
  </si>
  <si>
    <t>A Practical AWS Serverless Deep Dive Using Lambda, CloudWatch, IAM, and More</t>
  </si>
  <si>
    <t>2024-04-12</t>
  </si>
  <si>
    <t>Rust in 4 Hours</t>
  </si>
  <si>
    <t>Learn to create, build and run Rust applications</t>
  </si>
  <si>
    <t>Problem Solving</t>
  </si>
  <si>
    <t>Mastering Creative and Collaborative Problem Solving</t>
  </si>
  <si>
    <t>Use Time-Tested Tools and Techniques to Become a Successful Problem Solver</t>
  </si>
  <si>
    <t>Emma Sue Prince</t>
  </si>
  <si>
    <t>AI-Powered Diagnostic Analytics in Power BI</t>
  </si>
  <si>
    <t>Reduce the time to insights with automated data analysis and machine learning</t>
  </si>
  <si>
    <t>Python-Powered Excel</t>
  </si>
  <si>
    <t>Take Control of Your Data by Automating Excel Spreadsheets</t>
  </si>
  <si>
    <t>George Mount</t>
  </si>
  <si>
    <t>New Engineering Manager Bootcamp</t>
  </si>
  <si>
    <t>Managing people, processes, projects, and prioritization</t>
  </si>
  <si>
    <t>Ananth Ramachandran</t>
  </si>
  <si>
    <t>Presentation Skills</t>
  </si>
  <si>
    <t>Mastering Technical Presentations by Example</t>
  </si>
  <si>
    <t>Concrete patterns and anti-patterns for successful communication</t>
  </si>
  <si>
    <t>Using DAX in Microsoft Power BI</t>
  </si>
  <si>
    <t>Learn how to enrich your Power BI reports by using DAX calculations</t>
  </si>
  <si>
    <t>2025-01-27</t>
  </si>
  <si>
    <t>Machine Learning Engineer Associate (MLA-C01) Bootcamp</t>
  </si>
  <si>
    <t>Get ready for the exam</t>
  </si>
  <si>
    <t>2025-01-15</t>
  </si>
  <si>
    <t>Building Agents with OpenAI’s GPT Assistants API</t>
  </si>
  <si>
    <t>Develop custom AI assistants using GPT technology for real-world applications</t>
  </si>
  <si>
    <t>2025-01-13</t>
  </si>
  <si>
    <t>Developing Incremental Architecture</t>
  </si>
  <si>
    <t>Create and optimize an architecture as requirements evolve</t>
  </si>
  <si>
    <t>2024-12-18</t>
  </si>
  <si>
    <t>Allen Holub</t>
  </si>
  <si>
    <t>Professional Development</t>
  </si>
  <si>
    <t>Developing a Growth Mindset</t>
  </si>
  <si>
    <t>Five key strategies to cultivate resilience, adaptability, and continuous improvement</t>
  </si>
  <si>
    <t>Debra Stevens</t>
  </si>
  <si>
    <t>Transformers</t>
  </si>
  <si>
    <t>Transformer Architectures for Generative AI</t>
  </si>
  <si>
    <t>Learn how to use transformers for complex NLP, vision, and multimodal AI models</t>
  </si>
  <si>
    <t>2024-12-17</t>
  </si>
  <si>
    <t>LLMs for Data Science</t>
  </si>
  <si>
    <t>Automate your work by leveraging OpenAI, Hugging Face, PandasAI, &amp; LangChain</t>
  </si>
  <si>
    <t>2024-12-13</t>
  </si>
  <si>
    <t>Hugging Face Fundamentals for Machine Learning</t>
  </si>
  <si>
    <t>Explore the extensive suite of tools for multimodal AI development</t>
  </si>
  <si>
    <t>2024-12-09</t>
  </si>
  <si>
    <t>Large Language Models (LLMs) MLOps</t>
  </si>
  <si>
    <t>Choosing the Right LLM</t>
  </si>
  <si>
    <t>How to select, train, and apply state-of-the-art LLMs to real-world business use cases</t>
  </si>
  <si>
    <t>2024-12-06</t>
  </si>
  <si>
    <t>Ed Donner</t>
  </si>
  <si>
    <t>Generative AI</t>
  </si>
  <si>
    <t>CTO Hour with Peter Bell: RAG, Agents, and Beyond: Building Production LLM Systems That Deliver Business Value</t>
  </si>
  <si>
    <t>Ask Peter Bell and panelists your questions around LLMs and senior engineering leadership</t>
  </si>
  <si>
    <t>2024-12-04</t>
  </si>
  <si>
    <t>Peter Bell Eoin Woods Christine Spang Andreas Wilkens</t>
  </si>
  <si>
    <t>Retrieval-Augmented Generation (RAG) and LLMs</t>
  </si>
  <si>
    <t>Retrieval-Augmented Generation (RAG) and Agents Using LLMs</t>
  </si>
  <si>
    <t>2024-11-14</t>
  </si>
  <si>
    <t>Platform Engineering</t>
  </si>
  <si>
    <t>Infrastructure &amp; Ops Superstream: Platform Engineering Best Practices</t>
  </si>
  <si>
    <t>Learn from the experience of practitioners what the journey to platform engineering looks like–challenges, opportunities, and perils</t>
  </si>
  <si>
    <t>2024-11-13</t>
  </si>
  <si>
    <t>Sam Newman Adora Nwodo Juliano Martins Marcelo Quadros Ama Asare David Grizzanti Ahmed Bebars Chiradeep Vittal Moo Olaniyan</t>
  </si>
  <si>
    <t>Large Language Models (LLMs) Graph Analytics</t>
  </si>
  <si>
    <t>Getting Started with LangGraph</t>
  </si>
  <si>
    <t>Hands-on introduction to LangGraph for building multi-agent workflows</t>
  </si>
  <si>
    <t>2024-11-07</t>
  </si>
  <si>
    <t>2024-11-05</t>
  </si>
  <si>
    <t>Fundamentals of DevOps</t>
  </si>
  <si>
    <t>Learn the tools, processes, and culture of successful DevOps</t>
  </si>
  <si>
    <t>Chris Knotts</t>
  </si>
  <si>
    <t>ChatGPT for Software Architects</t>
  </si>
  <si>
    <t>Understand how to use generative AI to enhance your architectural processes</t>
  </si>
  <si>
    <t>2024-11-04</t>
  </si>
  <si>
    <t>Concurrency</t>
  </si>
  <si>
    <t>Concurrent Programming Core Concepts</t>
  </si>
  <si>
    <t>Understand concurrency concepts using Java, Go, and JavaScript to improve system performance</t>
  </si>
  <si>
    <t>2024-10-29</t>
  </si>
  <si>
    <t>AI Agents A-Z</t>
  </si>
  <si>
    <t>Master AI agents: frameworks, deployment, evaluation, best practices, and more</t>
  </si>
  <si>
    <t>2024-10-28</t>
  </si>
  <si>
    <t>Kubernetes AI and Machine Learning in Production</t>
  </si>
  <si>
    <t>Build workflows to deploy AI and ML in any Kubernetes environment</t>
  </si>
  <si>
    <t>2024-10-24</t>
  </si>
  <si>
    <t>Data Structures and Algorithms, Level II: Hashing, Trees, Graphs (ML Foundations Series)</t>
  </si>
  <si>
    <t>Extremely Efficient Data Retrieval and the Most Powerful ML Approaches</t>
  </si>
  <si>
    <t>2024-10-23</t>
  </si>
  <si>
    <t>Product Design</t>
  </si>
  <si>
    <t>Product Design with GenAI</t>
  </si>
  <si>
    <t>Leverage GenAI at every stage of your product design workflow</t>
  </si>
  <si>
    <t>2024-10-22</t>
  </si>
  <si>
    <t>Benjamin Dehant</t>
  </si>
  <si>
    <t>Artificial intelligence</t>
  </si>
  <si>
    <t>2024-10-21</t>
  </si>
  <si>
    <t>From Software Engineer to AI Data Scientist</t>
  </si>
  <si>
    <t>For software engineers exploring a career move into Data Science, GenAI, LLMs</t>
  </si>
  <si>
    <t>2024-10-18</t>
  </si>
  <si>
    <t>Data Superstream: Becoming a Data Engineer</t>
  </si>
  <si>
    <t>Building a career in a rapidly evolving discipline</t>
  </si>
  <si>
    <t>2024-10-16</t>
  </si>
  <si>
    <t>Andy Petrella Colleen Tartow Matt Housley Eevamaija Virtanen Adi Polak Dunith Danushka Xinran Waibel Holden Karau Jowanza Joseph</t>
  </si>
  <si>
    <t>Build Your Own AI Lab</t>
  </si>
  <si>
    <t>A hands-on guide to home and cloud-based AI labs and infrastructure</t>
  </si>
  <si>
    <t>2024-10-10</t>
  </si>
  <si>
    <t>Omar Santos</t>
  </si>
  <si>
    <t>MLOps</t>
  </si>
  <si>
    <t>Open Source MLOps in 4 Weeks</t>
  </si>
  <si>
    <t>Building end-to-end ML applications</t>
  </si>
  <si>
    <t>2024-09-03</t>
  </si>
  <si>
    <t>Alex Kim</t>
  </si>
  <si>
    <t>Kubernetes Fundamentals in 2 Weeks—with Interactivity</t>
  </si>
  <si>
    <t>Get started with terms, architecture, containers, microservices, pods, and common resources</t>
  </si>
  <si>
    <t>2024-09-11</t>
  </si>
  <si>
    <t>Organizational Leadership</t>
  </si>
  <si>
    <t>Leading with Impact</t>
  </si>
  <si>
    <t>Strategies for Leveraging Your Impact to Be a Positive, Powerful, and Authentic Leader</t>
  </si>
  <si>
    <t>2024-09-18</t>
  </si>
  <si>
    <t>Elisabet Vinberg Hearn Mandy Flint</t>
  </si>
  <si>
    <t>Engineering Leadership</t>
  </si>
  <si>
    <t>Tech Leadership Tuesday with Lena Reinhard: Leading High Performing Teams with Kate Wardin</t>
  </si>
  <si>
    <t>Ask Kate Wardin and Lena Reinhard your questions on tech leadership</t>
  </si>
  <si>
    <t>2024-09-17</t>
  </si>
  <si>
    <t>Lena Reinhard Kate Wardin</t>
  </si>
  <si>
    <t>Python Code Cleanup</t>
  </si>
  <si>
    <t>How to write highly readable Python code</t>
  </si>
  <si>
    <t>2024-09-16</t>
  </si>
  <si>
    <t>Distributed Systems</t>
  </si>
  <si>
    <t>Building Reliable Distributed Systems</t>
  </si>
  <si>
    <t>How to Design and Implement Cloud-based Production Services</t>
  </si>
  <si>
    <t>2024-09-13</t>
  </si>
  <si>
    <t>Salim Virji</t>
  </si>
  <si>
    <t>What’s New in AI: AI Search with Paco Nathan</t>
  </si>
  <si>
    <t>The changing landscape of information retrieval and search</t>
  </si>
  <si>
    <t>2024-09-12</t>
  </si>
  <si>
    <t>Hugo Bowne-Anderson Paco Nathan</t>
  </si>
  <si>
    <t>Statistics Machine Learning</t>
  </si>
  <si>
    <t>Statistics Level II: Regression and Bayesian (ML Foundations Series)</t>
  </si>
  <si>
    <t>Quantifying Our Confidence about Results and Making Predictions of the Future</t>
  </si>
  <si>
    <t>Pandas</t>
  </si>
  <si>
    <t>From Pandas to Polars</t>
  </si>
  <si>
    <t>Working with Polars in Python</t>
  </si>
  <si>
    <t>Liam Brannigan</t>
  </si>
  <si>
    <t>Data Engineering Fundamentals in 2 Weeks</t>
  </si>
  <si>
    <t>Managing the Lifecycle of Data Projects</t>
  </si>
  <si>
    <t>AI Model Security for Fine-Tuning and Training</t>
  </si>
  <si>
    <t>A practical approach to LLM fine-tuning and training environment security</t>
  </si>
  <si>
    <t>2024-09-05</t>
  </si>
  <si>
    <t>Omar Santos Akram Sheriff</t>
  </si>
  <si>
    <t>Hands-on Hugging Face for Natural Language Processing</t>
  </si>
  <si>
    <t>Leverage pretrained transformer models, data, and more from the Hugging Face platform</t>
  </si>
  <si>
    <t>Statistics</t>
  </si>
  <si>
    <t>Intro to Statistics (ML Foundations Series)</t>
  </si>
  <si>
    <t>The Essential Approaches of Statistics, Applied to Machine Learning</t>
  </si>
  <si>
    <t>2024-08-21</t>
  </si>
  <si>
    <t>Advanced Strategies for Securing AI and Machine Learning</t>
  </si>
  <si>
    <t>Strategies to safeguard your AI systems and data</t>
  </si>
  <si>
    <t>2024-08-19</t>
  </si>
  <si>
    <t>Google Cloud Platform: Professional Cloud Architect certification prep</t>
  </si>
  <si>
    <t>Preparing for the GCP Professional Cloud Architect certification</t>
  </si>
  <si>
    <t>2024-08-15</t>
  </si>
  <si>
    <t>Deep Learning for Modern AI</t>
  </si>
  <si>
    <t>Start building and training generative AI and multimodal models for modern tasks</t>
  </si>
  <si>
    <t>2024-08-14</t>
  </si>
  <si>
    <t>Software Architecture Superstream: Streaming and Event-Driven Architecture for Data-Driven Systems</t>
  </si>
  <si>
    <t>Building flexible and scalable systems</t>
  </si>
  <si>
    <t>Adam Bellemare James Urquhart Neal Ford Mary Grygleski Jonas Bonér Karina Mora</t>
  </si>
  <si>
    <t>Go in 4 Hours</t>
  </si>
  <si>
    <t>From Zero to Hero with Go Programming</t>
  </si>
  <si>
    <t>2024-08-13</t>
  </si>
  <si>
    <t>Statistical Modeling and Inference with Python Bootcamp</t>
  </si>
  <si>
    <t>Grasp the essentials of building models and performing inference in Python in 3 weeks</t>
  </si>
  <si>
    <t>2024-08-05</t>
  </si>
  <si>
    <t>Chester Ismay</t>
  </si>
  <si>
    <t>Kubernetes Networking</t>
  </si>
  <si>
    <t>Learn the ins and outs of networking on Kubernetes for any environment</t>
  </si>
  <si>
    <t>2024-08-09</t>
  </si>
  <si>
    <t>Kubernetes Intermediate—with Interactivity</t>
  </si>
  <si>
    <t>2024-08-01</t>
  </si>
  <si>
    <t>Probability Level II: Distributions and Information Theory (ML Foundations Series)</t>
  </si>
  <si>
    <t>Build AI Systems that Reason Well Despite Uncertainty</t>
  </si>
  <si>
    <t>2024-08-07</t>
  </si>
  <si>
    <t>Hands on NLP with Transformers</t>
  </si>
  <si>
    <t>Using Transformer-derived architectures to solve modern NLP problems</t>
  </si>
  <si>
    <t>2024-08-06</t>
  </si>
  <si>
    <t>Amazon Web Services (AWS) Amazon ElastiCache</t>
  </si>
  <si>
    <t>Hands-on AWS Containers with ECS and Fargate</t>
  </si>
  <si>
    <t>A practical deep dive into setting up and managing containers in the cloud</t>
  </si>
  <si>
    <t>What’s New in Software Architecture: How Generative AI Will Transform Software Delivery with Birgitta Böckeler</t>
  </si>
  <si>
    <t>Ask Neal Ford and Birgitta Böckeler your questions around software architecture and generative AI</t>
  </si>
  <si>
    <t>Neal Ford Birgitta Boeckeler</t>
  </si>
  <si>
    <t>C++ Software Design</t>
  </si>
  <si>
    <t>Design principles and patterns in modern C++</t>
  </si>
  <si>
    <t>2024-07-29</t>
  </si>
  <si>
    <t>Fundamentals of Statistics with Python Bootcamp</t>
  </si>
  <si>
    <t>Unlock the essentials of statistical analysis in Python in 3 weeks</t>
  </si>
  <si>
    <t>2024-07-10</t>
  </si>
  <si>
    <t>GenAI Superstream: Developing Innovative Apps with Generative AI</t>
  </si>
  <si>
    <t>Leveraging LLMs and Multimodal AI Models</t>
  </si>
  <si>
    <t>2024-07-24</t>
  </si>
  <si>
    <t>Chloé Messdaghi Rebecca Gorman Michael Running Wolf Jay Alammar Pamela Isom Suhas Pai Michelle Wallig Sai Kumar Arava</t>
  </si>
  <si>
    <t>Kubernetes in 4 Hours</t>
  </si>
  <si>
    <t>Get started with Kubernetes in 4 hours</t>
  </si>
  <si>
    <t>2024-07-23</t>
  </si>
  <si>
    <t>Certified Kubernetes Administrator (CKA) Exam Prep</t>
  </si>
  <si>
    <t>In-depth and hands-on practice</t>
  </si>
  <si>
    <t>2024-07-22</t>
  </si>
  <si>
    <t>Building Your First ETL Data Platform</t>
  </si>
  <si>
    <t>Batch data extraction, warehousing, transformation, visualization, and analytics using off-the-shelf tools</t>
  </si>
  <si>
    <t>Sam Bail</t>
  </si>
  <si>
    <t>Kali Linux</t>
  </si>
  <si>
    <t>Penetration Testing using Kali Linux</t>
  </si>
  <si>
    <t>Fast track your cybersecurity efforts and safeguard assets against evolving threats</t>
  </si>
  <si>
    <t>2024-07-17</t>
  </si>
  <si>
    <t>Vinit Jain</t>
  </si>
  <si>
    <t>Terraform Fundamentals in 2 Days</t>
  </si>
  <si>
    <t>Managing Objects via RESTful APIs, Understanding Modules, and Harnessing Expressions in Record Time</t>
  </si>
  <si>
    <t>2024-07-11</t>
  </si>
  <si>
    <t>AZ-104: Microsoft Azure Administrator</t>
  </si>
  <si>
    <t>Azure Administrator Certification (AZ-104) Crash Course</t>
  </si>
  <si>
    <t>Glenn Weadock</t>
  </si>
  <si>
    <t>API Superstream: Generative AI for APIs</t>
  </si>
  <si>
    <t>Design, development, and security</t>
  </si>
  <si>
    <t>Mike Amundsen David Roldán Martinez Tejas Kumar Natalia Venditto Katie Paxton-Fear</t>
  </si>
  <si>
    <t>Basic Rust Programming</t>
  </si>
  <si>
    <t>Kickstart your Rust journey with Command-Line Programs</t>
  </si>
  <si>
    <t>2024-07-01</t>
  </si>
  <si>
    <t>Ken Youens-Clark</t>
  </si>
  <si>
    <t>Data Literacy Bootcamp</t>
  </si>
  <si>
    <t>How to inspire business decisions with data</t>
  </si>
  <si>
    <t>2024-06-14</t>
  </si>
  <si>
    <t>Sarah Nooravi</t>
  </si>
  <si>
    <t>Python Modules and Packages</t>
  </si>
  <si>
    <t>Improve your Python by Sharing Code across Projects</t>
  </si>
  <si>
    <t>2024-06-27</t>
  </si>
  <si>
    <t>Reuven M. Lerner</t>
  </si>
  <si>
    <t>Hands-on Retrieval Augmented Generation (RAG)</t>
  </si>
  <si>
    <t>Using LlamaIndex and GPT-4 Turbo retrieval</t>
  </si>
  <si>
    <t>SQL and PostgreSQL for Data Analytics</t>
  </si>
  <si>
    <t>Learn fundamental SQL concepts in a live PostgreSQL database environment</t>
  </si>
  <si>
    <t>Danny Ma</t>
  </si>
  <si>
    <t>CompTIA Linux+</t>
  </si>
  <si>
    <t>CompTIA Linux+ Exam Prep Boot Camp</t>
  </si>
  <si>
    <t>The complete guide to using, maintaining, and troubleshooting the Linux operating system</t>
  </si>
  <si>
    <t>2024-06-17</t>
  </si>
  <si>
    <t>David Staples</t>
  </si>
  <si>
    <t>Go for Web Development in 3 Weeks</t>
  </si>
  <si>
    <t>A guide for building robust web apps</t>
  </si>
  <si>
    <t>2024-06-03</t>
  </si>
  <si>
    <t>Miriah Peterson</t>
  </si>
  <si>
    <t>Kubernetes Fundamentals in 3 Weeks—with Interactivity</t>
  </si>
  <si>
    <t>Design Patterns</t>
  </si>
  <si>
    <t>Hands-on Software Design</t>
  </si>
  <si>
    <t>From principles to code</t>
  </si>
  <si>
    <t>Venkat Subramaniam</t>
  </si>
  <si>
    <t>From developer to software architect</t>
  </si>
  <si>
    <t>Learn how to think strategically, manage stakeholder expectations, and make critical architectural decisions</t>
  </si>
  <si>
    <t>2024-06-12</t>
  </si>
  <si>
    <t>Nathaniel T. Schutta</t>
  </si>
  <si>
    <t>AWS Certified Cloud Practitioner</t>
  </si>
  <si>
    <t>AWS Design Fundamentals</t>
  </si>
  <si>
    <t>Prepare for Amazon Web Services Solutions Architect - Associate certification</t>
  </si>
  <si>
    <t>Architectural Patterns</t>
  </si>
  <si>
    <t>Architecture for Modern Engineering Practices</t>
  </si>
  <si>
    <t>Best practices to support structuring deployment pipelines for continuous delivery and continuous integration</t>
  </si>
  <si>
    <t>2024-06-13</t>
  </si>
  <si>
    <t>AI Observability</t>
  </si>
  <si>
    <t>Frameworks for evaluating production LLMs</t>
  </si>
  <si>
    <t>Scott Munson</t>
  </si>
  <si>
    <t>React Best Practices</t>
  </si>
  <si>
    <t>Gain mastery of the world's most popular and powerful front-end library</t>
  </si>
  <si>
    <t>Generative AI Success Stories</t>
  </si>
  <si>
    <t>Leveraging the superpowers of artificial intelligence for business transformation</t>
  </si>
  <si>
    <t>Tim O'Reilly Susan Emerson Alan Flower Ethan Mollick Jon Hassell</t>
  </si>
  <si>
    <t>Getting Started with Llama 3</t>
  </si>
  <si>
    <t>Querying your local files privately with Llama 3</t>
  </si>
  <si>
    <t>2024-06-11</t>
  </si>
  <si>
    <t>Prompt Engineering</t>
  </si>
  <si>
    <t>Hugging Face in 4 Hours</t>
  </si>
  <si>
    <t>Practical guide to exploring and deploying NLP + Multimodal AI models</t>
  </si>
  <si>
    <t>Linux for Beginners</t>
  </si>
  <si>
    <t>Learn the basics of the Linux operating system</t>
  </si>
  <si>
    <t>2024-06-10</t>
  </si>
  <si>
    <t>Security Architecture</t>
  </si>
  <si>
    <t>Security Architecture for Beginners</t>
  </si>
  <si>
    <t>From builder to planner +GenAI</t>
  </si>
  <si>
    <t>Databricks Certified Data Engineer Associate Crash Course</t>
  </si>
  <si>
    <t>Gain expertise in managing, accessing, and optimizing data, and prepare for exam success</t>
  </si>
  <si>
    <t>Advanced Python: Asynchronous Programming with ‘async’ and ‘await’</t>
  </si>
  <si>
    <t>Design from an asynchronous-first perspective to create high performance code.</t>
  </si>
  <si>
    <t>2024-06-07</t>
  </si>
  <si>
    <t>Patterns for Building Resilient Microservices</t>
  </si>
  <si>
    <t>Improve the robustness of systems and resilience of teams</t>
  </si>
  <si>
    <t>Machine Learning from Scratch</t>
  </si>
  <si>
    <t>Build machine learning algorithms from scratch with Python</t>
  </si>
  <si>
    <t>2024-06-06</t>
  </si>
  <si>
    <t>Memory Improvement / Mental Exercise</t>
  </si>
  <si>
    <t>Fundamentals of Learning: Learn faster and better using neuroscience</t>
  </si>
  <si>
    <t>Learn faster and better using neuroscience</t>
  </si>
  <si>
    <t>LangChain for Generative AI Pipelines</t>
  </si>
  <si>
    <t>Develop LLM chatbots, prompts, and workflows with LangChain</t>
  </si>
  <si>
    <t>2024-06-05</t>
  </si>
  <si>
    <t>Calculus for Machine Learning, Level II: Automatic Differentiation (ML Foundations Series)</t>
  </si>
  <si>
    <t>Quickly Differentiate Complex Equations with TensorFlow and PyTorch</t>
  </si>
  <si>
    <t>Being Proactive</t>
  </si>
  <si>
    <t>Banish procrastination and harness initiative to achieve your goals</t>
  </si>
  <si>
    <t>AWS Command Line Essentials</t>
  </si>
  <si>
    <t>2024-06-04</t>
  </si>
  <si>
    <t>Application Security</t>
  </si>
  <si>
    <t>TLS Handshake Deep Dive – TLS v1.2</t>
  </si>
  <si>
    <t>Everything that happens between you and your browser when visiting an HTTPS website</t>
  </si>
  <si>
    <t>Multimodal AI Essentials</t>
  </si>
  <si>
    <t>Learn how multimodal AI merges text, image, and audio for smarter models</t>
  </si>
  <si>
    <t>CKAD in 8 Hours: Certified Kubernetes Application Developer Crash Course</t>
  </si>
  <si>
    <t>Get Ready to Crush the CKAD Exam with Targeted Hands-on Learning</t>
  </si>
  <si>
    <t>Linux Performance Optimization</t>
  </si>
  <si>
    <t>Learn practical approaches to optimize Linux performance</t>
  </si>
  <si>
    <t>2024-05-30</t>
  </si>
  <si>
    <t>Generative AI Microsoft Excel</t>
  </si>
  <si>
    <t>Generative AI for Excel</t>
  </si>
  <si>
    <t>Using ChatGPT, Copilot Pro, and AI add-ins to save time and work more efficiently</t>
  </si>
  <si>
    <t>Concurrent Programming in Go - with Interactivity</t>
  </si>
  <si>
    <t>Make your Go programs more efficient, responsive, and scalable</t>
  </si>
  <si>
    <t>2024-05-29</t>
  </si>
  <si>
    <t>Alex Mills</t>
  </si>
  <si>
    <t>Infrastructure &amp; Ops Superstream: Generative AI Use Cases, Risks, and Tooling</t>
  </si>
  <si>
    <t>Explore the challenges, opportunities, and early patterns of AI implementation</t>
  </si>
  <si>
    <t>Sam Newman Emily Arnott Phillip Carter Grady Booch  Ezequiel Lanza</t>
  </si>
  <si>
    <t>Integrating Kubernetes Applications</t>
  </si>
  <si>
    <t>Run Kubernetes Applications efficiently in any environment</t>
  </si>
  <si>
    <t>2024-05-28</t>
  </si>
  <si>
    <t>ChatGPT and Competing LLMs</t>
  </si>
  <si>
    <t>Compare ChatGPT, BERT, LLAMA, and other LLMs to select the best solution for your application</t>
  </si>
  <si>
    <t>GitOps for Kubernetes</t>
  </si>
  <si>
    <t>Streamline your work deploying Kubernetes manifests with GitOps</t>
  </si>
  <si>
    <t>2023-08-18</t>
  </si>
  <si>
    <t>Design Patterns for Distributed Systems</t>
  </si>
  <si>
    <t>5 patterns for managing complexity and improving resiliency</t>
  </si>
  <si>
    <t>Priyank Gupta</t>
  </si>
  <si>
    <t>Data Governance</t>
  </si>
  <si>
    <t>Building the Business Case for Data Lineage in 3 Weeks</t>
  </si>
  <si>
    <t>Planning, Implementing, and Using Data Lineage</t>
  </si>
  <si>
    <t>2023-08-03</t>
  </si>
  <si>
    <t>Irina Steenbeek</t>
  </si>
  <si>
    <t>Security Engineering</t>
  </si>
  <si>
    <t>Build Your Own Cybersecurity Lab and Cyber Range</t>
  </si>
  <si>
    <t>Practice and Enhance Ethical Hacking and Defensive Security Skills</t>
  </si>
  <si>
    <t>2023-08-17</t>
  </si>
  <si>
    <t>Microservices Data Decomposition</t>
  </si>
  <si>
    <t>Patterns for breaking apart and working with data in a microservice world</t>
  </si>
  <si>
    <t>AI, ChatGPT, and other Large Language Models (LLMs) Security</t>
  </si>
  <si>
    <t>Understand the Privacy, Ethics, and Security Challenges for Today's AI</t>
  </si>
  <si>
    <t>Omar Santos Dr. Petar Radanliev</t>
  </si>
  <si>
    <t>Apache Hadoop, Spark, and Kafka Foundations: Effective Data Pipelines</t>
  </si>
  <si>
    <t>Learn How the Major Tools in the Scalable Analytics Ecosystems Interoperate</t>
  </si>
  <si>
    <t>Douglas Eadline</t>
  </si>
  <si>
    <t>AZ-900: Microsoft Azure Fundamentals</t>
  </si>
  <si>
    <t>Azure Fundamentals (AZ-900) Bootcamp</t>
  </si>
  <si>
    <t>Gain knowledge of Azure cloud concepts and services</t>
  </si>
  <si>
    <t>2023-08-14</t>
  </si>
  <si>
    <t>Advanced Python: Generators and Coroutines</t>
  </si>
  <si>
    <t>Modern Java Exception Handling</t>
  </si>
  <si>
    <t>Clean Code</t>
  </si>
  <si>
    <t>Managing Complexity with Clean Code</t>
  </si>
  <si>
    <t>Keep your code simple and easy to understand, edit, and test</t>
  </si>
  <si>
    <t>Scott Ford</t>
  </si>
  <si>
    <t>C++ Essentials: Templates</t>
  </si>
  <si>
    <t>Write efficient, flexible, and maintainable software</t>
  </si>
  <si>
    <t>2023-08-11</t>
  </si>
  <si>
    <t>AWS core architecture concepts</t>
  </si>
  <si>
    <t>Prepare for the Amazon Web Services Solutions Architect - Associate certification</t>
  </si>
  <si>
    <t>2023-08-10</t>
  </si>
  <si>
    <t>SAFe</t>
  </si>
  <si>
    <t>Applying SAFe: Real-World techniques for running SAFe effectively</t>
  </si>
  <si>
    <t>2023-08-09</t>
  </si>
  <si>
    <t>Duncan Evans</t>
  </si>
  <si>
    <t>Kubernetes and Cloud Native Associate (KCNA) Crash Course</t>
  </si>
  <si>
    <t>Learn Kubernetes foundational knowledge and skills</t>
  </si>
  <si>
    <t>2023-08-07</t>
  </si>
  <si>
    <t>Functional Programming in Java</t>
  </si>
  <si>
    <t>Working with streams, lambda expressions, and method references in Java SE8 and beyond</t>
  </si>
  <si>
    <t>2023-08-01</t>
  </si>
  <si>
    <t>System Design Fundamentals: Righting Software</t>
  </si>
  <si>
    <t>Learn the right way to design software systems and transform your career</t>
  </si>
  <si>
    <t>Juval Lowy</t>
  </si>
  <si>
    <t>Patterns of Distributed Systems</t>
  </si>
  <si>
    <t>A Hands-On Introduction to Paxos and Raft</t>
  </si>
  <si>
    <t>Unmesh Joshi</t>
  </si>
  <si>
    <t>AI-Enabled Programming, Networking, and Cybersecurity</t>
  </si>
  <si>
    <t>Practical Applications with ChatGPT, Copilot, and Beyond</t>
  </si>
  <si>
    <t>C++ Essentials: STL Algorithms</t>
  </si>
  <si>
    <t>Reduce bugs and increase productivity and performance</t>
  </si>
  <si>
    <t>AWS Certified Developer - Associate</t>
  </si>
  <si>
    <t>Certified AWS Developer Associate (DVA-C02) Crash Course</t>
  </si>
  <si>
    <t>Prepare for the All-New AWS Certified Developer Associate Exam</t>
  </si>
  <si>
    <t>2023-07-27</t>
  </si>
  <si>
    <t>Nick Garner</t>
  </si>
  <si>
    <t>C#</t>
  </si>
  <si>
    <t>C# and .NET in 3 Weeks</t>
  </si>
  <si>
    <t>Discover the Power, Versatility, and Efficiency of Coding with C#/.NET</t>
  </si>
  <si>
    <t>2023-07-14</t>
  </si>
  <si>
    <t>Microsoft Azure Developer Associate (AZ-204) Crash Course</t>
  </si>
  <si>
    <t>Developing solutions for Microsoft Azure</t>
  </si>
  <si>
    <t>2023-07-26</t>
  </si>
  <si>
    <t>Linux Hardening</t>
  </si>
  <si>
    <t>Ultimate Linux Hardening Bootcamp</t>
  </si>
  <si>
    <t>Defend Against Linux Attacks On-Premises and In the Cloud</t>
  </si>
  <si>
    <t>2023-07-25</t>
  </si>
  <si>
    <t>Omar Santos Joseph Mlodzianowski</t>
  </si>
  <si>
    <t>2023-07-12</t>
  </si>
  <si>
    <t>Microservice Observability Bootcamp</t>
  </si>
  <si>
    <t>Effective debugging for distributed systems</t>
  </si>
  <si>
    <t>Lesley Cordero</t>
  </si>
  <si>
    <t>Backend (Web) Development in 4 Weeks</t>
  </si>
  <si>
    <t>Build a REST API with Node.js and Deno</t>
  </si>
  <si>
    <t>2023-07-05</t>
  </si>
  <si>
    <t>Knowledge Graphs Bootcamp</t>
  </si>
  <si>
    <t>Give meaning to your data and power your data science applications</t>
  </si>
  <si>
    <t>2023-07-18</t>
  </si>
  <si>
    <t>Panagiotis Alexopoulos</t>
  </si>
  <si>
    <t>2023-07-24</t>
  </si>
  <si>
    <t>Containers in 4 Hours</t>
  </si>
  <si>
    <t>Learn how to run and manage containers with Docker and Podman</t>
  </si>
  <si>
    <t>SQL</t>
  </si>
  <si>
    <t>Advanced SQL Queries in 90 Minutes—with Interactivity</t>
  </si>
  <si>
    <t>Beyond the basics</t>
  </si>
  <si>
    <t>Alice Zhao</t>
  </si>
  <si>
    <t>Building Enterprise Apps with React</t>
  </si>
  <si>
    <t>Best Practices for Managing Complexity in React Applications</t>
  </si>
  <si>
    <t>2023-07-21</t>
  </si>
  <si>
    <t>Kubernetes Security Essentials</t>
  </si>
  <si>
    <t>Learn Kubernetes Security Using Real-World Exercises</t>
  </si>
  <si>
    <t>Scala</t>
  </si>
  <si>
    <t>Scala Web Services in 4 Hours</t>
  </si>
  <si>
    <t>Build a Modern Web Service with Scala, Akka HTTP, and PostgreSQL</t>
  </si>
  <si>
    <t>2023-07-20</t>
  </si>
  <si>
    <t>Igor Urisman</t>
  </si>
  <si>
    <t>Natural Language Processing (NLP) for Everyone</t>
  </si>
  <si>
    <t>Beyond Regression in Machine Learning</t>
  </si>
  <si>
    <t>Data Modeling with Gradient Boosting</t>
  </si>
  <si>
    <t>Brian Lucena</t>
  </si>
  <si>
    <t>2023-07-11</t>
  </si>
  <si>
    <t>Advanced Python</t>
  </si>
  <si>
    <t>2023-07-10</t>
  </si>
  <si>
    <t>2023-06-29</t>
  </si>
  <si>
    <t>Application Programming Interface (API)</t>
  </si>
  <si>
    <t>In Conversation: James Gough on Mastering API Architecture</t>
  </si>
  <si>
    <t>Ask James Gough what's next for API architectures</t>
  </si>
  <si>
    <t>2023-06-27</t>
  </si>
  <si>
    <t>James Gough Byron McNaught</t>
  </si>
  <si>
    <t>User Experience (UX)</t>
  </si>
  <si>
    <t>User Experience Design for Developers in 4 Hours</t>
  </si>
  <si>
    <t>Increase Customer Engagement with UX Design</t>
  </si>
  <si>
    <t>2023-06-22</t>
  </si>
  <si>
    <t xml:space="preserve">Nick DeNardis </t>
  </si>
  <si>
    <t>AWS Observe and Operate: Manage Your Cloud Infrastructure and Modern Applications</t>
  </si>
  <si>
    <t>Centralized operations with control, agility, and scale across environments</t>
  </si>
  <si>
    <t>2023-06-21</t>
  </si>
  <si>
    <t>Jon Hassell</t>
  </si>
  <si>
    <t>Java 9</t>
  </si>
  <si>
    <t>Java 9 to 17: The New Feature Benefits</t>
  </si>
  <si>
    <t>2023-06-16</t>
  </si>
  <si>
    <t>Multimodal Machine Learning</t>
  </si>
  <si>
    <t>Handling images, language, and speech</t>
  </si>
  <si>
    <t>2023-06-12</t>
  </si>
  <si>
    <t>Purvanshi Mehta</t>
  </si>
  <si>
    <t>Fundamentals of Large Language Models: A hands-on approach</t>
  </si>
  <si>
    <t>2023-05-31</t>
  </si>
  <si>
    <t>Real-Time Analytics</t>
  </si>
  <si>
    <t>Data Superstream: Real-Time Analytics</t>
  </si>
  <si>
    <t>Enabling better and faster insights at the point of decision</t>
  </si>
  <si>
    <t>2023-06-07</t>
  </si>
  <si>
    <t>Lorien Pratt</t>
  </si>
  <si>
    <t>Machine Learning Algorithms for Trading Bootcamp</t>
  </si>
  <si>
    <t>Train machine learning algorithms to discover trading signals in 6 weeks</t>
  </si>
  <si>
    <t>2023-05-02</t>
  </si>
  <si>
    <t>Deepak Kanungo</t>
  </si>
  <si>
    <t>Becoming a Successful Risk Manager</t>
  </si>
  <si>
    <t>Take the First Steps to Define Yourself as a Risk Manager</t>
  </si>
  <si>
    <t>2023-06-05</t>
  </si>
  <si>
    <t>What’s New in Modern C++</t>
  </si>
  <si>
    <t>Get Up To Speed with the Latest Developments in C++</t>
  </si>
  <si>
    <t>2023-06-02</t>
  </si>
  <si>
    <t>Software Architecture Superstream: Frontend Architectures</t>
  </si>
  <si>
    <t>Learn the latest tools, standards, and best practices</t>
  </si>
  <si>
    <t>Building Distributed Systems Using Sagas</t>
  </si>
  <si>
    <t>Eight transactional saga patterns and their trade-offs</t>
  </si>
  <si>
    <t>2023-05-30</t>
  </si>
  <si>
    <t>Neal Ford Mark Richards</t>
  </si>
  <si>
    <t>Python Data Structures and Comprehensions</t>
  </si>
  <si>
    <t>Level Up Your Python Skills</t>
  </si>
  <si>
    <t>2023-05-24</t>
  </si>
  <si>
    <t>2023-05-23</t>
  </si>
  <si>
    <t>System Design by Example</t>
  </si>
  <si>
    <t>Learn to design resilient systems for innovative technologies</t>
  </si>
  <si>
    <t>2023-05-17</t>
  </si>
  <si>
    <t>Exam AZ-305: Microsoft Azure Solutions Architect Expert Bootcamp</t>
  </si>
  <si>
    <t>Designing and implementing Microsoft Azure solution infrastructure</t>
  </si>
  <si>
    <t>2023-05-18</t>
  </si>
  <si>
    <t>First Steps in Machine Learning: Misfit Models and Fixes</t>
  </si>
  <si>
    <t>Build Models, Evaluate Predictions, and Fix Systems</t>
  </si>
  <si>
    <t>Mark E. Fenner</t>
  </si>
  <si>
    <t>Mastering Threads in Java</t>
  </si>
  <si>
    <t>Learn how threading works in Java and dive into the secrets of concurrency</t>
  </si>
  <si>
    <t>Prompt Engineering for Generating AI Art and Text</t>
  </si>
  <si>
    <t>Nontechnical training on AI tools like Midjourney and ChatGPT, and others</t>
  </si>
  <si>
    <t>Mike Taylor</t>
  </si>
  <si>
    <t>AI Superstream: Designing Machine Learning Systems</t>
  </si>
  <si>
    <t>Ingest, label, and apply data correctly to ML problems</t>
  </si>
  <si>
    <t>ChatGPT for Software Engineers</t>
  </si>
  <si>
    <t>How to 10X your productivity with generative AI</t>
  </si>
  <si>
    <t>Sergio Pereira</t>
  </si>
  <si>
    <t>Java Concurrency in 2 Weeks</t>
  </si>
  <si>
    <t>From fundamentals to advanced topics and virtual threads</t>
  </si>
  <si>
    <t>2023-05-08</t>
  </si>
  <si>
    <t>Ben Evans</t>
  </si>
  <si>
    <t>Graphs for Data Science</t>
  </si>
  <si>
    <t>Using Graph and Network Algorithms to Understand Real-World Datasets</t>
  </si>
  <si>
    <t>2023-05-10</t>
  </si>
  <si>
    <t>Deploying GPT and Large Language Models</t>
  </si>
  <si>
    <t>Leveraging LLMOps for production-ready AI systems</t>
  </si>
  <si>
    <t>Observability</t>
  </si>
  <si>
    <t>Infrastructure &amp; Ops Superstream: Observability</t>
  </si>
  <si>
    <t>Gain a deeper understanding of system performance</t>
  </si>
  <si>
    <t>Data Science Data Visualization SQL</t>
  </si>
  <si>
    <t>Smarter SQL for Data Science</t>
  </si>
  <si>
    <t>Rising to the Challenge of Data Science</t>
  </si>
  <si>
    <t>2023-05-05</t>
  </si>
  <si>
    <t>Software Architecture Hour: Technical Strategy with Anna Shipman</t>
  </si>
  <si>
    <t>2023-05-04</t>
  </si>
  <si>
    <t>Neal Ford Anna Shipman</t>
  </si>
  <si>
    <t>ChatGPT and GitHub Copilot in 4 Hours</t>
  </si>
  <si>
    <t>Get Started with AI Services Right Now!</t>
  </si>
  <si>
    <t>2023-05-03</t>
  </si>
  <si>
    <t>Jenkins</t>
  </si>
  <si>
    <t>Certified Jenkins Engineer (CJE) crash course</t>
  </si>
  <si>
    <t>2023-04-26</t>
  </si>
  <si>
    <t>Writing Effective Prompts for ChatGPT</t>
  </si>
  <si>
    <t>Crafting engaging and productive ChatGPT prompts</t>
  </si>
  <si>
    <t>2023-04-27</t>
  </si>
  <si>
    <t>Sarah Tamsin</t>
  </si>
  <si>
    <t>Refactoring</t>
  </si>
  <si>
    <t>Quality Code Boot Camp</t>
  </si>
  <si>
    <t>Hands-on techniques to improve your code base</t>
  </si>
  <si>
    <t>2023-04-03</t>
  </si>
  <si>
    <t xml:space="preserve">Clare Sudbery </t>
  </si>
  <si>
    <t>2023-04-07</t>
  </si>
  <si>
    <t>Testing React Applications with Big Nerd Ranch</t>
  </si>
  <si>
    <t>Learn best practices for testing your React application from the nerds at Big Nerd Ranch</t>
  </si>
  <si>
    <t>2023-04-18</t>
  </si>
  <si>
    <t>Ashley Parker</t>
  </si>
  <si>
    <t>Security Superstream: Application Security</t>
  </si>
  <si>
    <t>Learn best practices and the latest developments</t>
  </si>
  <si>
    <t>2023-04-13</t>
  </si>
  <si>
    <t>Chloé Messdaghi</t>
  </si>
  <si>
    <t>Comparing Software Architectures by Example</t>
  </si>
  <si>
    <t>How to evaluate different architecture solutions</t>
  </si>
  <si>
    <t>2023-04-12</t>
  </si>
  <si>
    <t>Explainable Machine Learning Models—with Interactivity</t>
  </si>
  <si>
    <t>Making sense of opaque and complex models using Python</t>
  </si>
  <si>
    <t>2023-04-11</t>
  </si>
  <si>
    <t>Parul Pandey</t>
  </si>
  <si>
    <t>Shell Scripting Data Science</t>
  </si>
  <si>
    <t>Smarter Shell Scripting for Data Science</t>
  </si>
  <si>
    <t>2023-04-06</t>
  </si>
  <si>
    <t>Software Architecture Hour: Software Design (Tidy First) with Kent Beck</t>
  </si>
  <si>
    <t>Ask Kent Beck what's next for software engineering</t>
  </si>
  <si>
    <t>Neal Ford Kent Beck</t>
  </si>
  <si>
    <t>Hands on Natural Language Generation and GPT</t>
  </si>
  <si>
    <t>Introduction to Transformers and the GPT Architecture for NLP</t>
  </si>
  <si>
    <t>2023-04-05</t>
  </si>
  <si>
    <t>Software Architecture Superstream: Microservices</t>
  </si>
  <si>
    <t>Learn the tools, patterns, and techniques to succeed with microservices</t>
  </si>
  <si>
    <t>Google BigQuery</t>
  </si>
  <si>
    <t>BigQuery on the Google Cloud Platform in 3 Weeks</t>
  </si>
  <si>
    <t>A hands-on guide to ingesting, analyzing, and querying data using BigQuery</t>
  </si>
  <si>
    <t>2023-03-21</t>
  </si>
  <si>
    <t>TensorFlow</t>
  </si>
  <si>
    <t>TensorFlow 2.0: Neural Networks and Working with Tabular Data</t>
  </si>
  <si>
    <t>A hands-on introduction to TensorFlow</t>
  </si>
  <si>
    <t>Frontend Web Development</t>
  </si>
  <si>
    <t>Modern Frontend Web Development in 5 Weeks</t>
  </si>
  <si>
    <t>Kickstart your web developer journey with the most important building blocks of today’s web ecosystem: HTML, CSS, JavaScript, and React.</t>
  </si>
  <si>
    <t>2023-03-02</t>
  </si>
  <si>
    <t>Spring</t>
  </si>
  <si>
    <t>Spring and Spring Boot in 3 Weeks</t>
  </si>
  <si>
    <t>Build and monitor powerful server-side systems and web services in Java</t>
  </si>
  <si>
    <t>2023-03-14</t>
  </si>
  <si>
    <t>Introduction to Deep Learning with PyTorch</t>
  </si>
  <si>
    <t>Start Training State-of-the-Art Models Using Modern Training Frameworks</t>
  </si>
  <si>
    <t>2023-03-27</t>
  </si>
  <si>
    <t>Hands-On Azure in 3 Weeks</t>
  </si>
  <si>
    <t>Hit the ground running in Microsoft Azure</t>
  </si>
  <si>
    <t>2023-03-10</t>
  </si>
  <si>
    <t>Business Logic Design Patterns</t>
  </si>
  <si>
    <t>Essential strategies to architect the core of your software</t>
  </si>
  <si>
    <t>2023-03-23</t>
  </si>
  <si>
    <t>Vladik Khononov</t>
  </si>
  <si>
    <t>Learn Linux in 3 Hours</t>
  </si>
  <si>
    <t>Learn the Basics to prepare yourself for a career in Linux</t>
  </si>
  <si>
    <t>Programming with Data: Advanced Python and Pandas</t>
  </si>
  <si>
    <t>2023-03-22</t>
  </si>
  <si>
    <t>Daniel Gerlanc</t>
  </si>
  <si>
    <t>Wireshark TCP/IP</t>
  </si>
  <si>
    <t>TCP/IP Deep Dive with Wireshark for NetOps and SecOps</t>
  </si>
  <si>
    <t>Let’s go deep into how these protocols work and how to analyze them.</t>
  </si>
  <si>
    <t>2023-03-20</t>
  </si>
  <si>
    <t>Chris Greer</t>
  </si>
  <si>
    <t>Applying Data Centric AI Principles To Production Systems</t>
  </si>
  <si>
    <t>From experimental pipelines to production ML systems</t>
  </si>
  <si>
    <t>Alessya Visnjic Bernease Herman</t>
  </si>
  <si>
    <t>Causal Inference for Data Scientists</t>
  </si>
  <si>
    <t>An introduction to causal inference using Python</t>
  </si>
  <si>
    <t>2023-03-16</t>
  </si>
  <si>
    <t>Roni Kobrosly</t>
  </si>
  <si>
    <t>Azure Networking</t>
  </si>
  <si>
    <t>Azure Networking Fundamentals</t>
  </si>
  <si>
    <t>Design and implement Microsoft Azure network infrastructure</t>
  </si>
  <si>
    <t>Mastering Microsoft Excel Charts</t>
  </si>
  <si>
    <t>Using Excel to visually present your data</t>
  </si>
  <si>
    <t>Python Full Throttle with Paul Deitel: A One-Day, Fast-Paced, Code-Intensive Python Presentation</t>
  </si>
  <si>
    <t>2024-04-09</t>
  </si>
  <si>
    <t>Security Operations</t>
  </si>
  <si>
    <t>Securing AI Implementations</t>
  </si>
  <si>
    <t>Strategies, Methodologies, Tools, and Best Practices for Robust AI Security</t>
  </si>
  <si>
    <t>Data Lake</t>
  </si>
  <si>
    <t>Data Lakehouse Fundamentals</t>
  </si>
  <si>
    <t>Configuring and optimizing Delta Lake tables for data science and business intelligence</t>
  </si>
  <si>
    <t>Analyzing Data with Microsoft Power BI</t>
  </si>
  <si>
    <t>Prepare, Model, Visualize, and Analyze Data Effectively</t>
  </si>
  <si>
    <t>PostgreSQL Fundamentals</t>
  </si>
  <si>
    <t>Level up your data work in PostgreSQL</t>
  </si>
  <si>
    <t>Coding Interview Bootcamp</t>
  </si>
  <si>
    <t>Learn to solve algorithms using a proven 7-step framework</t>
  </si>
  <si>
    <t>Web Performance</t>
  </si>
  <si>
    <t>Hands-On Web Performance</t>
  </si>
  <si>
    <t>Build fast, efficient, and user-friendly web applications</t>
  </si>
  <si>
    <t>Zero Trust Model</t>
  </si>
  <si>
    <t>Zero Trust Security Fundamentals</t>
  </si>
  <si>
    <t>Understanding key concepts, principles, and implementation approaches of zero trust security</t>
  </si>
  <si>
    <t>2024-04-05</t>
  </si>
  <si>
    <t>Razi Rais</t>
  </si>
  <si>
    <t>Design Patterns in Java: Deep Dive</t>
  </si>
  <si>
    <t>The Timeless Way of Coding</t>
  </si>
  <si>
    <t>2024-04-04</t>
  </si>
  <si>
    <t>Terraform: Getting Started</t>
  </si>
  <si>
    <t>Automating infrastructure</t>
  </si>
  <si>
    <t>ChatGPT Kitchen: Generative AI Recipes for Software Developers</t>
  </si>
  <si>
    <t>Learn how to code with GenAI through development of a game</t>
  </si>
  <si>
    <t>Fundamentals of Machine Learning for Software Engineers</t>
  </si>
  <si>
    <t>Understanding and integrating models into software</t>
  </si>
  <si>
    <t>2024-04-03</t>
  </si>
  <si>
    <t xml:space="preserve">Chelsea Troy </t>
  </si>
  <si>
    <t>Git Clinic</t>
  </si>
  <si>
    <t>Everything you wanted to know about Git but were afraid to ask</t>
  </si>
  <si>
    <t>Ansible in 4 Hours</t>
  </si>
  <si>
    <t>Get started with Ansible</t>
  </si>
  <si>
    <t>Linear Algebra for Machine Learning: Intro (ML Foundations Series)</t>
  </si>
  <si>
    <t>Manipulate Tensors in All the Major Libraries: PyTorch, TensorFlow, and NumPy</t>
  </si>
  <si>
    <t>Next.js</t>
  </si>
  <si>
    <t>Learn Next.js</t>
  </si>
  <si>
    <t>Using App Routers and React Server Components</t>
  </si>
  <si>
    <t>Anuradha Kumari</t>
  </si>
  <si>
    <t>Introduction to Machine Learning in Cybersecurity</t>
  </si>
  <si>
    <t>AWS Solutions Architect Associate - Exam Readiness Course</t>
  </si>
  <si>
    <t>Validate your skills before taking the AWS Solutions Architect Associate Exam</t>
  </si>
  <si>
    <t>React the Right Way</t>
  </si>
  <si>
    <t>Write Clean, Production-Ready Code in React</t>
  </si>
  <si>
    <t>2024-03-29</t>
  </si>
  <si>
    <t>RHCSA and LFCS Certification Labs Workshop</t>
  </si>
  <si>
    <t>2024-03-28</t>
  </si>
  <si>
    <t>Network DevOps with Ansible, git and Travis CI</t>
  </si>
  <si>
    <t>Create a Complete Network DevOps Project</t>
  </si>
  <si>
    <t>How LLMs Work</t>
  </si>
  <si>
    <t>Demystify how word embeddings power generative AI and LLMs like ChatGPT</t>
  </si>
  <si>
    <t>Kate Harwood</t>
  </si>
  <si>
    <t>Threading in Python</t>
  </si>
  <si>
    <t>How to use threading to create fast and efficient applications</t>
  </si>
  <si>
    <t>Social Engineering</t>
  </si>
  <si>
    <t>Adversarial AI Mitigation</t>
  </si>
  <si>
    <t>Real-World preventative measures and defense.</t>
  </si>
  <si>
    <t>Sari Greene Max Greene</t>
  </si>
  <si>
    <t>AWS Certified DevOps Engineer</t>
  </si>
  <si>
    <t>Hands-on AWS in 3 Weeks</t>
  </si>
  <si>
    <t>Design, Deploy and Manage Infrastructure in AWS</t>
  </si>
  <si>
    <t>2024-03-13</t>
  </si>
  <si>
    <t>2024-03-26</t>
  </si>
  <si>
    <t>Unix</t>
  </si>
  <si>
    <t>Bash Shell Scripting in 4 Hours</t>
  </si>
  <si>
    <t>Get started with Bash</t>
  </si>
  <si>
    <t>2024-03-27</t>
  </si>
  <si>
    <t>WebAssembly</t>
  </si>
  <si>
    <t>Hands-On Serverless WebAssembly</t>
  </si>
  <si>
    <t>Build a Cloud AI App with WebAssembly and Spin</t>
  </si>
  <si>
    <t>Sohan Maheshwar</t>
  </si>
  <si>
    <t>Communication Styles for Distributed Architectures and Microservices</t>
  </si>
  <si>
    <t>Understanding trade-offs, an architecture hard part</t>
  </si>
  <si>
    <t>2024-03-25</t>
  </si>
  <si>
    <t>React in 4 Hours</t>
  </si>
  <si>
    <t>Kickstart Your React Web Application Development Skills</t>
  </si>
  <si>
    <t>2024-03-22</t>
  </si>
  <si>
    <t>Spring AI</t>
  </si>
  <si>
    <t>Combining the OpenAI API with Java and the Spring Framework</t>
  </si>
  <si>
    <t>Learn Infrastructure as Code with Terraform</t>
  </si>
  <si>
    <t>Create repeatable infrastructure with Terraform</t>
  </si>
  <si>
    <t>2024-03-21</t>
  </si>
  <si>
    <t>Robert Jordan</t>
  </si>
  <si>
    <t>Software architecture by example</t>
  </si>
  <si>
    <t>Learn how to apply the fundamentals through real-world examples</t>
  </si>
  <si>
    <t>How to give great presentations</t>
  </si>
  <si>
    <t>Eight simple ways to wow your audience</t>
  </si>
  <si>
    <t>2024-03-12</t>
  </si>
  <si>
    <t>Kafka</t>
  </si>
  <si>
    <t>Getting Started with Kafka</t>
  </si>
  <si>
    <t>Building Effective Data Pipelines</t>
  </si>
  <si>
    <t>2024-03-20</t>
  </si>
  <si>
    <t>Graph Data Structures and Algorithms from Scratch</t>
  </si>
  <si>
    <t>Getting started with graphs and networks</t>
  </si>
  <si>
    <t>Matthew Singer</t>
  </si>
  <si>
    <t>Spring Recipes</t>
  </si>
  <si>
    <t>Practical solutions to common problems</t>
  </si>
  <si>
    <t>Nathaniel T. Schutta Dan Vega</t>
  </si>
  <si>
    <t>2024-03-19</t>
  </si>
  <si>
    <t>2024-03-18</t>
  </si>
  <si>
    <t>Event-Driven Architecture</t>
  </si>
  <si>
    <t>Mastering Patterns in Event-Driven Architecture</t>
  </si>
  <si>
    <t>Achieving better responsiveness and scalability in your systems</t>
  </si>
  <si>
    <t>Deep Learning for Beginners in 3 Weeks</t>
  </si>
  <si>
    <t>From basics to production with NumPy and TensorFlow</t>
  </si>
  <si>
    <t>2024-03-05</t>
  </si>
  <si>
    <t>Knowledge Graphs &amp; Large Language Models Bootcamp</t>
  </si>
  <si>
    <t>2024-03-11</t>
  </si>
  <si>
    <t>Engineering</t>
  </si>
  <si>
    <t>Google Gemini for Software Engineers</t>
  </si>
  <si>
    <t>Leveraging the application of LLMs for research and implementation</t>
  </si>
  <si>
    <t>2024-03-14</t>
  </si>
  <si>
    <t>Efficient Software Development</t>
  </si>
  <si>
    <t>Applying automation to improve coding time</t>
  </si>
  <si>
    <t>Sebastian Daschner</t>
  </si>
  <si>
    <t>Wireshark</t>
  </si>
  <si>
    <t>Threat Hunting with Wireshark for SecOps</t>
  </si>
  <si>
    <t>Learn to spot suspect traffic</t>
  </si>
  <si>
    <t>Unit Testing</t>
  </si>
  <si>
    <t>Unit Testing with Dependencies</t>
  </si>
  <si>
    <t>Alleviate the pain of dependencies, introduce proper decoupling, and make code extensible</t>
  </si>
  <si>
    <t>Hands-on with AWS RDS and Aurora Databases</t>
  </si>
  <si>
    <t>Deep Dive into AWS Databases using RDS, Aurora, Aurora Serverless, and more</t>
  </si>
  <si>
    <t>Smarter Statistics for Data Science</t>
  </si>
  <si>
    <t>2024-03-08</t>
  </si>
  <si>
    <t>Cloud Security Essentials</t>
  </si>
  <si>
    <t>Mastering end-to-end Cloud Computing Security</t>
  </si>
  <si>
    <t>2024-03-07</t>
  </si>
  <si>
    <t>Continuous Deployment</t>
  </si>
  <si>
    <t>Build a Continuous Deployment Pipeline</t>
  </si>
  <si>
    <t>Optimize and automate software deployment with CD strategies and cutting-edge tools</t>
  </si>
  <si>
    <t>Python in 5 Weeks: Python Programming for Beginners—with Interactivity</t>
  </si>
  <si>
    <t>Python programming for beginners</t>
  </si>
  <si>
    <t>2024-02-08</t>
  </si>
  <si>
    <t>Kafka Fundamentals</t>
  </si>
  <si>
    <t>A hands-on course in mastering Kafka at scale</t>
  </si>
  <si>
    <t>Petter Graff</t>
  </si>
  <si>
    <t>Software Development Superstream: Becoming a Senior Software Engineer</t>
  </si>
  <si>
    <t>Contribute at a high level, drive big projects, and determine tech strategy</t>
  </si>
  <si>
    <t>2024-03-06</t>
  </si>
  <si>
    <t>Introduction to UI &amp; UX design</t>
  </si>
  <si>
    <t>Fundamentals of design for non-designers</t>
  </si>
  <si>
    <t>Dave Pinke</t>
  </si>
  <si>
    <t>CTO Hour with Peter Bell: Engineering Metrics that Matter</t>
  </si>
  <si>
    <t>Ask Peter Bell and panelists your questions around senior engineering leadership challenges</t>
  </si>
  <si>
    <t xml:space="preserve">Peter Bell Abi Noda Juan Pablo Buriticá Dana Lawson </t>
  </si>
  <si>
    <t>AI Tools for Data Analytics</t>
  </si>
  <si>
    <t>Build an AI-Ready Mindset with Alteryx and Tableau</t>
  </si>
  <si>
    <t>2024-03-01</t>
  </si>
  <si>
    <t>Hana Khan</t>
  </si>
  <si>
    <t>Using Generative AI to Land Your Next Job</t>
  </si>
  <si>
    <t>Improve your search, optimize your resume, and practice for the interview</t>
  </si>
  <si>
    <t>Ben Gold</t>
  </si>
  <si>
    <t>GenAI Superstream: Possibilities and Pitfalls</t>
  </si>
  <si>
    <t>Implementing AI safely and effectively</t>
  </si>
  <si>
    <t>2024-02-28</t>
  </si>
  <si>
    <t>QA / Testing</t>
  </si>
  <si>
    <t>Software Design with Unit Tests</t>
  </si>
  <si>
    <t>Create practical and useful tests for better software quality</t>
  </si>
  <si>
    <t>2024-02-26</t>
  </si>
  <si>
    <t>Building Microservices with Containers, Kubernetes and Istio (Updated)</t>
  </si>
  <si>
    <t>Learn how to take your container-based microservices to the next level with Kubernetes and Istio</t>
  </si>
  <si>
    <t>2024-02-23</t>
  </si>
  <si>
    <t>Finance Microsoft Excel</t>
  </si>
  <si>
    <t>Excel Skills for Finance</t>
  </si>
  <si>
    <t>Financial functions, lookups, conditional formatting, and forecasts</t>
  </si>
  <si>
    <t>2024-02-22</t>
  </si>
  <si>
    <t>Governance</t>
  </si>
  <si>
    <t>AWS Resource Governance at Scale</t>
  </si>
  <si>
    <t>Managing AWS workloads in compliance-driven scenarios</t>
  </si>
  <si>
    <t>2024-02-20</t>
  </si>
  <si>
    <t>Learn MLOps in 4 Hours</t>
  </si>
  <si>
    <t>Best Practices for Machine Learning and DevOps</t>
  </si>
  <si>
    <t>2024-02-16</t>
  </si>
  <si>
    <t>Milecia McGregor</t>
  </si>
  <si>
    <t>Algorithmic Stock Trading</t>
  </si>
  <si>
    <t>Hands-On Algorithmic Trading With Python</t>
  </si>
  <si>
    <t>Design and automate your trading strategies</t>
  </si>
  <si>
    <t>2024-02-15</t>
  </si>
  <si>
    <t>Data Superstream: Data Lakes and Warehouses</t>
  </si>
  <si>
    <t>Store, process, and manage your data at scale</t>
  </si>
  <si>
    <t>2024-02-14</t>
  </si>
  <si>
    <t>AWS Certified Solutions Architect Prep Session</t>
  </si>
  <si>
    <t>How to prepare for the AWS Architect Associate exam certification</t>
  </si>
  <si>
    <t>2024-02-07</t>
  </si>
  <si>
    <t>Introduction to DevOps</t>
  </si>
  <si>
    <t>2024-02-06</t>
  </si>
  <si>
    <t>Abrar Hashmi</t>
  </si>
  <si>
    <t>Peer Code Review Best Practices</t>
  </si>
  <si>
    <t>Perform efficient code reviews and avoid common pitfalls</t>
  </si>
  <si>
    <t>2024-02-05</t>
  </si>
  <si>
    <t>Luben Alexandrov</t>
  </si>
  <si>
    <t>Introduction to Statistics and Data Analysis with Microsoft Excel</t>
  </si>
  <si>
    <t>Learn how to use and apply Excel’s statistical functions and tools</t>
  </si>
  <si>
    <t>2024-02-01</t>
  </si>
  <si>
    <t>OAuth</t>
  </si>
  <si>
    <t>Hands-on introduction to OAuth 2.0</t>
  </si>
  <si>
    <t>2024-01-26</t>
  </si>
  <si>
    <t>Aaron Parecki</t>
  </si>
  <si>
    <t>Software Architecture Superstream: Software Architecture and Generative AI</t>
  </si>
  <si>
    <t>Leverage the power of generative AI</t>
  </si>
  <si>
    <t>2024-01-24</t>
  </si>
  <si>
    <t>SQL Next Steps: Optimization</t>
  </si>
  <si>
    <t>Getting the most out of your database</t>
  </si>
  <si>
    <t>Introduction to Machine Learning for Algorithmic Trading</t>
  </si>
  <si>
    <t>Train algorithms to discover trading signals using Python</t>
  </si>
  <si>
    <t>2024-01-18</t>
  </si>
  <si>
    <t>Modern Cybersecurity Fundamentals</t>
  </si>
  <si>
    <t>Security Principles, Incident Response, Ethical Hacking, AI Security, Cloud, IoT, and more</t>
  </si>
  <si>
    <t>2024-01-16</t>
  </si>
  <si>
    <t>Automated Machine Learning and Deep Learning with Python</t>
  </si>
  <si>
    <t>Use the power of open source Python libraries</t>
  </si>
  <si>
    <t>Leadership Bootcamp</t>
  </si>
  <si>
    <t>Building influence and impacting your organization</t>
  </si>
  <si>
    <t>2024-01-08</t>
  </si>
  <si>
    <t xml:space="preserve">Sujatha Das </t>
  </si>
  <si>
    <t>Boosting Software Development with AI</t>
  </si>
  <si>
    <t>Leveraging AI-based developer tools for greater skill and efficiency</t>
  </si>
  <si>
    <t>2024-01-11</t>
  </si>
  <si>
    <t>Natalie Pistunovich</t>
  </si>
  <si>
    <t>GitHub Copilot for Developers</t>
  </si>
  <si>
    <t>Unlock Your Coding Superpowers and Boost Productivity with GitHub Copilot</t>
  </si>
  <si>
    <t>2024-01-10</t>
  </si>
  <si>
    <t>PySpark</t>
  </si>
  <si>
    <t>Scalable PySpark for Data Science</t>
  </si>
  <si>
    <t>A Quick Start for Python Programmers</t>
  </si>
  <si>
    <t>2024-01-09</t>
  </si>
  <si>
    <t>Data Lake Bootcamp</t>
  </si>
  <si>
    <t>Building Reliable Data Lakes</t>
  </si>
  <si>
    <t>Mohit Batra</t>
  </si>
  <si>
    <t>AWS Certified Solutions Architect - Professional  (SAP-C02) Crash Course</t>
  </si>
  <si>
    <t>2023-12-18</t>
  </si>
  <si>
    <t>2023-12-15</t>
  </si>
  <si>
    <t>Designing Microservices</t>
  </si>
  <si>
    <t>Overcoming service and data granularity challenges</t>
  </si>
  <si>
    <t>Business Negotiation</t>
  </si>
  <si>
    <t>Negotiation fundamentals</t>
  </si>
  <si>
    <t>5 steps to negotiation success</t>
  </si>
  <si>
    <t>2023-12-14</t>
  </si>
  <si>
    <t>CompTIA Security+ SY0-601 Crash Course</t>
  </si>
  <si>
    <t>Acing the Security+ Certification Exam</t>
  </si>
  <si>
    <t>2023-12-13</t>
  </si>
  <si>
    <t>Sari Greene</t>
  </si>
  <si>
    <t>Microservices Application Decomposition</t>
  </si>
  <si>
    <t>Evolutionary patterns for breaking down your monolith into microservices</t>
  </si>
  <si>
    <t>Certified Cloud Security Professional (CCSP): The Hard Parts</t>
  </si>
  <si>
    <t>Preparing for the 2024 exam +AI</t>
  </si>
  <si>
    <t>Hybrid Cloud</t>
  </si>
  <si>
    <t>Cloud Superstream: Super Cloud, Multicloud, and Hybrid Cloud</t>
  </si>
  <si>
    <t>Navigate complex cloud infrastructures</t>
  </si>
  <si>
    <t>2023-03-15</t>
  </si>
  <si>
    <t>Google BigQuery First Steps</t>
  </si>
  <si>
    <t>Develop your SQL skills using large public datasets</t>
  </si>
  <si>
    <t>Joy Payton</t>
  </si>
  <si>
    <t>Data Science Bootcamp with Python, Pandas, and Plotly</t>
  </si>
  <si>
    <t>Wrangling, exploring, visualizing, and simple modeling</t>
  </si>
  <si>
    <t>2023-02-21</t>
  </si>
  <si>
    <t>Sam Lau Joey Gonzalez Deborah Nolan</t>
  </si>
  <si>
    <t>Learn Next.js: Develop Scalable and High Performance Web Applications</t>
  </si>
  <si>
    <t>Business Analytics with Python Bootcamp</t>
  </si>
  <si>
    <t>From raw data to data-informed decision-making in 6 weeks</t>
  </si>
  <si>
    <t>2023-01-31</t>
  </si>
  <si>
    <t>Snowflake Fundamentals Bootcamp</t>
  </si>
  <si>
    <t>TCP/IP Fundamentals</t>
  </si>
  <si>
    <t>Learn about the protocols of the Internet!</t>
  </si>
  <si>
    <t>2023-03-03</t>
  </si>
  <si>
    <t>AI Catalyst Conference: NLP with ChatGPT (and other Large Language Models)</t>
  </si>
  <si>
    <t>Transformer Architectures from Development to Deployment</t>
  </si>
  <si>
    <t>2023-03-01</t>
  </si>
  <si>
    <t>2023-02-14</t>
  </si>
  <si>
    <t>Blockchain Ethereum</t>
  </si>
  <si>
    <t>Blockchain Developer Bootcamp</t>
  </si>
  <si>
    <t>From the basics to building dApps and NFTs in 4 weeks</t>
  </si>
  <si>
    <t>2023-02-07</t>
  </si>
  <si>
    <t>Rajneesh Gupta</t>
  </si>
  <si>
    <t>AWS Certified Advanced Networking AWS Networking</t>
  </si>
  <si>
    <t>AWS Certified Advanced Networking – Specialty (ANS-C01) Crash Course</t>
  </si>
  <si>
    <t>Get Ready to Crush the AWS Advanced Network Specialty Certification Exam!</t>
  </si>
  <si>
    <t>2023-02-27</t>
  </si>
  <si>
    <t>API Styles Fundamentals</t>
  </si>
  <si>
    <t>Understanding trade-offs and choosing the correct solution for your architecture</t>
  </si>
  <si>
    <t>2023-02-28</t>
  </si>
  <si>
    <t>Lukasz Dynowski</t>
  </si>
  <si>
    <t>GitHub Fundamentals—with Interactivity</t>
  </si>
  <si>
    <t>2023-02-23</t>
  </si>
  <si>
    <t>2023-02-10</t>
  </si>
  <si>
    <t>Scaling Machine Learning in Three Weeks</t>
  </si>
  <si>
    <t>Scale machine learning with Spark MLlib</t>
  </si>
  <si>
    <t>Adi Polak</t>
  </si>
  <si>
    <t>TypeScript in 4 Hours</t>
  </si>
  <si>
    <t>Learn TypeScript Essentials and Write Effective Code Based on the Latest Language Innovations</t>
  </si>
  <si>
    <t>2023-02-24</t>
  </si>
  <si>
    <t>Hands-on with AWS CloudFormation</t>
  </si>
  <si>
    <t>Automate the creation of AWS resources with AWS CloudFormation</t>
  </si>
  <si>
    <t>O’Reilly Book Club: Mark Richards &amp; Neal Ford on Fundamentals of Software Architecture</t>
  </si>
  <si>
    <t>Learn the fundamental skills software architects need in constantly changing software ecosystems</t>
  </si>
  <si>
    <t>CI/CD and DevOps in 3 Weeks</t>
  </si>
  <si>
    <t>Learning Continuous Integration, Continuous Delivery, and Continuous Deployment</t>
  </si>
  <si>
    <t>2023-02-08</t>
  </si>
  <si>
    <t>Natural Language Processing in 5 Weeks</t>
  </si>
  <si>
    <t>2023-01-25</t>
  </si>
  <si>
    <t>Till Lohfink Stefan Ohms</t>
  </si>
  <si>
    <t>2023-02-22</t>
  </si>
  <si>
    <t>AWS Certified Security - Specialty</t>
  </si>
  <si>
    <t>AWS Certified Security - Specialty Crash Course</t>
  </si>
  <si>
    <t>Malware</t>
  </si>
  <si>
    <t>Malware Hunting and Analysis</t>
  </si>
  <si>
    <t>Learn core concepts and see how to manage malicious software attacks</t>
  </si>
  <si>
    <t>2023-02-17</t>
  </si>
  <si>
    <t>AZ-900: Azure Fundamentals Crash Course</t>
  </si>
  <si>
    <t>Prepare for success in the Microsoft cloud</t>
  </si>
  <si>
    <t>2023-02-15</t>
  </si>
  <si>
    <t>Jim Cheshire</t>
  </si>
  <si>
    <t>Microservice Security</t>
  </si>
  <si>
    <t>Best practices for microservice-style architectures</t>
  </si>
  <si>
    <t>2023-02-16</t>
  </si>
  <si>
    <t>Python Decorators</t>
  </si>
  <si>
    <t>How to Make Decorators and Use their Str@nge Power</t>
  </si>
  <si>
    <t>Analyzing Architecture Risk</t>
  </si>
  <si>
    <t>Patterns and techniques to reduce risk and create a better architecture</t>
  </si>
  <si>
    <t>Exam DP-203: Microsoft Azure Data Engineer Associate Crash Course</t>
  </si>
  <si>
    <t>Data engineering on Microsoft Azure</t>
  </si>
  <si>
    <t>API Security Bootcamp</t>
  </si>
  <si>
    <t>Hands-On OWASP Top 10</t>
  </si>
  <si>
    <t>2023-02-13</t>
  </si>
  <si>
    <t>Dr. Sunny Wear</t>
  </si>
  <si>
    <t>Google BigQuery in Action</t>
  </si>
  <si>
    <t>Learn How to Use Google Cloud BigQuery for Data Analytics and Data Warehousing</t>
  </si>
  <si>
    <t>Dan Sullivan</t>
  </si>
  <si>
    <t>Linux Under the Hood</t>
  </si>
  <si>
    <t>Become a Linux Power User in 4 Hours</t>
  </si>
  <si>
    <t>Spring Security</t>
  </si>
  <si>
    <t>Spring Security for REST APIs</t>
  </si>
  <si>
    <t>Authentication, authorization, and common defenses</t>
  </si>
  <si>
    <t>2023-02-09</t>
  </si>
  <si>
    <t>Josh Cummings</t>
  </si>
  <si>
    <t>Data Observability Fundamentals in 2 Weeks</t>
  </si>
  <si>
    <t>Concepts, method, and practices in a pipeline composed of Airflow, Spark, pandas, BigQuery, Airbyte, dbt, and Great Expectations</t>
  </si>
  <si>
    <t>2023-02-02</t>
  </si>
  <si>
    <t>Andy Petrella Sammy El Khammal</t>
  </si>
  <si>
    <t>Applying Design Patterns</t>
  </si>
  <si>
    <t>Working with composite, adapter, visitor, chain of responsibility, and command patterns for extensible software</t>
  </si>
  <si>
    <t>George Heineman</t>
  </si>
  <si>
    <t>Architecture Decision Making by Example</t>
  </si>
  <si>
    <t>A guide for architects and developers</t>
  </si>
  <si>
    <t>Andrew Harmel-Law</t>
  </si>
  <si>
    <t>Product Management</t>
  </si>
  <si>
    <t>Product Management Fundamentals in 4 Weeks</t>
  </si>
  <si>
    <t>Key concepts, frameworks, and tools for building products users love</t>
  </si>
  <si>
    <t>2023-01-18</t>
  </si>
  <si>
    <t>Marily Nika</t>
  </si>
  <si>
    <t>Red Hat</t>
  </si>
  <si>
    <t>Red Hat Certified Specialist in Containers and Kubernetes (EX180) Crash Course</t>
  </si>
  <si>
    <t>2023-02-06</t>
  </si>
  <si>
    <t>How to Think Like a Java Programmer</t>
  </si>
  <si>
    <t>A Beginner’s Java Course with Heinz Kabutz</t>
  </si>
  <si>
    <t>Communicating Software Architecture</t>
  </si>
  <si>
    <t>Using technical diagrams to take your project from presentation to production</t>
  </si>
  <si>
    <t>2023-02-03</t>
  </si>
  <si>
    <t>Jacqui Read</t>
  </si>
  <si>
    <t>Software Architecture Hour: Lean Software Development with Mary and Tom Poppendieck</t>
  </si>
  <si>
    <t>Ask Mary and Tom Poppendieck what's next for software engineering</t>
  </si>
  <si>
    <t>Neal Ford Tom Poppendieck Mary Poppendieck</t>
  </si>
  <si>
    <t>Cloud Native</t>
  </si>
  <si>
    <t>12 Ways of the Cloud Native Warrior</t>
  </si>
  <si>
    <t>Empower Your Applications with Kubernetes, Istio, Kiali, Knative, Kafka/Strimzi, Tekton (CI), ArgoCD (GitOps) for Application Architects</t>
  </si>
  <si>
    <t>2023-02-01</t>
  </si>
  <si>
    <t>Burr Sutter</t>
  </si>
  <si>
    <t>Software Estimation</t>
  </si>
  <si>
    <t>Software Development Hour: Software Design with Kevlin Henney</t>
  </si>
  <si>
    <t>Ask Kevlin Henney what's next for software engineering</t>
  </si>
  <si>
    <t>Kevlin Henney Sam Newman</t>
  </si>
  <si>
    <t>Python Comprehensions and Generator Expressions</t>
  </si>
  <si>
    <t>An introduction to two powerful and often misused Python features</t>
  </si>
  <si>
    <t>Making New Java Features Work For You</t>
  </si>
  <si>
    <t>Building robust, powerful applications with Java 9-19 and beyond</t>
  </si>
  <si>
    <t>2023-01-30</t>
  </si>
  <si>
    <t>2023-01-17</t>
  </si>
  <si>
    <t>2023-01-13</t>
  </si>
  <si>
    <t>2023-01-26</t>
  </si>
  <si>
    <t>Amazon Web Services (AWS) VPN</t>
  </si>
  <si>
    <t>Hands-on with AWS VPCs</t>
  </si>
  <si>
    <t>AWS Virtual Private Cloud and Networking Hands-on Deep Dive</t>
  </si>
  <si>
    <t>Machine Learning Interviews in 3 Weeks</t>
  </si>
  <si>
    <t>Prepare for coding assessments, machine learning theory, behavioral questions, and more</t>
  </si>
  <si>
    <t>2023-01-12</t>
  </si>
  <si>
    <t>Using Ansible Automation Platform and AWX</t>
  </si>
  <si>
    <t>Learn to Manage Ansible from a Web Interface</t>
  </si>
  <si>
    <t>2023-01-11</t>
  </si>
  <si>
    <t>AWS Lambda</t>
  </si>
  <si>
    <t>Getting Started with AWS Lambda Automation</t>
  </si>
  <si>
    <t>Automate EC2, IaaS, and systems operations with AWS Lambda</t>
  </si>
  <si>
    <t>2023-01-23</t>
  </si>
  <si>
    <t>Rich Morrow</t>
  </si>
  <si>
    <t>Architecture Patterns for Resilient Distributed Systems</t>
  </si>
  <si>
    <t>Use evolutionary architecture to support change, prevent failures, and preserve functionality</t>
  </si>
  <si>
    <t>2023-01-24</t>
  </si>
  <si>
    <t>Salesforce</t>
  </si>
  <si>
    <t>Salesforce Development Fundamentals in 3 Weeks</t>
  </si>
  <si>
    <t>Developing solutions from the ground up</t>
  </si>
  <si>
    <t>2023-01-05</t>
  </si>
  <si>
    <t>Amit Singh</t>
  </si>
  <si>
    <t>Build Your Critical Thinking Skills in 3 Weeks</t>
  </si>
  <si>
    <t>Improve your productivity and decision-making skills with empirically based methods</t>
  </si>
  <si>
    <t>Microservices in 3 Weeks</t>
  </si>
  <si>
    <t>Get a firm grasp on microservices architectures and discover how to adapt the software systems you already have</t>
  </si>
  <si>
    <t>GitHub Actions</t>
  </si>
  <si>
    <t>GitHub Actions in 4 Hours</t>
  </si>
  <si>
    <t>Build, Deploy, and Test CI/CD Pipelines from GitHub</t>
  </si>
  <si>
    <t>Paul Furlan</t>
  </si>
  <si>
    <t>Hands-On Design Patterns</t>
  </si>
  <si>
    <t>Understand and use behavioral, creational, and structural patterns to speed your development</t>
  </si>
  <si>
    <t>Shaimaa Ali</t>
  </si>
  <si>
    <t>Java® Full Throttle with Paul Deitel: A One-Day, Code-Intensive Java SE 10-17 Presentation</t>
  </si>
  <si>
    <t>A code-intensive, one-day course, updated with new language features through Java 21</t>
  </si>
  <si>
    <t>Software Architecture Hour: The Future of Software Engineering with Grady Booch</t>
  </si>
  <si>
    <t xml:space="preserve">Neal Ford Grady Booch </t>
  </si>
  <si>
    <t>Infrastructure &amp; Ops Superstream: Platform Engineering</t>
  </si>
  <si>
    <t>Learn what it takes to build the best platform for your team</t>
  </si>
  <si>
    <t>Introduction to algorithms and data structures—with Interactivity</t>
  </si>
  <si>
    <t>A deep dive into seven fundamental data structures and how they can be used to improve the efficiency of your code</t>
  </si>
  <si>
    <t>Hands-on with AWS S3</t>
  </si>
  <si>
    <t>A Practical AWS Simple Storage Service (S3) Deep Dive</t>
  </si>
  <si>
    <t>Designing Well-Architected Frameworks in Two Weeks</t>
  </si>
  <si>
    <t>Create your system using the six pillars of modern software architecture</t>
  </si>
  <si>
    <t>2023-01-04</t>
  </si>
  <si>
    <t>AWS Certified Solutions Architect – Professional (SAP-C02) Crash Course</t>
  </si>
  <si>
    <t>2023-01-09</t>
  </si>
  <si>
    <t>Software Development Hour: The Staff Engineer's Path with Tanya Reilly</t>
  </si>
  <si>
    <t>Ask Tanya Reilly anything about the staff engineer role</t>
  </si>
  <si>
    <t>Sam Newman Tanya Reilly</t>
  </si>
  <si>
    <t>Software Architecture Characteristics: Defining, Discovering, and Protecting Architecture</t>
  </si>
  <si>
    <t>Defining, Discovering, and Protecting Architecture</t>
  </si>
  <si>
    <t>Hands-On Transformers for Computer Vision</t>
  </si>
  <si>
    <t>From vision transformer to DALL-E 2</t>
  </si>
  <si>
    <t>2023-01-06</t>
  </si>
  <si>
    <t>Scala Basics in 4 hours</t>
  </si>
  <si>
    <t>From variables and methods to higher-order functions</t>
  </si>
  <si>
    <t>Daniel  Hinojosa</t>
  </si>
  <si>
    <t>Strategic Thinking</t>
  </si>
  <si>
    <t>Strategic Thinking for Product Managers</t>
  </si>
  <si>
    <t>Integrating strategic thinking into your product development cycle</t>
  </si>
  <si>
    <t>Bandan Jot Singh</t>
  </si>
  <si>
    <t>Hands-On Quality Code</t>
  </si>
  <si>
    <t>Techniques and tricks for improving your code quality</t>
  </si>
  <si>
    <t>Practical Amazon Elastic Kubernetes Service (EKS) for the Real World</t>
  </si>
  <si>
    <t>Become a Kubernetes boss using Terraform, reusable code modules, EKS add-ons, and more</t>
  </si>
  <si>
    <t>Vallard Benincosa</t>
  </si>
  <si>
    <t>Refactoring for Continuous Delivery</t>
  </si>
  <si>
    <t>A trunk-based approach</t>
  </si>
  <si>
    <t>AWS Certified Database - Specialty</t>
  </si>
  <si>
    <t>AWS Certified Database - Specialty Crash Course</t>
  </si>
  <si>
    <t>Get ready to crush the AWS Database - Specialty exam!</t>
  </si>
  <si>
    <t>2022-12-21</t>
  </si>
  <si>
    <t>Helm</t>
  </si>
  <si>
    <t>Helm Charts with Kubernetes</t>
  </si>
  <si>
    <t>Hands-On training for using Helm in your Kubernetes environments</t>
  </si>
  <si>
    <t>2022-12-22</t>
  </si>
  <si>
    <t>Object-Oriented Programming in Python</t>
  </si>
  <si>
    <t>2022-12-20</t>
  </si>
  <si>
    <t>Data Lake Bootcamp: Building Reliable Data Lakes in 3 Weeks</t>
  </si>
  <si>
    <t>Building reliable data lakes in 3 weeks</t>
  </si>
  <si>
    <t>2022-12-02</t>
  </si>
  <si>
    <t>Functional Programming with Python 3</t>
  </si>
  <si>
    <t>Write More Robust, Readable Code</t>
  </si>
  <si>
    <t>2020-10-08</t>
  </si>
  <si>
    <t>Test-Driven Development (TDD)</t>
  </si>
  <si>
    <t>Advanced Test-Driven Development (TDD)</t>
  </si>
  <si>
    <t>2020-10-07</t>
  </si>
  <si>
    <t>Advanced Python for Finance</t>
  </si>
  <si>
    <t>Implementing advanced financial modeling techniques</t>
  </si>
  <si>
    <t>2020-10-05</t>
  </si>
  <si>
    <t>Abdullah Karasan</t>
  </si>
  <si>
    <t>Cassandra</t>
  </si>
  <si>
    <t>Building Data Pipelines with Cassandra, Kafka, and Spark</t>
  </si>
  <si>
    <t>Moving, storing, and analyzing data in microservice applications</t>
  </si>
  <si>
    <t>2020-09-30</t>
  </si>
  <si>
    <t>Jeff Carpenter</t>
  </si>
  <si>
    <t>2020-09-24</t>
  </si>
  <si>
    <t>Python For Finance: Next Steps</t>
  </si>
  <si>
    <t>Diving into financial modeling</t>
  </si>
  <si>
    <t>2020-09-23</t>
  </si>
  <si>
    <t>Architecting on AWS</t>
  </si>
  <si>
    <t>The fundamentals of architecting IT infrastructure on AWS</t>
  </si>
  <si>
    <t>2020-09-22</t>
  </si>
  <si>
    <t>Ryan Lewis</t>
  </si>
  <si>
    <t>Pytest</t>
  </si>
  <si>
    <t>Mastering Python’s pytest</t>
  </si>
  <si>
    <t>Using pytest’s advanced features: Fixtures, plugins, and configuration options</t>
  </si>
  <si>
    <t>Matt Harrison</t>
  </si>
  <si>
    <t>2020-09-21</t>
  </si>
  <si>
    <t>Getting started with Python's pytest</t>
  </si>
  <si>
    <t>Using pytest to test and debug your Python code</t>
  </si>
  <si>
    <t>2020-09-17</t>
  </si>
  <si>
    <t>Jupyter</t>
  </si>
  <si>
    <t>Jupyter Notebook foundations</t>
  </si>
  <si>
    <t>Exploring data and learning effectively</t>
  </si>
  <si>
    <t>2020-09-16</t>
  </si>
  <si>
    <t>Relational Databases</t>
  </si>
  <si>
    <t>Database Design for Any IT Professional</t>
  </si>
  <si>
    <t>Learn the fundamentals of relational database design</t>
  </si>
  <si>
    <t>2020-09-15</t>
  </si>
  <si>
    <t>Ryan Stephens</t>
  </si>
  <si>
    <t>The Fundamentals of Machine Learning and Data Analytics</t>
  </si>
  <si>
    <t>2020-09-10</t>
  </si>
  <si>
    <t>60 minutes to designing a better PowerPoint slide</t>
  </si>
  <si>
    <t>10 ways to engage and persuade your audience</t>
  </si>
  <si>
    <t>2022-08-16</t>
  </si>
  <si>
    <t>Introduction to strategic thinking skills</t>
  </si>
  <si>
    <t>Focus on the right things, deliver results, and outperform competitors</t>
  </si>
  <si>
    <t>2022-08-15</t>
  </si>
  <si>
    <t>Cynthia Owens</t>
  </si>
  <si>
    <t>2022-08-11</t>
  </si>
  <si>
    <t>Build a robust data pipeline with Airflow, dbt, and Great Expectations—with Interactivity</t>
  </si>
  <si>
    <t>Hands-on data validation in a modern data stack</t>
  </si>
  <si>
    <t>2022-08-10</t>
  </si>
  <si>
    <t>Data Superstream: Building Data Pipelines and Connectivity</t>
  </si>
  <si>
    <t>2022-08-03</t>
  </si>
  <si>
    <t>Tableau</t>
  </si>
  <si>
    <t>Tableau for Data Visualizations</t>
  </si>
  <si>
    <t>Go beyond the basics with visualizations in Tableau</t>
  </si>
  <si>
    <t>2022-07-29</t>
  </si>
  <si>
    <t>2022-07-28</t>
  </si>
  <si>
    <t>Certified Kubernetes Application Developer Crash Course (CKAD)</t>
  </si>
  <si>
    <t>2022-07-25</t>
  </si>
  <si>
    <t>Elasticsearch</t>
  </si>
  <si>
    <t>Getting Started with Elasticsearch</t>
  </si>
  <si>
    <t>Hands on guide for developers</t>
  </si>
  <si>
    <t>2022-07-22</t>
  </si>
  <si>
    <t>Spring For Architects</t>
  </si>
  <si>
    <t>2022-07-21</t>
  </si>
  <si>
    <t>Jakub Pilimon Nathaniel T. Schutta</t>
  </si>
  <si>
    <t>Spring Data</t>
  </si>
  <si>
    <t>Spring Data Fundamentals</t>
  </si>
  <si>
    <t>Spring and the Java Persistence API</t>
  </si>
  <si>
    <t>2022-07-18</t>
  </si>
  <si>
    <t>Data Engineering and ML Pipelines with Python</t>
  </si>
  <si>
    <t>How to Create Production-Quality Machine Learning Pipelines</t>
  </si>
  <si>
    <t>2022-07-08</t>
  </si>
  <si>
    <t>2022-07-06</t>
  </si>
  <si>
    <t>Domain-Driven Design Boot Camp</t>
  </si>
  <si>
    <t>Hands-on DDD with code examples</t>
  </si>
  <si>
    <t>2022-07-05</t>
  </si>
  <si>
    <t>Sandeep Jagtap</t>
  </si>
  <si>
    <t>Web Application Security Fundamentals</t>
  </si>
  <si>
    <t>Learn the important skills beyond web security tools</t>
  </si>
  <si>
    <t>2022-06-30</t>
  </si>
  <si>
    <t>Ming Chow</t>
  </si>
  <si>
    <t>2022-06-15</t>
  </si>
  <si>
    <t>2022-06-21</t>
  </si>
  <si>
    <t>AWS Web Application Development</t>
  </si>
  <si>
    <t>Build a social network application using AWS services</t>
  </si>
  <si>
    <t>2022-06-16</t>
  </si>
  <si>
    <t>2022-06-14</t>
  </si>
  <si>
    <t>Python for Excel Users First Steps</t>
  </si>
  <si>
    <t>Terraform and AWS Serverless in 4 Hours</t>
  </si>
  <si>
    <t>Build Robust, Auto-scaling Infrastructure on AWS</t>
  </si>
  <si>
    <t>Jim Hall</t>
  </si>
  <si>
    <t>2022-06-13</t>
  </si>
  <si>
    <t>2022-06-10</t>
  </si>
  <si>
    <t>Mastering Elasticsearch</t>
  </si>
  <si>
    <t>A hands-on in-depth guide for developers</t>
  </si>
  <si>
    <t>2022-06-08</t>
  </si>
  <si>
    <t>Transforming Excel Analysis into Python and pandas Data Models</t>
  </si>
  <si>
    <t>Reading, writing and automated processing of Excel data with Python tools</t>
  </si>
  <si>
    <t>2022-05-20</t>
  </si>
  <si>
    <t>Data Engineering for Data Scientists</t>
  </si>
  <si>
    <t>Build resilient pipelines to support stronger models</t>
  </si>
  <si>
    <t>2022-05-18</t>
  </si>
  <si>
    <t>Max Humber</t>
  </si>
  <si>
    <t>AI Superstream: NLP in Production</t>
  </si>
  <si>
    <t>2022-05-11</t>
  </si>
  <si>
    <t>Antje Barth</t>
  </si>
  <si>
    <t>Better business writing</t>
  </si>
  <si>
    <t>How to improve your business writing and communication skills</t>
  </si>
  <si>
    <t>Susan Schoenfeld</t>
  </si>
  <si>
    <t>MongoDB</t>
  </si>
  <si>
    <t>MongoDB Fundamentals</t>
  </si>
  <si>
    <t>An introduction to ETL operations and the aggregation framework</t>
  </si>
  <si>
    <t>2022-05-09</t>
  </si>
  <si>
    <t>Axel Sirota</t>
  </si>
  <si>
    <t>Java Programming Fundamentals Java 9 Java 8</t>
  </si>
  <si>
    <t>Hands-on Java Essentials in 3 Weeks</t>
  </si>
  <si>
    <t>Java concepts and syntax for programmers using Java 17</t>
  </si>
  <si>
    <t>2022-04-15</t>
  </si>
  <si>
    <t>Data Models</t>
  </si>
  <si>
    <t>Modeling Complex Enterprise Data</t>
  </si>
  <si>
    <t>Constructs and Strategies for Developing Analytic Insights</t>
  </si>
  <si>
    <t>2022-04-28</t>
  </si>
  <si>
    <t>Tim Vlamis Dan Vlamis</t>
  </si>
  <si>
    <t>Apache Spark</t>
  </si>
  <si>
    <t>Analyze and Process Data with Databricks</t>
  </si>
  <si>
    <t>Hands-on data analysis with Spark, Delta Lake, Delta Engine, and SQL</t>
  </si>
  <si>
    <t>2022-04-27</t>
  </si>
  <si>
    <t>2022-04-26</t>
  </si>
  <si>
    <t>Graph-Powered Machine Learning First Steps</t>
  </si>
  <si>
    <t>From graph analytics to graph neural networks: Making the most of your graph data</t>
  </si>
  <si>
    <t>2022-04-25</t>
  </si>
  <si>
    <t>Jörg Schad</t>
  </si>
  <si>
    <t>Introduction to Critical Thinking</t>
  </si>
  <si>
    <t>The basics for business</t>
  </si>
  <si>
    <t>2022-04-18</t>
  </si>
  <si>
    <t>2022-04-12</t>
  </si>
  <si>
    <t>2022-04-11</t>
  </si>
  <si>
    <t>Testing React Applications</t>
  </si>
  <si>
    <t>2022-04-07</t>
  </si>
  <si>
    <t xml:space="preserve">Loren Klingman </t>
  </si>
  <si>
    <t>Artificial intelligence: AI for business</t>
  </si>
  <si>
    <t>2022-04-04</t>
  </si>
  <si>
    <t>Linear Regression with Python: Essential Math for Machine Learning—with Interactivity</t>
  </si>
  <si>
    <t>Learn the fundamental math behind common machine learning models</t>
  </si>
  <si>
    <t>2022-03-29</t>
  </si>
  <si>
    <t>Tatiana Ediger</t>
  </si>
  <si>
    <t>Business Applications of Blockchain</t>
  </si>
  <si>
    <t>Identify the right problems to solve with blockchain</t>
  </si>
  <si>
    <t>2022-03-25</t>
  </si>
  <si>
    <t>2022-03-24</t>
  </si>
  <si>
    <t>2022-03-22</t>
  </si>
  <si>
    <t>Python® Data Science Full Throttle with Paul Deitel: Introductory AI, Big Data and Cloud Case Studies</t>
  </si>
  <si>
    <t>A One-Day, Presentation-Only, Case-Study-Intensive Seminar</t>
  </si>
  <si>
    <t>Java Lambdas</t>
  </si>
  <si>
    <t>Refactoring to Java Streams and Lambdas</t>
  </si>
  <si>
    <t>Learn how and when to refactor, with a focus on Java Streams</t>
  </si>
  <si>
    <t>2022-03-16</t>
  </si>
  <si>
    <t>WebAssembly First Steps</t>
  </si>
  <si>
    <t>Safe, fast, and portable software development</t>
  </si>
  <si>
    <t>2022-03-15</t>
  </si>
  <si>
    <t>Brian Sletten</t>
  </si>
  <si>
    <t>2022-02-28</t>
  </si>
  <si>
    <t>Intermediate SQL for data analysis</t>
  </si>
  <si>
    <t>Doing more with relational databases</t>
  </si>
  <si>
    <t>2022-03-11</t>
  </si>
  <si>
    <t>Essential Math for Data Science in 6 Weeks—with Interactivity</t>
  </si>
  <si>
    <t>2022-02-03</t>
  </si>
  <si>
    <t>2022-03-09</t>
  </si>
  <si>
    <t>Integration Testing with Docker and Testcontainers</t>
  </si>
  <si>
    <t>Reproducible test automation with Java</t>
  </si>
  <si>
    <t>2022-03-04</t>
  </si>
  <si>
    <t>Kubernetes Microservices Testing Techniques—with Interactivity</t>
  </si>
  <si>
    <t>Fundamentals of chaos testing and consumer-driven contracts</t>
  </si>
  <si>
    <t>2022-03-02</t>
  </si>
  <si>
    <t>Mockito</t>
  </si>
  <si>
    <t>Java testing with Mockito and the Hamcrest matchers</t>
  </si>
  <si>
    <t>Learn to write fast, effective unit tests that also provide executable documentation for your system.</t>
  </si>
  <si>
    <t>2022-03-01</t>
  </si>
  <si>
    <t>Java Next Steps: Modules</t>
  </si>
  <si>
    <t>Effectively Migrating Legacy Java Applications</t>
  </si>
  <si>
    <t>Git in 4 Weeks</t>
  </si>
  <si>
    <t>Build the skills and understanding to completely and effortlessly manage your source code</t>
  </si>
  <si>
    <t>2022-02-23</t>
  </si>
  <si>
    <t>2022-02-08</t>
  </si>
  <si>
    <t>Terraform: Getting Started—with Interactivity</t>
  </si>
  <si>
    <t>2022-02-18</t>
  </si>
  <si>
    <t>Functional Programming</t>
  </si>
  <si>
    <t>Understanding Functional Programming</t>
  </si>
  <si>
    <t>Transitioning Java from imperative to functional</t>
  </si>
  <si>
    <t>2022-02-17</t>
  </si>
  <si>
    <t>Container Platforms</t>
  </si>
  <si>
    <t>Containers in 3 Weeks: Part 1</t>
  </si>
  <si>
    <t>Raju Gandhi</t>
  </si>
  <si>
    <t>Blockchain, Bitcoin, Cryptocurrency, NFTs and the Metaverse</t>
  </si>
  <si>
    <t>Learn the language of blockchain, Bitcoin, crypto, NFTs, and the metaverse</t>
  </si>
  <si>
    <t>2022-02-16</t>
  </si>
  <si>
    <t>Scala Fundamentals</t>
  </si>
  <si>
    <t>From Core Concepts to Real Code in 5 Hours</t>
  </si>
  <si>
    <t>DevOps Kubernetes</t>
  </si>
  <si>
    <t>Container-Based DevOps in 3 Weeks: Docker, Podman, Kubernetes and OpenShift</t>
  </si>
  <si>
    <t>Container-Based DevOps using Webhooks, Tekton, ArgoCD, and more</t>
  </si>
  <si>
    <t>2022-01-24</t>
  </si>
  <si>
    <t>Essentials of JVM Threading</t>
  </si>
  <si>
    <t>2022-02-04</t>
  </si>
  <si>
    <t>Scalable Reactive Programming with Java</t>
  </si>
  <si>
    <t>2022-02-02</t>
  </si>
  <si>
    <t>Douglas Schmidt</t>
  </si>
  <si>
    <t>2022-01-12</t>
  </si>
  <si>
    <t>Container Orchestrators</t>
  </si>
  <si>
    <t>9 Steps to Awesome with Kubernetes</t>
  </si>
  <si>
    <t>For Developers, learn nine simple and practical steps that will take you from Kubernetes novice to cloud native application architect</t>
  </si>
  <si>
    <t>2022-02-01</t>
  </si>
  <si>
    <t>Testable Architecture with Java, JUnit, and Spring</t>
  </si>
  <si>
    <t>Learn how to create testable, verifiable architecture using Spring</t>
  </si>
  <si>
    <t>Jakub Pilimon</t>
  </si>
  <si>
    <t>2022-01-27</t>
  </si>
  <si>
    <t>Java Concurrency</t>
  </si>
  <si>
    <t>Understanding concurrent programming in Java</t>
  </si>
  <si>
    <t>Helm Fundamentals</t>
  </si>
  <si>
    <t>Deploying, upgrading, and rolling back applications in Kubernetes</t>
  </si>
  <si>
    <t>Software Architecture Superstream: Software Architecture Patterns</t>
  </si>
  <si>
    <t>2022-01-26</t>
  </si>
  <si>
    <t>2022-01-25</t>
  </si>
  <si>
    <t>Kotlin</t>
  </si>
  <si>
    <t>Kotlin fundamentals</t>
  </si>
  <si>
    <t>A quick guide to Kotlin's syntax and semantics</t>
  </si>
  <si>
    <t>2022-01-20</t>
  </si>
  <si>
    <t>Continuous Delivery</t>
  </si>
  <si>
    <t>Getting Started with Continuous Delivery</t>
  </si>
  <si>
    <t>Move beyond CI to build, manage, and deploy a working pipeline</t>
  </si>
  <si>
    <t>2022-01-13</t>
  </si>
  <si>
    <t>Spring Spring Boot</t>
  </si>
  <si>
    <t>Getting Started with Spring Boot, Spring Cloud and AWS</t>
  </si>
  <si>
    <t>Hands-on guide to integrating Java Applications with AWS</t>
  </si>
  <si>
    <t>2022-01-11</t>
  </si>
  <si>
    <t>Data Structures in Java</t>
  </si>
  <si>
    <t>A thorough look at the collection classes in java.util</t>
  </si>
  <si>
    <t>2022-01-10</t>
  </si>
  <si>
    <t>Introducing Blockchain</t>
  </si>
  <si>
    <t>Understanding Bitcoins and other Crypto Currencies</t>
  </si>
  <si>
    <t>2022-01-07</t>
  </si>
  <si>
    <t>2022-01-06</t>
  </si>
  <si>
    <t>Software Architecture Hour: The Future of Software with Martin Fowler</t>
  </si>
  <si>
    <t>Neal Ford Martin Fowler</t>
  </si>
  <si>
    <t>OpenTelemetry</t>
  </si>
  <si>
    <t>Observability First Steps for Java Developers</t>
  </si>
  <si>
    <t>Monitor, analyze, and diagnose application performance with the Java OpenTelemetry API</t>
  </si>
  <si>
    <t>2022-01-04</t>
  </si>
  <si>
    <t>Fundamentals of Software Engineering in 3 weeks</t>
  </si>
  <si>
    <t>Skills for cultivating, preserving, and enhancing a large codebase</t>
  </si>
  <si>
    <t>2021-12-07</t>
  </si>
  <si>
    <t>Redis</t>
  </si>
  <si>
    <t>Redis Fundamentals</t>
  </si>
  <si>
    <t>Improving your database performance</t>
  </si>
  <si>
    <t>2021-12-20</t>
  </si>
  <si>
    <t>Diwakar Singh</t>
  </si>
  <si>
    <t>2021-12-03</t>
  </si>
  <si>
    <t>Building Microservices with Containers, Kubernetes and Istio</t>
  </si>
  <si>
    <t>2021-12-16</t>
  </si>
  <si>
    <t>2021-12-15</t>
  </si>
  <si>
    <t>Advanced Functional Programming with Java</t>
  </si>
  <si>
    <t>Principles and Patterns</t>
  </si>
  <si>
    <t>2021-12-14</t>
  </si>
  <si>
    <t>Victor Rentea</t>
  </si>
  <si>
    <t>Java 8</t>
  </si>
  <si>
    <t>Java 8 Generics in 4 Hours</t>
  </si>
  <si>
    <t>Understand best practices for OO and functional programming</t>
  </si>
  <si>
    <t>2021-12-13</t>
  </si>
  <si>
    <t>Software Architecture Hour: Enterprise Architecture with Matt Stine</t>
  </si>
  <si>
    <t>Matt Stine Neal Ford</t>
  </si>
  <si>
    <t>Java Next Steps: Collections, Generics, and Streams</t>
  </si>
  <si>
    <t>2021-12-09</t>
  </si>
  <si>
    <t>Introduction to algorithms and data structures</t>
  </si>
  <si>
    <t>2021-12-08</t>
  </si>
  <si>
    <t>Programming with Java Lambdas and Streams</t>
  </si>
  <si>
    <t>2021-12-06</t>
  </si>
  <si>
    <t>Solving Java Memory Leaks</t>
  </si>
  <si>
    <t>OOME be gone</t>
  </si>
  <si>
    <t>2021-11-30</t>
  </si>
  <si>
    <t>Domain-Driven Design: First Steps</t>
  </si>
  <si>
    <t>Building Software that solves the hard problems.</t>
  </si>
  <si>
    <t>2021-11-29</t>
  </si>
  <si>
    <t>2021-11-10</t>
  </si>
  <si>
    <t>Smarter Plotting for Data Science</t>
  </si>
  <si>
    <t>Agile</t>
  </si>
  <si>
    <t>Clean Agile</t>
  </si>
  <si>
    <t>2022-12-19</t>
  </si>
  <si>
    <t>Hands-on Introduction to Apache Hadoop, Spark, and Kafka Programming: Effective Data Pipelines</t>
  </si>
  <si>
    <t>A quick-start introduction to the important facets of big data analytics</t>
  </si>
  <si>
    <t>2022-12-15</t>
  </si>
  <si>
    <t>TensorFlow 2.0: Working with NLP tasks</t>
  </si>
  <si>
    <t>2022-12-16</t>
  </si>
  <si>
    <t>Azure Governance and Compliance Crash Course</t>
  </si>
  <si>
    <t>Using Azure Policy to enforce organization standards and Azure best practices</t>
  </si>
  <si>
    <t>Getting Started with Azure</t>
  </si>
  <si>
    <t>2022-12-14</t>
  </si>
  <si>
    <t>Introduction to Statistics and Data Analysis with Microsoft Excel in 3 Weeks</t>
  </si>
  <si>
    <t>Learn key statistical concepts and how to use them</t>
  </si>
  <si>
    <t>2022-12-01</t>
  </si>
  <si>
    <t>Smarter pandas for Data Science</t>
  </si>
  <si>
    <t>2022-12-05</t>
  </si>
  <si>
    <t>Python R</t>
  </si>
  <si>
    <t>Python and R for Data Science</t>
  </si>
  <si>
    <t>Tackle complex data projects with the best of both worlds</t>
  </si>
  <si>
    <t>Boyan Angelov</t>
  </si>
  <si>
    <t>Architecture foundations: Styles, patterns, and trade-offs</t>
  </si>
  <si>
    <t>A survey of modern architecture patterns</t>
  </si>
  <si>
    <t>Monte Carlo Simulation</t>
  </si>
  <si>
    <t>Applying Monte Carlo simulations in finance</t>
  </si>
  <si>
    <t>Analyze and manage financial uncertainty using Python</t>
  </si>
  <si>
    <t>2022-12-13</t>
  </si>
  <si>
    <t>Python Programming for Data Analysis in 5 Weeks—with Interactivity</t>
  </si>
  <si>
    <t>Make sense of the world, using Python and Pandas</t>
  </si>
  <si>
    <t>2022-11-15</t>
  </si>
  <si>
    <t>Design Patterns Boot Camp</t>
  </si>
  <si>
    <t>Improve your object-oriented designs, making them more flexible, maintainable, and resilient</t>
  </si>
  <si>
    <t>2022-12-12</t>
  </si>
  <si>
    <t>Eric T. Freeman Elisabeth Robson</t>
  </si>
  <si>
    <t>Docker: Beyond the Basics (CI &amp; CD)</t>
  </si>
  <si>
    <t>Continuous integration and continuous deployment</t>
  </si>
  <si>
    <t>Python Functions</t>
  </si>
  <si>
    <t>Effective programming</t>
  </si>
  <si>
    <t>Data Science with Big Datasets Using Dask, Ray, and Other Best-of-Breed Tools</t>
  </si>
  <si>
    <t>Effective data at scale with a new generation of open tools</t>
  </si>
  <si>
    <t>Adam Breindel</t>
  </si>
  <si>
    <t>Learn Reflection with java.lang.reflect.*</t>
  </si>
  <si>
    <t>Write Dynamically Reusable Code in Java</t>
  </si>
  <si>
    <t>AWS Certification Prep: Developer - Associate</t>
  </si>
  <si>
    <t>What you need to know to prepare for the Developer Associate exam</t>
  </si>
  <si>
    <t>2022-12-08</t>
  </si>
  <si>
    <t>Bill Boulden</t>
  </si>
  <si>
    <t>SQL Fundamentals for Data</t>
  </si>
  <si>
    <t>A hands-on course for beginners</t>
  </si>
  <si>
    <t>2022-12-07</t>
  </si>
  <si>
    <t>CI/CD for Data Lakes</t>
  </si>
  <si>
    <t>Managing your data like code</t>
  </si>
  <si>
    <t>Certified Kubernetes Application Developer (CKAD) Crash Course</t>
  </si>
  <si>
    <t>Get Ready to Crush the CKAD Exam!</t>
  </si>
  <si>
    <t>DP-420: Cloud-Native Applications Using Microsoft Azure Cosmos DB</t>
  </si>
  <si>
    <t>Exam DP-420: Microsoft Azure Cosmos DB Developer Crash Course</t>
  </si>
  <si>
    <t>Developing cloud native applications using Cosmos DB</t>
  </si>
  <si>
    <t>2022-12-06</t>
  </si>
  <si>
    <t>TensorFlow 2.0: Working with images, TensorFlow hub and TensorBoard</t>
  </si>
  <si>
    <t>TypeScript Design Patterns</t>
  </si>
  <si>
    <t>Design Patterns with TypeScript</t>
  </si>
  <si>
    <t>Enhance your TypeScript development by cleaning up your code and getting the most out of the language</t>
  </si>
  <si>
    <t xml:space="preserve">Mark Halpin </t>
  </si>
  <si>
    <t>2022-11-30</t>
  </si>
  <si>
    <t>2022-11-29</t>
  </si>
  <si>
    <t>Dashboards</t>
  </si>
  <si>
    <t>Smarter Dashboarding for Data Science</t>
  </si>
  <si>
    <t>2022-11-23</t>
  </si>
  <si>
    <t>2022-11-22</t>
  </si>
  <si>
    <t>AZ-400: Designing and Implementing Microsoft DevOps Solutions</t>
  </si>
  <si>
    <t>Exam AZ-400: Microsoft Azure DevOps Solutions Crash Course</t>
  </si>
  <si>
    <t>Get up to speed with Azure DevOps, Agile, and pass your AZ-400 certification exam!</t>
  </si>
  <si>
    <t>2022-11-21</t>
  </si>
  <si>
    <t>Gradient Descent and Optimization Algorithms for AI</t>
  </si>
  <si>
    <t>Practical AI for Practical Problems</t>
  </si>
  <si>
    <t>2022-11-18</t>
  </si>
  <si>
    <t>Streamlit Dashboards</t>
  </si>
  <si>
    <t>Easy dashboarding in Python</t>
  </si>
  <si>
    <t>2022-11-16</t>
  </si>
  <si>
    <t>2022-11-11</t>
  </si>
  <si>
    <t>AZ-303: Microsoft Azure Architect Technologies</t>
  </si>
  <si>
    <t>2022-11-07</t>
  </si>
  <si>
    <t>2022-11-08</t>
  </si>
  <si>
    <t>Hands-on MLOps with PyTorch</t>
  </si>
  <si>
    <t>Serving Transformers in Real Time with PyTorch to Combat Model Drift</t>
  </si>
  <si>
    <t>Practical MLOps</t>
  </si>
  <si>
    <t>Operationalizing machine learning models</t>
  </si>
  <si>
    <t>Fundamentals of Machine Learning and Data Analytics</t>
  </si>
  <si>
    <t>2022-11-02</t>
  </si>
  <si>
    <t>Elasticsearch Elastic Stack (ELK Stack)</t>
  </si>
  <si>
    <t>Elasticsearch Bootcamp: Learning Elasticsearch from ground up in 5 weeks</t>
  </si>
  <si>
    <t>Learning Elasticsearch from ground up in 5 weeks</t>
  </si>
  <si>
    <t>2022-10-03</t>
  </si>
  <si>
    <t>Dask</t>
  </si>
  <si>
    <t>Scale your Python processing with Dask</t>
  </si>
  <si>
    <t>Crunch big data easily in Python from a few cores to a few thousand machines</t>
  </si>
  <si>
    <t>2022-10-28</t>
  </si>
  <si>
    <t>2022-10-27</t>
  </si>
  <si>
    <t>Certified Kubernetes Administrator (CKA) Crash Course</t>
  </si>
  <si>
    <t>Get Ready to Crush the CKA Exam!</t>
  </si>
  <si>
    <t>2022-10-25</t>
  </si>
  <si>
    <t>2022-10-26</t>
  </si>
  <si>
    <t>2022-10-24</t>
  </si>
  <si>
    <t>Graphs and Network Algorithms for Everyone</t>
  </si>
  <si>
    <t>Explore and Analyze Network Data in Python</t>
  </si>
  <si>
    <t>Kubernetes on GKE</t>
  </si>
  <si>
    <t>Learn the fundamentals of the Google Kubernetes Engine</t>
  </si>
  <si>
    <t xml:space="preserve">Ernesto Garbarino </t>
  </si>
  <si>
    <t>Getting Started with AWS</t>
  </si>
  <si>
    <t>Go from the AWS basics to deploying key services</t>
  </si>
  <si>
    <t>2022-10-20</t>
  </si>
  <si>
    <t>2022-10-05</t>
  </si>
  <si>
    <t>2022-10-19</t>
  </si>
  <si>
    <t>Apache Spark First Steps</t>
  </si>
  <si>
    <t>Get started with analytics, ETL, streaming, and machine learning with Apache Spark 3.3</t>
  </si>
  <si>
    <t>2022-10-14</t>
  </si>
  <si>
    <t>Azure Application Development</t>
  </si>
  <si>
    <t>Creating applications for the Microsoft cloud</t>
  </si>
  <si>
    <t>Google Cloud Certified - Professional Cloud Architect Google Cloud Certified - Professional Cloud Developer</t>
  </si>
  <si>
    <t>GCP Certification Prep Crash Course: Professional Data Engineer</t>
  </si>
  <si>
    <t>Get both the big picture and the important little details</t>
  </si>
  <si>
    <t>2022-10-11</t>
  </si>
  <si>
    <t>Few-Shot Learning</t>
  </si>
  <si>
    <t>Hands-On Few-Shot Learning</t>
  </si>
  <si>
    <t>Techniques in Natural Language Understanding (NLU) and Computer Vision</t>
  </si>
  <si>
    <t>2022-10-07</t>
  </si>
  <si>
    <t>Isha Chaturvedi</t>
  </si>
  <si>
    <t>Splunk</t>
  </si>
  <si>
    <t>Beginning Splunk</t>
  </si>
  <si>
    <t>Effectively search, analyze and create knowledge objects in Splunk</t>
  </si>
  <si>
    <t>2022-10-06</t>
  </si>
  <si>
    <t>Karun Subramanian</t>
  </si>
  <si>
    <t>Data Governance in Practice</t>
  </si>
  <si>
    <t>Implement and Improve a Data Governance Program</t>
  </si>
  <si>
    <t>2022-09-30</t>
  </si>
  <si>
    <t>George Firican</t>
  </si>
  <si>
    <t>Mastering Creative and Critical Thinking</t>
  </si>
  <si>
    <t>Boost innovation, collaboration and teamwork by improving your thinking skills.</t>
  </si>
  <si>
    <t>2022-09-28</t>
  </si>
  <si>
    <t>Writing Better SQL in 90 Minutes—with Interactivity</t>
  </si>
  <si>
    <t>Practical tips for writing more efficient SQL queries</t>
  </si>
  <si>
    <t>2022-09-27</t>
  </si>
  <si>
    <t>Hands-on with Amazon Route 53, CloudFront, and Disaster Recovery</t>
  </si>
  <si>
    <t>A Practical DNS, Content Delivery, and Disaster Recovery Deep Dive</t>
  </si>
  <si>
    <t>2022-09-26</t>
  </si>
  <si>
    <t>Effective Project Management Skills</t>
  </si>
  <si>
    <t>The Top 20 skills you need to manage any project, even if it’s your first one</t>
  </si>
  <si>
    <t>2022-09-23</t>
  </si>
  <si>
    <t>Megan Andrew</t>
  </si>
  <si>
    <t>Salary negotiation fundamentals</t>
  </si>
  <si>
    <t>Best practices that lead to salary negotiation success</t>
  </si>
  <si>
    <t>Introduction to leadership skills</t>
  </si>
  <si>
    <t>Develop the qualities for an impressive career</t>
  </si>
  <si>
    <t>2022-09-21</t>
  </si>
  <si>
    <t>Pamela Rucker</t>
  </si>
  <si>
    <t>Architecture: The Hard Parts</t>
  </si>
  <si>
    <t>Learn how to manage workflows, orchestration, distributed transactions, and optimize operational characteristics such as scalability, elasticity, and performance.</t>
  </si>
  <si>
    <t>2022-09-20</t>
  </si>
  <si>
    <t>2022-09-19</t>
  </si>
  <si>
    <t>Apache Airflow</t>
  </si>
  <si>
    <t>Designing Data Pipelines—with Interactivity</t>
  </si>
  <si>
    <t>The nuts and bolts of designing stable, extensible, and scalable data pipelines</t>
  </si>
  <si>
    <t>Vinoo Ganesh</t>
  </si>
  <si>
    <t>JavaScript</t>
  </si>
  <si>
    <t>Hands-On JavaScript Deep Dive</t>
  </si>
  <si>
    <t>Take Your JavaScript Skills to the Next Level</t>
  </si>
  <si>
    <t>2022-09-14</t>
  </si>
  <si>
    <t>JUnit</t>
  </si>
  <si>
    <t>Next-generation Java testing with JUnit 5</t>
  </si>
  <si>
    <t>Leveraging Java’s functional features with parameterization, conditional execution, and filtering</t>
  </si>
  <si>
    <t>Google Cloud</t>
  </si>
  <si>
    <t>Google Cloud Fundamentals</t>
  </si>
  <si>
    <t>Get hands-on with compute, storage, and data</t>
  </si>
  <si>
    <t>2022-09-13</t>
  </si>
  <si>
    <t>Data Engineering from Notebook to Production</t>
  </si>
  <si>
    <t>Take a data project from prototype to production quality with the modern data stack</t>
  </si>
  <si>
    <t>2022-09-12</t>
  </si>
  <si>
    <t>Pete Fein</t>
  </si>
  <si>
    <t>IT Management</t>
  </si>
  <si>
    <t>90 Minutes to Giving Effective Feedback</t>
  </si>
  <si>
    <t>Tips for new technical leaders</t>
  </si>
  <si>
    <t>2022-09-09</t>
  </si>
  <si>
    <t>Kate Wardin</t>
  </si>
  <si>
    <t>Enterprise Data Visualization: Executive Dashboards and Managerial Displays</t>
  </si>
  <si>
    <t>Executive Dashboards and Managerial Displays</t>
  </si>
  <si>
    <t>2022-09-08</t>
  </si>
  <si>
    <t>Techniques of Visual Persuasion</t>
  </si>
  <si>
    <t>You need action – why is no one listening?</t>
  </si>
  <si>
    <t>2022-09-07</t>
  </si>
  <si>
    <t>Larry Jordan</t>
  </si>
  <si>
    <t>90 Minutes to Better Decision Making</t>
  </si>
  <si>
    <t>How to use evidence to make transparent and accountable workplace decisions</t>
  </si>
  <si>
    <t>2022-09-06</t>
  </si>
  <si>
    <t>Dr Zina O’Leary</t>
  </si>
  <si>
    <t>Mastering AWS Kinesis Data Streams</t>
  </si>
  <si>
    <t>How to build a serverless data streaming pipeline on AWS at any scale</t>
  </si>
  <si>
    <t>Anahit Pogosova</t>
  </si>
  <si>
    <t>2022-08-31</t>
  </si>
  <si>
    <t>Dynamic Proxies in Java</t>
  </si>
  <si>
    <t>2022-08-30</t>
  </si>
  <si>
    <t>Essential Product Management Skills</t>
  </si>
  <si>
    <t>Top 20 skills you need to be a highly successful product manager</t>
  </si>
  <si>
    <t>2022-08-26</t>
  </si>
  <si>
    <t>Logstash</t>
  </si>
  <si>
    <t>Introduction to Logstash</t>
  </si>
  <si>
    <t>Hands-on guide for developers</t>
  </si>
  <si>
    <t>Applying Critical Thinking</t>
  </si>
  <si>
    <t>Case studies to help navigate workforce challenges</t>
  </si>
  <si>
    <t>2022-08-25</t>
  </si>
  <si>
    <t>Getting Started with Spring and Spring Boot</t>
  </si>
  <si>
    <t>Build, deploy, and monitor powerful server-side systems in Java</t>
  </si>
  <si>
    <t>2022-08-23</t>
  </si>
  <si>
    <t>IntelliJ IDEA</t>
  </si>
  <si>
    <t>IntelliJ Wizardry with Heinz Kabutz</t>
  </si>
  <si>
    <t>Elevate your coding with JetBrains AI Assistant and ChatGPT integration—streamline development, boost productivity.</t>
  </si>
  <si>
    <t>Web Scraping</t>
  </si>
  <si>
    <t>Advanced Web Scraping</t>
  </si>
  <si>
    <t>Personal Productivity</t>
  </si>
  <si>
    <t>Unlock your potential</t>
  </si>
  <si>
    <t>Use the method perfected by best-selling Harvard researchers to change the habits that hold you back</t>
  </si>
  <si>
    <t>2022-08-22</t>
  </si>
  <si>
    <t>Susanna Katsman</t>
  </si>
  <si>
    <t>Web Performance in 2 Weeks</t>
  </si>
  <si>
    <t>Optimize Core Web Vitals metrics</t>
  </si>
  <si>
    <t>2022-08-09</t>
  </si>
  <si>
    <t>Mobile Development</t>
  </si>
  <si>
    <t>Analyzing Risks in Your Software System</t>
  </si>
  <si>
    <t>Determining when and how apps will break</t>
  </si>
  <si>
    <t>2022-08-17</t>
  </si>
  <si>
    <t>Trading Stocks</t>
  </si>
  <si>
    <t>Nonlinear Machine Learning for Algorithmic Trading</t>
  </si>
  <si>
    <t>Train nonlinear algorithms to discover trading signals using Python</t>
  </si>
  <si>
    <t>Leadership communication skills for managers</t>
  </si>
  <si>
    <t>Learn how to best support, respond to, persuade, and inspire your team</t>
  </si>
  <si>
    <t>Java concurrency</t>
  </si>
  <si>
    <t>2021-11-22</t>
  </si>
  <si>
    <t>2021-11-18</t>
  </si>
  <si>
    <t>2021-11-15</t>
  </si>
  <si>
    <t>Linux for Developers in 3 Weeks</t>
  </si>
  <si>
    <t>Fundamental Linux skills</t>
  </si>
  <si>
    <t>2021-11-09</t>
  </si>
  <si>
    <t>John Bonesio</t>
  </si>
  <si>
    <t>Data Visualization in JavaScript and React</t>
  </si>
  <si>
    <t>How to Make Complex Data User-Friendly</t>
  </si>
  <si>
    <t>2021-11-08</t>
  </si>
  <si>
    <t>Kafka Streams</t>
  </si>
  <si>
    <t>Stream Processing with Kafka and Kafka Streams</t>
  </si>
  <si>
    <t>2021-11-04</t>
  </si>
  <si>
    <t>Mitch Seymour</t>
  </si>
  <si>
    <t>Software Architecture Hour: Patterns in Architecture with Unmesh Joshi</t>
  </si>
  <si>
    <t>Unmesh Joshi Neal Ford</t>
  </si>
  <si>
    <t>Software Architecture Superstream Series: Architecture Outside of Applications</t>
  </si>
  <si>
    <t>2021-11-03</t>
  </si>
  <si>
    <t>Machine Learning Statistics</t>
  </si>
  <si>
    <t>Intro to Statistics (Machine Learning Foundations)</t>
  </si>
  <si>
    <t>Evaluate ML Inputs and Outputs with the Essential Statistical Approaches</t>
  </si>
  <si>
    <t>2021-10-27</t>
  </si>
  <si>
    <t>Go in 3 Weeks</t>
  </si>
  <si>
    <t>2021-10-12</t>
  </si>
  <si>
    <t>2021-10-21</t>
  </si>
  <si>
    <t>2021-10-20</t>
  </si>
  <si>
    <t>Event-Driven Microservices</t>
  </si>
  <si>
    <t>Fundamentals of Event-Driven Microservices</t>
  </si>
  <si>
    <t>Building architecture to support your organization’s data</t>
  </si>
  <si>
    <t>2021-10-19</t>
  </si>
  <si>
    <t>Deep Learning for Algorithmic Trading</t>
  </si>
  <si>
    <t>Train artificial neural networks to discover trading signals using Python</t>
  </si>
  <si>
    <t>2021-10-05</t>
  </si>
  <si>
    <t>Building an ML/AI Pipeline with Kubeflow and MLflow</t>
  </si>
  <si>
    <t>Continuous machine learning and AI</t>
  </si>
  <si>
    <t>2021-09-28</t>
  </si>
  <si>
    <t>Antje Barth Chris Fregly</t>
  </si>
  <si>
    <t>2021-09-24</t>
  </si>
  <si>
    <t>Calculus Machine Learning</t>
  </si>
  <si>
    <t>Calculus IV: Gradients and Integrals (Machine Learning Foundations)</t>
  </si>
  <si>
    <t>Descend Gradients and Find the Area Under Curves Hands-on in Python</t>
  </si>
  <si>
    <t>2021-09-22</t>
  </si>
  <si>
    <t>AWS Certified Solutions Architect Associate (SAA-C02) Crash Course</t>
  </si>
  <si>
    <t>2021-09-20</t>
  </si>
  <si>
    <t>Kubernetes Intermediate in 3 Weeks</t>
  </si>
  <si>
    <t>2021-09-03</t>
  </si>
  <si>
    <t>Scalable Analytics with Apache Hadoop, Spark, and Kafka: Effective Data Pipelines</t>
  </si>
  <si>
    <t>Learn How to Apply Hadoop and Spark Tools to Predict Airline Delays</t>
  </si>
  <si>
    <t>2021-09-16</t>
  </si>
  <si>
    <t>Calculus III: Partial Derivatives (Machine Learning Foundations)</t>
  </si>
  <si>
    <t>Applying Multivariate Calculus to Compute Gradients on Paper and with Python</t>
  </si>
  <si>
    <t>2021-09-15</t>
  </si>
  <si>
    <t>MySQL</t>
  </si>
  <si>
    <t>Optimizing MySQL Performance</t>
  </si>
  <si>
    <t>2021-09-14</t>
  </si>
  <si>
    <t>Jose Luis Martínez Torres</t>
  </si>
  <si>
    <t>Java Essentials</t>
  </si>
  <si>
    <t>Start building your own Java applications</t>
  </si>
  <si>
    <t>2021-09-13</t>
  </si>
  <si>
    <t>Decentralized Finance (DeFi)</t>
  </si>
  <si>
    <t>Meet the Expert: Alexandra Damsker on Building the Future of Fintech with Decentralized Finance</t>
  </si>
  <si>
    <t>Explore the world of DeFi and the building blocks to getting started</t>
  </si>
  <si>
    <t>2021-09-09</t>
  </si>
  <si>
    <t>Alexandra Damsker</t>
  </si>
  <si>
    <t>Managing Kubernetes with Helm 3</t>
  </si>
  <si>
    <t>Stef Arnold</t>
  </si>
  <si>
    <t>Apache Spark PySpark</t>
  </si>
  <si>
    <t>Introduction to Apache Spark with Python</t>
  </si>
  <si>
    <t>Spark for Data Science: Scalable Applications with Python</t>
  </si>
  <si>
    <t>2021-09-01</t>
  </si>
  <si>
    <t>Jonathan Dinu</t>
  </si>
  <si>
    <t>C</t>
  </si>
  <si>
    <t>Getting Started with C</t>
  </si>
  <si>
    <t>Language Fundamentals</t>
  </si>
  <si>
    <t>Building Microservices with Containers</t>
  </si>
  <si>
    <t>2021-08-31</t>
  </si>
  <si>
    <t>Kubernetes Fundamentals in 3 Weeks</t>
  </si>
  <si>
    <t>2021-08-12</t>
  </si>
  <si>
    <t>Calculus II: Automatic Differentiation (Machine Learning Foundations)</t>
  </si>
  <si>
    <t>2021-08-18</t>
  </si>
  <si>
    <t>Apache Spark ML First Steps</t>
  </si>
  <si>
    <t>How to build your own machine learning model at scale</t>
  </si>
  <si>
    <t>2021-08-17</t>
  </si>
  <si>
    <t>Artificial intelligence: Real-world Applications</t>
  </si>
  <si>
    <t>2021-08-13</t>
  </si>
  <si>
    <t>Intro to Calculus (Machine Learning Foundations)</t>
  </si>
  <si>
    <t>2021-08-10</t>
  </si>
  <si>
    <t>AWS CloudFormation</t>
  </si>
  <si>
    <t>Beginner to Advanced</t>
  </si>
  <si>
    <t>2021-08-05</t>
  </si>
  <si>
    <t>Richard A. Jones</t>
  </si>
  <si>
    <t>Building Text Analytics Pipelines using NLP</t>
  </si>
  <si>
    <t>Intermediate Natural Language Processing</t>
  </si>
  <si>
    <t>2021-08-04</t>
  </si>
  <si>
    <t>Maryam Jahanshahi</t>
  </si>
  <si>
    <t>Supervised Learning</t>
  </si>
  <si>
    <t>Supervised Learning Demystified</t>
  </si>
  <si>
    <t>Fitting classification and regression models</t>
  </si>
  <si>
    <t>2021-08-03</t>
  </si>
  <si>
    <t>Tobi Bosede</t>
  </si>
  <si>
    <t>2021-07-20</t>
  </si>
  <si>
    <t>2021-07-29</t>
  </si>
  <si>
    <t>2021-07-28</t>
  </si>
  <si>
    <t>Infrastructure &amp; Ops Superstream Series: Microservices &amp; DevOps</t>
  </si>
  <si>
    <t>Building Microservices with React and AWS</t>
  </si>
  <si>
    <t>Building Applications on AWS with Microservices</t>
  </si>
  <si>
    <t>2021-07-27</t>
  </si>
  <si>
    <t>2021-07-22</t>
  </si>
  <si>
    <t>2021-07-21</t>
  </si>
  <si>
    <t>Software Architecture Superstream Series: Soft Skills Are the Hardest Part</t>
  </si>
  <si>
    <t>2021-07-14</t>
  </si>
  <si>
    <t>2021-07-12</t>
  </si>
  <si>
    <t>2021-07-01</t>
  </si>
  <si>
    <t>Cloud Platforms</t>
  </si>
  <si>
    <t>Getting Started with Google Cloud Platform (GCP)</t>
  </si>
  <si>
    <t>2021-06-28</t>
  </si>
  <si>
    <t>Microservices caching strategies</t>
  </si>
  <si>
    <t>Understanding Caching Topologies and Data Management</t>
  </si>
  <si>
    <t>2021-06-17</t>
  </si>
  <si>
    <t>Software Architecture Hour: Architecture Decision-Making with Michael Nygard</t>
  </si>
  <si>
    <t>2021-06-16</t>
  </si>
  <si>
    <t>Michael Nygard Neal Ford</t>
  </si>
  <si>
    <t>Web Performance Fundamentals</t>
  </si>
  <si>
    <t>2021-06-14</t>
  </si>
  <si>
    <t>React Deep Dive: User Authentication and Onboarding</t>
  </si>
  <si>
    <t>Get hands-on experience authenticating and on-boarding your users</t>
  </si>
  <si>
    <t>2021-06-10</t>
  </si>
  <si>
    <t>2021-06-09</t>
  </si>
  <si>
    <t>Elastic Stack (ELK Stack)</t>
  </si>
  <si>
    <t>Elastic Stack: First Steps</t>
  </si>
  <si>
    <t>A hands-on guide</t>
  </si>
  <si>
    <t>2021-06-08</t>
  </si>
  <si>
    <t>Learn React 16 on the Spot</t>
  </si>
  <si>
    <t>2021-06-07</t>
  </si>
  <si>
    <t>2021-06-03</t>
  </si>
  <si>
    <t>Advanced Machine Learning: Create Real-World ML Projects</t>
  </si>
  <si>
    <t>Develop Your Own Face Recognizer, Text Analyzer, Network Security Checker and Stock Market Predictor</t>
  </si>
  <si>
    <t>2021-06-02</t>
  </si>
  <si>
    <t>Python for Finance in 2 Weeks</t>
  </si>
  <si>
    <t>From basics to advanced modeling in finance with Python</t>
  </si>
  <si>
    <t>2021-05-26</t>
  </si>
  <si>
    <t>Software Development</t>
  </si>
  <si>
    <t>Practical Software Design from Problem to Solution</t>
  </si>
  <si>
    <t>2021-06-01</t>
  </si>
  <si>
    <t>Elasticsearch: Next Steps</t>
  </si>
  <si>
    <t>2021-05-27</t>
  </si>
  <si>
    <t>2021-05-25</t>
  </si>
  <si>
    <t>2021-05-24</t>
  </si>
  <si>
    <t>React Deep Dive: State Management</t>
  </si>
  <si>
    <t>Get hands-on experience with the React’s many state-management tools</t>
  </si>
  <si>
    <t>2021-05-21</t>
  </si>
  <si>
    <t>James Powell</t>
  </si>
  <si>
    <t>React Deep Dive: Billing &amp; Payment Processing</t>
  </si>
  <si>
    <t>Make money by learning how to process payments in React applications</t>
  </si>
  <si>
    <t>2021-05-20</t>
  </si>
  <si>
    <t>Microservice fundamentals</t>
  </si>
  <si>
    <t>Understanding the power and complexity of microservice architectures</t>
  </si>
  <si>
    <t>2021-05-18</t>
  </si>
  <si>
    <t>Algorithmic risk management in trading and investing</t>
  </si>
  <si>
    <t>Analyze and manage your financial risks using Python</t>
  </si>
  <si>
    <t>2021-05-17</t>
  </si>
  <si>
    <t>Software Architecture Restructuring and Migration</t>
  </si>
  <si>
    <t>2021-05-14</t>
  </si>
  <si>
    <t>Python Advanced: Generators and Coroutines</t>
  </si>
  <si>
    <t>2021-05-10</t>
  </si>
  <si>
    <t>User Experience Design: Implemented</t>
  </si>
  <si>
    <t>2021-05-06</t>
  </si>
  <si>
    <t>Design Patterns in 3 Weeks</t>
  </si>
  <si>
    <t>2021-04-15</t>
  </si>
  <si>
    <t>Creating Enterprise Applications with React</t>
  </si>
  <si>
    <t>Take Your React Skills to the Next Level</t>
  </si>
  <si>
    <t>2021-03-25</t>
  </si>
  <si>
    <t>Meet the Expert: Blockchain Best Practices with John Hargrave and Evan Karnoupakis</t>
  </si>
  <si>
    <t>How to build a successful blockchain, with real-life case studies</t>
  </si>
  <si>
    <t>2021-03-23</t>
  </si>
  <si>
    <t>John Hargrave Evan Karnoupakis</t>
  </si>
  <si>
    <t>AI Superstream Series: AI &amp; ML in Production</t>
  </si>
  <si>
    <t>2021-03-17</t>
  </si>
  <si>
    <t>Strata Data Superstream Series: Data Science Fundamentals</t>
  </si>
  <si>
    <t>2021-02-09</t>
  </si>
  <si>
    <t>Fraud analytics using Python</t>
  </si>
  <si>
    <t>Design and develop machine learning models to catch fraudsters</t>
  </si>
  <si>
    <t>2021-02-04</t>
  </si>
  <si>
    <t>Harshit Tyagi</t>
  </si>
  <si>
    <t>2021-01-25</t>
  </si>
  <si>
    <t>Software Architecture Superstream Series: Architecture Meets Data</t>
  </si>
  <si>
    <t>2021-01-20</t>
  </si>
  <si>
    <t>2021-01-15</t>
  </si>
  <si>
    <t>2021-01-04</t>
  </si>
  <si>
    <t>Applying critical thinking</t>
  </si>
  <si>
    <t>2020-12-08</t>
  </si>
  <si>
    <t>Microservices Architecture and Design</t>
  </si>
  <si>
    <t>Understanding core concepts, challenges, and hybrid architectures</t>
  </si>
  <si>
    <t>2020-12-01</t>
  </si>
  <si>
    <t>2020-11-30</t>
  </si>
  <si>
    <t>2020-11-20</t>
  </si>
  <si>
    <t>Penetration Testing / Ethical Hacking</t>
  </si>
  <si>
    <t>Intense Introduction to Hacking Web Applications</t>
  </si>
  <si>
    <t>2020-11-16</t>
  </si>
  <si>
    <t>2020-11-13</t>
  </si>
  <si>
    <t>Intro to Mathematical Optimization</t>
  </si>
  <si>
    <t>2020-11-11</t>
  </si>
  <si>
    <t>2020-11-10</t>
  </si>
  <si>
    <t>Job Seeking</t>
  </si>
  <si>
    <t>Job Search Strategies: How to Identify and Land Your Next Job</t>
  </si>
  <si>
    <t>7 steps to creating an effective job search system</t>
  </si>
  <si>
    <t>2020-11-04</t>
  </si>
  <si>
    <t>AWS Infrastructure Bootcamp</t>
  </si>
  <si>
    <t>2020-10-06</t>
  </si>
  <si>
    <t>React with Serverless</t>
  </si>
  <si>
    <t>Utilize serverless functions with React</t>
  </si>
  <si>
    <t>2020-10-21</t>
  </si>
  <si>
    <t>PyTest Tricks and Tips</t>
  </si>
  <si>
    <t>Robust code with the best testing techniques</t>
  </si>
  <si>
    <t>2020-10-15</t>
  </si>
  <si>
    <t>Noah Gift Alfredo Deza</t>
  </si>
  <si>
    <t>Building micro-frontends</t>
  </si>
  <si>
    <t>Scaling projects and teams in the frontend ecosystem</t>
  </si>
  <si>
    <t>2020-10-12</t>
  </si>
  <si>
    <t>Luca Mezzalira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</si>
</sst>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14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HYPERLINK("https://learning.oreilly.com/live-events/chatgpt-for-data-analytics/0636920094217/0636920099627", "0636920099627")</f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f>HYPERLINK("https://learning.oreilly.com/live-events/github-copilot-jumpstart/0636920098298/0636920098297", "0636920098297")</f>
        <v>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>
      <c r="A4">
        <f>HYPERLINK("https://learning.oreilly.com/live-events/ai-superstream-large-language-models/0636920089182/0636920089181", "0636920089181")</f>
        <v>0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</row>
    <row r="5" spans="1:6">
      <c r="A5">
        <f>HYPERLINK("https://learning.oreilly.com/live-events/build-a-discord-bot-in-python/0636920097621/0636920097620", "0636920097620")</f>
        <v>0</v>
      </c>
      <c r="B5" t="s">
        <v>21</v>
      </c>
      <c r="C5" t="s">
        <v>22</v>
      </c>
      <c r="D5" t="s">
        <v>23</v>
      </c>
      <c r="E5" t="s">
        <v>19</v>
      </c>
      <c r="F5" t="s">
        <v>24</v>
      </c>
    </row>
    <row r="6" spans="1:6">
      <c r="A6">
        <f>HYPERLINK("https://learning.oreilly.com/live-events/essential-math-for-data-science-in-4-weekswith-interactivity/0636920095384/0636920095383", "0636920095383")</f>
        <v>0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</row>
    <row r="7" spans="1:6">
      <c r="A7">
        <f>HYPERLINK("https://learning.oreilly.com/live-events/certified-iso-31000-internal-controls-risk-analyst-cicra-crash-superreview-by-allen-keele/0636920071393/0636920097120", "0636920097120")</f>
        <v>0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</row>
    <row r="8" spans="1:6">
      <c r="A8">
        <f>HYPERLINK("https://learning.oreilly.com/live-events/kubernetes-threat-modeling/0636920055610/0636920097602", "0636920097602")</f>
        <v>0</v>
      </c>
      <c r="B8" t="s">
        <v>35</v>
      </c>
      <c r="C8" t="s">
        <v>36</v>
      </c>
      <c r="D8" t="s">
        <v>37</v>
      </c>
      <c r="E8" t="s">
        <v>33</v>
      </c>
      <c r="F8" t="s">
        <v>38</v>
      </c>
    </row>
    <row r="9" spans="1:6">
      <c r="A9">
        <f>HYPERLINK("https://learning.oreilly.com/live-events/mathematics-for-quantum-computing/0636920360858/0636920095950", "0636920095950")</f>
        <v>0</v>
      </c>
      <c r="B9" t="s">
        <v>39</v>
      </c>
      <c r="C9" t="s">
        <v>40</v>
      </c>
      <c r="D9" t="s">
        <v>41</v>
      </c>
      <c r="E9" t="s">
        <v>33</v>
      </c>
      <c r="F9" t="s">
        <v>42</v>
      </c>
    </row>
    <row r="10" spans="1:6">
      <c r="A10">
        <f>HYPERLINK("https://learning.oreilly.com/live-events/ai-project-management/0636920095493/0636920095492", "0636920095492")</f>
        <v>0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</row>
    <row r="11" spans="1:6">
      <c r="A11">
        <f>HYPERLINK("https://learning.oreilly.com/live-events/aws-certified-solutions-architect-associate-saa-c03-crash-course/0636920078770/0636920096257", "0636920096257")</f>
        <v>0</v>
      </c>
      <c r="B11" t="s">
        <v>48</v>
      </c>
      <c r="C11" t="s">
        <v>49</v>
      </c>
      <c r="D11" t="s">
        <v>50</v>
      </c>
      <c r="E11" t="s">
        <v>51</v>
      </c>
      <c r="F11" t="s">
        <v>52</v>
      </c>
    </row>
    <row r="12" spans="1:6">
      <c r="A12">
        <f>HYPERLINK("https://learning.oreilly.com/live-events/typescript-in-4-weeks/0636920090166/0636920092422", "0636920092422")</f>
        <v>0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</row>
    <row r="13" spans="1:6">
      <c r="A13">
        <f>HYPERLINK("https://learning.oreilly.com/live-events/uipath-fundamentals/0636920094435/0636920094434", "0636920094434")</f>
        <v>0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6">
      <c r="A14">
        <f>HYPERLINK("https://learning.oreilly.com/live-events/linux-security-from-basics-to-guru/0636920095339/0636920095338", "0636920095338")</f>
        <v>0</v>
      </c>
      <c r="B14" t="s">
        <v>63</v>
      </c>
      <c r="C14" t="s">
        <v>64</v>
      </c>
      <c r="D14" t="s">
        <v>65</v>
      </c>
      <c r="E14" t="s">
        <v>61</v>
      </c>
      <c r="F14" t="s">
        <v>66</v>
      </c>
    </row>
    <row r="15" spans="1:6">
      <c r="A15">
        <f>HYPERLINK("https://learning.oreilly.com/live-events/cloud-superstream-sustainability-in-the-cloud/0636920089194/0636920089192", "0636920089192")</f>
        <v>0</v>
      </c>
      <c r="B15" t="s">
        <v>35</v>
      </c>
      <c r="C15" t="s">
        <v>67</v>
      </c>
      <c r="D15" t="s">
        <v>68</v>
      </c>
      <c r="E15" t="s">
        <v>69</v>
      </c>
      <c r="F15" t="s">
        <v>70</v>
      </c>
    </row>
    <row r="16" spans="1:6">
      <c r="A16">
        <f>HYPERLINK("https://learning.oreilly.com/live-events/linux-troubleshooting-advanced-linux-techniques/0636920163169/0636920095341", "0636920095341")</f>
        <v>0</v>
      </c>
      <c r="B16" t="s">
        <v>63</v>
      </c>
      <c r="C16" t="s">
        <v>71</v>
      </c>
      <c r="D16" t="s">
        <v>72</v>
      </c>
      <c r="E16" t="s">
        <v>69</v>
      </c>
      <c r="F16" t="s">
        <v>66</v>
      </c>
    </row>
    <row r="17" spans="1:6">
      <c r="A17">
        <f>HYPERLINK("https://learning.oreilly.com/live-events/machine-learning-for-blue-teams/0636920077324/0636920093786", "0636920093786")</f>
        <v>0</v>
      </c>
      <c r="B17" t="s">
        <v>73</v>
      </c>
      <c r="C17" t="s">
        <v>74</v>
      </c>
      <c r="D17" t="s">
        <v>75</v>
      </c>
      <c r="E17" t="s">
        <v>28</v>
      </c>
      <c r="F17" t="s">
        <v>76</v>
      </c>
    </row>
    <row r="18" spans="1:6">
      <c r="A18">
        <f>HYPERLINK("https://learning.oreilly.com/live-events/ai-catalyst-conference-building-commercially-successful-llm-applications/0636920098514/0636920098513", "0636920098513")</f>
        <v>0</v>
      </c>
      <c r="B18" t="s">
        <v>16</v>
      </c>
      <c r="C18" t="s">
        <v>77</v>
      </c>
      <c r="D18" t="s">
        <v>78</v>
      </c>
      <c r="E18" t="s">
        <v>79</v>
      </c>
      <c r="F18" t="s">
        <v>80</v>
      </c>
    </row>
    <row r="19" spans="1:6">
      <c r="A19">
        <f>HYPERLINK("https://learning.oreilly.com/live-events/ipv4-subnetting-from-beginning-to-mastery/0636920141563/0636920096942", "0636920096942")</f>
        <v>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</row>
    <row r="20" spans="1:6">
      <c r="A20">
        <f>HYPERLINK("https://learning.oreilly.com/live-events/jumpstart-your-ai-career/0636920096182/0636920096181", "0636920096181")</f>
        <v>0</v>
      </c>
      <c r="B20" t="s">
        <v>86</v>
      </c>
      <c r="C20" t="s">
        <v>87</v>
      </c>
      <c r="D20" t="s">
        <v>88</v>
      </c>
      <c r="E20" t="s">
        <v>89</v>
      </c>
      <c r="F20" t="s">
        <v>90</v>
      </c>
    </row>
    <row r="21" spans="1:6">
      <c r="A21">
        <f>HYPERLINK("https://learning.oreilly.com/live-events/the-power-of-storytelling/0636920091765/0636920096926", "0636920096926")</f>
        <v>0</v>
      </c>
      <c r="B21" t="s">
        <v>91</v>
      </c>
      <c r="C21" t="s">
        <v>92</v>
      </c>
      <c r="D21" t="s">
        <v>93</v>
      </c>
      <c r="E21" t="s">
        <v>94</v>
      </c>
      <c r="F21" t="s">
        <v>95</v>
      </c>
    </row>
    <row r="22" spans="1:6">
      <c r="A22">
        <f>HYPERLINK("https://learning.oreilly.com/live-events/software-architecture-superstream-data-architecture-styles-and-patterns/0636920089178/0636920089177", "0636920089177")</f>
        <v>0</v>
      </c>
      <c r="B22" t="s">
        <v>96</v>
      </c>
      <c r="C22" t="s">
        <v>97</v>
      </c>
      <c r="D22" t="s">
        <v>98</v>
      </c>
      <c r="E22" t="s">
        <v>99</v>
      </c>
      <c r="F22" t="s">
        <v>100</v>
      </c>
    </row>
    <row r="23" spans="1:6">
      <c r="A23">
        <f>HYPERLINK("https://learning.oreilly.com/live-events/python-web-development-in-3-weeks/0636920095457/0636920095456", "0636920095456")</f>
        <v>0</v>
      </c>
      <c r="B23" t="s">
        <v>101</v>
      </c>
      <c r="C23" t="s">
        <v>102</v>
      </c>
      <c r="D23" t="s">
        <v>103</v>
      </c>
      <c r="E23" t="s">
        <v>104</v>
      </c>
      <c r="F23" t="s">
        <v>105</v>
      </c>
    </row>
    <row r="24" spans="1:6">
      <c r="A24">
        <f>HYPERLINK("https://learning.oreilly.com/live-events/how-the-internet-really-works/0636920507659/0636920096043", "0636920096043")</f>
        <v>0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</row>
    <row r="25" spans="1:6">
      <c r="A25">
        <f>HYPERLINK("https://learning.oreilly.com/live-events/data-science-horror-stories/0636920094258/0636920094257", "0636920094257")</f>
        <v>0</v>
      </c>
      <c r="B25" t="s">
        <v>25</v>
      </c>
      <c r="C25" t="s">
        <v>111</v>
      </c>
      <c r="D25" t="s">
        <v>112</v>
      </c>
      <c r="E25" t="s">
        <v>113</v>
      </c>
      <c r="F25" t="s">
        <v>114</v>
      </c>
    </row>
    <row r="26" spans="1:6">
      <c r="A26">
        <f>HYPERLINK("https://learning.oreilly.com/live-events/image-generation-using-stable-diffusion-and-midjourney/0636920083040/0636920094909", "0636920094909")</f>
        <v>0</v>
      </c>
      <c r="B26" t="s">
        <v>115</v>
      </c>
      <c r="C26" t="s">
        <v>116</v>
      </c>
      <c r="D26" t="s">
        <v>117</v>
      </c>
      <c r="E26" t="s">
        <v>118</v>
      </c>
      <c r="F26" t="s">
        <v>119</v>
      </c>
    </row>
    <row r="27" spans="1:6">
      <c r="A27">
        <f>HYPERLINK("https://learning.oreilly.com/live-events/decentralized-ai-blockchain-in-a-centralized-ai-world/0636920095636/0636920095635", "0636920095635")</f>
        <v>0</v>
      </c>
      <c r="B27" t="s">
        <v>120</v>
      </c>
      <c r="C27" t="s">
        <v>121</v>
      </c>
      <c r="D27" t="s">
        <v>122</v>
      </c>
      <c r="E27" t="s">
        <v>118</v>
      </c>
      <c r="F27" t="s">
        <v>123</v>
      </c>
    </row>
    <row r="28" spans="1:6">
      <c r="A28">
        <f>HYPERLINK("https://learning.oreilly.com/live-events/ansible-beyond-the-basics-in-3-weeks/0636920066513/0636920093907", "0636920093907")</f>
        <v>0</v>
      </c>
      <c r="B28" t="s">
        <v>124</v>
      </c>
      <c r="C28" t="s">
        <v>125</v>
      </c>
      <c r="D28" t="s">
        <v>126</v>
      </c>
      <c r="E28" t="s">
        <v>127</v>
      </c>
      <c r="F28" t="s">
        <v>66</v>
      </c>
    </row>
    <row r="29" spans="1:6">
      <c r="A29">
        <f>HYPERLINK("https://learning.oreilly.com/live-events/oreilly-book-club-lewis-tunstall-and-leandro-von-werra-on-natural-language-processing-with-transformers/0636920096236/0636920096235", "0636920096235")</f>
        <v>0</v>
      </c>
      <c r="B29" t="s">
        <v>128</v>
      </c>
      <c r="C29" t="s">
        <v>129</v>
      </c>
      <c r="D29" t="s">
        <v>130</v>
      </c>
      <c r="E29" t="s">
        <v>131</v>
      </c>
      <c r="F29" t="s">
        <v>132</v>
      </c>
    </row>
    <row r="30" spans="1:6">
      <c r="A30">
        <f>HYPERLINK("https://learning.oreilly.com/live-events/certified-kubernetes-security-specialist-cks-crash-course/0636920072272/0636920091249", "0636920091249")</f>
        <v>0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</row>
    <row r="31" spans="1:6">
      <c r="A31">
        <f>HYPERLINK("https://learning.oreilly.com/live-events/terraform-bootcamp-in-3-weeks/0636920085795/0636920091801", "0636920091801")</f>
        <v>0</v>
      </c>
      <c r="B31" t="s">
        <v>138</v>
      </c>
      <c r="C31" t="s">
        <v>139</v>
      </c>
      <c r="D31" t="s">
        <v>140</v>
      </c>
      <c r="E31" t="s">
        <v>104</v>
      </c>
      <c r="F31" t="s">
        <v>141</v>
      </c>
    </row>
    <row r="32" spans="1:6">
      <c r="A32">
        <f>HYPERLINK("https://learning.oreilly.com/live-events/containers-a-z/0636920059864/0636920094848", "0636920094848")</f>
        <v>0</v>
      </c>
      <c r="B32" t="s">
        <v>142</v>
      </c>
      <c r="C32" t="s">
        <v>143</v>
      </c>
      <c r="D32" t="s">
        <v>144</v>
      </c>
      <c r="E32" t="s">
        <v>145</v>
      </c>
      <c r="F32" t="s">
        <v>146</v>
      </c>
    </row>
    <row r="33" spans="1:6">
      <c r="A33">
        <f>HYPERLINK("https://learning.oreilly.com/live-events/data-product-development-bootcamp/0636920093637/0636920093636", "0636920093636")</f>
        <v>0</v>
      </c>
      <c r="B33" t="s">
        <v>147</v>
      </c>
      <c r="C33" t="s">
        <v>148</v>
      </c>
      <c r="D33" t="s">
        <v>149</v>
      </c>
      <c r="E33" t="s">
        <v>145</v>
      </c>
      <c r="F33" t="s">
        <v>150</v>
      </c>
    </row>
    <row r="34" spans="1:6">
      <c r="A34">
        <f>HYPERLINK("https://learning.oreilly.com/live-events/visualization-and-presentation-of-data/0636920059155/0636920093545", "0636920093545")</f>
        <v>0</v>
      </c>
      <c r="B34" t="s">
        <v>151</v>
      </c>
      <c r="C34" t="s">
        <v>152</v>
      </c>
      <c r="D34" t="s">
        <v>153</v>
      </c>
      <c r="E34" t="s">
        <v>154</v>
      </c>
      <c r="F34" t="s">
        <v>155</v>
      </c>
    </row>
    <row r="35" spans="1:6">
      <c r="A35">
        <f>HYPERLINK("https://learning.oreilly.com/live-events/generative-ai-for-government/0636920095003/0636920095001", "0636920095001")</f>
        <v>0</v>
      </c>
      <c r="B35" t="s">
        <v>86</v>
      </c>
      <c r="C35" t="s">
        <v>156</v>
      </c>
      <c r="D35" t="s">
        <v>157</v>
      </c>
      <c r="E35" t="s">
        <v>154</v>
      </c>
      <c r="F35" t="s">
        <v>158</v>
      </c>
    </row>
    <row r="36" spans="1:6">
      <c r="A36">
        <f>HYPERLINK("https://learning.oreilly.com/live-events/ai-governance-in-3-weeks/0636920091400/0636920097637", "0636920097637")</f>
        <v>0</v>
      </c>
      <c r="B36" t="s">
        <v>86</v>
      </c>
      <c r="C36" t="s">
        <v>159</v>
      </c>
      <c r="D36" t="s">
        <v>160</v>
      </c>
      <c r="E36" t="s">
        <v>161</v>
      </c>
      <c r="F36" t="s">
        <v>162</v>
      </c>
    </row>
    <row r="37" spans="1:6">
      <c r="A37">
        <f>HYPERLINK("https://learning.oreilly.com/live-events/azure-network-engineer-associate-az-700-bootcamp/0636920091389/0636920094752", "0636920094752")</f>
        <v>0</v>
      </c>
      <c r="B37" t="s">
        <v>163</v>
      </c>
      <c r="C37" t="s">
        <v>164</v>
      </c>
      <c r="E37" t="s">
        <v>165</v>
      </c>
      <c r="F37" t="s">
        <v>166</v>
      </c>
    </row>
    <row r="38" spans="1:6">
      <c r="A38">
        <f>HYPERLINK("https://learning.oreilly.com/live-events/mastering-systemd/0636920436324/0636920093895", "0636920093895")</f>
        <v>0</v>
      </c>
      <c r="B38" t="s">
        <v>63</v>
      </c>
      <c r="C38" t="s">
        <v>167</v>
      </c>
      <c r="E38" t="s">
        <v>165</v>
      </c>
      <c r="F38" t="s">
        <v>66</v>
      </c>
    </row>
    <row r="39" spans="1:6">
      <c r="A39">
        <f>HYPERLINK("https://learning.oreilly.com/live-events/reinforcement-learning-with-large-language-models/0636920095685/0636920095684", "0636920095684")</f>
        <v>0</v>
      </c>
      <c r="B39" t="s">
        <v>168</v>
      </c>
      <c r="C39" t="s">
        <v>169</v>
      </c>
      <c r="D39" t="s">
        <v>170</v>
      </c>
      <c r="E39" t="s">
        <v>171</v>
      </c>
      <c r="F39" t="s">
        <v>172</v>
      </c>
    </row>
    <row r="40" spans="1:6">
      <c r="A40">
        <f>HYPERLINK("https://learning.oreilly.com/live-events/spot-the-mistake-in-this-react-dashboard/0636920095647/0636920095646", "0636920095646")</f>
        <v>0</v>
      </c>
      <c r="B40" t="s">
        <v>173</v>
      </c>
      <c r="C40" t="s">
        <v>174</v>
      </c>
      <c r="D40" t="s">
        <v>175</v>
      </c>
      <c r="E40" t="s">
        <v>176</v>
      </c>
      <c r="F40" t="s">
        <v>24</v>
      </c>
    </row>
    <row r="41" spans="1:6">
      <c r="A41">
        <f>HYPERLINK("https://learning.oreilly.com/live-events/linux-certification-labs-workshop/0636920096425/0636920096424", "0636920096424")</f>
        <v>0</v>
      </c>
      <c r="B41" t="s">
        <v>63</v>
      </c>
      <c r="C41" t="s">
        <v>177</v>
      </c>
      <c r="D41" t="s">
        <v>178</v>
      </c>
      <c r="E41" t="s">
        <v>179</v>
      </c>
      <c r="F41" t="s">
        <v>66</v>
      </c>
    </row>
    <row r="42" spans="1:6">
      <c r="A42">
        <f>HYPERLINK("https://learning.oreilly.com/live-events/c20-full-throttle-with-paul-deitel/0636920092682/0636920095713", "0636920095713")</f>
        <v>0</v>
      </c>
      <c r="B42" t="s">
        <v>180</v>
      </c>
      <c r="C42" t="s">
        <v>181</v>
      </c>
      <c r="D42" t="s">
        <v>182</v>
      </c>
      <c r="E42" t="s">
        <v>127</v>
      </c>
      <c r="F42" t="s">
        <v>183</v>
      </c>
    </row>
    <row r="43" spans="1:6">
      <c r="A43">
        <f>HYPERLINK("https://learning.oreilly.com/live-events/basic-introduction-to-quantum-computing/0636920360872/0636920095899", "0636920095899")</f>
        <v>0</v>
      </c>
      <c r="B43" t="s">
        <v>39</v>
      </c>
      <c r="C43" t="s">
        <v>184</v>
      </c>
      <c r="D43" t="s">
        <v>185</v>
      </c>
      <c r="E43" t="s">
        <v>186</v>
      </c>
      <c r="F43" t="s">
        <v>42</v>
      </c>
    </row>
    <row r="44" spans="1:6">
      <c r="A44">
        <f>HYPERLINK("https://learning.oreilly.com/live-events/spot-the-error-in-this-shell-script/0636920095642/0636920095641", "0636920095641")</f>
        <v>0</v>
      </c>
      <c r="B44" t="s">
        <v>187</v>
      </c>
      <c r="C44" t="s">
        <v>188</v>
      </c>
      <c r="D44" t="s">
        <v>189</v>
      </c>
      <c r="E44" t="s">
        <v>104</v>
      </c>
      <c r="F44" t="s">
        <v>24</v>
      </c>
    </row>
    <row r="45" spans="1:6">
      <c r="A45">
        <f>HYPERLINK("https://learning.oreilly.com/live-events/how-to-talk-about-data/0636920095665/0636920095664", "0636920095664")</f>
        <v>0</v>
      </c>
      <c r="B45" t="s">
        <v>190</v>
      </c>
      <c r="C45" t="s">
        <v>191</v>
      </c>
      <c r="D45" t="s">
        <v>192</v>
      </c>
      <c r="E45" t="s">
        <v>104</v>
      </c>
      <c r="F45" t="s">
        <v>193</v>
      </c>
    </row>
    <row r="46" spans="1:6">
      <c r="A46">
        <f>HYPERLINK("https://learning.oreilly.com/live-events/llms-from-prototypes-to-production/0636920095639/0636920095638", "0636920095638")</f>
        <v>0</v>
      </c>
      <c r="B46" t="s">
        <v>194</v>
      </c>
      <c r="C46" t="s">
        <v>195</v>
      </c>
      <c r="D46" t="s">
        <v>196</v>
      </c>
      <c r="E46" t="s">
        <v>197</v>
      </c>
      <c r="F46" t="s">
        <v>172</v>
      </c>
    </row>
    <row r="47" spans="1:6">
      <c r="A47">
        <f>HYPERLINK("https://learning.oreilly.com/live-events/microsoft-azure-openai-for-devops/0636920095650/0636920095649", "0636920095649")</f>
        <v>0</v>
      </c>
      <c r="B47" t="s">
        <v>198</v>
      </c>
      <c r="C47" t="s">
        <v>199</v>
      </c>
      <c r="D47" t="s">
        <v>200</v>
      </c>
      <c r="E47" t="s">
        <v>197</v>
      </c>
      <c r="F47" t="s">
        <v>201</v>
      </c>
    </row>
    <row r="48" spans="1:6">
      <c r="A48">
        <f>HYPERLINK("https://learning.oreilly.com/live-events/kubernetes-monitoring-and-observability/0636920095681/0636920095680", "0636920095680")</f>
        <v>0</v>
      </c>
      <c r="B48" t="s">
        <v>202</v>
      </c>
      <c r="C48" t="s">
        <v>203</v>
      </c>
      <c r="D48" t="s">
        <v>204</v>
      </c>
      <c r="E48" t="s">
        <v>197</v>
      </c>
      <c r="F48" t="s">
        <v>205</v>
      </c>
    </row>
    <row r="49" spans="1:6">
      <c r="A49">
        <f>HYPERLINK("https://learning.oreilly.com/live-events/visual-design-thinking-for-software-requirements/0636920077085/0636920096079", "0636920096079")</f>
        <v>0</v>
      </c>
      <c r="B49" t="s">
        <v>96</v>
      </c>
      <c r="C49" t="s">
        <v>206</v>
      </c>
      <c r="D49" t="s">
        <v>207</v>
      </c>
      <c r="E49" t="s">
        <v>208</v>
      </c>
      <c r="F49" t="s">
        <v>209</v>
      </c>
    </row>
    <row r="50" spans="1:6">
      <c r="A50">
        <f>HYPERLINK("https://learning.oreilly.com/live-events/generative-artificial-intelligence-with-the-openai-api-for-developers/0636920095687/0636920095686", "0636920095686")</f>
        <v>0</v>
      </c>
      <c r="B50" t="s">
        <v>210</v>
      </c>
      <c r="C50" t="s">
        <v>211</v>
      </c>
      <c r="D50" t="s">
        <v>212</v>
      </c>
      <c r="E50" t="s">
        <v>161</v>
      </c>
      <c r="F50" t="s">
        <v>213</v>
      </c>
    </row>
    <row r="51" spans="1:6">
      <c r="A51">
        <f>HYPERLINK("https://learning.oreilly.com/live-events/aws-security-deep-dive-vpcs-networking-and-ddos-mitigation/0636920072958/0636920095954", "0636920095954")</f>
        <v>0</v>
      </c>
      <c r="B51" t="s">
        <v>214</v>
      </c>
      <c r="C51" t="s">
        <v>215</v>
      </c>
      <c r="D51" t="s">
        <v>216</v>
      </c>
      <c r="E51" t="s">
        <v>217</v>
      </c>
      <c r="F51" t="s">
        <v>218</v>
      </c>
    </row>
    <row r="52" spans="1:6">
      <c r="A52">
        <f>HYPERLINK("https://learning.oreilly.com/live-events/ccsp-certified-cloud-security-professional-crash-course/0636920066432/0636920095061", "0636920095061")</f>
        <v>0</v>
      </c>
      <c r="B52" t="s">
        <v>219</v>
      </c>
      <c r="C52" t="s">
        <v>220</v>
      </c>
      <c r="E52" t="s">
        <v>221</v>
      </c>
      <c r="F52" t="s">
        <v>222</v>
      </c>
    </row>
    <row r="53" spans="1:6">
      <c r="A53">
        <f>HYPERLINK("https://learning.oreilly.com/live-events/prescriptive-analytics/0636920094905/0636920094904", "0636920094904")</f>
        <v>0</v>
      </c>
      <c r="B53" t="s">
        <v>223</v>
      </c>
      <c r="C53" t="s">
        <v>223</v>
      </c>
      <c r="D53" t="s">
        <v>224</v>
      </c>
      <c r="E53" t="s">
        <v>221</v>
      </c>
      <c r="F53" t="s">
        <v>225</v>
      </c>
    </row>
    <row r="54" spans="1:6">
      <c r="A54">
        <f>HYPERLINK("https://learning.oreilly.com/live-events/power-bi-bootcamp/0636920075690/0636920093610", "0636920093610")</f>
        <v>0</v>
      </c>
      <c r="B54" t="s">
        <v>226</v>
      </c>
      <c r="C54" t="s">
        <v>227</v>
      </c>
      <c r="D54" t="s">
        <v>228</v>
      </c>
      <c r="E54" t="s">
        <v>229</v>
      </c>
      <c r="F54" t="s">
        <v>230</v>
      </c>
    </row>
    <row r="55" spans="1:6">
      <c r="A55">
        <f>HYPERLINK("https://learning.oreilly.com/live-events/kubernetes-and-cloud-security-associate-kcsa-crash-course/0636920090995/0636920090994", "0636920090994")</f>
        <v>0</v>
      </c>
      <c r="B55" t="s">
        <v>231</v>
      </c>
      <c r="C55" t="s">
        <v>232</v>
      </c>
      <c r="D55" t="s">
        <v>233</v>
      </c>
      <c r="E55" t="s">
        <v>234</v>
      </c>
      <c r="F55" t="s">
        <v>205</v>
      </c>
    </row>
    <row r="56" spans="1:6">
      <c r="A56">
        <f>HYPERLINK("https://learning.oreilly.com/live-events/databricks-data-engineer-associate-certification-prep-in-2-weeks/0636920093415/0636920093414", "0636920093414")</f>
        <v>0</v>
      </c>
      <c r="B56" t="s">
        <v>235</v>
      </c>
      <c r="C56" t="s">
        <v>236</v>
      </c>
      <c r="E56" t="s">
        <v>237</v>
      </c>
      <c r="F56" t="s">
        <v>238</v>
      </c>
    </row>
    <row r="57" spans="1:6">
      <c r="A57">
        <f>HYPERLINK("https://learning.oreilly.com/live-events/generative-ai-for-finance/0636920094994/0636920094993", "0636920094993")</f>
        <v>0</v>
      </c>
      <c r="B57" t="s">
        <v>16</v>
      </c>
      <c r="C57" t="s">
        <v>239</v>
      </c>
      <c r="D57" t="s">
        <v>240</v>
      </c>
      <c r="E57" t="s">
        <v>234</v>
      </c>
      <c r="F57" t="s">
        <v>241</v>
      </c>
    </row>
    <row r="58" spans="1:6">
      <c r="A58">
        <f>HYPERLINK("https://learning.oreilly.com/live-events/developing-cloud-native-apps-with-azure-openai-service/0636920093639/0636920093638", "0636920093638")</f>
        <v>0</v>
      </c>
      <c r="B58" t="s">
        <v>242</v>
      </c>
      <c r="C58" t="s">
        <v>243</v>
      </c>
      <c r="D58" t="s">
        <v>244</v>
      </c>
      <c r="E58" t="s">
        <v>234</v>
      </c>
      <c r="F58" t="s">
        <v>47</v>
      </c>
    </row>
    <row r="59" spans="1:6">
      <c r="A59">
        <f>HYPERLINK("https://learning.oreilly.com/live-events/mastering-power-query-with-microsoft-excel/0636920093148/0636920093147", "0636920093147")</f>
        <v>0</v>
      </c>
      <c r="B59" t="s">
        <v>245</v>
      </c>
      <c r="C59" t="s">
        <v>246</v>
      </c>
      <c r="D59" t="s">
        <v>247</v>
      </c>
      <c r="E59" t="s">
        <v>234</v>
      </c>
      <c r="F59" t="s">
        <v>248</v>
      </c>
    </row>
    <row r="60" spans="1:6">
      <c r="A60">
        <f>HYPERLINK("https://learning.oreilly.com/live-events/exam-az-104-microsoft-azure-administrator-crash-course/0636920094475/0636920094474", "0636920094474")</f>
        <v>0</v>
      </c>
      <c r="B60" t="s">
        <v>249</v>
      </c>
      <c r="C60" t="s">
        <v>250</v>
      </c>
      <c r="E60" t="s">
        <v>251</v>
      </c>
      <c r="F60" t="s">
        <v>201</v>
      </c>
    </row>
    <row r="61" spans="1:6">
      <c r="A61">
        <f>HYPERLINK("https://learning.oreilly.com/live-events/java-9-to-21-how-to-code-like-a-pro/0636920094349/0636920094348", "0636920094348")</f>
        <v>0</v>
      </c>
      <c r="B61" t="s">
        <v>252</v>
      </c>
      <c r="C61" t="s">
        <v>253</v>
      </c>
      <c r="D61" t="s">
        <v>254</v>
      </c>
      <c r="E61" t="s">
        <v>251</v>
      </c>
      <c r="F61" t="s">
        <v>255</v>
      </c>
    </row>
    <row r="62" spans="1:6">
      <c r="A62">
        <f>HYPERLINK("https://learning.oreilly.com/live-events/whats-new-in-ai-ai-chips-with-evan-sparks/0636920093758/0636920093757", "0636920093757")</f>
        <v>0</v>
      </c>
      <c r="B62" t="s">
        <v>16</v>
      </c>
      <c r="C62" t="s">
        <v>256</v>
      </c>
      <c r="D62" t="s">
        <v>257</v>
      </c>
      <c r="E62" t="s">
        <v>251</v>
      </c>
      <c r="F62" t="s">
        <v>258</v>
      </c>
    </row>
    <row r="63" spans="1:6">
      <c r="A63">
        <f>HYPERLINK("https://learning.oreilly.com/live-events/linux-system-administration-in-3-weeks/0636920056969/0636920092882", "0636920092882")</f>
        <v>0</v>
      </c>
      <c r="B63" t="s">
        <v>63</v>
      </c>
      <c r="C63" t="s">
        <v>259</v>
      </c>
      <c r="E63" t="s">
        <v>260</v>
      </c>
      <c r="F63" t="s">
        <v>261</v>
      </c>
    </row>
    <row r="64" spans="1:6">
      <c r="A64">
        <f>HYPERLINK("https://learning.oreilly.com/live-events/snowflake-for-data-engineering-in-3-weeks/0636920090242/0636920092399", "0636920092399")</f>
        <v>0</v>
      </c>
      <c r="B64" t="s">
        <v>262</v>
      </c>
      <c r="C64" t="s">
        <v>263</v>
      </c>
      <c r="D64" t="s">
        <v>264</v>
      </c>
      <c r="E64" t="s">
        <v>260</v>
      </c>
      <c r="F64" t="s">
        <v>265</v>
      </c>
    </row>
    <row r="65" spans="1:6">
      <c r="A65">
        <f>HYPERLINK("https://learning.oreilly.com/live-events/bash-scripting-in-3-weeks/0636920068843/0636920096457", "0636920096457")</f>
        <v>0</v>
      </c>
      <c r="B65" t="s">
        <v>266</v>
      </c>
      <c r="C65" t="s">
        <v>267</v>
      </c>
      <c r="D65" t="s">
        <v>268</v>
      </c>
      <c r="E65" t="s">
        <v>269</v>
      </c>
      <c r="F65" t="s">
        <v>270</v>
      </c>
    </row>
    <row r="66" spans="1:6">
      <c r="A66">
        <f>HYPERLINK("https://learning.oreilly.com/live-events/docker-fundamentals-in-4-weekswith-interactivity/0636920061161/0636920091841", "0636920091841")</f>
        <v>0</v>
      </c>
      <c r="B66" t="s">
        <v>271</v>
      </c>
      <c r="C66" t="s">
        <v>272</v>
      </c>
      <c r="D66" t="s">
        <v>273</v>
      </c>
      <c r="E66" t="s">
        <v>274</v>
      </c>
      <c r="F66" t="s">
        <v>141</v>
      </c>
    </row>
    <row r="67" spans="1:6">
      <c r="A67">
        <f>HYPERLINK("https://learning.oreilly.com/live-events/technical-writing-essentials/0636920082744/0636920094536", "0636920094536")</f>
        <v>0</v>
      </c>
      <c r="B67" t="s">
        <v>275</v>
      </c>
      <c r="C67" t="s">
        <v>276</v>
      </c>
      <c r="D67" t="s">
        <v>277</v>
      </c>
      <c r="E67" t="s">
        <v>278</v>
      </c>
      <c r="F67" t="s">
        <v>279</v>
      </c>
    </row>
    <row r="68" spans="1:6">
      <c r="A68">
        <f>HYPERLINK("https://learning.oreilly.com/live-events/using-open-and-closed-source-llms-in-real-world-applications/0636920094342/0636920094341", "0636920094341")</f>
        <v>0</v>
      </c>
      <c r="B68" t="s">
        <v>194</v>
      </c>
      <c r="C68" t="s">
        <v>280</v>
      </c>
      <c r="D68" t="s">
        <v>281</v>
      </c>
      <c r="E68" t="s">
        <v>282</v>
      </c>
      <c r="F68" t="s">
        <v>172</v>
      </c>
    </row>
    <row r="69" spans="1:6">
      <c r="A69">
        <f>HYPERLINK("https://learning.oreilly.com/live-events/software-development-superstream-building-better-software/0636920089546/0636920089545", "0636920089545")</f>
        <v>0</v>
      </c>
      <c r="B69" t="s">
        <v>283</v>
      </c>
      <c r="C69" t="s">
        <v>284</v>
      </c>
      <c r="D69" t="s">
        <v>285</v>
      </c>
      <c r="E69" t="s">
        <v>282</v>
      </c>
      <c r="F69" t="s">
        <v>70</v>
      </c>
    </row>
    <row r="70" spans="1:6">
      <c r="A70">
        <f>HYPERLINK("https://learning.oreilly.com/live-events/pytorch-20/0636920055927/0636920092412", "0636920092412")</f>
        <v>0</v>
      </c>
      <c r="B70" t="s">
        <v>286</v>
      </c>
      <c r="C70" t="s">
        <v>287</v>
      </c>
      <c r="D70" t="s">
        <v>288</v>
      </c>
      <c r="E70" t="s">
        <v>282</v>
      </c>
      <c r="F70" t="s">
        <v>289</v>
      </c>
    </row>
    <row r="71" spans="1:6">
      <c r="A71">
        <f>HYPERLINK("https://learning.oreilly.com/live-events/certified-kubernetes-application-developer-ckad-crash-course-in-3-days/0636920093949/0636920093948", "0636920093948")</f>
        <v>0</v>
      </c>
      <c r="B71" t="s">
        <v>290</v>
      </c>
      <c r="C71" t="s">
        <v>291</v>
      </c>
      <c r="D71" t="s">
        <v>292</v>
      </c>
      <c r="E71" t="s">
        <v>293</v>
      </c>
      <c r="F71" t="s">
        <v>137</v>
      </c>
    </row>
    <row r="72" spans="1:6">
      <c r="A72">
        <f>HYPERLINK("https://learning.oreilly.com/live-events/enterprise-architecture-bootcamp/0636920092839/0636920092838", "0636920092838")</f>
        <v>0</v>
      </c>
      <c r="B72" t="s">
        <v>294</v>
      </c>
      <c r="C72" t="s">
        <v>295</v>
      </c>
      <c r="D72" t="s">
        <v>296</v>
      </c>
      <c r="E72" t="s">
        <v>237</v>
      </c>
      <c r="F72" t="s">
        <v>297</v>
      </c>
    </row>
    <row r="73" spans="1:6">
      <c r="A73">
        <f>HYPERLINK("https://learning.oreilly.com/live-events/java-se-17-developer-1z0-829-crash-course/0636920079000/0636920094913", "0636920094913")</f>
        <v>0</v>
      </c>
      <c r="B73" t="s">
        <v>252</v>
      </c>
      <c r="C73" t="s">
        <v>298</v>
      </c>
      <c r="D73" t="s">
        <v>299</v>
      </c>
      <c r="E73" t="s">
        <v>300</v>
      </c>
      <c r="F73" t="s">
        <v>301</v>
      </c>
    </row>
    <row r="74" spans="1:6">
      <c r="A74">
        <f>HYPERLINK("https://learning.oreilly.com/live-events/predictive-analytics/0636920094908/0636920094907", "0636920094907")</f>
        <v>0</v>
      </c>
      <c r="B74" t="s">
        <v>223</v>
      </c>
      <c r="C74" t="s">
        <v>302</v>
      </c>
      <c r="D74" t="s">
        <v>303</v>
      </c>
      <c r="E74" t="s">
        <v>304</v>
      </c>
      <c r="F74" t="s">
        <v>225</v>
      </c>
    </row>
    <row r="75" spans="1:6">
      <c r="A75">
        <f>HYPERLINK("https://learning.oreilly.com/live-events/ai-superstream-data-centric-ai/0636920089142/0636920089141", "0636920089141")</f>
        <v>0</v>
      </c>
      <c r="B75" t="s">
        <v>16</v>
      </c>
      <c r="C75" t="s">
        <v>305</v>
      </c>
      <c r="D75" t="s">
        <v>306</v>
      </c>
      <c r="E75" t="s">
        <v>300</v>
      </c>
      <c r="F75" t="s">
        <v>307</v>
      </c>
    </row>
    <row r="76" spans="1:6">
      <c r="A76">
        <f>HYPERLINK("https://learning.oreilly.com/live-events/memory-efficient-java/0636920457060/0636920095091", "0636920095091")</f>
        <v>0</v>
      </c>
      <c r="B76" t="s">
        <v>252</v>
      </c>
      <c r="C76" t="s">
        <v>308</v>
      </c>
      <c r="D76" t="s">
        <v>309</v>
      </c>
      <c r="E76" t="s">
        <v>300</v>
      </c>
      <c r="F76" t="s">
        <v>310</v>
      </c>
    </row>
    <row r="77" spans="1:6">
      <c r="A77">
        <f>HYPERLINK("https://learning.oreilly.com/live-events/github-actions-in-3-hours/0636920093155/0636920093154", "0636920093154")</f>
        <v>0</v>
      </c>
      <c r="B77" t="s">
        <v>311</v>
      </c>
      <c r="C77" t="s">
        <v>312</v>
      </c>
      <c r="D77" t="s">
        <v>313</v>
      </c>
      <c r="E77" t="s">
        <v>314</v>
      </c>
      <c r="F77" t="s">
        <v>146</v>
      </c>
    </row>
    <row r="78" spans="1:6">
      <c r="A78">
        <f>HYPERLINK("https://learning.oreilly.com/live-events/machine-learning-with-python/0636920081059/0636920094551", "0636920094551")</f>
        <v>0</v>
      </c>
      <c r="B78" t="s">
        <v>315</v>
      </c>
      <c r="C78" t="s">
        <v>316</v>
      </c>
      <c r="D78" t="s">
        <v>317</v>
      </c>
      <c r="E78" t="s">
        <v>314</v>
      </c>
      <c r="F78" t="s">
        <v>318</v>
      </c>
    </row>
    <row r="79" spans="1:6">
      <c r="A79">
        <f>HYPERLINK("https://learning.oreilly.com/live-events/llms-gpt-and-prompt-engineering-for-developers/0636920094338/0636920094337", "0636920094337")</f>
        <v>0</v>
      </c>
      <c r="B79" t="s">
        <v>6</v>
      </c>
      <c r="C79" t="s">
        <v>319</v>
      </c>
      <c r="D79" t="s">
        <v>320</v>
      </c>
      <c r="E79" t="s">
        <v>314</v>
      </c>
      <c r="F79" t="s">
        <v>172</v>
      </c>
    </row>
    <row r="80" spans="1:6">
      <c r="A80">
        <f>HYPERLINK("https://learning.oreilly.com/live-events/level-up-with-github-copilot/0636920090759/0636920097069", "0636920097069")</f>
        <v>0</v>
      </c>
      <c r="B80" t="s">
        <v>11</v>
      </c>
      <c r="C80" t="s">
        <v>321</v>
      </c>
      <c r="D80" t="s">
        <v>322</v>
      </c>
      <c r="E80" t="s">
        <v>314</v>
      </c>
      <c r="F80" t="s">
        <v>323</v>
      </c>
    </row>
    <row r="81" spans="1:6">
      <c r="A81">
        <f>HYPERLINK("https://learning.oreilly.com/live-events/c-essentials-the-special-member-functions/0636920066062/0636920091672", "0636920091672")</f>
        <v>0</v>
      </c>
      <c r="B81" t="s">
        <v>180</v>
      </c>
      <c r="C81" t="s">
        <v>324</v>
      </c>
      <c r="D81" t="s">
        <v>325</v>
      </c>
      <c r="E81" t="s">
        <v>314</v>
      </c>
      <c r="F81" t="s">
        <v>326</v>
      </c>
    </row>
    <row r="82" spans="1:6">
      <c r="A82">
        <f>HYPERLINK("https://learning.oreilly.com/live-events/real-world-python-by-example/0636920080712/0636920094532", "0636920094532")</f>
        <v>0</v>
      </c>
      <c r="B82" t="s">
        <v>21</v>
      </c>
      <c r="C82" t="s">
        <v>327</v>
      </c>
      <c r="D82" t="s">
        <v>328</v>
      </c>
      <c r="E82" t="s">
        <v>229</v>
      </c>
      <c r="F82" t="s">
        <v>279</v>
      </c>
    </row>
    <row r="83" spans="1:6">
      <c r="A83">
        <f>HYPERLINK("https://learning.oreilly.com/live-events/efficiently-testing-etl-pipelines/0636920091008/0636920092991", "0636920092991")</f>
        <v>0</v>
      </c>
      <c r="B83" t="s">
        <v>235</v>
      </c>
      <c r="C83" t="s">
        <v>329</v>
      </c>
      <c r="D83" t="s">
        <v>330</v>
      </c>
      <c r="E83" t="s">
        <v>229</v>
      </c>
      <c r="F83" t="s">
        <v>331</v>
      </c>
    </row>
    <row r="84" spans="1:6">
      <c r="A84">
        <f>HYPERLINK("https://learning.oreilly.com/live-events/hands-on-with-aws-ec2-and-ebs/0636920068551/0636920095087", "0636920095087")</f>
        <v>0</v>
      </c>
      <c r="B84" t="s">
        <v>332</v>
      </c>
      <c r="C84" t="s">
        <v>333</v>
      </c>
      <c r="D84" t="s">
        <v>334</v>
      </c>
      <c r="E84" t="s">
        <v>229</v>
      </c>
      <c r="F84" t="s">
        <v>218</v>
      </c>
    </row>
    <row r="85" spans="1:6">
      <c r="A85">
        <f>HYPERLINK("https://learning.oreilly.com/live-events/rust-for-pythonistas/0636920093755/0636920093754", "0636920093754")</f>
        <v>0</v>
      </c>
      <c r="B85" t="s">
        <v>335</v>
      </c>
      <c r="C85" t="s">
        <v>336</v>
      </c>
      <c r="D85" t="s">
        <v>337</v>
      </c>
      <c r="E85" t="s">
        <v>229</v>
      </c>
      <c r="F85" t="s">
        <v>338</v>
      </c>
    </row>
    <row r="86" spans="1:6">
      <c r="A86">
        <f>HYPERLINK("https://learning.oreilly.com/live-events/modern-enterprise-architecture-practices/0636920089761/0636920092204", "0636920092204")</f>
        <v>0</v>
      </c>
      <c r="B86" t="s">
        <v>294</v>
      </c>
      <c r="C86" t="s">
        <v>339</v>
      </c>
      <c r="D86" t="s">
        <v>340</v>
      </c>
      <c r="E86" t="s">
        <v>229</v>
      </c>
      <c r="F86" t="s">
        <v>341</v>
      </c>
    </row>
    <row r="87" spans="1:6">
      <c r="A87">
        <f>HYPERLINK("https://learning.oreilly.com/live-events/hands-on-deep-neural-networks-with-pytorch/0636920305781/0636920093856", "0636920093856")</f>
        <v>0</v>
      </c>
      <c r="B87" t="s">
        <v>286</v>
      </c>
      <c r="C87" t="s">
        <v>342</v>
      </c>
      <c r="D87" t="s">
        <v>343</v>
      </c>
      <c r="E87" t="s">
        <v>344</v>
      </c>
      <c r="F87" t="s">
        <v>345</v>
      </c>
    </row>
    <row r="88" spans="1:6">
      <c r="A88">
        <f>HYPERLINK("https://learning.oreilly.com/live-events/fundamentals-of-technical-writing/0636920077082/0636920093828", "0636920093828")</f>
        <v>0</v>
      </c>
      <c r="B88" t="s">
        <v>275</v>
      </c>
      <c r="C88" t="s">
        <v>346</v>
      </c>
      <c r="D88" t="s">
        <v>347</v>
      </c>
      <c r="E88" t="s">
        <v>344</v>
      </c>
      <c r="F88" t="s">
        <v>348</v>
      </c>
    </row>
    <row r="89" spans="1:6">
      <c r="A89">
        <f>HYPERLINK("https://learning.oreilly.com/live-events/aws-certified-solutions-architect-associate-saa-c03-bootcamp/0636920055432/0636920091900", "0636920091900")</f>
        <v>0</v>
      </c>
      <c r="B89" t="s">
        <v>48</v>
      </c>
      <c r="C89" t="s">
        <v>349</v>
      </c>
      <c r="D89" t="s">
        <v>350</v>
      </c>
      <c r="E89" t="s">
        <v>351</v>
      </c>
      <c r="F89" t="s">
        <v>352</v>
      </c>
    </row>
    <row r="90" spans="1:6">
      <c r="A90">
        <f>HYPERLINK("https://learning.oreilly.com/live-events/artificial-intelligence-an-overview-of-ai-and-machine-learning/0636920054812/0636920089350", "0636920089350")</f>
        <v>0</v>
      </c>
      <c r="B90" t="s">
        <v>315</v>
      </c>
      <c r="C90" t="s">
        <v>353</v>
      </c>
      <c r="D90" t="s">
        <v>354</v>
      </c>
      <c r="E90" t="s">
        <v>355</v>
      </c>
      <c r="F90" t="s">
        <v>356</v>
      </c>
    </row>
    <row r="91" spans="1:6">
      <c r="A91">
        <f>HYPERLINK("https://learning.oreilly.com/live-events/shell-scripting-clinic/0636920091017/0636920092986", "0636920092986")</f>
        <v>0</v>
      </c>
      <c r="B91" t="s">
        <v>187</v>
      </c>
      <c r="C91" t="s">
        <v>357</v>
      </c>
      <c r="D91" t="s">
        <v>358</v>
      </c>
      <c r="E91" t="s">
        <v>274</v>
      </c>
      <c r="F91" t="s">
        <v>270</v>
      </c>
    </row>
    <row r="92" spans="1:6">
      <c r="A92">
        <f>HYPERLINK("https://learning.oreilly.com/live-events/aws-architecture-automation-and-infrastructure-deployment/0636920303473/0636920093180", "0636920093180")</f>
        <v>0</v>
      </c>
      <c r="B92" t="s">
        <v>359</v>
      </c>
      <c r="C92" t="s">
        <v>360</v>
      </c>
      <c r="D92" t="s">
        <v>361</v>
      </c>
      <c r="E92" t="s">
        <v>362</v>
      </c>
      <c r="F92" t="s">
        <v>52</v>
      </c>
    </row>
    <row r="93" spans="1:6">
      <c r="A93">
        <f>HYPERLINK("https://learning.oreilly.com/live-events/testing-java-applications-in-3-weeks/0636920092082/0636920092081", "0636920092081")</f>
        <v>0</v>
      </c>
      <c r="B93" t="s">
        <v>252</v>
      </c>
      <c r="C93" t="s">
        <v>363</v>
      </c>
      <c r="D93" t="s">
        <v>364</v>
      </c>
      <c r="E93" t="s">
        <v>365</v>
      </c>
      <c r="F93" t="s">
        <v>366</v>
      </c>
    </row>
    <row r="94" spans="1:6">
      <c r="A94">
        <f>HYPERLINK("https://learning.oreilly.com/live-events/building-ai-agents-with-llms/0636920096162/0636920096161", "0636920096161")</f>
        <v>0</v>
      </c>
      <c r="B94" t="s">
        <v>194</v>
      </c>
      <c r="C94" t="s">
        <v>367</v>
      </c>
      <c r="D94" t="s">
        <v>368</v>
      </c>
      <c r="E94" t="s">
        <v>369</v>
      </c>
      <c r="F94" t="s">
        <v>370</v>
      </c>
    </row>
    <row r="95" spans="1:6">
      <c r="A95">
        <f>HYPERLINK("https://learning.oreilly.com/live-events/algorithms-for-the-coding-interview/0636920093604/0636920093603", "0636920093603")</f>
        <v>0</v>
      </c>
      <c r="B95" t="s">
        <v>371</v>
      </c>
      <c r="C95" t="s">
        <v>372</v>
      </c>
      <c r="D95" t="s">
        <v>373</v>
      </c>
      <c r="E95" t="s">
        <v>369</v>
      </c>
      <c r="F95" t="s">
        <v>374</v>
      </c>
    </row>
    <row r="96" spans="1:6">
      <c r="A96">
        <f>HYPERLINK("https://learning.oreilly.com/live-events/introduction-to-docker-cicd/0636920255345/0636920091869", "0636920091869")</f>
        <v>0</v>
      </c>
      <c r="B96" t="s">
        <v>271</v>
      </c>
      <c r="C96" t="s">
        <v>375</v>
      </c>
      <c r="D96" t="s">
        <v>376</v>
      </c>
      <c r="E96" t="s">
        <v>377</v>
      </c>
      <c r="F96" t="s">
        <v>141</v>
      </c>
    </row>
    <row r="97" spans="1:6">
      <c r="A97">
        <f>HYPERLINK("https://learning.oreilly.com/live-events/domain-driven-design-for-data-architectures/0636920087012/0636920087011", "0636920087011")</f>
        <v>0</v>
      </c>
      <c r="B97" t="s">
        <v>378</v>
      </c>
      <c r="C97" t="s">
        <v>379</v>
      </c>
      <c r="D97" t="s">
        <v>380</v>
      </c>
      <c r="E97" t="s">
        <v>381</v>
      </c>
      <c r="F97" t="s">
        <v>382</v>
      </c>
    </row>
    <row r="98" spans="1:6">
      <c r="A98">
        <f>HYPERLINK("https://learning.oreilly.com/live-events/regression-models-with-python/0636920093593/0636920093592", "0636920093592")</f>
        <v>0</v>
      </c>
      <c r="B98" t="s">
        <v>21</v>
      </c>
      <c r="C98" t="s">
        <v>383</v>
      </c>
      <c r="D98" t="s">
        <v>384</v>
      </c>
      <c r="E98" t="s">
        <v>381</v>
      </c>
      <c r="F98" t="s">
        <v>385</v>
      </c>
    </row>
    <row r="99" spans="1:6">
      <c r="A99">
        <f>HYPERLINK("https://learning.oreilly.com/live-events/postgresql-bootcamp/0636920095455/0636920095454", "0636920095454")</f>
        <v>0</v>
      </c>
      <c r="B99" t="s">
        <v>386</v>
      </c>
      <c r="C99" t="s">
        <v>387</v>
      </c>
      <c r="D99" t="s">
        <v>388</v>
      </c>
      <c r="E99" t="s">
        <v>389</v>
      </c>
      <c r="F99" t="s">
        <v>390</v>
      </c>
    </row>
    <row r="100" spans="1:6">
      <c r="A100">
        <f>HYPERLINK("https://learning.oreilly.com/live-events/exam-dp-203-data-engineering-on-microsoft-azure-crash-course/0636920093050/0636920093049", "0636920093049")</f>
        <v>0</v>
      </c>
      <c r="B100" t="s">
        <v>391</v>
      </c>
      <c r="C100" t="s">
        <v>392</v>
      </c>
      <c r="D100" t="s">
        <v>393</v>
      </c>
      <c r="E100" t="s">
        <v>394</v>
      </c>
      <c r="F100" t="s">
        <v>201</v>
      </c>
    </row>
    <row r="101" spans="1:6">
      <c r="A101">
        <f>HYPERLINK("https://learning.oreilly.com/live-events/building-text-based-applications-with-the-chatgpt-api-and-langchain/0636920092333/0636920092332", "0636920092332")</f>
        <v>0</v>
      </c>
      <c r="B101" t="s">
        <v>6</v>
      </c>
      <c r="C101" t="s">
        <v>395</v>
      </c>
      <c r="D101" t="s">
        <v>396</v>
      </c>
      <c r="E101" t="s">
        <v>397</v>
      </c>
      <c r="F101" t="s">
        <v>398</v>
      </c>
    </row>
    <row r="102" spans="1:6">
      <c r="A102">
        <f>HYPERLINK("https://learning.oreilly.com/live-events/apache-airflow-technical-essentials/0636920457541/0642572001018", "0642572001018")</f>
        <v>0</v>
      </c>
      <c r="B102" t="s">
        <v>399</v>
      </c>
      <c r="C102" t="s">
        <v>400</v>
      </c>
      <c r="D102" t="s">
        <v>401</v>
      </c>
      <c r="E102" t="s">
        <v>402</v>
      </c>
      <c r="F102" t="s">
        <v>403</v>
      </c>
    </row>
    <row r="103" spans="1:6">
      <c r="A103">
        <f>HYPERLINK("https://learning.oreilly.com/live-events/go-the-right-way/0790145042893/0642572000795", "0642572000795")</f>
        <v>0</v>
      </c>
      <c r="B103" t="s">
        <v>404</v>
      </c>
      <c r="C103" t="s">
        <v>405</v>
      </c>
      <c r="D103" t="s">
        <v>406</v>
      </c>
      <c r="E103" t="s">
        <v>402</v>
      </c>
      <c r="F103" t="s">
        <v>301</v>
      </c>
    </row>
    <row r="104" spans="1:6">
      <c r="A104">
        <f>HYPERLINK("https://learning.oreilly.com/live-events/chatgpt-for-data-analytics/0636920094217/0642572000964", "0642572000964")</f>
        <v>0</v>
      </c>
      <c r="B104" t="s">
        <v>6</v>
      </c>
      <c r="C104" t="s">
        <v>7</v>
      </c>
      <c r="D104" t="s">
        <v>8</v>
      </c>
      <c r="E104" t="s">
        <v>407</v>
      </c>
      <c r="F104" t="s">
        <v>10</v>
      </c>
    </row>
    <row r="105" spans="1:6">
      <c r="A105">
        <f>HYPERLINK("https://learning.oreilly.com/live-events/new-manager-bootcamp/0790145045191/0642572001041", "0642572001041")</f>
        <v>0</v>
      </c>
      <c r="B105" t="s">
        <v>408</v>
      </c>
      <c r="C105" t="s">
        <v>409</v>
      </c>
      <c r="D105" t="s">
        <v>410</v>
      </c>
      <c r="E105" t="s">
        <v>411</v>
      </c>
      <c r="F105" t="s">
        <v>412</v>
      </c>
    </row>
    <row r="106" spans="1:6">
      <c r="A106">
        <f>HYPERLINK("https://learning.oreilly.com/live-events/snowflake-fundamentals-in-3-weeks/0636920082025/0790145078154", "0790145078154")</f>
        <v>0</v>
      </c>
      <c r="B106" t="s">
        <v>262</v>
      </c>
      <c r="C106" t="s">
        <v>413</v>
      </c>
      <c r="D106" t="s">
        <v>414</v>
      </c>
      <c r="E106" t="s">
        <v>415</v>
      </c>
      <c r="F106" t="s">
        <v>265</v>
      </c>
    </row>
    <row r="107" spans="1:6">
      <c r="A107">
        <f>HYPERLINK("https://learning.oreilly.com/live-events/tools-for-making-major-changes-to-architecture/0636920435853/0642572000625", "0642572000625")</f>
        <v>0</v>
      </c>
      <c r="B107" t="s">
        <v>96</v>
      </c>
      <c r="C107" t="s">
        <v>416</v>
      </c>
      <c r="D107" t="s">
        <v>417</v>
      </c>
      <c r="E107" t="s">
        <v>407</v>
      </c>
      <c r="F107" t="s">
        <v>100</v>
      </c>
    </row>
    <row r="108" spans="1:6">
      <c r="A108">
        <f>HYPERLINK("https://learning.oreilly.com/live-events/calculus-for-machine-learning-intro-ml-foundations-series/0636920059505/0790145076348", "0790145076348")</f>
        <v>0</v>
      </c>
      <c r="B108" t="s">
        <v>418</v>
      </c>
      <c r="C108" t="s">
        <v>419</v>
      </c>
      <c r="D108" t="s">
        <v>420</v>
      </c>
      <c r="E108" t="s">
        <v>411</v>
      </c>
      <c r="F108" t="s">
        <v>80</v>
      </c>
    </row>
    <row r="109" spans="1:6">
      <c r="A109">
        <f>HYPERLINK("https://learning.oreilly.com/live-events/machine-learning-interviews/0636920095524/0790145088036", "0790145088036")</f>
        <v>0</v>
      </c>
      <c r="B109" t="s">
        <v>315</v>
      </c>
      <c r="C109" t="s">
        <v>421</v>
      </c>
      <c r="D109" t="s">
        <v>422</v>
      </c>
      <c r="E109" t="s">
        <v>423</v>
      </c>
      <c r="F109" t="s">
        <v>424</v>
      </c>
    </row>
    <row r="110" spans="1:6">
      <c r="A110">
        <f>HYPERLINK("https://learning.oreilly.com/live-events/machine-learning-with-python/0636920081059/0642572000705", "0642572000705")</f>
        <v>0</v>
      </c>
      <c r="B110" t="s">
        <v>315</v>
      </c>
      <c r="C110" t="s">
        <v>316</v>
      </c>
      <c r="D110" t="s">
        <v>317</v>
      </c>
      <c r="E110" t="s">
        <v>425</v>
      </c>
      <c r="F110" t="s">
        <v>318</v>
      </c>
    </row>
    <row r="111" spans="1:6">
      <c r="A111">
        <f>HYPERLINK("https://learning.oreilly.com/live-events/linux-networking-security-fundamentals/0636920507611/0642572000771", "0642572000771")</f>
        <v>0</v>
      </c>
      <c r="B111" t="s">
        <v>63</v>
      </c>
      <c r="C111" t="s">
        <v>426</v>
      </c>
      <c r="D111" t="s">
        <v>427</v>
      </c>
      <c r="E111" t="s">
        <v>423</v>
      </c>
      <c r="F111" t="s">
        <v>428</v>
      </c>
    </row>
    <row r="112" spans="1:6">
      <c r="A112">
        <f>HYPERLINK("https://learning.oreilly.com/live-events/restful-microservices-apis-bootcamp/0636920087475/0790145086556", "0790145086556")</f>
        <v>0</v>
      </c>
      <c r="B112" t="s">
        <v>429</v>
      </c>
      <c r="C112" t="s">
        <v>430</v>
      </c>
      <c r="D112" t="s">
        <v>431</v>
      </c>
      <c r="E112" t="s">
        <v>423</v>
      </c>
      <c r="F112" t="s">
        <v>297</v>
      </c>
    </row>
    <row r="113" spans="1:6">
      <c r="A113">
        <f>HYPERLINK("https://learning.oreilly.com/live-events/llms-on-microsoft-azure/0790145056568/0642572000860", "0642572000860")</f>
        <v>0</v>
      </c>
      <c r="B113" t="s">
        <v>391</v>
      </c>
      <c r="C113" t="s">
        <v>432</v>
      </c>
      <c r="D113" t="s">
        <v>433</v>
      </c>
      <c r="E113" t="s">
        <v>423</v>
      </c>
      <c r="F113" t="s">
        <v>434</v>
      </c>
    </row>
    <row r="114" spans="1:6">
      <c r="A114">
        <f>HYPERLINK("https://learning.oreilly.com/live-events/solid-principles-of-object-oriented-and-agile-design/0636920129271/0642572000285", "0642572000285")</f>
        <v>0</v>
      </c>
      <c r="B114" t="s">
        <v>435</v>
      </c>
      <c r="C114" t="s">
        <v>436</v>
      </c>
      <c r="E114" t="s">
        <v>423</v>
      </c>
      <c r="F114" t="s">
        <v>437</v>
      </c>
    </row>
    <row r="115" spans="1:6">
      <c r="A115">
        <f>HYPERLINK("https://learning.oreilly.com/live-events/expert-transport-layer-security-tls/0636920282921/0642572000298", "0642572000298")</f>
        <v>0</v>
      </c>
      <c r="B115" t="s">
        <v>73</v>
      </c>
      <c r="C115" t="s">
        <v>438</v>
      </c>
      <c r="D115" t="s">
        <v>439</v>
      </c>
      <c r="E115" t="s">
        <v>423</v>
      </c>
      <c r="F115" t="s">
        <v>440</v>
      </c>
    </row>
    <row r="116" spans="1:6">
      <c r="A116">
        <f>HYPERLINK("https://learning.oreilly.com/live-events/data-engineering-fundamentals-in-3-weeks/0636920086304/0790145086718", "0790145086718")</f>
        <v>0</v>
      </c>
      <c r="B116" t="s">
        <v>441</v>
      </c>
      <c r="C116" t="s">
        <v>442</v>
      </c>
      <c r="D116" t="s">
        <v>443</v>
      </c>
      <c r="E116" t="s">
        <v>444</v>
      </c>
      <c r="F116" t="s">
        <v>29</v>
      </c>
    </row>
    <row r="117" spans="1:6">
      <c r="A117">
        <f>HYPERLINK("https://learning.oreilly.com/live-events/comptia-security-certification-sy0-701-bootcamp/0790145080680/0790145080671", "0790145080671")</f>
        <v>0</v>
      </c>
      <c r="B117" t="s">
        <v>445</v>
      </c>
      <c r="C117" t="s">
        <v>446</v>
      </c>
      <c r="D117" t="s">
        <v>447</v>
      </c>
      <c r="E117" t="s">
        <v>448</v>
      </c>
      <c r="F117" t="s">
        <v>449</v>
      </c>
    </row>
    <row r="118" spans="1:6">
      <c r="A118">
        <f>HYPERLINK("https://learning.oreilly.com/live-events/how-to-choose-the-right-llm-for-your-application/0636920098574/0790145064030", "0790145064030")</f>
        <v>0</v>
      </c>
      <c r="B118" t="s">
        <v>194</v>
      </c>
      <c r="C118" t="s">
        <v>450</v>
      </c>
      <c r="D118" t="s">
        <v>451</v>
      </c>
      <c r="E118" t="s">
        <v>452</v>
      </c>
      <c r="F118" t="s">
        <v>119</v>
      </c>
    </row>
    <row r="119" spans="1:6">
      <c r="A119">
        <f>HYPERLINK("https://learning.oreilly.com/live-events/python-cookbook-recipes-for-ai-and-machine-learning/0636920097594/0642572000102", "0642572000102")</f>
        <v>0</v>
      </c>
      <c r="B119" t="s">
        <v>21</v>
      </c>
      <c r="C119" t="s">
        <v>453</v>
      </c>
      <c r="D119" t="s">
        <v>454</v>
      </c>
      <c r="E119" t="s">
        <v>452</v>
      </c>
      <c r="F119" t="s">
        <v>15</v>
      </c>
    </row>
    <row r="120" spans="1:6">
      <c r="A120">
        <f>HYPERLINK("https://learning.oreilly.com/live-events/generative-ai-for-automating-data-pipelines-and-analytic-queries/0790145084073/0790145084065", "0790145084065")</f>
        <v>0</v>
      </c>
      <c r="B120" t="s">
        <v>441</v>
      </c>
      <c r="C120" t="s">
        <v>455</v>
      </c>
      <c r="D120" t="s">
        <v>456</v>
      </c>
      <c r="E120" t="s">
        <v>448</v>
      </c>
      <c r="F120" t="s">
        <v>457</v>
      </c>
    </row>
    <row r="121" spans="1:6">
      <c r="A121">
        <f>HYPERLINK("https://learning.oreilly.com/live-events/natural-language-processing-in-3-weeks/0636920096014/0642572000424", "0642572000424")</f>
        <v>0</v>
      </c>
      <c r="B121" t="s">
        <v>128</v>
      </c>
      <c r="C121" t="s">
        <v>458</v>
      </c>
      <c r="D121" t="s">
        <v>459</v>
      </c>
      <c r="E121" t="s">
        <v>460</v>
      </c>
      <c r="F121" t="s">
        <v>461</v>
      </c>
    </row>
    <row r="122" spans="1:6">
      <c r="A122">
        <f>HYPERLINK("https://learning.oreilly.com/live-events/linux-fundamentals-bootcamp/0636920325130/0790145087250", "0790145087250")</f>
        <v>0</v>
      </c>
      <c r="B122" t="s">
        <v>63</v>
      </c>
      <c r="C122" t="s">
        <v>462</v>
      </c>
      <c r="D122" t="s">
        <v>463</v>
      </c>
      <c r="E122" t="s">
        <v>464</v>
      </c>
      <c r="F122" t="s">
        <v>66</v>
      </c>
    </row>
    <row r="123" spans="1:6">
      <c r="A123">
        <f>HYPERLINK("https://learning.oreilly.com/live-events/aws-certified-solutions-architect-associate-saa-c03-bootcamp/0636920055432/0790145064625", "0790145064625")</f>
        <v>0</v>
      </c>
      <c r="B123" t="s">
        <v>48</v>
      </c>
      <c r="C123" t="s">
        <v>349</v>
      </c>
      <c r="D123" t="s">
        <v>350</v>
      </c>
      <c r="E123" t="s">
        <v>465</v>
      </c>
      <c r="F123" t="s">
        <v>352</v>
      </c>
    </row>
    <row r="124" spans="1:6">
      <c r="A124">
        <f>HYPERLINK("https://learning.oreilly.com/live-events/databricks-machine-learning-associate-certification-prep/0790145084111/0790145084103", "0790145084103")</f>
        <v>0</v>
      </c>
      <c r="B124" t="s">
        <v>315</v>
      </c>
      <c r="C124" t="s">
        <v>466</v>
      </c>
      <c r="D124" t="s">
        <v>467</v>
      </c>
      <c r="E124" t="s">
        <v>468</v>
      </c>
      <c r="F124" t="s">
        <v>469</v>
      </c>
    </row>
    <row r="125" spans="1:6">
      <c r="A125">
        <f>HYPERLINK("https://learning.oreilly.com/live-events/introduction-to-the-go-programming-language/0636920273189/0642572000579", "0642572000579")</f>
        <v>0</v>
      </c>
      <c r="B125" t="s">
        <v>404</v>
      </c>
      <c r="C125" t="s">
        <v>470</v>
      </c>
      <c r="D125" t="s">
        <v>471</v>
      </c>
      <c r="E125" t="s">
        <v>464</v>
      </c>
      <c r="F125" t="s">
        <v>472</v>
      </c>
    </row>
    <row r="126" spans="1:6">
      <c r="A126">
        <f>HYPERLINK("https://learning.oreilly.com/live-events/graphql-first-steps/0636920384403/0642572001063", "0642572001063")</f>
        <v>0</v>
      </c>
      <c r="B126" t="s">
        <v>473</v>
      </c>
      <c r="C126" t="s">
        <v>474</v>
      </c>
      <c r="D126" t="s">
        <v>475</v>
      </c>
      <c r="E126" t="s">
        <v>464</v>
      </c>
      <c r="F126" t="s">
        <v>476</v>
      </c>
    </row>
    <row r="127" spans="1:6">
      <c r="A127">
        <f>HYPERLINK("https://learning.oreilly.com/live-events/advanced-microsoft-power-bi/0636920077729/0642572000357", "0642572000357")</f>
        <v>0</v>
      </c>
      <c r="B127" t="s">
        <v>226</v>
      </c>
      <c r="C127" t="s">
        <v>477</v>
      </c>
      <c r="D127" t="s">
        <v>478</v>
      </c>
      <c r="E127" t="s">
        <v>464</v>
      </c>
      <c r="F127" t="s">
        <v>479</v>
      </c>
    </row>
    <row r="128" spans="1:6">
      <c r="A128">
        <f>HYPERLINK("https://learning.oreilly.com/live-events/aws-certified-solutions-architect-associate-saa-c03-crash-course/0636920078770/0642572000125", "0642572000125")</f>
        <v>0</v>
      </c>
      <c r="B128" t="s">
        <v>48</v>
      </c>
      <c r="C128" t="s">
        <v>49</v>
      </c>
      <c r="D128" t="s">
        <v>50</v>
      </c>
      <c r="E128" t="s">
        <v>480</v>
      </c>
      <c r="F128" t="s">
        <v>52</v>
      </c>
    </row>
    <row r="129" spans="1:6">
      <c r="A129">
        <f>HYPERLINK("https://learning.oreilly.com/live-events/microservice-communication-styles-and-patterns/0790145061561/0790145061553", "0790145061553")</f>
        <v>0</v>
      </c>
      <c r="B129" t="s">
        <v>429</v>
      </c>
      <c r="C129" t="s">
        <v>481</v>
      </c>
      <c r="D129" t="s">
        <v>482</v>
      </c>
      <c r="E129" t="s">
        <v>480</v>
      </c>
      <c r="F129" t="s">
        <v>70</v>
      </c>
    </row>
    <row r="130" spans="1:6">
      <c r="A130">
        <f>HYPERLINK("https://learning.oreilly.com/live-events/building-text-based-applications-with-the-chatgpt-api-and-langchain/0636920092333/0642572000940", "0642572000940")</f>
        <v>0</v>
      </c>
      <c r="B130" t="s">
        <v>6</v>
      </c>
      <c r="C130" t="s">
        <v>395</v>
      </c>
      <c r="D130" t="s">
        <v>396</v>
      </c>
      <c r="E130" t="s">
        <v>483</v>
      </c>
      <c r="F130" t="s">
        <v>398</v>
      </c>
    </row>
    <row r="131" spans="1:6">
      <c r="A131">
        <f>HYPERLINK("https://learning.oreilly.com/live-events/fullstack-web-development-in-2-weeks/0636920086654/0642572000469", "0642572000469")</f>
        <v>0</v>
      </c>
      <c r="B131" t="s">
        <v>484</v>
      </c>
      <c r="C131" t="s">
        <v>485</v>
      </c>
      <c r="D131" t="s">
        <v>486</v>
      </c>
      <c r="E131" t="s">
        <v>487</v>
      </c>
      <c r="F131" t="s">
        <v>488</v>
      </c>
    </row>
    <row r="132" spans="1:6">
      <c r="A132">
        <f>HYPERLINK("https://learning.oreilly.com/live-events/aws-iam-accounts-and-organizations-deep-dive/0636920089757/0642572000994", "0642572000994")</f>
        <v>0</v>
      </c>
      <c r="B132" t="s">
        <v>489</v>
      </c>
      <c r="C132" t="s">
        <v>490</v>
      </c>
      <c r="D132" t="s">
        <v>491</v>
      </c>
      <c r="E132" t="s">
        <v>415</v>
      </c>
      <c r="F132" t="s">
        <v>218</v>
      </c>
    </row>
    <row r="133" spans="1:6">
      <c r="A133">
        <f>HYPERLINK("https://learning.oreilly.com/live-events/google-cloud-professional-machine-learning-engineer-crash-course/0790145086149/0790145086130", "0790145086130")</f>
        <v>0</v>
      </c>
      <c r="B133" t="s">
        <v>492</v>
      </c>
      <c r="C133" t="s">
        <v>493</v>
      </c>
      <c r="D133" t="s">
        <v>494</v>
      </c>
      <c r="E133" t="s">
        <v>415</v>
      </c>
      <c r="F133" t="s">
        <v>495</v>
      </c>
    </row>
    <row r="134" spans="1:6">
      <c r="A134">
        <f>HYPERLINK("https://learning.oreilly.com/live-events/linear-algebra-for-machine-learning-level-iii-eigenvectors-ml-foundations-series/0636920057982/0642572001343", "0642572001343")</f>
        <v>0</v>
      </c>
      <c r="B134" t="s">
        <v>496</v>
      </c>
      <c r="C134" t="s">
        <v>497</v>
      </c>
      <c r="D134" t="s">
        <v>498</v>
      </c>
      <c r="E134" t="s">
        <v>499</v>
      </c>
      <c r="F134" t="s">
        <v>80</v>
      </c>
    </row>
    <row r="135" spans="1:6">
      <c r="A135">
        <f>HYPERLINK("https://learning.oreilly.com/live-events/cloud-superstream-navigating-finops/0642572001341/0642572001340", "0642572001340")</f>
        <v>0</v>
      </c>
      <c r="B135" t="s">
        <v>35</v>
      </c>
      <c r="C135" t="s">
        <v>500</v>
      </c>
      <c r="D135" t="s">
        <v>501</v>
      </c>
      <c r="E135" t="s">
        <v>499</v>
      </c>
      <c r="F135" t="s">
        <v>502</v>
      </c>
    </row>
    <row r="136" spans="1:6">
      <c r="A136">
        <f>HYPERLINK("https://learning.oreilly.com/live-events/tls-handshake-deep-dive-tls-v13/0642572000588/0642572000587", "0642572000587")</f>
        <v>0</v>
      </c>
      <c r="B136" t="s">
        <v>503</v>
      </c>
      <c r="C136" t="s">
        <v>504</v>
      </c>
      <c r="D136" t="s">
        <v>505</v>
      </c>
      <c r="E136" t="s">
        <v>468</v>
      </c>
      <c r="F136" t="s">
        <v>506</v>
      </c>
    </row>
    <row r="137" spans="1:6">
      <c r="A137">
        <f>HYPERLINK("https://learning.oreilly.com/live-events/getting-started-with-fastapi/0636920081396/0642572000960", "0642572000960")</f>
        <v>0</v>
      </c>
      <c r="B137" t="s">
        <v>507</v>
      </c>
      <c r="C137" t="s">
        <v>508</v>
      </c>
      <c r="D137" t="s">
        <v>509</v>
      </c>
      <c r="E137" t="s">
        <v>468</v>
      </c>
      <c r="F137" t="s">
        <v>510</v>
      </c>
    </row>
    <row r="138" spans="1:6">
      <c r="A138">
        <f>HYPERLINK("https://learning.oreilly.com/live-events/web-accessibility-workshop/0636920095498/0642572000465", "0642572000465")</f>
        <v>0</v>
      </c>
      <c r="B138" t="s">
        <v>511</v>
      </c>
      <c r="C138" t="s">
        <v>512</v>
      </c>
      <c r="D138" t="s">
        <v>513</v>
      </c>
      <c r="E138" t="s">
        <v>468</v>
      </c>
      <c r="F138" t="s">
        <v>514</v>
      </c>
    </row>
    <row r="139" spans="1:6">
      <c r="A139">
        <f>HYPERLINK("https://learning.oreilly.com/live-events/6-rules-for-communicating-with-management/0636920080772/0790145071753", "0790145071753")</f>
        <v>0</v>
      </c>
      <c r="B139" t="s">
        <v>515</v>
      </c>
      <c r="C139" t="s">
        <v>516</v>
      </c>
      <c r="D139" t="s">
        <v>517</v>
      </c>
      <c r="E139" t="s">
        <v>468</v>
      </c>
      <c r="F139" t="s">
        <v>518</v>
      </c>
    </row>
    <row r="140" spans="1:6">
      <c r="A140">
        <f>HYPERLINK("https://learning.oreilly.com/live-events/aws-event-driven-automation-and-operations/0636920065014/0642572000715", "0642572000715")</f>
        <v>0</v>
      </c>
      <c r="B140" t="s">
        <v>359</v>
      </c>
      <c r="C140" t="s">
        <v>519</v>
      </c>
      <c r="D140" t="s">
        <v>520</v>
      </c>
      <c r="E140" t="s">
        <v>468</v>
      </c>
      <c r="F140" t="s">
        <v>52</v>
      </c>
    </row>
    <row r="141" spans="1:6">
      <c r="A141">
        <f>HYPERLINK("https://learning.oreilly.com/live-events/exam-az-204-microsoft-azure-developer-crash-course/0642572000907/0642572000906", "0642572000906")</f>
        <v>0</v>
      </c>
      <c r="B141" t="s">
        <v>521</v>
      </c>
      <c r="C141" t="s">
        <v>522</v>
      </c>
      <c r="D141" t="s">
        <v>523</v>
      </c>
      <c r="E141" t="s">
        <v>444</v>
      </c>
      <c r="F141" t="s">
        <v>524</v>
      </c>
    </row>
    <row r="142" spans="1:6">
      <c r="A142">
        <f>HYPERLINK("https://learning.oreilly.com/live-events/github-actions-certification-crash-course/0642572000093/0642572000092", "0642572000092")</f>
        <v>0</v>
      </c>
      <c r="B142" t="s">
        <v>525</v>
      </c>
      <c r="C142" t="s">
        <v>526</v>
      </c>
      <c r="D142" t="s">
        <v>527</v>
      </c>
      <c r="E142" t="s">
        <v>444</v>
      </c>
      <c r="F142" t="s">
        <v>201</v>
      </c>
    </row>
    <row r="143" spans="1:6">
      <c r="A143">
        <f>HYPERLINK("https://learning.oreilly.com/live-events/top-5-aws-architecture-and-infrastructure-strategies/0642572000115/0642572000114", "0642572000114")</f>
        <v>0</v>
      </c>
      <c r="B143" t="s">
        <v>359</v>
      </c>
      <c r="C143" t="s">
        <v>528</v>
      </c>
      <c r="D143" t="s">
        <v>529</v>
      </c>
      <c r="E143" t="s">
        <v>444</v>
      </c>
      <c r="F143" t="s">
        <v>52</v>
      </c>
    </row>
    <row r="144" spans="1:6">
      <c r="A144">
        <f>HYPERLINK("https://learning.oreilly.com/live-events/quantum-cryptography/0636920093600/0642572000984", "0642572000984")</f>
        <v>0</v>
      </c>
      <c r="B144" t="s">
        <v>530</v>
      </c>
      <c r="C144" t="s">
        <v>531</v>
      </c>
      <c r="D144" t="s">
        <v>532</v>
      </c>
      <c r="E144" t="s">
        <v>487</v>
      </c>
      <c r="F144" t="s">
        <v>42</v>
      </c>
    </row>
    <row r="145" spans="1:6">
      <c r="A145">
        <f>HYPERLINK("https://learning.oreilly.com/live-events/large-language-models-in-production/0636920098590/0642572100021", "0642572100021")</f>
        <v>0</v>
      </c>
      <c r="B145" t="s">
        <v>194</v>
      </c>
      <c r="C145" t="s">
        <v>533</v>
      </c>
      <c r="D145" t="s">
        <v>534</v>
      </c>
      <c r="E145" t="s">
        <v>487</v>
      </c>
      <c r="F145" t="s">
        <v>535</v>
      </c>
    </row>
    <row r="146" spans="1:6">
      <c r="A146">
        <f>HYPERLINK("https://learning.oreilly.com/live-events/system-design-interview-boot-camp/0636920090983/0790145086432", "0790145086432")</f>
        <v>0</v>
      </c>
      <c r="B146" t="s">
        <v>96</v>
      </c>
      <c r="C146" t="s">
        <v>536</v>
      </c>
      <c r="D146" t="s">
        <v>537</v>
      </c>
      <c r="E146" t="s">
        <v>538</v>
      </c>
      <c r="F146" t="s">
        <v>297</v>
      </c>
    </row>
    <row r="147" spans="1:6">
      <c r="A147">
        <f>HYPERLINK("https://learning.oreilly.com/live-events/ai-ml-tools-for-deep-learning-llms-and-more/0790145056738/0642572000811", "0642572000811")</f>
        <v>0</v>
      </c>
      <c r="B147" t="s">
        <v>539</v>
      </c>
      <c r="C147" t="s">
        <v>540</v>
      </c>
      <c r="D147" t="s">
        <v>541</v>
      </c>
      <c r="E147" t="s">
        <v>538</v>
      </c>
      <c r="F147" t="s">
        <v>542</v>
      </c>
    </row>
    <row r="148" spans="1:6">
      <c r="A148">
        <f>HYPERLINK("https://learning.oreilly.com/live-events/hashicorp-certified-terraform-associate-certification-crash-course/0636920072267/0790145059605", "0790145059605")</f>
        <v>0</v>
      </c>
      <c r="B148" t="s">
        <v>543</v>
      </c>
      <c r="C148" t="s">
        <v>544</v>
      </c>
      <c r="D148" t="s">
        <v>135</v>
      </c>
      <c r="E148" t="s">
        <v>460</v>
      </c>
      <c r="F148" t="s">
        <v>137</v>
      </c>
    </row>
    <row r="149" spans="1:6">
      <c r="A149">
        <f>HYPERLINK("https://learning.oreilly.com/live-events/using-power-query-in-microsoft-power-bi-excel-and-fabric/0636920099717/0642572000353", "0642572000353")</f>
        <v>0</v>
      </c>
      <c r="B149" t="s">
        <v>226</v>
      </c>
      <c r="C149" t="s">
        <v>545</v>
      </c>
      <c r="D149" t="s">
        <v>546</v>
      </c>
      <c r="E149" t="s">
        <v>538</v>
      </c>
      <c r="F149" t="s">
        <v>479</v>
      </c>
    </row>
    <row r="150" spans="1:6">
      <c r="A150">
        <f>HYPERLINK("https://learning.oreilly.com/live-events/getting-started-with-llm-agents-using-langchain/0790145047100/0642572000719", "0642572000719")</f>
        <v>0</v>
      </c>
      <c r="B150" t="s">
        <v>547</v>
      </c>
      <c r="C150" t="s">
        <v>548</v>
      </c>
      <c r="D150" t="s">
        <v>549</v>
      </c>
      <c r="E150" t="s">
        <v>460</v>
      </c>
      <c r="F150" t="s">
        <v>398</v>
      </c>
    </row>
    <row r="151" spans="1:6">
      <c r="A151">
        <f>HYPERLINK("https://learning.oreilly.com/live-events/typescript-fundamentals/0636920483021/0642572000735", "0642572000735")</f>
        <v>0</v>
      </c>
      <c r="B151" t="s">
        <v>53</v>
      </c>
      <c r="C151" t="s">
        <v>550</v>
      </c>
      <c r="D151" t="s">
        <v>551</v>
      </c>
      <c r="E151" t="s">
        <v>460</v>
      </c>
      <c r="F151" t="s">
        <v>57</v>
      </c>
    </row>
    <row r="152" spans="1:6">
      <c r="A152">
        <f>HYPERLINK("https://learning.oreilly.com/live-events/introduction-to-encryption/0636920121633/0642572000293", "0642572000293")</f>
        <v>0</v>
      </c>
      <c r="B152" t="s">
        <v>530</v>
      </c>
      <c r="C152" t="s">
        <v>552</v>
      </c>
      <c r="D152" t="s">
        <v>553</v>
      </c>
      <c r="E152" t="s">
        <v>460</v>
      </c>
      <c r="F152" t="s">
        <v>440</v>
      </c>
    </row>
    <row r="153" spans="1:6">
      <c r="A153">
        <f>HYPERLINK("https://learning.oreilly.com/live-events/full-stack-web-development-with-ai/0790145054816/0642572000404", "0642572000404")</f>
        <v>0</v>
      </c>
      <c r="B153" t="s">
        <v>484</v>
      </c>
      <c r="C153" t="s">
        <v>554</v>
      </c>
      <c r="D153" t="s">
        <v>555</v>
      </c>
      <c r="E153" t="s">
        <v>460</v>
      </c>
      <c r="F153" t="s">
        <v>488</v>
      </c>
    </row>
    <row r="154" spans="1:6">
      <c r="A154">
        <f>HYPERLINK("https://learning.oreilly.com/live-events/optimizing-snowflake/0790145082712/0790145082704", "0790145082704")</f>
        <v>0</v>
      </c>
      <c r="B154" t="s">
        <v>262</v>
      </c>
      <c r="C154" t="s">
        <v>556</v>
      </c>
      <c r="D154" t="s">
        <v>557</v>
      </c>
      <c r="E154" t="s">
        <v>558</v>
      </c>
      <c r="F154" t="s">
        <v>265</v>
      </c>
    </row>
    <row r="155" spans="1:6">
      <c r="A155">
        <f>HYPERLINK("https://learning.oreilly.com/live-events/certification-exam-cram-comptia-security-sy0-701/0642572000573/0642572000572", "0642572000572")</f>
        <v>0</v>
      </c>
      <c r="B155" t="s">
        <v>445</v>
      </c>
      <c r="C155" t="s">
        <v>559</v>
      </c>
      <c r="D155" t="s">
        <v>560</v>
      </c>
      <c r="E155" t="s">
        <v>558</v>
      </c>
      <c r="F155" t="s">
        <v>449</v>
      </c>
    </row>
    <row r="156" spans="1:6">
      <c r="A156">
        <f>HYPERLINK("https://learning.oreilly.com/live-events/gcp-professional-cloud-architect-crash-course/0636920076967/0790145083964", "0790145083964")</f>
        <v>0</v>
      </c>
      <c r="B156" t="s">
        <v>561</v>
      </c>
      <c r="C156" t="s">
        <v>562</v>
      </c>
      <c r="D156" t="s">
        <v>563</v>
      </c>
      <c r="E156" t="s">
        <v>564</v>
      </c>
      <c r="F156" t="s">
        <v>565</v>
      </c>
    </row>
    <row r="157" spans="1:6">
      <c r="A157">
        <f>HYPERLINK("https://learning.oreilly.com/live-events/reactive-spring-and-spring-boot/0636920161608/0790145077417", "0790145077417")</f>
        <v>0</v>
      </c>
      <c r="B157" t="s">
        <v>566</v>
      </c>
      <c r="C157" t="s">
        <v>567</v>
      </c>
      <c r="D157" t="s">
        <v>568</v>
      </c>
      <c r="E157" t="s">
        <v>558</v>
      </c>
      <c r="F157" t="s">
        <v>569</v>
      </c>
    </row>
    <row r="158" spans="1:6">
      <c r="A158">
        <f>HYPERLINK("https://learning.oreilly.com/live-events/open-source-large-language-models-in-3-weeks/0636920094649/0790145081031", "0790145081031")</f>
        <v>0</v>
      </c>
      <c r="B158" t="s">
        <v>194</v>
      </c>
      <c r="C158" t="s">
        <v>570</v>
      </c>
      <c r="D158" t="s">
        <v>571</v>
      </c>
      <c r="E158" t="s">
        <v>572</v>
      </c>
      <c r="F158" t="s">
        <v>573</v>
      </c>
    </row>
    <row r="159" spans="1:6">
      <c r="A159">
        <f>HYPERLINK("https://learning.oreilly.com/live-events/kubernetes-tooling-for-platform-engineering/0790145042826/0790145083824", "0790145083824")</f>
        <v>0</v>
      </c>
      <c r="B159" t="s">
        <v>574</v>
      </c>
      <c r="C159" t="s">
        <v>575</v>
      </c>
      <c r="D159" t="s">
        <v>576</v>
      </c>
      <c r="E159" t="s">
        <v>577</v>
      </c>
      <c r="F159" t="s">
        <v>205</v>
      </c>
    </row>
    <row r="160" spans="1:6">
      <c r="A160">
        <f>HYPERLINK("https://learning.oreilly.com/live-events/hands-on-spring-boot-in-3-weeks/0636920061597/0790145071028", "0790145071028")</f>
        <v>0</v>
      </c>
      <c r="B160" t="s">
        <v>578</v>
      </c>
      <c r="C160" t="s">
        <v>579</v>
      </c>
      <c r="D160" t="s">
        <v>580</v>
      </c>
      <c r="E160" t="s">
        <v>581</v>
      </c>
      <c r="F160" t="s">
        <v>582</v>
      </c>
    </row>
    <row r="161" spans="1:6">
      <c r="A161">
        <f>HYPERLINK("https://learning.oreilly.com/live-events/hands-on-gpt-4-turbo/0790145074060/0790145074051", "0790145074051")</f>
        <v>0</v>
      </c>
      <c r="B161" t="s">
        <v>6</v>
      </c>
      <c r="C161" t="s">
        <v>583</v>
      </c>
      <c r="D161" t="s">
        <v>584</v>
      </c>
      <c r="E161" t="s">
        <v>585</v>
      </c>
      <c r="F161" t="s">
        <v>119</v>
      </c>
    </row>
    <row r="162" spans="1:6">
      <c r="A162">
        <f>HYPERLINK("https://learning.oreilly.com/live-events/mastering-platform-threads-in-java/0636920097597/0790145082844", "0790145082844")</f>
        <v>0</v>
      </c>
      <c r="B162" t="s">
        <v>252</v>
      </c>
      <c r="C162" t="s">
        <v>586</v>
      </c>
      <c r="D162" t="s">
        <v>587</v>
      </c>
      <c r="E162" t="s">
        <v>588</v>
      </c>
      <c r="F162" t="s">
        <v>589</v>
      </c>
    </row>
    <row r="163" spans="1:6">
      <c r="A163">
        <f>HYPERLINK("https://learning.oreilly.com/live-events/snowflake-for-data-engineering-in-3-weeks/0636920090242/0790145077999", "0790145077999")</f>
        <v>0</v>
      </c>
      <c r="B163" t="s">
        <v>262</v>
      </c>
      <c r="C163" t="s">
        <v>263</v>
      </c>
      <c r="D163" t="s">
        <v>264</v>
      </c>
      <c r="E163" t="s">
        <v>581</v>
      </c>
      <c r="F163" t="s">
        <v>265</v>
      </c>
    </row>
    <row r="164" spans="1:6">
      <c r="A164">
        <f>HYPERLINK("https://learning.oreilly.com/live-events/exam-az-305-designing-microsoft-azure-infrastructure-solutions-crash-course/0636920093041/0790145078308", "0790145078308")</f>
        <v>0</v>
      </c>
      <c r="B164" t="s">
        <v>391</v>
      </c>
      <c r="C164" t="s">
        <v>590</v>
      </c>
      <c r="D164" t="s">
        <v>591</v>
      </c>
      <c r="E164" t="s">
        <v>585</v>
      </c>
      <c r="F164" t="s">
        <v>201</v>
      </c>
    </row>
    <row r="165" spans="1:6">
      <c r="A165">
        <f>HYPERLINK("https://learning.oreilly.com/live-events/fundamentals-of-large-language-models-a-hands-on-approach-in-2-weeks/0636920089792/0790145063025", "0790145063025")</f>
        <v>0</v>
      </c>
      <c r="B165" t="s">
        <v>194</v>
      </c>
      <c r="C165" t="s">
        <v>592</v>
      </c>
      <c r="E165" t="s">
        <v>593</v>
      </c>
      <c r="F165" t="s">
        <v>119</v>
      </c>
    </row>
    <row r="166" spans="1:6">
      <c r="A166">
        <f>HYPERLINK("https://learning.oreilly.com/live-events/ai-superstream-deploying-and-managing-llms-in-production/0790145052635/0790145052627", "0790145052627")</f>
        <v>0</v>
      </c>
      <c r="B166" t="s">
        <v>194</v>
      </c>
      <c r="C166" t="s">
        <v>594</v>
      </c>
      <c r="D166" t="s">
        <v>595</v>
      </c>
      <c r="E166" t="s">
        <v>588</v>
      </c>
      <c r="F166" t="s">
        <v>307</v>
      </c>
    </row>
    <row r="167" spans="1:6">
      <c r="A167">
        <f>HYPERLINK("https://learning.oreilly.com/live-events/java-microservices-with-spring-in-3-weeks/0636920064934/0790145063521", "0790145063521")</f>
        <v>0</v>
      </c>
      <c r="B167" t="s">
        <v>596</v>
      </c>
      <c r="C167" t="s">
        <v>597</v>
      </c>
      <c r="D167" t="s">
        <v>598</v>
      </c>
      <c r="E167" t="s">
        <v>465</v>
      </c>
      <c r="F167" t="s">
        <v>366</v>
      </c>
    </row>
    <row r="168" spans="1:6">
      <c r="A168">
        <f>HYPERLINK("https://learning.oreilly.com/live-events/gcp-associate-cloud-engineer-crash-course/0636920090999/0790145083905", "0790145083905")</f>
        <v>0</v>
      </c>
      <c r="B168" t="s">
        <v>599</v>
      </c>
      <c r="C168" t="s">
        <v>600</v>
      </c>
      <c r="D168" t="s">
        <v>601</v>
      </c>
      <c r="E168" t="s">
        <v>602</v>
      </c>
      <c r="F168" t="s">
        <v>565</v>
      </c>
    </row>
    <row r="169" spans="1:6">
      <c r="A169">
        <f>HYPERLINK("https://learning.oreilly.com/live-events/modern-c-full-throttle-with-paul-deitel-intro-to-c20-the-standard-library/0790145076976/0790145076968", "0790145076968")</f>
        <v>0</v>
      </c>
      <c r="B169" t="s">
        <v>180</v>
      </c>
      <c r="C169" t="s">
        <v>603</v>
      </c>
      <c r="D169" t="s">
        <v>604</v>
      </c>
      <c r="E169" t="s">
        <v>602</v>
      </c>
      <c r="F169" t="s">
        <v>183</v>
      </c>
    </row>
    <row r="170" spans="1:6">
      <c r="A170">
        <f>HYPERLINK("https://learning.oreilly.com/live-events/analyze-and-process-data-with-snowflake/0636920070793/0790145080590", "0790145080590")</f>
        <v>0</v>
      </c>
      <c r="B170" t="s">
        <v>262</v>
      </c>
      <c r="C170" t="s">
        <v>605</v>
      </c>
      <c r="D170" t="s">
        <v>606</v>
      </c>
      <c r="E170" t="s">
        <v>602</v>
      </c>
      <c r="F170" t="s">
        <v>607</v>
      </c>
    </row>
    <row r="171" spans="1:6">
      <c r="A171">
        <f>HYPERLINK("https://learning.oreilly.com/live-events/getting-started-with-langchain/0636920098586/0790145077719", "0790145077719")</f>
        <v>0</v>
      </c>
      <c r="B171" t="s">
        <v>547</v>
      </c>
      <c r="C171" t="s">
        <v>608</v>
      </c>
      <c r="D171" t="s">
        <v>609</v>
      </c>
      <c r="E171" t="s">
        <v>610</v>
      </c>
      <c r="F171" t="s">
        <v>398</v>
      </c>
    </row>
    <row r="172" spans="1:6">
      <c r="A172">
        <f>HYPERLINK("https://learning.oreilly.com/live-events/adding-ai-to-your-applications/0790145082216/0790145082208", "0790145082208")</f>
        <v>0</v>
      </c>
      <c r="B172" t="s">
        <v>242</v>
      </c>
      <c r="C172" t="s">
        <v>611</v>
      </c>
      <c r="D172" t="s">
        <v>612</v>
      </c>
      <c r="E172" t="s">
        <v>610</v>
      </c>
      <c r="F172" t="s">
        <v>434</v>
      </c>
    </row>
    <row r="173" spans="1:6">
      <c r="A173">
        <f>HYPERLINK("https://learning.oreilly.com/live-events/a-hands-on-workshop-on-data-visualization-fundamentals/0636920073479/0790145082046", "0790145082046")</f>
        <v>0</v>
      </c>
      <c r="B173" t="s">
        <v>151</v>
      </c>
      <c r="C173" t="s">
        <v>613</v>
      </c>
      <c r="D173" t="s">
        <v>614</v>
      </c>
      <c r="E173" t="s">
        <v>610</v>
      </c>
      <c r="F173" t="s">
        <v>615</v>
      </c>
    </row>
    <row r="174" spans="1:6">
      <c r="A174">
        <f>HYPERLINK("https://learning.oreilly.com/live-events/react-in-3-weeks/0636920080630/0790145062746", "0790145062746")</f>
        <v>0</v>
      </c>
      <c r="B174" t="s">
        <v>173</v>
      </c>
      <c r="C174" t="s">
        <v>616</v>
      </c>
      <c r="D174" t="s">
        <v>617</v>
      </c>
      <c r="E174" t="s">
        <v>618</v>
      </c>
      <c r="F174" t="s">
        <v>619</v>
      </c>
    </row>
    <row r="175" spans="1:6">
      <c r="A175">
        <f>HYPERLINK("https://learning.oreilly.com/live-events/use-git-like-a-pro/0790145082658/0790145082640", "0790145082640")</f>
        <v>0</v>
      </c>
      <c r="B175" t="s">
        <v>620</v>
      </c>
      <c r="C175" t="s">
        <v>621</v>
      </c>
      <c r="D175" t="s">
        <v>622</v>
      </c>
      <c r="E175" t="s">
        <v>623</v>
      </c>
      <c r="F175" t="s">
        <v>624</v>
      </c>
    </row>
    <row r="176" spans="1:6">
      <c r="A176">
        <f>HYPERLINK("https://learning.oreilly.com/live-events/ai-text-to-image-modeling-with-stable-diffusion-and-midjourney/0790145082836/0790145082828", "0790145082828")</f>
        <v>0</v>
      </c>
      <c r="B176" t="s">
        <v>625</v>
      </c>
      <c r="C176" t="s">
        <v>626</v>
      </c>
      <c r="D176" t="s">
        <v>627</v>
      </c>
      <c r="E176" t="s">
        <v>623</v>
      </c>
      <c r="F176" t="s">
        <v>628</v>
      </c>
    </row>
    <row r="177" spans="1:6">
      <c r="A177">
        <f>HYPERLINK("https://learning.oreilly.com/live-events/build-a-cicd-pipeline/0636920057913/0790145084294", "0790145084294")</f>
        <v>0</v>
      </c>
      <c r="B177" t="s">
        <v>629</v>
      </c>
      <c r="C177" t="s">
        <v>630</v>
      </c>
      <c r="D177" t="s">
        <v>631</v>
      </c>
      <c r="E177" t="s">
        <v>632</v>
      </c>
      <c r="F177" t="s">
        <v>633</v>
      </c>
    </row>
    <row r="178" spans="1:6">
      <c r="A178">
        <f>HYPERLINK("https://learning.oreilly.com/live-events/understanding-business-strategy/0636920177616/0790145084332", "0790145084332")</f>
        <v>0</v>
      </c>
      <c r="B178" t="s">
        <v>634</v>
      </c>
      <c r="C178" t="s">
        <v>635</v>
      </c>
      <c r="D178" t="s">
        <v>636</v>
      </c>
      <c r="E178" t="s">
        <v>632</v>
      </c>
      <c r="F178" t="s">
        <v>637</v>
      </c>
    </row>
    <row r="179" spans="1:6">
      <c r="A179">
        <f>HYPERLINK("https://learning.oreilly.com/live-events/ai-and-ml-algorithms-for-non-mathematicians-and-data-science-beginners/0636920099583/0790145077794", "0790145077794")</f>
        <v>0</v>
      </c>
      <c r="B179" t="s">
        <v>371</v>
      </c>
      <c r="C179" t="s">
        <v>638</v>
      </c>
      <c r="D179" t="s">
        <v>639</v>
      </c>
      <c r="E179" t="s">
        <v>632</v>
      </c>
      <c r="F179" t="s">
        <v>542</v>
      </c>
    </row>
    <row r="180" spans="1:6">
      <c r="A180">
        <f>HYPERLINK("https://learning.oreilly.com/live-events/mastering-microsoft-excel-pivot-tables/0636920059840/0790145075112", "0790145075112")</f>
        <v>0</v>
      </c>
      <c r="B180" t="s">
        <v>640</v>
      </c>
      <c r="C180" t="s">
        <v>641</v>
      </c>
      <c r="D180" t="s">
        <v>642</v>
      </c>
      <c r="E180" t="s">
        <v>632</v>
      </c>
      <c r="F180" t="s">
        <v>248</v>
      </c>
    </row>
    <row r="181" spans="1:6">
      <c r="A181">
        <f>HYPERLINK("https://learning.oreilly.com/live-events/linux-troubleshooting-advanced-linux-techniques/0636920163169/0790145076887", "0790145076887")</f>
        <v>0</v>
      </c>
      <c r="B181" t="s">
        <v>63</v>
      </c>
      <c r="C181" t="s">
        <v>71</v>
      </c>
      <c r="D181" t="s">
        <v>72</v>
      </c>
      <c r="E181" t="s">
        <v>632</v>
      </c>
      <c r="F181" t="s">
        <v>66</v>
      </c>
    </row>
    <row r="182" spans="1:6">
      <c r="A182">
        <f>HYPERLINK("https://learning.oreilly.com/live-events/microsoft-azure-ai-fundamentals-ai-900-crash-course/0636920091406/0790145076607", "0790145076607")</f>
        <v>0</v>
      </c>
      <c r="B182" t="s">
        <v>643</v>
      </c>
      <c r="C182" t="s">
        <v>644</v>
      </c>
      <c r="D182" t="s">
        <v>645</v>
      </c>
      <c r="E182" t="s">
        <v>632</v>
      </c>
      <c r="F182" t="s">
        <v>166</v>
      </c>
    </row>
    <row r="183" spans="1:6">
      <c r="A183">
        <f>HYPERLINK("https://learning.oreilly.com/live-events/event-driven-architecture-and-data/0636920053458/0790145084723", "0790145084723")</f>
        <v>0</v>
      </c>
      <c r="B183" t="s">
        <v>96</v>
      </c>
      <c r="C183" t="s">
        <v>646</v>
      </c>
      <c r="D183" t="s">
        <v>647</v>
      </c>
      <c r="E183" t="s">
        <v>632</v>
      </c>
      <c r="F183" t="s">
        <v>648</v>
      </c>
    </row>
    <row r="184" spans="1:6">
      <c r="A184">
        <f>HYPERLINK("https://learning.oreilly.com/live-events/linear-algebra-for-machine-learning-level-ii-matrix-tensors-ml-foundations-series/0790145088516/0790145088508", "0790145088508")</f>
        <v>0</v>
      </c>
      <c r="B184" t="s">
        <v>496</v>
      </c>
      <c r="C184" t="s">
        <v>649</v>
      </c>
      <c r="D184" t="s">
        <v>650</v>
      </c>
      <c r="E184" t="s">
        <v>593</v>
      </c>
      <c r="F184" t="s">
        <v>80</v>
      </c>
    </row>
    <row r="185" spans="1:6">
      <c r="A185">
        <f>HYPERLINK("https://learning.oreilly.com/live-events/getting-started-with-openshift/0636920244301/0790145076828", "0790145076828")</f>
        <v>0</v>
      </c>
      <c r="B185" t="s">
        <v>651</v>
      </c>
      <c r="C185" t="s">
        <v>652</v>
      </c>
      <c r="D185" t="s">
        <v>653</v>
      </c>
      <c r="E185" t="s">
        <v>593</v>
      </c>
      <c r="F185" t="s">
        <v>66</v>
      </c>
    </row>
    <row r="186" spans="1:6">
      <c r="A186">
        <f>HYPERLINK("https://learning.oreilly.com/live-events/building-your-personal-brand/0636920373902/0790145071672", "0790145071672")</f>
        <v>0</v>
      </c>
      <c r="B186" t="s">
        <v>654</v>
      </c>
      <c r="C186" t="s">
        <v>655</v>
      </c>
      <c r="D186" t="s">
        <v>656</v>
      </c>
      <c r="E186" t="s">
        <v>593</v>
      </c>
      <c r="F186" t="s">
        <v>518</v>
      </c>
    </row>
    <row r="187" spans="1:6">
      <c r="A187">
        <f>HYPERLINK("https://learning.oreilly.com/live-events/python-environments-and-best-practices/0636920444237/0790145082666", "0790145082666")</f>
        <v>0</v>
      </c>
      <c r="B187" t="s">
        <v>21</v>
      </c>
      <c r="C187" t="s">
        <v>657</v>
      </c>
      <c r="D187" t="s">
        <v>658</v>
      </c>
      <c r="E187" t="s">
        <v>659</v>
      </c>
      <c r="F187" t="s">
        <v>660</v>
      </c>
    </row>
    <row r="188" spans="1:6">
      <c r="A188">
        <f>HYPERLINK("https://learning.oreilly.com/live-events/large-language-models-and-chatgpt-in-3-weeks/0636920090988/0790145071141", "0790145071141")</f>
        <v>0</v>
      </c>
      <c r="B188" t="s">
        <v>6</v>
      </c>
      <c r="C188" t="s">
        <v>661</v>
      </c>
      <c r="D188" t="s">
        <v>662</v>
      </c>
      <c r="E188" t="s">
        <v>663</v>
      </c>
      <c r="F188" t="s">
        <v>172</v>
      </c>
    </row>
    <row r="189" spans="1:6">
      <c r="A189">
        <f>HYPERLINK("https://learning.oreilly.com/live-events/cka-in-6-hours-certified-kubernetes-administrator-crash-course/0790145076879/0790145076860", "0790145076860")</f>
        <v>0</v>
      </c>
      <c r="B189" t="s">
        <v>574</v>
      </c>
      <c r="C189" t="s">
        <v>664</v>
      </c>
      <c r="D189" t="s">
        <v>665</v>
      </c>
      <c r="E189" t="s">
        <v>572</v>
      </c>
      <c r="F189" t="s">
        <v>66</v>
      </c>
    </row>
    <row r="190" spans="1:6">
      <c r="A190">
        <f>HYPERLINK("https://learning.oreilly.com/live-events/aws-certified-solutions-architect-professional-sap-c02-crash-course/0636920060215/0790145082968", "0790145082968")</f>
        <v>0</v>
      </c>
      <c r="B190" t="s">
        <v>666</v>
      </c>
      <c r="C190" t="s">
        <v>667</v>
      </c>
      <c r="D190" t="s">
        <v>668</v>
      </c>
      <c r="E190" t="s">
        <v>572</v>
      </c>
      <c r="F190" t="s">
        <v>52</v>
      </c>
    </row>
    <row r="191" spans="1:6">
      <c r="A191">
        <f>HYPERLINK("https://learning.oreilly.com/live-events/go-in-3-weekswith-interactivity/0636920060986/0790145070587", "0790145070587")</f>
        <v>0</v>
      </c>
      <c r="B191" t="s">
        <v>404</v>
      </c>
      <c r="C191" t="s">
        <v>669</v>
      </c>
      <c r="D191" t="s">
        <v>670</v>
      </c>
      <c r="E191" t="s">
        <v>671</v>
      </c>
      <c r="F191" t="s">
        <v>672</v>
      </c>
    </row>
    <row r="192" spans="1:6">
      <c r="A192">
        <f>HYPERLINK("https://learning.oreilly.com/live-events/c-essentials-the-special-member-functions/0636920066062/0790145057939", "0790145057939")</f>
        <v>0</v>
      </c>
      <c r="B192" t="s">
        <v>180</v>
      </c>
      <c r="C192" t="s">
        <v>324</v>
      </c>
      <c r="D192" t="s">
        <v>325</v>
      </c>
      <c r="E192" t="s">
        <v>572</v>
      </c>
      <c r="F192" t="s">
        <v>326</v>
      </c>
    </row>
    <row r="193" spans="1:6">
      <c r="A193">
        <f>HYPERLINK("https://learning.oreilly.com/live-events/mental-models-fundamentals/0636920058757/0790145075872", "0790145075872")</f>
        <v>0</v>
      </c>
      <c r="B193" t="s">
        <v>673</v>
      </c>
      <c r="C193" t="s">
        <v>674</v>
      </c>
      <c r="D193" t="s">
        <v>675</v>
      </c>
      <c r="E193" t="s">
        <v>572</v>
      </c>
      <c r="F193" t="s">
        <v>676</v>
      </c>
    </row>
    <row r="194" spans="1:6">
      <c r="A194">
        <f>HYPERLINK("https://learning.oreilly.com/live-events/kubernetes-intermediate-in-3-weekswith-interactivity/0636920056954/0790145062932", "0790145062932")</f>
        <v>0</v>
      </c>
      <c r="B194" t="s">
        <v>574</v>
      </c>
      <c r="C194" t="s">
        <v>677</v>
      </c>
      <c r="D194" t="s">
        <v>678</v>
      </c>
      <c r="E194" t="s">
        <v>671</v>
      </c>
      <c r="F194" t="s">
        <v>679</v>
      </c>
    </row>
    <row r="195" spans="1:6">
      <c r="A195">
        <f>HYPERLINK("https://learning.oreilly.com/live-events/hands-on-with-serverless-using-aws-lambda/0636920097599/0790145083549", "0790145083549")</f>
        <v>0</v>
      </c>
      <c r="B195" t="s">
        <v>359</v>
      </c>
      <c r="C195" t="s">
        <v>680</v>
      </c>
      <c r="D195" t="s">
        <v>681</v>
      </c>
      <c r="E195" t="s">
        <v>682</v>
      </c>
      <c r="F195" t="s">
        <v>218</v>
      </c>
    </row>
    <row r="196" spans="1:6">
      <c r="A196">
        <f>HYPERLINK("https://learning.oreilly.com/live-events/rust-in-4-hours/0636920063666/0790145078561", "0790145078561")</f>
        <v>0</v>
      </c>
      <c r="B196" t="s">
        <v>335</v>
      </c>
      <c r="C196" t="s">
        <v>683</v>
      </c>
      <c r="D196" t="s">
        <v>684</v>
      </c>
      <c r="E196" t="s">
        <v>682</v>
      </c>
      <c r="F196" t="s">
        <v>582</v>
      </c>
    </row>
    <row r="197" spans="1:6">
      <c r="A197">
        <f>HYPERLINK("https://learning.oreilly.com/live-events/mastering-creative-and-collaborative-problem-solving/0636920099691/0790145078901", "0790145078901")</f>
        <v>0</v>
      </c>
      <c r="B197" t="s">
        <v>685</v>
      </c>
      <c r="C197" t="s">
        <v>686</v>
      </c>
      <c r="D197" t="s">
        <v>687</v>
      </c>
      <c r="E197" t="s">
        <v>682</v>
      </c>
      <c r="F197" t="s">
        <v>688</v>
      </c>
    </row>
    <row r="198" spans="1:6">
      <c r="A198">
        <f>HYPERLINK("https://learning.oreilly.com/live-events/ai-powered-diagnostic-analytics-in-power-bi/0636920071331/0790145080124", "0790145080124")</f>
        <v>0</v>
      </c>
      <c r="B198" t="s">
        <v>226</v>
      </c>
      <c r="C198" t="s">
        <v>689</v>
      </c>
      <c r="D198" t="s">
        <v>690</v>
      </c>
      <c r="E198" t="s">
        <v>581</v>
      </c>
      <c r="F198" t="s">
        <v>10</v>
      </c>
    </row>
    <row r="199" spans="1:6">
      <c r="A199">
        <f>HYPERLINK("https://learning.oreilly.com/live-events/python-powered-excel/0636920404217/0790145082747", "0790145082747")</f>
        <v>0</v>
      </c>
      <c r="B199" t="s">
        <v>21</v>
      </c>
      <c r="C199" t="s">
        <v>691</v>
      </c>
      <c r="D199" t="s">
        <v>692</v>
      </c>
      <c r="E199" t="s">
        <v>581</v>
      </c>
      <c r="F199" t="s">
        <v>693</v>
      </c>
    </row>
    <row r="200" spans="1:6">
      <c r="A200">
        <f>HYPERLINK("https://learning.oreilly.com/live-events/new-engineering-manager-bootcamp/0636920089320/0790145074639", "0790145074639")</f>
        <v>0</v>
      </c>
      <c r="B200" t="s">
        <v>408</v>
      </c>
      <c r="C200" t="s">
        <v>694</v>
      </c>
      <c r="D200" t="s">
        <v>695</v>
      </c>
      <c r="E200" t="s">
        <v>663</v>
      </c>
      <c r="F200" t="s">
        <v>696</v>
      </c>
    </row>
    <row r="201" spans="1:6">
      <c r="A201">
        <f>HYPERLINK("https://learning.oreilly.com/live-events/mastering-technical-presentations-by-example/0636920054747/0790145080221", "0790145080221")</f>
        <v>0</v>
      </c>
      <c r="B201" t="s">
        <v>697</v>
      </c>
      <c r="C201" t="s">
        <v>698</v>
      </c>
      <c r="D201" t="s">
        <v>699</v>
      </c>
      <c r="E201" t="s">
        <v>581</v>
      </c>
      <c r="F201" t="s">
        <v>100</v>
      </c>
    </row>
    <row r="202" spans="1:6">
      <c r="A202">
        <f>HYPERLINK("https://learning.oreilly.com/live-events/using-dax-in-microsoft-power-bi/0636920095718/0642572011784", "0642572011784")</f>
        <v>0</v>
      </c>
      <c r="B202" t="s">
        <v>226</v>
      </c>
      <c r="C202" t="s">
        <v>700</v>
      </c>
      <c r="D202" t="s">
        <v>701</v>
      </c>
      <c r="E202" t="s">
        <v>702</v>
      </c>
      <c r="F202" t="s">
        <v>479</v>
      </c>
    </row>
    <row r="203" spans="1:6">
      <c r="A203">
        <f>HYPERLINK("https://learning.oreilly.com/live-events/machine-learning-engineer-associate-mla-c01-bootcamp/0642572010717/0642572010716", "0642572010716")</f>
        <v>0</v>
      </c>
      <c r="B203" t="s">
        <v>315</v>
      </c>
      <c r="C203" t="s">
        <v>703</v>
      </c>
      <c r="D203" t="s">
        <v>704</v>
      </c>
      <c r="E203" t="s">
        <v>705</v>
      </c>
      <c r="F203" t="s">
        <v>469</v>
      </c>
    </row>
    <row r="204" spans="1:6">
      <c r="A204">
        <f>HYPERLINK("https://learning.oreilly.com/live-events/building-agents-with-openais-gpt-assistants-api/0642572010712/0642572010711", "0642572010711")</f>
        <v>0</v>
      </c>
      <c r="B204" t="s">
        <v>6</v>
      </c>
      <c r="C204" t="s">
        <v>706</v>
      </c>
      <c r="D204" t="s">
        <v>707</v>
      </c>
      <c r="E204" t="s">
        <v>708</v>
      </c>
      <c r="F204" t="s">
        <v>398</v>
      </c>
    </row>
    <row r="205" spans="1:6">
      <c r="A205">
        <f>HYPERLINK("https://learning.oreilly.com/live-events/developing-incremental-architecture/0636920201946/0642572011435", "0642572011435")</f>
        <v>0</v>
      </c>
      <c r="B205" t="s">
        <v>378</v>
      </c>
      <c r="C205" t="s">
        <v>709</v>
      </c>
      <c r="D205" t="s">
        <v>710</v>
      </c>
      <c r="E205" t="s">
        <v>711</v>
      </c>
      <c r="F205" t="s">
        <v>712</v>
      </c>
    </row>
    <row r="206" spans="1:6">
      <c r="A206">
        <f>HYPERLINK("https://learning.oreilly.com/live-events/developing-a-growth-mindset/0642572002316/0642572010536", "0642572010536")</f>
        <v>0</v>
      </c>
      <c r="B206" t="s">
        <v>713</v>
      </c>
      <c r="C206" t="s">
        <v>714</v>
      </c>
      <c r="D206" t="s">
        <v>715</v>
      </c>
      <c r="E206" t="s">
        <v>711</v>
      </c>
      <c r="F206" t="s">
        <v>716</v>
      </c>
    </row>
    <row r="207" spans="1:6">
      <c r="A207">
        <f>HYPERLINK("https://learning.oreilly.com/live-events/transformer-architectures-for-generative-ai/0642572010589/0642572010588", "0642572010588")</f>
        <v>0</v>
      </c>
      <c r="B207" t="s">
        <v>717</v>
      </c>
      <c r="C207" t="s">
        <v>718</v>
      </c>
      <c r="D207" t="s">
        <v>719</v>
      </c>
      <c r="E207" t="s">
        <v>720</v>
      </c>
      <c r="F207" t="s">
        <v>172</v>
      </c>
    </row>
    <row r="208" spans="1:6">
      <c r="A208">
        <f>HYPERLINK("https://learning.oreilly.com/live-events/llms-for-data-science/0642572006413/0642572010595", "0642572010595")</f>
        <v>0</v>
      </c>
      <c r="B208" t="s">
        <v>25</v>
      </c>
      <c r="C208" t="s">
        <v>721</v>
      </c>
      <c r="D208" t="s">
        <v>722</v>
      </c>
      <c r="E208" t="s">
        <v>723</v>
      </c>
      <c r="F208" t="s">
        <v>213</v>
      </c>
    </row>
    <row r="209" spans="1:6">
      <c r="A209">
        <f>HYPERLINK("https://learning.oreilly.com/live-events/hugging-face-fundamentals-for-machine-learning/0642572010327/0642572010326", "0642572010326")</f>
        <v>0</v>
      </c>
      <c r="B209" t="s">
        <v>315</v>
      </c>
      <c r="C209" t="s">
        <v>724</v>
      </c>
      <c r="D209" t="s">
        <v>725</v>
      </c>
      <c r="E209" t="s">
        <v>726</v>
      </c>
      <c r="F209" t="s">
        <v>318</v>
      </c>
    </row>
    <row r="210" spans="1:6">
      <c r="A210">
        <f>HYPERLINK("https://learning.oreilly.com/live-events/choosing-the-right-llm/0642572002832/0642572010148", "0642572010148")</f>
        <v>0</v>
      </c>
      <c r="B210" t="s">
        <v>727</v>
      </c>
      <c r="C210" t="s">
        <v>728</v>
      </c>
      <c r="D210" t="s">
        <v>729</v>
      </c>
      <c r="E210" t="s">
        <v>730</v>
      </c>
      <c r="F210" t="s">
        <v>731</v>
      </c>
    </row>
    <row r="211" spans="1:6">
      <c r="A211">
        <f>HYPERLINK("https://learning.oreilly.com/live-events/cto-hour-with-peter-bell-rag-agents-and-beyond-building-production-llm-systems-that-deliver-business-value/0642572012213/0642572012211", "0642572012211")</f>
        <v>0</v>
      </c>
      <c r="B211" t="s">
        <v>732</v>
      </c>
      <c r="C211" t="s">
        <v>733</v>
      </c>
      <c r="D211" t="s">
        <v>734</v>
      </c>
      <c r="E211" t="s">
        <v>735</v>
      </c>
      <c r="F211" t="s">
        <v>736</v>
      </c>
    </row>
    <row r="212" spans="1:6">
      <c r="A212">
        <f>HYPERLINK("https://learning.oreilly.com/live-events/retrieval-augmented-generation-rag-and-llms/0790145078618/0642572008068", "0642572008068")</f>
        <v>0</v>
      </c>
      <c r="B212" t="s">
        <v>194</v>
      </c>
      <c r="C212" t="s">
        <v>737</v>
      </c>
      <c r="D212" t="s">
        <v>738</v>
      </c>
      <c r="E212" t="s">
        <v>739</v>
      </c>
      <c r="F212" t="s">
        <v>172</v>
      </c>
    </row>
    <row r="213" spans="1:6">
      <c r="A213">
        <f>HYPERLINK("https://learning.oreilly.com/live-events/infrastructure-ops-superstream-platform-engineering-best-practices/0790145085614/0790145085606", "0790145085606")</f>
        <v>0</v>
      </c>
      <c r="B213" t="s">
        <v>740</v>
      </c>
      <c r="C213" t="s">
        <v>741</v>
      </c>
      <c r="D213" t="s">
        <v>742</v>
      </c>
      <c r="E213" t="s">
        <v>743</v>
      </c>
      <c r="F213" t="s">
        <v>744</v>
      </c>
    </row>
    <row r="214" spans="1:6">
      <c r="A214">
        <f>HYPERLINK("https://learning.oreilly.com/live-events/getting-started-with-langgraph/0642572005882/0642572005881", "0642572005881")</f>
        <v>0</v>
      </c>
      <c r="B214" t="s">
        <v>745</v>
      </c>
      <c r="C214" t="s">
        <v>746</v>
      </c>
      <c r="D214" t="s">
        <v>747</v>
      </c>
      <c r="E214" t="s">
        <v>748</v>
      </c>
      <c r="F214" t="s">
        <v>398</v>
      </c>
    </row>
    <row r="215" spans="1:6">
      <c r="A215">
        <f>HYPERLINK("https://learning.oreilly.com/live-events/postgresql-bootcamp/0636920095455/0642572006010", "0642572006010")</f>
        <v>0</v>
      </c>
      <c r="B215" t="s">
        <v>386</v>
      </c>
      <c r="C215" t="s">
        <v>387</v>
      </c>
      <c r="D215" t="s">
        <v>388</v>
      </c>
      <c r="E215" t="s">
        <v>749</v>
      </c>
      <c r="F215" t="s">
        <v>390</v>
      </c>
    </row>
    <row r="216" spans="1:6">
      <c r="A216">
        <f>HYPERLINK("https://learning.oreilly.com/live-events/fundamentals-of-devops/0642572003760/0642572003759", "0642572003759")</f>
        <v>0</v>
      </c>
      <c r="B216" t="s">
        <v>629</v>
      </c>
      <c r="C216" t="s">
        <v>750</v>
      </c>
      <c r="D216" t="s">
        <v>751</v>
      </c>
      <c r="E216" t="s">
        <v>749</v>
      </c>
      <c r="F216" t="s">
        <v>752</v>
      </c>
    </row>
    <row r="217" spans="1:6">
      <c r="A217">
        <f>HYPERLINK("https://learning.oreilly.com/live-events/chatgpt-for-software-architects/0790145068795/0642572003775", "0642572003775")</f>
        <v>0</v>
      </c>
      <c r="B217" t="s">
        <v>96</v>
      </c>
      <c r="C217" t="s">
        <v>753</v>
      </c>
      <c r="D217" t="s">
        <v>754</v>
      </c>
      <c r="E217" t="s">
        <v>755</v>
      </c>
      <c r="F217" t="s">
        <v>297</v>
      </c>
    </row>
    <row r="218" spans="1:6">
      <c r="A218">
        <f>HYPERLINK("https://learning.oreilly.com/live-events/concurrent-programming-core-concepts/0642572008523/0642572008522", "0642572008522")</f>
        <v>0</v>
      </c>
      <c r="B218" t="s">
        <v>756</v>
      </c>
      <c r="C218" t="s">
        <v>757</v>
      </c>
      <c r="D218" t="s">
        <v>758</v>
      </c>
      <c r="E218" t="s">
        <v>759</v>
      </c>
      <c r="F218" t="s">
        <v>301</v>
      </c>
    </row>
    <row r="219" spans="1:6">
      <c r="A219">
        <f>HYPERLINK("https://learning.oreilly.com/live-events/ai-agents-a-z/0642572007604/0642572007603", "0642572007603")</f>
        <v>0</v>
      </c>
      <c r="B219" t="s">
        <v>86</v>
      </c>
      <c r="C219" t="s">
        <v>760</v>
      </c>
      <c r="D219" t="s">
        <v>761</v>
      </c>
      <c r="E219" t="s">
        <v>762</v>
      </c>
      <c r="F219" t="s">
        <v>172</v>
      </c>
    </row>
    <row r="220" spans="1:6">
      <c r="A220">
        <f>HYPERLINK("https://learning.oreilly.com/live-events/kubernetes-ai-and-machine-learning-in-production/0636920098315/0642572007725", "0642572007725")</f>
        <v>0</v>
      </c>
      <c r="B220" t="s">
        <v>315</v>
      </c>
      <c r="C220" t="s">
        <v>763</v>
      </c>
      <c r="D220" t="s">
        <v>764</v>
      </c>
      <c r="E220" t="s">
        <v>765</v>
      </c>
      <c r="F220" t="s">
        <v>205</v>
      </c>
    </row>
    <row r="221" spans="1:6">
      <c r="A221">
        <f>HYPERLINK("https://learning.oreilly.com/live-events/data-structures-and-algorithms-level-ii-hashing-trees-graphs-ml-foundations-series/0642572006187/0642572006186", "0642572006186")</f>
        <v>0</v>
      </c>
      <c r="B221" t="s">
        <v>371</v>
      </c>
      <c r="C221" t="s">
        <v>766</v>
      </c>
      <c r="D221" t="s">
        <v>767</v>
      </c>
      <c r="E221" t="s">
        <v>768</v>
      </c>
      <c r="F221" t="s">
        <v>80</v>
      </c>
    </row>
    <row r="222" spans="1:6">
      <c r="A222">
        <f>HYPERLINK("https://learning.oreilly.com/live-events/product-design-with-genai/0642572003764/0642572003763", "0642572003763")</f>
        <v>0</v>
      </c>
      <c r="B222" t="s">
        <v>769</v>
      </c>
      <c r="C222" t="s">
        <v>770</v>
      </c>
      <c r="D222" t="s">
        <v>771</v>
      </c>
      <c r="E222" t="s">
        <v>772</v>
      </c>
      <c r="F222" t="s">
        <v>773</v>
      </c>
    </row>
    <row r="223" spans="1:6">
      <c r="A223">
        <f>HYPERLINK("https://learning.oreilly.com/live-events/artificial-intelligence/0636920054812/0642572007205", "0642572007205")</f>
        <v>0</v>
      </c>
      <c r="B223" t="s">
        <v>315</v>
      </c>
      <c r="C223" t="s">
        <v>774</v>
      </c>
      <c r="D223" t="s">
        <v>354</v>
      </c>
      <c r="E223" t="s">
        <v>775</v>
      </c>
      <c r="F223" t="s">
        <v>356</v>
      </c>
    </row>
    <row r="224" spans="1:6">
      <c r="A224">
        <f>HYPERLINK("https://learning.oreilly.com/live-events/from-software-engineer-to-ai-data-scientist/0642572007671/0642572007670", "0642572007670")</f>
        <v>0</v>
      </c>
      <c r="B224" t="s">
        <v>25</v>
      </c>
      <c r="C224" t="s">
        <v>776</v>
      </c>
      <c r="D224" t="s">
        <v>777</v>
      </c>
      <c r="E224" t="s">
        <v>778</v>
      </c>
      <c r="F224" t="s">
        <v>731</v>
      </c>
    </row>
    <row r="225" spans="1:6">
      <c r="A225">
        <f>HYPERLINK("https://learning.oreilly.com/live-events/data-superstream-becoming-a-data-engineer/0642572005984/0642572005983", "0642572005983")</f>
        <v>0</v>
      </c>
      <c r="B225" t="s">
        <v>441</v>
      </c>
      <c r="C225" t="s">
        <v>779</v>
      </c>
      <c r="D225" t="s">
        <v>780</v>
      </c>
      <c r="E225" t="s">
        <v>781</v>
      </c>
      <c r="F225" t="s">
        <v>782</v>
      </c>
    </row>
    <row r="226" spans="1:6">
      <c r="A226">
        <f>HYPERLINK("https://learning.oreilly.com/live-events/build-your-own-ai-lab/0642572007495/0642572007494", "0642572007494")</f>
        <v>0</v>
      </c>
      <c r="B226" t="s">
        <v>168</v>
      </c>
      <c r="C226" t="s">
        <v>783</v>
      </c>
      <c r="D226" t="s">
        <v>784</v>
      </c>
      <c r="E226" t="s">
        <v>785</v>
      </c>
      <c r="F226" t="s">
        <v>786</v>
      </c>
    </row>
    <row r="227" spans="1:6">
      <c r="A227">
        <f>HYPERLINK("https://learning.oreilly.com/live-events/open-source-mlops-in-4-weeks/0636920080215/0642572001590", "0642572001590")</f>
        <v>0</v>
      </c>
      <c r="B227" t="s">
        <v>787</v>
      </c>
      <c r="C227" t="s">
        <v>788</v>
      </c>
      <c r="D227" t="s">
        <v>789</v>
      </c>
      <c r="E227" t="s">
        <v>790</v>
      </c>
      <c r="F227" t="s">
        <v>791</v>
      </c>
    </row>
    <row r="228" spans="1:6">
      <c r="A228">
        <f>HYPERLINK("https://learning.oreilly.com/live-events/kubernetes-fundamentals-in-2-weekswith-interactivity/0642572005386/0642572005385", "0642572005385")</f>
        <v>0</v>
      </c>
      <c r="B228" t="s">
        <v>574</v>
      </c>
      <c r="C228" t="s">
        <v>792</v>
      </c>
      <c r="D228" t="s">
        <v>793</v>
      </c>
      <c r="E228" t="s">
        <v>794</v>
      </c>
      <c r="F228" t="s">
        <v>679</v>
      </c>
    </row>
    <row r="229" spans="1:6">
      <c r="A229">
        <f>HYPERLINK("https://learning.oreilly.com/live-events/leading-with-impact/0636920094346/0642572006724", "0642572006724")</f>
        <v>0</v>
      </c>
      <c r="B229" t="s">
        <v>795</v>
      </c>
      <c r="C229" t="s">
        <v>796</v>
      </c>
      <c r="D229" t="s">
        <v>797</v>
      </c>
      <c r="E229" t="s">
        <v>798</v>
      </c>
      <c r="F229" t="s">
        <v>799</v>
      </c>
    </row>
    <row r="230" spans="1:6">
      <c r="A230">
        <f>HYPERLINK("https://learning.oreilly.com/live-events/tech-leadership-tuesday-with-lena-reinhard-leading-high-performing-teams-with-kate-wardin/0642572007794/0642572007793", "0642572007793")</f>
        <v>0</v>
      </c>
      <c r="B230" t="s">
        <v>800</v>
      </c>
      <c r="C230" t="s">
        <v>801</v>
      </c>
      <c r="D230" t="s">
        <v>802</v>
      </c>
      <c r="E230" t="s">
        <v>803</v>
      </c>
      <c r="F230" t="s">
        <v>804</v>
      </c>
    </row>
    <row r="231" spans="1:6">
      <c r="A231">
        <f>HYPERLINK("https://learning.oreilly.com/live-events/python-code-cleanup/0636920082773/0642572001808", "0642572001808")</f>
        <v>0</v>
      </c>
      <c r="B231" t="s">
        <v>21</v>
      </c>
      <c r="C231" t="s">
        <v>805</v>
      </c>
      <c r="D231" t="s">
        <v>806</v>
      </c>
      <c r="E231" t="s">
        <v>807</v>
      </c>
      <c r="F231" t="s">
        <v>403</v>
      </c>
    </row>
    <row r="232" spans="1:6">
      <c r="A232">
        <f>HYPERLINK("https://learning.oreilly.com/live-events/building-reliable-distributed-systems/0636920066051/0642572006871", "0642572006871")</f>
        <v>0</v>
      </c>
      <c r="B232" t="s">
        <v>808</v>
      </c>
      <c r="C232" t="s">
        <v>809</v>
      </c>
      <c r="D232" t="s">
        <v>810</v>
      </c>
      <c r="E232" t="s">
        <v>811</v>
      </c>
      <c r="F232" t="s">
        <v>812</v>
      </c>
    </row>
    <row r="233" spans="1:6">
      <c r="A233">
        <f>HYPERLINK("https://learning.oreilly.com/live-events/whats-new-in-ai-ai-search-with-paco-nathan/0642572007792/0642572007791", "0642572007791")</f>
        <v>0</v>
      </c>
      <c r="B233" t="s">
        <v>86</v>
      </c>
      <c r="C233" t="s">
        <v>813</v>
      </c>
      <c r="D233" t="s">
        <v>814</v>
      </c>
      <c r="E233" t="s">
        <v>815</v>
      </c>
      <c r="F233" t="s">
        <v>816</v>
      </c>
    </row>
    <row r="234" spans="1:6">
      <c r="A234">
        <f>HYPERLINK("https://learning.oreilly.com/live-events/statistics-level-ii-regression-and-bayesian-ml-foundations-series/0636920062830/0642572004749", "0642572004749")</f>
        <v>0</v>
      </c>
      <c r="B234" t="s">
        <v>817</v>
      </c>
      <c r="C234" t="s">
        <v>818</v>
      </c>
      <c r="D234" t="s">
        <v>819</v>
      </c>
      <c r="E234" t="s">
        <v>794</v>
      </c>
      <c r="F234" t="s">
        <v>80</v>
      </c>
    </row>
    <row r="235" spans="1:6">
      <c r="A235">
        <f>HYPERLINK("https://learning.oreilly.com/live-events/from-pandas-to-polars/0790145086122/0790145086114", "0790145086114")</f>
        <v>0</v>
      </c>
      <c r="B235" t="s">
        <v>820</v>
      </c>
      <c r="C235" t="s">
        <v>821</v>
      </c>
      <c r="D235" t="s">
        <v>822</v>
      </c>
      <c r="E235" t="s">
        <v>794</v>
      </c>
      <c r="F235" t="s">
        <v>823</v>
      </c>
    </row>
    <row r="236" spans="1:6">
      <c r="A236">
        <f>HYPERLINK("https://learning.oreilly.com/live-events/data-engineering-fundamentals-in-2-weeks/0642572005799/0642572005798", "0642572005798")</f>
        <v>0</v>
      </c>
      <c r="B236" t="s">
        <v>441</v>
      </c>
      <c r="C236" t="s">
        <v>824</v>
      </c>
      <c r="D236" t="s">
        <v>825</v>
      </c>
      <c r="E236" t="s">
        <v>790</v>
      </c>
      <c r="F236" t="s">
        <v>29</v>
      </c>
    </row>
    <row r="237" spans="1:6">
      <c r="A237">
        <f>HYPERLINK("https://learning.oreilly.com/live-events/ai-model-security-for-fine-tuning-and-training/0642572006277/0642572006276", "0642572006276")</f>
        <v>0</v>
      </c>
      <c r="B237" t="s">
        <v>86</v>
      </c>
      <c r="C237" t="s">
        <v>826</v>
      </c>
      <c r="D237" t="s">
        <v>827</v>
      </c>
      <c r="E237" t="s">
        <v>828</v>
      </c>
      <c r="F237" t="s">
        <v>829</v>
      </c>
    </row>
    <row r="238" spans="1:6">
      <c r="A238">
        <f>HYPERLINK("https://learning.oreilly.com/live-events/hands-on-hugging-face-for-natural-language-processing/0642572002714/0642572002713", "0642572002713")</f>
        <v>0</v>
      </c>
      <c r="B238" t="s">
        <v>128</v>
      </c>
      <c r="C238" t="s">
        <v>830</v>
      </c>
      <c r="D238" t="s">
        <v>831</v>
      </c>
      <c r="E238" t="s">
        <v>828</v>
      </c>
      <c r="F238" t="s">
        <v>607</v>
      </c>
    </row>
    <row r="239" spans="1:6">
      <c r="A239">
        <f>HYPERLINK("https://learning.oreilly.com/live-events/intro-to-statistics-ml-foundations-series/0642572004743/0642572004742", "0642572004742")</f>
        <v>0</v>
      </c>
      <c r="B239" t="s">
        <v>832</v>
      </c>
      <c r="C239" t="s">
        <v>833</v>
      </c>
      <c r="D239" t="s">
        <v>834</v>
      </c>
      <c r="E239" t="s">
        <v>835</v>
      </c>
      <c r="F239" t="s">
        <v>80</v>
      </c>
    </row>
    <row r="240" spans="1:6">
      <c r="A240">
        <f>HYPERLINK("https://learning.oreilly.com/live-events/advanced-strategies-for-securing-ai-and-machine-learning/0642572005000/0642572004999", "0642572004999")</f>
        <v>0</v>
      </c>
      <c r="B240" t="s">
        <v>315</v>
      </c>
      <c r="C240" t="s">
        <v>836</v>
      </c>
      <c r="D240" t="s">
        <v>837</v>
      </c>
      <c r="E240" t="s">
        <v>838</v>
      </c>
      <c r="F240" t="s">
        <v>42</v>
      </c>
    </row>
    <row r="241" spans="1:6">
      <c r="A241">
        <f>HYPERLINK("https://learning.oreilly.com/live-events/google-cloud-platform-professional-cloud-architect-certification-prep/0636920061481/0642572005536", "0642572005536")</f>
        <v>0</v>
      </c>
      <c r="B241" t="s">
        <v>561</v>
      </c>
      <c r="C241" t="s">
        <v>839</v>
      </c>
      <c r="D241" t="s">
        <v>840</v>
      </c>
      <c r="E241" t="s">
        <v>841</v>
      </c>
      <c r="F241" t="s">
        <v>607</v>
      </c>
    </row>
    <row r="242" spans="1:6">
      <c r="A242">
        <f>HYPERLINK("https://learning.oreilly.com/live-events/deep-learning-for-modern-ai/0642572005084/0642572005083", "0642572005083")</f>
        <v>0</v>
      </c>
      <c r="B242" t="s">
        <v>539</v>
      </c>
      <c r="C242" t="s">
        <v>842</v>
      </c>
      <c r="D242" t="s">
        <v>843</v>
      </c>
      <c r="E242" t="s">
        <v>844</v>
      </c>
      <c r="F242" t="s">
        <v>172</v>
      </c>
    </row>
    <row r="243" spans="1:6">
      <c r="A243">
        <f>HYPERLINK("https://learning.oreilly.com/live-events/software-architecture-superstream-streaming-and-event-driven-architecture-for-data-driven-systems/0642572005379/0642572005378", "0642572005378")</f>
        <v>0</v>
      </c>
      <c r="B243" t="s">
        <v>96</v>
      </c>
      <c r="C243" t="s">
        <v>845</v>
      </c>
      <c r="D243" t="s">
        <v>846</v>
      </c>
      <c r="E243" t="s">
        <v>844</v>
      </c>
      <c r="F243" t="s">
        <v>847</v>
      </c>
    </row>
    <row r="244" spans="1:6">
      <c r="A244">
        <f>HYPERLINK("https://learning.oreilly.com/live-events/go-in-4-hours/0636920069801/0642572005450", "0642572005450")</f>
        <v>0</v>
      </c>
      <c r="B244" t="s">
        <v>404</v>
      </c>
      <c r="C244" t="s">
        <v>848</v>
      </c>
      <c r="D244" t="s">
        <v>849</v>
      </c>
      <c r="E244" t="s">
        <v>850</v>
      </c>
      <c r="F244" t="s">
        <v>205</v>
      </c>
    </row>
    <row r="245" spans="1:6">
      <c r="A245">
        <f>HYPERLINK("https://learning.oreilly.com/live-events/statistical-modeling-and-inference-with-python-bootcamp/0642572004249/0642572004248", "0642572004248")</f>
        <v>0</v>
      </c>
      <c r="B245" t="s">
        <v>832</v>
      </c>
      <c r="C245" t="s">
        <v>851</v>
      </c>
      <c r="D245" t="s">
        <v>852</v>
      </c>
      <c r="E245" t="s">
        <v>853</v>
      </c>
      <c r="F245" t="s">
        <v>854</v>
      </c>
    </row>
    <row r="246" spans="1:6">
      <c r="A246">
        <f>HYPERLINK("https://learning.oreilly.com/live-events/kubernetes-networking/0642572000164/0642572005442", "0642572005442")</f>
        <v>0</v>
      </c>
      <c r="B246" t="s">
        <v>574</v>
      </c>
      <c r="C246" t="s">
        <v>855</v>
      </c>
      <c r="D246" t="s">
        <v>856</v>
      </c>
      <c r="E246" t="s">
        <v>857</v>
      </c>
      <c r="F246" t="s">
        <v>205</v>
      </c>
    </row>
    <row r="247" spans="1:6">
      <c r="A247">
        <f>HYPERLINK("https://learning.oreilly.com/live-events/kubernetes-intermediatewith-interactivity/0642572005382/0642572005381", "0642572005381")</f>
        <v>0</v>
      </c>
      <c r="B247" t="s">
        <v>574</v>
      </c>
      <c r="C247" t="s">
        <v>858</v>
      </c>
      <c r="E247" t="s">
        <v>859</v>
      </c>
      <c r="F247" t="s">
        <v>679</v>
      </c>
    </row>
    <row r="248" spans="1:6">
      <c r="A248">
        <f>HYPERLINK("https://learning.oreilly.com/live-events/probability-level-ii-distributions-and-information-theory-ml-foundations-series/0642572004741/0642572004740", "0642572004740")</f>
        <v>0</v>
      </c>
      <c r="B248" t="s">
        <v>315</v>
      </c>
      <c r="C248" t="s">
        <v>860</v>
      </c>
      <c r="D248" t="s">
        <v>861</v>
      </c>
      <c r="E248" t="s">
        <v>862</v>
      </c>
      <c r="F248" t="s">
        <v>80</v>
      </c>
    </row>
    <row r="249" spans="1:6">
      <c r="A249">
        <f>HYPERLINK("https://learning.oreilly.com/live-events/hands-on-nlp-with-transformers/0636920063159/0642572004917", "0642572004917")</f>
        <v>0</v>
      </c>
      <c r="B249" t="s">
        <v>717</v>
      </c>
      <c r="C249" t="s">
        <v>863</v>
      </c>
      <c r="D249" t="s">
        <v>864</v>
      </c>
      <c r="E249" t="s">
        <v>865</v>
      </c>
      <c r="F249" t="s">
        <v>172</v>
      </c>
    </row>
    <row r="250" spans="1:6">
      <c r="A250">
        <f>HYPERLINK("https://learning.oreilly.com/live-events/hands-on-aws-containers-with-ecs-and-fargate/0642572005002/0642572005001", "0642572005001")</f>
        <v>0</v>
      </c>
      <c r="B250" t="s">
        <v>866</v>
      </c>
      <c r="C250" t="s">
        <v>867</v>
      </c>
      <c r="D250" t="s">
        <v>868</v>
      </c>
      <c r="E250" t="s">
        <v>859</v>
      </c>
      <c r="F250" t="s">
        <v>218</v>
      </c>
    </row>
    <row r="251" spans="1:6">
      <c r="A251">
        <f>HYPERLINK("https://learning.oreilly.com/live-events/whats-new-in-software-architecture-how-generative-ai-will-transform-software-delivery-with-birgitta-bockeler/0642572006124/0642572006123", "0642572006123")</f>
        <v>0</v>
      </c>
      <c r="B251" t="s">
        <v>96</v>
      </c>
      <c r="C251" t="s">
        <v>869</v>
      </c>
      <c r="D251" t="s">
        <v>870</v>
      </c>
      <c r="E251" t="s">
        <v>859</v>
      </c>
      <c r="F251" t="s">
        <v>871</v>
      </c>
    </row>
    <row r="252" spans="1:6">
      <c r="A252">
        <f>HYPERLINK("https://learning.oreilly.com/live-events/c-software-design/0636920078585/0642572000605", "0642572000605")</f>
        <v>0</v>
      </c>
      <c r="B252" t="s">
        <v>180</v>
      </c>
      <c r="C252" t="s">
        <v>872</v>
      </c>
      <c r="D252" t="s">
        <v>873</v>
      </c>
      <c r="E252" t="s">
        <v>874</v>
      </c>
      <c r="F252" t="s">
        <v>326</v>
      </c>
    </row>
    <row r="253" spans="1:6">
      <c r="A253">
        <f>HYPERLINK("https://learning.oreilly.com/live-events/fundamentals-of-statistics-with-python-bootcamp/0642572001469/0642572001468", "0642572001468")</f>
        <v>0</v>
      </c>
      <c r="B253" t="s">
        <v>832</v>
      </c>
      <c r="C253" t="s">
        <v>875</v>
      </c>
      <c r="D253" t="s">
        <v>876</v>
      </c>
      <c r="E253" t="s">
        <v>877</v>
      </c>
      <c r="F253" t="s">
        <v>854</v>
      </c>
    </row>
    <row r="254" spans="1:6">
      <c r="A254">
        <f>HYPERLINK("https://learning.oreilly.com/live-events/genai-superstream-developing-innovative-apps-with-generative-ai/0642572100011/0642572100010", "0642572100010")</f>
        <v>0</v>
      </c>
      <c r="B254" t="s">
        <v>732</v>
      </c>
      <c r="C254" t="s">
        <v>878</v>
      </c>
      <c r="D254" t="s">
        <v>879</v>
      </c>
      <c r="E254" t="s">
        <v>880</v>
      </c>
      <c r="F254" t="s">
        <v>881</v>
      </c>
    </row>
    <row r="255" spans="1:6">
      <c r="A255">
        <f>HYPERLINK("https://learning.oreilly.com/live-events/kubernetes-in-4-hours/0636920056367/0642572000399", "0642572000399")</f>
        <v>0</v>
      </c>
      <c r="B255" t="s">
        <v>574</v>
      </c>
      <c r="C255" t="s">
        <v>882</v>
      </c>
      <c r="D255" t="s">
        <v>883</v>
      </c>
      <c r="E255" t="s">
        <v>884</v>
      </c>
      <c r="F255" t="s">
        <v>66</v>
      </c>
    </row>
    <row r="256" spans="1:6">
      <c r="A256">
        <f>HYPERLINK("https://learning.oreilly.com/live-events/certified-kubernetes-administrator-cka-exam-prep/0636920459743/0790145059729", "0790145059729")</f>
        <v>0</v>
      </c>
      <c r="B256" t="s">
        <v>574</v>
      </c>
      <c r="C256" t="s">
        <v>885</v>
      </c>
      <c r="D256" t="s">
        <v>886</v>
      </c>
      <c r="E256" t="s">
        <v>887</v>
      </c>
      <c r="F256" t="s">
        <v>137</v>
      </c>
    </row>
    <row r="257" spans="1:6">
      <c r="A257">
        <f>HYPERLINK("https://learning.oreilly.com/live-events/building-your-first-etl-data-platform/0642572000874/0642572000873", "0642572000873")</f>
        <v>0</v>
      </c>
      <c r="B257" t="s">
        <v>235</v>
      </c>
      <c r="C257" t="s">
        <v>888</v>
      </c>
      <c r="D257" t="s">
        <v>889</v>
      </c>
      <c r="E257" t="s">
        <v>884</v>
      </c>
      <c r="F257" t="s">
        <v>890</v>
      </c>
    </row>
    <row r="258" spans="1:6">
      <c r="A258">
        <f>HYPERLINK("https://learning.oreilly.com/live-events/penetration-testing-using-kali-linux/0642572004026/0642572004025", "0642572004025")</f>
        <v>0</v>
      </c>
      <c r="B258" t="s">
        <v>891</v>
      </c>
      <c r="C258" t="s">
        <v>892</v>
      </c>
      <c r="D258" t="s">
        <v>893</v>
      </c>
      <c r="E258" t="s">
        <v>894</v>
      </c>
      <c r="F258" t="s">
        <v>895</v>
      </c>
    </row>
    <row r="259" spans="1:6">
      <c r="A259">
        <f>HYPERLINK("https://learning.oreilly.com/live-events/terraform-fundamentals-in-2-days/0790145081937/0790145081929", "0790145081929")</f>
        <v>0</v>
      </c>
      <c r="B259" t="s">
        <v>138</v>
      </c>
      <c r="C259" t="s">
        <v>896</v>
      </c>
      <c r="D259" t="s">
        <v>897</v>
      </c>
      <c r="E259" t="s">
        <v>898</v>
      </c>
      <c r="F259" t="s">
        <v>141</v>
      </c>
    </row>
    <row r="260" spans="1:6">
      <c r="A260">
        <f>HYPERLINK("https://learning.oreilly.com/live-events/azure-administrator-certification-az-104-crash-course/0636920052897/0790145081260", "0790145081260")</f>
        <v>0</v>
      </c>
      <c r="B260" t="s">
        <v>899</v>
      </c>
      <c r="C260" t="s">
        <v>900</v>
      </c>
      <c r="E260" t="s">
        <v>898</v>
      </c>
      <c r="F260" t="s">
        <v>901</v>
      </c>
    </row>
    <row r="261" spans="1:6">
      <c r="A261">
        <f>HYPERLINK("https://learning.oreilly.com/live-events/api-superstream-generative-ai-for-apis/0790145072865/0790145072857", "0790145072857")</f>
        <v>0</v>
      </c>
      <c r="B261" t="s">
        <v>732</v>
      </c>
      <c r="C261" t="s">
        <v>902</v>
      </c>
      <c r="D261" t="s">
        <v>903</v>
      </c>
      <c r="E261" t="s">
        <v>877</v>
      </c>
      <c r="F261" t="s">
        <v>904</v>
      </c>
    </row>
    <row r="262" spans="1:6">
      <c r="A262">
        <f>HYPERLINK("https://learning.oreilly.com/live-events/basic-rust-programming/0642572002899/0642572002898", "0642572002898")</f>
        <v>0</v>
      </c>
      <c r="B262" t="s">
        <v>335</v>
      </c>
      <c r="C262" t="s">
        <v>905</v>
      </c>
      <c r="D262" t="s">
        <v>906</v>
      </c>
      <c r="E262" t="s">
        <v>907</v>
      </c>
      <c r="F262" t="s">
        <v>908</v>
      </c>
    </row>
    <row r="263" spans="1:6">
      <c r="A263">
        <f>HYPERLINK("https://learning.oreilly.com/live-events/data-literacy-bootcamp/0636920083423/0642572001705", "0642572001705")</f>
        <v>0</v>
      </c>
      <c r="B263" t="s">
        <v>441</v>
      </c>
      <c r="C263" t="s">
        <v>909</v>
      </c>
      <c r="D263" t="s">
        <v>910</v>
      </c>
      <c r="E263" t="s">
        <v>911</v>
      </c>
      <c r="F263" t="s">
        <v>912</v>
      </c>
    </row>
    <row r="264" spans="1:6">
      <c r="A264">
        <f>HYPERLINK("https://learning.oreilly.com/live-events/python-modules-and-packages/0636920051325/0790145085690", "0790145085690")</f>
        <v>0</v>
      </c>
      <c r="B264" t="s">
        <v>21</v>
      </c>
      <c r="C264" t="s">
        <v>913</v>
      </c>
      <c r="D264" t="s">
        <v>914</v>
      </c>
      <c r="E264" t="s">
        <v>915</v>
      </c>
      <c r="F264" t="s">
        <v>916</v>
      </c>
    </row>
    <row r="265" spans="1:6">
      <c r="A265">
        <f>HYPERLINK("https://learning.oreilly.com/live-events/hands-on-retrieval-augmented-generation-rag/0790145074140/0790145074213", "0790145074213")</f>
        <v>0</v>
      </c>
      <c r="B265" t="s">
        <v>194</v>
      </c>
      <c r="C265" t="s">
        <v>917</v>
      </c>
      <c r="D265" t="s">
        <v>918</v>
      </c>
      <c r="E265" t="s">
        <v>915</v>
      </c>
      <c r="F265" t="s">
        <v>119</v>
      </c>
    </row>
    <row r="266" spans="1:6">
      <c r="A266">
        <f>HYPERLINK("https://learning.oreilly.com/live-events/sql-and-postgresql-for-data-analytics/0636920061990/0642572002574", "0642572002574")</f>
        <v>0</v>
      </c>
      <c r="B266" t="s">
        <v>386</v>
      </c>
      <c r="C266" t="s">
        <v>919</v>
      </c>
      <c r="D266" t="s">
        <v>920</v>
      </c>
      <c r="E266" t="s">
        <v>915</v>
      </c>
      <c r="F266" t="s">
        <v>921</v>
      </c>
    </row>
    <row r="267" spans="1:6">
      <c r="A267">
        <f>HYPERLINK("https://learning.oreilly.com/live-events/comptia-linux-exam-prep-boot-camp/0642572002845/0642572002844", "0642572002844")</f>
        <v>0</v>
      </c>
      <c r="B267" t="s">
        <v>922</v>
      </c>
      <c r="C267" t="s">
        <v>923</v>
      </c>
      <c r="D267" t="s">
        <v>924</v>
      </c>
      <c r="E267" t="s">
        <v>925</v>
      </c>
      <c r="F267" t="s">
        <v>926</v>
      </c>
    </row>
    <row r="268" spans="1:6">
      <c r="A268">
        <f>HYPERLINK("https://learning.oreilly.com/live-events/go-for-web-development-in-3-weeks/0636920091015/0642572001387", "0642572001387")</f>
        <v>0</v>
      </c>
      <c r="B268" t="s">
        <v>404</v>
      </c>
      <c r="C268" t="s">
        <v>927</v>
      </c>
      <c r="D268" t="s">
        <v>928</v>
      </c>
      <c r="E268" t="s">
        <v>929</v>
      </c>
      <c r="F268" t="s">
        <v>930</v>
      </c>
    </row>
    <row r="269" spans="1:6">
      <c r="A269">
        <f>HYPERLINK("https://learning.oreilly.com/live-events/kubernetes-fundamentals-in-3-weekswith-interactivity/0636920059778/0642572001612", "0642572001612")</f>
        <v>0</v>
      </c>
      <c r="B269" t="s">
        <v>574</v>
      </c>
      <c r="C269" t="s">
        <v>931</v>
      </c>
      <c r="D269" t="s">
        <v>793</v>
      </c>
      <c r="E269" t="s">
        <v>929</v>
      </c>
      <c r="F269" t="s">
        <v>679</v>
      </c>
    </row>
    <row r="270" spans="1:6">
      <c r="A270">
        <f>HYPERLINK("https://learning.oreilly.com/live-events/hands-on-software-design/0636920059654/0642572001727", "0642572001727")</f>
        <v>0</v>
      </c>
      <c r="B270" t="s">
        <v>932</v>
      </c>
      <c r="C270" t="s">
        <v>933</v>
      </c>
      <c r="D270" t="s">
        <v>934</v>
      </c>
      <c r="E270" t="s">
        <v>925</v>
      </c>
      <c r="F270" t="s">
        <v>935</v>
      </c>
    </row>
    <row r="271" spans="1:6">
      <c r="A271">
        <f>HYPERLINK("https://learning.oreilly.com/live-events/shell-scripting-clinic/0636920091017/0642572001193", "0642572001193")</f>
        <v>0</v>
      </c>
      <c r="B271" t="s">
        <v>187</v>
      </c>
      <c r="C271" t="s">
        <v>357</v>
      </c>
      <c r="D271" t="s">
        <v>358</v>
      </c>
      <c r="E271" t="s">
        <v>911</v>
      </c>
      <c r="F271" t="s">
        <v>270</v>
      </c>
    </row>
    <row r="272" spans="1:6">
      <c r="A272">
        <f>HYPERLINK("https://learning.oreilly.com/live-events/from-developer-to-software-architect/0636920155256/0642572001818", "0642572001818")</f>
        <v>0</v>
      </c>
      <c r="B272" t="s">
        <v>96</v>
      </c>
      <c r="C272" t="s">
        <v>936</v>
      </c>
      <c r="D272" t="s">
        <v>937</v>
      </c>
      <c r="E272" t="s">
        <v>938</v>
      </c>
      <c r="F272" t="s">
        <v>939</v>
      </c>
    </row>
    <row r="273" spans="1:6">
      <c r="A273">
        <f>HYPERLINK("https://learning.oreilly.com/live-events/aws-design-fundamentals/0636920096313/0642572001747", "0642572001747")</f>
        <v>0</v>
      </c>
      <c r="B273" t="s">
        <v>940</v>
      </c>
      <c r="C273" t="s">
        <v>941</v>
      </c>
      <c r="D273" t="s">
        <v>942</v>
      </c>
      <c r="E273" t="s">
        <v>938</v>
      </c>
      <c r="F273" t="s">
        <v>352</v>
      </c>
    </row>
    <row r="274" spans="1:6">
      <c r="A274">
        <f>HYPERLINK("https://learning.oreilly.com/live-events/architecture-for-modern-engineering-practices/0636920218029/0642572002638", "0642572002638")</f>
        <v>0</v>
      </c>
      <c r="B274" t="s">
        <v>943</v>
      </c>
      <c r="C274" t="s">
        <v>944</v>
      </c>
      <c r="D274" t="s">
        <v>945</v>
      </c>
      <c r="E274" t="s">
        <v>946</v>
      </c>
      <c r="F274" t="s">
        <v>100</v>
      </c>
    </row>
    <row r="275" spans="1:6">
      <c r="A275">
        <f>HYPERLINK("https://learning.oreilly.com/live-events/aws-security-deep-dive-vpcs-networking-and-ddos-mitigation/0636920072958/0642572002318", "0642572002318")</f>
        <v>0</v>
      </c>
      <c r="B275" t="s">
        <v>214</v>
      </c>
      <c r="C275" t="s">
        <v>215</v>
      </c>
      <c r="D275" t="s">
        <v>216</v>
      </c>
      <c r="E275" t="s">
        <v>938</v>
      </c>
      <c r="F275" t="s">
        <v>218</v>
      </c>
    </row>
    <row r="276" spans="1:6">
      <c r="A276">
        <f>HYPERLINK("https://learning.oreilly.com/live-events/ai-observability/0790145088540/0790145088532", "0790145088532")</f>
        <v>0</v>
      </c>
      <c r="B276" t="s">
        <v>194</v>
      </c>
      <c r="C276" t="s">
        <v>947</v>
      </c>
      <c r="D276" t="s">
        <v>948</v>
      </c>
      <c r="E276" t="s">
        <v>938</v>
      </c>
      <c r="F276" t="s">
        <v>949</v>
      </c>
    </row>
    <row r="277" spans="1:6">
      <c r="A277">
        <f>HYPERLINK("https://learning.oreilly.com/live-events/react-best-practices/0790145068370/0642572001855", "0642572001855")</f>
        <v>0</v>
      </c>
      <c r="B277" t="s">
        <v>173</v>
      </c>
      <c r="C277" t="s">
        <v>950</v>
      </c>
      <c r="D277" t="s">
        <v>951</v>
      </c>
      <c r="E277" t="s">
        <v>938</v>
      </c>
      <c r="F277" t="s">
        <v>15</v>
      </c>
    </row>
    <row r="278" spans="1:6">
      <c r="A278">
        <f>HYPERLINK("https://learning.oreilly.com/live-events/generative-ai-success-stories/0642572002950/0642572002949", "0642572002949")</f>
        <v>0</v>
      </c>
      <c r="B278" t="s">
        <v>732</v>
      </c>
      <c r="C278" t="s">
        <v>952</v>
      </c>
      <c r="D278" t="s">
        <v>953</v>
      </c>
      <c r="E278" t="s">
        <v>938</v>
      </c>
      <c r="F278" t="s">
        <v>954</v>
      </c>
    </row>
    <row r="279" spans="1:6">
      <c r="A279">
        <f>HYPERLINK("https://learning.oreilly.com/live-events/getting-started-with-llama-3/0636920098588/0790145077670", "0790145077670")</f>
        <v>0</v>
      </c>
      <c r="B279" t="s">
        <v>194</v>
      </c>
      <c r="C279" t="s">
        <v>955</v>
      </c>
      <c r="D279" t="s">
        <v>956</v>
      </c>
      <c r="E279" t="s">
        <v>957</v>
      </c>
      <c r="F279" t="s">
        <v>398</v>
      </c>
    </row>
    <row r="280" spans="1:6">
      <c r="A280">
        <f>HYPERLINK("https://learning.oreilly.com/live-events/hugging-face-in-4-hours/0790145056533/0642572002287", "0642572002287")</f>
        <v>0</v>
      </c>
      <c r="B280" t="s">
        <v>958</v>
      </c>
      <c r="C280" t="s">
        <v>959</v>
      </c>
      <c r="D280" t="s">
        <v>960</v>
      </c>
      <c r="E280" t="s">
        <v>957</v>
      </c>
      <c r="F280" t="s">
        <v>172</v>
      </c>
    </row>
    <row r="281" spans="1:6">
      <c r="A281">
        <f>HYPERLINK("https://learning.oreilly.com/live-events/linux-for-beginners/0642572000086/0642572000085", "0642572000085")</f>
        <v>0</v>
      </c>
      <c r="B281" t="s">
        <v>63</v>
      </c>
      <c r="C281" t="s">
        <v>961</v>
      </c>
      <c r="D281" t="s">
        <v>962</v>
      </c>
      <c r="E281" t="s">
        <v>963</v>
      </c>
      <c r="F281" t="s">
        <v>926</v>
      </c>
    </row>
    <row r="282" spans="1:6">
      <c r="A282">
        <f>HYPERLINK("https://learning.oreilly.com/live-events/security-architecture-for-beginners/0790145086084/0790145086076", "0790145086076")</f>
        <v>0</v>
      </c>
      <c r="B282" t="s">
        <v>964</v>
      </c>
      <c r="C282" t="s">
        <v>965</v>
      </c>
      <c r="D282" t="s">
        <v>966</v>
      </c>
      <c r="E282" t="s">
        <v>963</v>
      </c>
      <c r="F282" t="s">
        <v>449</v>
      </c>
    </row>
    <row r="283" spans="1:6">
      <c r="A283">
        <f>HYPERLINK("https://learning.oreilly.com/live-events/databricks-certified-data-engineer-associate-crash-course/0642572001848/0642572001847", "0642572001847")</f>
        <v>0</v>
      </c>
      <c r="B283" t="s">
        <v>441</v>
      </c>
      <c r="C283" t="s">
        <v>967</v>
      </c>
      <c r="D283" t="s">
        <v>968</v>
      </c>
      <c r="E283" t="s">
        <v>963</v>
      </c>
      <c r="F283" t="s">
        <v>201</v>
      </c>
    </row>
    <row r="284" spans="1:6">
      <c r="A284">
        <f>HYPERLINK("https://learning.oreilly.com/live-events/advanced-python-asynchronous-programming-with-async-and-await/0642572004549/0642572004548", "0642572004548")</f>
        <v>0</v>
      </c>
      <c r="B284" t="s">
        <v>21</v>
      </c>
      <c r="C284" t="s">
        <v>969</v>
      </c>
      <c r="D284" t="s">
        <v>970</v>
      </c>
      <c r="E284" t="s">
        <v>971</v>
      </c>
      <c r="F284" t="s">
        <v>24</v>
      </c>
    </row>
    <row r="285" spans="1:6">
      <c r="A285">
        <f>HYPERLINK("https://learning.oreilly.com/live-events/patterns-for-building-resilient-microservices/0636920089763/0790145061618", "0790145061618")</f>
        <v>0</v>
      </c>
      <c r="B285" t="s">
        <v>429</v>
      </c>
      <c r="C285" t="s">
        <v>972</v>
      </c>
      <c r="D285" t="s">
        <v>973</v>
      </c>
      <c r="E285" t="s">
        <v>971</v>
      </c>
      <c r="F285" t="s">
        <v>70</v>
      </c>
    </row>
    <row r="286" spans="1:6">
      <c r="A286">
        <f>HYPERLINK("https://learning.oreilly.com/live-events/machine-learning-from-scratch/0636920054754/0642572001677", "0642572001677")</f>
        <v>0</v>
      </c>
      <c r="B286" t="s">
        <v>315</v>
      </c>
      <c r="C286" t="s">
        <v>974</v>
      </c>
      <c r="D286" t="s">
        <v>975</v>
      </c>
      <c r="E286" t="s">
        <v>976</v>
      </c>
      <c r="F286" t="s">
        <v>29</v>
      </c>
    </row>
    <row r="287" spans="1:6">
      <c r="A287">
        <f>HYPERLINK("https://learning.oreilly.com/live-events/fundamentals-of-learning-learn-faster-and-better-using-neuroscience/0636920064594/0790145075716", "0790145075716")</f>
        <v>0</v>
      </c>
      <c r="B287" t="s">
        <v>977</v>
      </c>
      <c r="C287" t="s">
        <v>978</v>
      </c>
      <c r="D287" t="s">
        <v>979</v>
      </c>
      <c r="E287" t="s">
        <v>976</v>
      </c>
      <c r="F287" t="s">
        <v>676</v>
      </c>
    </row>
    <row r="288" spans="1:6">
      <c r="A288">
        <f>HYPERLINK("https://learning.oreilly.com/live-events/langchain-for-generative-ai-pipelines/0642572002267/0642572002266", "0642572002266")</f>
        <v>0</v>
      </c>
      <c r="B288" t="s">
        <v>547</v>
      </c>
      <c r="C288" t="s">
        <v>980</v>
      </c>
      <c r="D288" t="s">
        <v>981</v>
      </c>
      <c r="E288" t="s">
        <v>982</v>
      </c>
      <c r="F288" t="s">
        <v>213</v>
      </c>
    </row>
    <row r="289" spans="1:6">
      <c r="A289">
        <f>HYPERLINK("https://learning.oreilly.com/live-events/calculus-for-machine-learning-level-ii-automatic-differentiation-ml-foundations-series/0642572001321/0642572001320", "0642572001320")</f>
        <v>0</v>
      </c>
      <c r="B289" t="s">
        <v>418</v>
      </c>
      <c r="C289" t="s">
        <v>983</v>
      </c>
      <c r="D289" t="s">
        <v>984</v>
      </c>
      <c r="E289" t="s">
        <v>982</v>
      </c>
      <c r="F289" t="s">
        <v>80</v>
      </c>
    </row>
    <row r="290" spans="1:6">
      <c r="A290">
        <f>HYPERLINK("https://learning.oreilly.com/live-events/jumpstart-your-ai-career/0636920096182/0642572002554", "0642572002554")</f>
        <v>0</v>
      </c>
      <c r="B290" t="s">
        <v>86</v>
      </c>
      <c r="C290" t="s">
        <v>87</v>
      </c>
      <c r="D290" t="s">
        <v>88</v>
      </c>
      <c r="E290" t="s">
        <v>982</v>
      </c>
      <c r="F290" t="s">
        <v>90</v>
      </c>
    </row>
    <row r="291" spans="1:6">
      <c r="A291">
        <f>HYPERLINK("https://learning.oreilly.com/live-events/being-proactive/0636920086557/0642572002279", "0642572002279")</f>
        <v>0</v>
      </c>
      <c r="B291" t="s">
        <v>713</v>
      </c>
      <c r="C291" t="s">
        <v>985</v>
      </c>
      <c r="D291" t="s">
        <v>986</v>
      </c>
      <c r="E291" t="s">
        <v>982</v>
      </c>
      <c r="F291" t="s">
        <v>688</v>
      </c>
    </row>
    <row r="292" spans="1:6">
      <c r="A292">
        <f>HYPERLINK("https://learning.oreilly.com/live-events/aws-command-line-essentials/0636920069699/0642572001460", "0642572001460")</f>
        <v>0</v>
      </c>
      <c r="B292" t="s">
        <v>359</v>
      </c>
      <c r="C292" t="s">
        <v>987</v>
      </c>
      <c r="E292" t="s">
        <v>988</v>
      </c>
      <c r="F292" t="s">
        <v>352</v>
      </c>
    </row>
    <row r="293" spans="1:6">
      <c r="A293">
        <f>HYPERLINK("https://learning.oreilly.com/live-events/tls-handshake-deep-dive-tls-v12/0642572002560/0642572002559", "0642572002559")</f>
        <v>0</v>
      </c>
      <c r="B293" t="s">
        <v>989</v>
      </c>
      <c r="C293" t="s">
        <v>990</v>
      </c>
      <c r="D293" t="s">
        <v>991</v>
      </c>
      <c r="E293" t="s">
        <v>988</v>
      </c>
      <c r="F293" t="s">
        <v>506</v>
      </c>
    </row>
    <row r="294" spans="1:6">
      <c r="A294">
        <f>HYPERLINK("https://learning.oreilly.com/live-events/multimodal-ai-essentials/0642572002285/0642572002284", "0642572002284")</f>
        <v>0</v>
      </c>
      <c r="B294" t="s">
        <v>16</v>
      </c>
      <c r="C294" t="s">
        <v>992</v>
      </c>
      <c r="D294" t="s">
        <v>993</v>
      </c>
      <c r="E294" t="s">
        <v>988</v>
      </c>
      <c r="F294" t="s">
        <v>172</v>
      </c>
    </row>
    <row r="295" spans="1:6">
      <c r="A295">
        <f>HYPERLINK("https://learning.oreilly.com/live-events/ckad-in-8-hours-certified-kubernetes-application-developer-crash-course/0642572001348/0642572001347", "0642572001347")</f>
        <v>0</v>
      </c>
      <c r="B295" t="s">
        <v>574</v>
      </c>
      <c r="C295" t="s">
        <v>994</v>
      </c>
      <c r="D295" t="s">
        <v>995</v>
      </c>
      <c r="E295" t="s">
        <v>929</v>
      </c>
      <c r="F295" t="s">
        <v>66</v>
      </c>
    </row>
    <row r="296" spans="1:6">
      <c r="A296">
        <f>HYPERLINK("https://learning.oreilly.com/live-events/linux-performance-optimization/0636920155775/0790145087315", "0790145087315")</f>
        <v>0</v>
      </c>
      <c r="B296" t="s">
        <v>63</v>
      </c>
      <c r="C296" t="s">
        <v>996</v>
      </c>
      <c r="D296" t="s">
        <v>997</v>
      </c>
      <c r="E296" t="s">
        <v>998</v>
      </c>
      <c r="F296" t="s">
        <v>66</v>
      </c>
    </row>
    <row r="297" spans="1:6">
      <c r="A297">
        <f>HYPERLINK("https://learning.oreilly.com/live-events/generative-ai-for-excel/0642572001381/0642572001380", "0642572001380")</f>
        <v>0</v>
      </c>
      <c r="B297" t="s">
        <v>999</v>
      </c>
      <c r="C297" t="s">
        <v>1000</v>
      </c>
      <c r="D297" t="s">
        <v>1001</v>
      </c>
      <c r="E297" t="s">
        <v>998</v>
      </c>
      <c r="F297" t="s">
        <v>248</v>
      </c>
    </row>
    <row r="298" spans="1:6">
      <c r="A298">
        <f>HYPERLINK("https://learning.oreilly.com/live-events/concurrent-programming-in-go-with-interactivity/0636920092460/0642572000555", "0642572000555")</f>
        <v>0</v>
      </c>
      <c r="B298" t="s">
        <v>404</v>
      </c>
      <c r="C298" t="s">
        <v>1002</v>
      </c>
      <c r="D298" t="s">
        <v>1003</v>
      </c>
      <c r="E298" t="s">
        <v>1004</v>
      </c>
      <c r="F298" t="s">
        <v>1005</v>
      </c>
    </row>
    <row r="299" spans="1:6">
      <c r="A299">
        <f>HYPERLINK("https://learning.oreilly.com/live-events/infrastructure-ops-superstream-generative-ai-use-cases-risks-and-tooling/0790145075015/0790145075007", "0790145075007")</f>
        <v>0</v>
      </c>
      <c r="B299" t="s">
        <v>732</v>
      </c>
      <c r="C299" t="s">
        <v>1006</v>
      </c>
      <c r="D299" t="s">
        <v>1007</v>
      </c>
      <c r="E299" t="s">
        <v>1004</v>
      </c>
      <c r="F299" t="s">
        <v>1008</v>
      </c>
    </row>
    <row r="300" spans="1:6">
      <c r="A300">
        <f>HYPERLINK("https://learning.oreilly.com/live-events/integrating-kubernetes-applications/0790145087226/0790145087218", "0790145087218")</f>
        <v>0</v>
      </c>
      <c r="B300" t="s">
        <v>574</v>
      </c>
      <c r="C300" t="s">
        <v>1009</v>
      </c>
      <c r="D300" t="s">
        <v>1010</v>
      </c>
      <c r="E300" t="s">
        <v>1011</v>
      </c>
      <c r="F300" t="s">
        <v>66</v>
      </c>
    </row>
    <row r="301" spans="1:6">
      <c r="A301">
        <f>HYPERLINK("https://learning.oreilly.com/live-events/chatgpt-and-competing-llms/0636920097613/0642572000787", "0642572000787")</f>
        <v>0</v>
      </c>
      <c r="B301" t="s">
        <v>6</v>
      </c>
      <c r="C301" t="s">
        <v>1012</v>
      </c>
      <c r="D301" t="s">
        <v>1013</v>
      </c>
      <c r="E301" t="s">
        <v>1011</v>
      </c>
      <c r="F301" t="s">
        <v>213</v>
      </c>
    </row>
    <row r="302" spans="1:6">
      <c r="A302">
        <f>HYPERLINK("https://learning.oreilly.com/live-events/gitops-for-kubernetes/0636920078987/0636920093837", "0636920093837")</f>
        <v>0</v>
      </c>
      <c r="B302" t="s">
        <v>574</v>
      </c>
      <c r="C302" t="s">
        <v>1014</v>
      </c>
      <c r="D302" t="s">
        <v>1015</v>
      </c>
      <c r="E302" t="s">
        <v>1016</v>
      </c>
      <c r="F302" t="s">
        <v>205</v>
      </c>
    </row>
    <row r="303" spans="1:6">
      <c r="A303">
        <f>HYPERLINK("https://learning.oreilly.com/live-events/design-patterns-for-distributed-systems/0636920061982/0636920091739", "0636920091739")</f>
        <v>0</v>
      </c>
      <c r="B303" t="s">
        <v>808</v>
      </c>
      <c r="C303" t="s">
        <v>1017</v>
      </c>
      <c r="D303" t="s">
        <v>1018</v>
      </c>
      <c r="E303" t="s">
        <v>1016</v>
      </c>
      <c r="F303" t="s">
        <v>1019</v>
      </c>
    </row>
    <row r="304" spans="1:6">
      <c r="A304">
        <f>HYPERLINK("https://learning.oreilly.com/live-events/building-the-business-case-for-data-lineage-in-3-weeks/0636920092604/0636920092603", "0636920092603")</f>
        <v>0</v>
      </c>
      <c r="B304" t="s">
        <v>1020</v>
      </c>
      <c r="C304" t="s">
        <v>1021</v>
      </c>
      <c r="D304" t="s">
        <v>1022</v>
      </c>
      <c r="E304" t="s">
        <v>1023</v>
      </c>
      <c r="F304" t="s">
        <v>1024</v>
      </c>
    </row>
    <row r="305" spans="1:6">
      <c r="A305">
        <f>HYPERLINK("https://learning.oreilly.com/live-events/build-your-own-cybersecurity-lab-and-cyber-range/0636920322597/0636920093226", "0636920093226")</f>
        <v>0</v>
      </c>
      <c r="B305" t="s">
        <v>1025</v>
      </c>
      <c r="C305" t="s">
        <v>1026</v>
      </c>
      <c r="D305" t="s">
        <v>1027</v>
      </c>
      <c r="E305" t="s">
        <v>1028</v>
      </c>
      <c r="F305" t="s">
        <v>786</v>
      </c>
    </row>
    <row r="306" spans="1:6">
      <c r="A306">
        <f>HYPERLINK("https://learning.oreilly.com/live-events/aws-command-line-essentials/0636920069699/0636920092156", "0636920092156")</f>
        <v>0</v>
      </c>
      <c r="B306" t="s">
        <v>359</v>
      </c>
      <c r="C306" t="s">
        <v>987</v>
      </c>
      <c r="E306" t="s">
        <v>1028</v>
      </c>
      <c r="F306" t="s">
        <v>352</v>
      </c>
    </row>
    <row r="307" spans="1:6">
      <c r="A307">
        <f>HYPERLINK("https://learning.oreilly.com/live-events/microservices-data-decomposition/0636920054842/0636920096561", "0636920096561")</f>
        <v>0</v>
      </c>
      <c r="B307" t="s">
        <v>429</v>
      </c>
      <c r="C307" t="s">
        <v>1029</v>
      </c>
      <c r="D307" t="s">
        <v>1030</v>
      </c>
      <c r="E307" t="s">
        <v>1028</v>
      </c>
      <c r="F307" t="s">
        <v>70</v>
      </c>
    </row>
    <row r="308" spans="1:6">
      <c r="A308">
        <f>HYPERLINK("https://learning.oreilly.com/live-events/ai-chatgpt-and-other-large-language-models-llms-security/0636920092790/0636920096557", "0636920096557")</f>
        <v>0</v>
      </c>
      <c r="B308" t="s">
        <v>6</v>
      </c>
      <c r="C308" t="s">
        <v>1031</v>
      </c>
      <c r="D308" t="s">
        <v>1032</v>
      </c>
      <c r="E308" t="s">
        <v>365</v>
      </c>
      <c r="F308" t="s">
        <v>1033</v>
      </c>
    </row>
    <row r="309" spans="1:6">
      <c r="A309">
        <f>HYPERLINK("https://learning.oreilly.com/live-events/apache-hadoop-spark-and-kafka-foundations-effective-data-pipelines/0636920360032/0636920093660", "0636920093660")</f>
        <v>0</v>
      </c>
      <c r="B309" t="s">
        <v>441</v>
      </c>
      <c r="C309" t="s">
        <v>1034</v>
      </c>
      <c r="D309" t="s">
        <v>1035</v>
      </c>
      <c r="E309" t="s">
        <v>365</v>
      </c>
      <c r="F309" t="s">
        <v>1036</v>
      </c>
    </row>
    <row r="310" spans="1:6">
      <c r="A310">
        <f>HYPERLINK("https://learning.oreilly.com/live-events/azure-fundamentals-az-900-bootcamp/0636920061258/0636920090781", "0636920090781")</f>
        <v>0</v>
      </c>
      <c r="B310" t="s">
        <v>1037</v>
      </c>
      <c r="C310" t="s">
        <v>1038</v>
      </c>
      <c r="D310" t="s">
        <v>1039</v>
      </c>
      <c r="E310" t="s">
        <v>1040</v>
      </c>
      <c r="F310" t="s">
        <v>166</v>
      </c>
    </row>
    <row r="311" spans="1:6">
      <c r="A311">
        <f>HYPERLINK("https://learning.oreilly.com/live-events/advanced-python-generators-and-coroutines/0636920206750/0636920093569", "0636920093569")</f>
        <v>0</v>
      </c>
      <c r="B311" t="s">
        <v>21</v>
      </c>
      <c r="C311" t="s">
        <v>1041</v>
      </c>
      <c r="E311" t="s">
        <v>1040</v>
      </c>
      <c r="F311" t="s">
        <v>24</v>
      </c>
    </row>
    <row r="312" spans="1:6">
      <c r="A312">
        <f>HYPERLINK("https://learning.oreilly.com/live-events/modern-java-exception-handling/0636920215950/0636920093211", "0636920093211")</f>
        <v>0</v>
      </c>
      <c r="B312" t="s">
        <v>252</v>
      </c>
      <c r="C312" t="s">
        <v>1042</v>
      </c>
      <c r="E312" t="s">
        <v>1040</v>
      </c>
      <c r="F312" t="s">
        <v>301</v>
      </c>
    </row>
    <row r="313" spans="1:6">
      <c r="A313">
        <f>HYPERLINK("https://learning.oreilly.com/live-events/managing-complexity-with-clean-code/0636920092250/0636920092249", "0636920092249")</f>
        <v>0</v>
      </c>
      <c r="B313" t="s">
        <v>1043</v>
      </c>
      <c r="C313" t="s">
        <v>1044</v>
      </c>
      <c r="D313" t="s">
        <v>1045</v>
      </c>
      <c r="E313" t="s">
        <v>1040</v>
      </c>
      <c r="F313" t="s">
        <v>1046</v>
      </c>
    </row>
    <row r="314" spans="1:6">
      <c r="A314">
        <f>HYPERLINK("https://learning.oreilly.com/live-events/getting-started-with-openshift/0636920244301/0636920090661", "0636920090661")</f>
        <v>0</v>
      </c>
      <c r="B314" t="s">
        <v>651</v>
      </c>
      <c r="C314" t="s">
        <v>652</v>
      </c>
      <c r="D314" t="s">
        <v>653</v>
      </c>
      <c r="E314" t="s">
        <v>1040</v>
      </c>
      <c r="F314" t="s">
        <v>66</v>
      </c>
    </row>
    <row r="315" spans="1:6">
      <c r="A315">
        <f>HYPERLINK("https://learning.oreilly.com/live-events/c-essentials-templates/0636920056819/0636920091511", "0636920091511")</f>
        <v>0</v>
      </c>
      <c r="B315" t="s">
        <v>180</v>
      </c>
      <c r="C315" t="s">
        <v>1047</v>
      </c>
      <c r="D315" t="s">
        <v>1048</v>
      </c>
      <c r="E315" t="s">
        <v>1049</v>
      </c>
      <c r="F315" t="s">
        <v>326</v>
      </c>
    </row>
    <row r="316" spans="1:6">
      <c r="A316">
        <f>HYPERLINK("https://learning.oreilly.com/live-events/aws-core-architecture-concepts/0636920096276/0636920091893", "0636920091893")</f>
        <v>0</v>
      </c>
      <c r="B316" t="s">
        <v>359</v>
      </c>
      <c r="C316" t="s">
        <v>1050</v>
      </c>
      <c r="D316" t="s">
        <v>1051</v>
      </c>
      <c r="E316" t="s">
        <v>1052</v>
      </c>
      <c r="F316" t="s">
        <v>352</v>
      </c>
    </row>
    <row r="317" spans="1:6">
      <c r="A317">
        <f>HYPERLINK("https://learning.oreilly.com/live-events/exam-az-305-designing-microsoft-azure-infrastructure-solutions-crash-course/0636920093041/0636920093040", "0636920093040")</f>
        <v>0</v>
      </c>
      <c r="B317" t="s">
        <v>391</v>
      </c>
      <c r="C317" t="s">
        <v>590</v>
      </c>
      <c r="D317" t="s">
        <v>591</v>
      </c>
      <c r="E317" t="s">
        <v>1052</v>
      </c>
      <c r="F317" t="s">
        <v>201</v>
      </c>
    </row>
    <row r="318" spans="1:6">
      <c r="A318">
        <f>HYPERLINK("https://learning.oreilly.com/live-events/applying-safe-real-world-techniques-for-running-safe-effectively/0636920062095/0636920092038", "0636920092038")</f>
        <v>0</v>
      </c>
      <c r="B318" t="s">
        <v>1053</v>
      </c>
      <c r="C318" t="s">
        <v>1054</v>
      </c>
      <c r="E318" t="s">
        <v>1055</v>
      </c>
      <c r="F318" t="s">
        <v>1056</v>
      </c>
    </row>
    <row r="319" spans="1:6">
      <c r="A319">
        <f>HYPERLINK("https://learning.oreilly.com/live-events/kubernetes-and-cloud-native-associate-kcna-crash-course/0636920074599/0636920090643", "0636920090643")</f>
        <v>0</v>
      </c>
      <c r="B319" t="s">
        <v>133</v>
      </c>
      <c r="C319" t="s">
        <v>1057</v>
      </c>
      <c r="D319" t="s">
        <v>1058</v>
      </c>
      <c r="E319" t="s">
        <v>1059</v>
      </c>
      <c r="F319" t="s">
        <v>66</v>
      </c>
    </row>
    <row r="320" spans="1:6">
      <c r="A320">
        <f>HYPERLINK("https://learning.oreilly.com/live-events/quantum-cryptography/0636920093600/0636920093599", "0636920093599")</f>
        <v>0</v>
      </c>
      <c r="B320" t="s">
        <v>530</v>
      </c>
      <c r="C320" t="s">
        <v>531</v>
      </c>
      <c r="D320" t="s">
        <v>532</v>
      </c>
      <c r="E320" t="s">
        <v>1059</v>
      </c>
      <c r="F320" t="s">
        <v>42</v>
      </c>
    </row>
    <row r="321" spans="1:6">
      <c r="A321">
        <f>HYPERLINK("https://learning.oreilly.com/live-events/microsoft-azure-ai-fundamentals-ai-900-crash-course/0636920091406/0636920091405", "0636920091405")</f>
        <v>0</v>
      </c>
      <c r="B321" t="s">
        <v>643</v>
      </c>
      <c r="C321" t="s">
        <v>644</v>
      </c>
      <c r="D321" t="s">
        <v>645</v>
      </c>
      <c r="E321" t="s">
        <v>1059</v>
      </c>
      <c r="F321" t="s">
        <v>166</v>
      </c>
    </row>
    <row r="322" spans="1:6">
      <c r="A322">
        <f>HYPERLINK("https://learning.oreilly.com/live-events/functional-programming-in-java/0636920071136/0636920089248", "0636920089248")</f>
        <v>0</v>
      </c>
      <c r="B322" t="s">
        <v>252</v>
      </c>
      <c r="C322" t="s">
        <v>1060</v>
      </c>
      <c r="D322" t="s">
        <v>1061</v>
      </c>
      <c r="E322" t="s">
        <v>1062</v>
      </c>
      <c r="F322" t="s">
        <v>569</v>
      </c>
    </row>
    <row r="323" spans="1:6">
      <c r="A323">
        <f>HYPERLINK("https://learning.oreilly.com/live-events/system-design-fundamentals-righting-software/0636920364030/0636920093735", "0636920093735")</f>
        <v>0</v>
      </c>
      <c r="B323" t="s">
        <v>96</v>
      </c>
      <c r="C323" t="s">
        <v>1063</v>
      </c>
      <c r="D323" t="s">
        <v>1064</v>
      </c>
      <c r="E323" t="s">
        <v>351</v>
      </c>
      <c r="F323" t="s">
        <v>1065</v>
      </c>
    </row>
    <row r="324" spans="1:6">
      <c r="A324">
        <f>HYPERLINK("https://learning.oreilly.com/live-events/patterns-of-distributed-systems/0636920079744/0636920092341", "0636920092341")</f>
        <v>0</v>
      </c>
      <c r="B324" t="s">
        <v>808</v>
      </c>
      <c r="C324" t="s">
        <v>1066</v>
      </c>
      <c r="D324" t="s">
        <v>1067</v>
      </c>
      <c r="E324" t="s">
        <v>1062</v>
      </c>
      <c r="F324" t="s">
        <v>1068</v>
      </c>
    </row>
    <row r="325" spans="1:6">
      <c r="A325">
        <f>HYPERLINK("https://learning.oreilly.com/live-events/rust-in-4-hours/0636920063666/0636920092728", "0636920092728")</f>
        <v>0</v>
      </c>
      <c r="B325" t="s">
        <v>335</v>
      </c>
      <c r="C325" t="s">
        <v>683</v>
      </c>
      <c r="D325" t="s">
        <v>684</v>
      </c>
      <c r="E325" t="s">
        <v>351</v>
      </c>
      <c r="F325" t="s">
        <v>582</v>
      </c>
    </row>
    <row r="326" spans="1:6">
      <c r="A326">
        <f>HYPERLINK("https://learning.oreilly.com/live-events/ai-enabled-programming-networking-and-cybersecurity/0636920094177/0636920094176", "0636920094176")</f>
        <v>0</v>
      </c>
      <c r="B326" t="s">
        <v>16</v>
      </c>
      <c r="C326" t="s">
        <v>1069</v>
      </c>
      <c r="D326" t="s">
        <v>1070</v>
      </c>
      <c r="E326" t="s">
        <v>1062</v>
      </c>
      <c r="F326" t="s">
        <v>786</v>
      </c>
    </row>
    <row r="327" spans="1:6">
      <c r="A327">
        <f>HYPERLINK("https://learning.oreilly.com/live-events/c-essentials-stl-algorithms/0636920056821/0636920091730", "0636920091730")</f>
        <v>0</v>
      </c>
      <c r="B327" t="s">
        <v>180</v>
      </c>
      <c r="C327" t="s">
        <v>1071</v>
      </c>
      <c r="D327" t="s">
        <v>1072</v>
      </c>
      <c r="E327" t="s">
        <v>1062</v>
      </c>
      <c r="F327" t="s">
        <v>326</v>
      </c>
    </row>
    <row r="328" spans="1:6">
      <c r="A328">
        <f>HYPERLINK("https://learning.oreilly.com/live-events/certified-aws-developer-associate-dva-c02-crash-course/0636920089875/0636920089874", "0636920089874")</f>
        <v>0</v>
      </c>
      <c r="B328" t="s">
        <v>1073</v>
      </c>
      <c r="C328" t="s">
        <v>1074</v>
      </c>
      <c r="D328" t="s">
        <v>1075</v>
      </c>
      <c r="E328" t="s">
        <v>1076</v>
      </c>
      <c r="F328" t="s">
        <v>1077</v>
      </c>
    </row>
    <row r="329" spans="1:6">
      <c r="A329">
        <f>HYPERLINK("https://learning.oreilly.com/live-events/c-and-net-in-3-weeks/0636920087019/0636920090626", "0636920090626")</f>
        <v>0</v>
      </c>
      <c r="B329" t="s">
        <v>1078</v>
      </c>
      <c r="C329" t="s">
        <v>1079</v>
      </c>
      <c r="D329" t="s">
        <v>1080</v>
      </c>
      <c r="E329" t="s">
        <v>1081</v>
      </c>
      <c r="F329" t="s">
        <v>57</v>
      </c>
    </row>
    <row r="330" spans="1:6">
      <c r="A330">
        <f>HYPERLINK("https://learning.oreilly.com/live-events/microsoft-azure-developer-associate-az-204-crash-course/0636920053454/0636920090766", "0636920090766")</f>
        <v>0</v>
      </c>
      <c r="B330" t="s">
        <v>521</v>
      </c>
      <c r="C330" t="s">
        <v>1082</v>
      </c>
      <c r="D330" t="s">
        <v>1083</v>
      </c>
      <c r="E330" t="s">
        <v>1084</v>
      </c>
      <c r="F330" t="s">
        <v>166</v>
      </c>
    </row>
    <row r="331" spans="1:6">
      <c r="A331">
        <f>HYPERLINK("https://learning.oreilly.com/live-events/ultimate-linux-hardening-bootcamp/0636920081044/0636920091750", "0636920091750")</f>
        <v>0</v>
      </c>
      <c r="B331" t="s">
        <v>1085</v>
      </c>
      <c r="C331" t="s">
        <v>1086</v>
      </c>
      <c r="D331" t="s">
        <v>1087</v>
      </c>
      <c r="E331" t="s">
        <v>1088</v>
      </c>
      <c r="F331" t="s">
        <v>1089</v>
      </c>
    </row>
    <row r="332" spans="1:6">
      <c r="A332">
        <f>HYPERLINK("https://learning.oreilly.com/live-events/large-language-models-and-chatgpt-in-3-weeks/0636920090988/0636920090987", "0636920090987")</f>
        <v>0</v>
      </c>
      <c r="B332" t="s">
        <v>6</v>
      </c>
      <c r="C332" t="s">
        <v>661</v>
      </c>
      <c r="D332" t="s">
        <v>662</v>
      </c>
      <c r="E332" t="s">
        <v>1090</v>
      </c>
      <c r="F332" t="s">
        <v>172</v>
      </c>
    </row>
    <row r="333" spans="1:6">
      <c r="A333">
        <f>HYPERLINK("https://learning.oreilly.com/live-events/microservice-observability-bootcamp/0636920088941/0636920092166", "0636920092166")</f>
        <v>0</v>
      </c>
      <c r="B333" t="s">
        <v>429</v>
      </c>
      <c r="C333" t="s">
        <v>1091</v>
      </c>
      <c r="D333" t="s">
        <v>1092</v>
      </c>
      <c r="E333" t="s">
        <v>1088</v>
      </c>
      <c r="F333" t="s">
        <v>1093</v>
      </c>
    </row>
    <row r="334" spans="1:6">
      <c r="A334">
        <f>HYPERLINK("https://learning.oreilly.com/live-events/backend-web-development-in-4-weeks/0636920063655/0636920088679", "0636920088679")</f>
        <v>0</v>
      </c>
      <c r="B334" t="s">
        <v>484</v>
      </c>
      <c r="C334" t="s">
        <v>1094</v>
      </c>
      <c r="D334" t="s">
        <v>1095</v>
      </c>
      <c r="E334" t="s">
        <v>1096</v>
      </c>
      <c r="F334" t="s">
        <v>488</v>
      </c>
    </row>
    <row r="335" spans="1:6">
      <c r="A335">
        <f>HYPERLINK("https://learning.oreilly.com/live-events/knowledge-graphs-bootcamp/0636920091408/0636920091407", "0636920091407")</f>
        <v>0</v>
      </c>
      <c r="B335" t="s">
        <v>194</v>
      </c>
      <c r="C335" t="s">
        <v>1097</v>
      </c>
      <c r="D335" t="s">
        <v>1098</v>
      </c>
      <c r="E335" t="s">
        <v>1099</v>
      </c>
      <c r="F335" t="s">
        <v>1100</v>
      </c>
    </row>
    <row r="336" spans="1:6">
      <c r="A336">
        <f>HYPERLINK("https://learning.oreilly.com/live-events/aws-certified-solutions-architect-associate-saa-c03-crash-course/0636920078770/0636920091626", "0636920091626")</f>
        <v>0</v>
      </c>
      <c r="B336" t="s">
        <v>48</v>
      </c>
      <c r="C336" t="s">
        <v>49</v>
      </c>
      <c r="D336" t="s">
        <v>50</v>
      </c>
      <c r="E336" t="s">
        <v>1101</v>
      </c>
      <c r="F336" t="s">
        <v>52</v>
      </c>
    </row>
    <row r="337" spans="1:6">
      <c r="A337">
        <f>HYPERLINK("https://learning.oreilly.com/live-events/containers-in-4-hours/0636920239529/0636920088779", "0636920088779")</f>
        <v>0</v>
      </c>
      <c r="B337" t="s">
        <v>142</v>
      </c>
      <c r="C337" t="s">
        <v>1102</v>
      </c>
      <c r="D337" t="s">
        <v>1103</v>
      </c>
      <c r="E337" t="s">
        <v>1088</v>
      </c>
      <c r="F337" t="s">
        <v>66</v>
      </c>
    </row>
    <row r="338" spans="1:6">
      <c r="A338">
        <f>HYPERLINK("https://learning.oreilly.com/live-events/advanced-sql-queries-in-90-minuteswith-interactivity/0636920091749/0636920091748", "0636920091748")</f>
        <v>0</v>
      </c>
      <c r="B338" t="s">
        <v>1104</v>
      </c>
      <c r="C338" t="s">
        <v>1105</v>
      </c>
      <c r="D338" t="s">
        <v>1106</v>
      </c>
      <c r="E338" t="s">
        <v>1101</v>
      </c>
      <c r="F338" t="s">
        <v>1107</v>
      </c>
    </row>
    <row r="339" spans="1:6">
      <c r="A339">
        <f>HYPERLINK("https://learning.oreilly.com/live-events/building-enterprise-apps-with-react/0636920064014/0636920091520", "0636920091520")</f>
        <v>0</v>
      </c>
      <c r="B339" t="s">
        <v>173</v>
      </c>
      <c r="C339" t="s">
        <v>1108</v>
      </c>
      <c r="D339" t="s">
        <v>1109</v>
      </c>
      <c r="E339" t="s">
        <v>1110</v>
      </c>
      <c r="F339" t="s">
        <v>582</v>
      </c>
    </row>
    <row r="340" spans="1:6">
      <c r="A340">
        <f>HYPERLINK("https://learning.oreilly.com/live-events/kubernetes-security-essentials/0636920083099/0636920092209", "0636920092209")</f>
        <v>0</v>
      </c>
      <c r="B340" t="s">
        <v>574</v>
      </c>
      <c r="C340" t="s">
        <v>1111</v>
      </c>
      <c r="D340" t="s">
        <v>1112</v>
      </c>
      <c r="E340" t="s">
        <v>1110</v>
      </c>
      <c r="F340" t="s">
        <v>205</v>
      </c>
    </row>
    <row r="341" spans="1:6">
      <c r="A341">
        <f>HYPERLINK("https://learning.oreilly.com/live-events/scala-web-services-in-4-hours/0636920092709/0636920092708", "0636920092708")</f>
        <v>0</v>
      </c>
      <c r="B341" t="s">
        <v>1113</v>
      </c>
      <c r="C341" t="s">
        <v>1114</v>
      </c>
      <c r="D341" t="s">
        <v>1115</v>
      </c>
      <c r="E341" t="s">
        <v>1116</v>
      </c>
      <c r="F341" t="s">
        <v>1117</v>
      </c>
    </row>
    <row r="342" spans="1:6">
      <c r="A342">
        <f>HYPERLINK("https://learning.oreilly.com/live-events/natural-language-processing-nlp-for-everyone/0636920225690/0636920091771", "0636920091771")</f>
        <v>0</v>
      </c>
      <c r="B342" t="s">
        <v>128</v>
      </c>
      <c r="C342" t="s">
        <v>1118</v>
      </c>
      <c r="E342" t="s">
        <v>1099</v>
      </c>
      <c r="F342" t="s">
        <v>213</v>
      </c>
    </row>
    <row r="343" spans="1:6">
      <c r="A343">
        <f>HYPERLINK("https://learning.oreilly.com/live-events/system-design-interview-boot-camp/0636920090983/0636920090982", "0636920090982")</f>
        <v>0</v>
      </c>
      <c r="B343" t="s">
        <v>96</v>
      </c>
      <c r="C343" t="s">
        <v>536</v>
      </c>
      <c r="D343" t="s">
        <v>537</v>
      </c>
      <c r="E343" t="s">
        <v>1090</v>
      </c>
      <c r="F343" t="s">
        <v>297</v>
      </c>
    </row>
    <row r="344" spans="1:6">
      <c r="A344">
        <f>HYPERLINK("https://learning.oreilly.com/live-events/beyond-regression-in-machine-learning/0636920092232/0636920092231", "0636920092231")</f>
        <v>0</v>
      </c>
      <c r="B344" t="s">
        <v>315</v>
      </c>
      <c r="C344" t="s">
        <v>1119</v>
      </c>
      <c r="D344" t="s">
        <v>1120</v>
      </c>
      <c r="E344" t="s">
        <v>1090</v>
      </c>
      <c r="F344" t="s">
        <v>1121</v>
      </c>
    </row>
    <row r="345" spans="1:6">
      <c r="A345">
        <f>HYPERLINK("https://learning.oreilly.com/live-events/machine-learning-with-python/0636920081059/0636920091129", "0636920091129")</f>
        <v>0</v>
      </c>
      <c r="B345" t="s">
        <v>315</v>
      </c>
      <c r="C345" t="s">
        <v>316</v>
      </c>
      <c r="D345" t="s">
        <v>317</v>
      </c>
      <c r="E345" t="s">
        <v>1122</v>
      </c>
      <c r="F345" t="s">
        <v>318</v>
      </c>
    </row>
    <row r="346" spans="1:6">
      <c r="A346">
        <f>HYPERLINK("https://learning.oreilly.com/live-events/advanced-python/0636920055231/0636920091575", "0636920091575")</f>
        <v>0</v>
      </c>
      <c r="B346" t="s">
        <v>21</v>
      </c>
      <c r="C346" t="s">
        <v>1123</v>
      </c>
      <c r="E346" t="s">
        <v>1124</v>
      </c>
      <c r="F346" t="s">
        <v>24</v>
      </c>
    </row>
    <row r="347" spans="1:6">
      <c r="A347">
        <f>HYPERLINK("https://learning.oreilly.com/live-events/c20-full-throttle-with-paul-deitel/0636920092682/0636920092681", "0636920092681")</f>
        <v>0</v>
      </c>
      <c r="B347" t="s">
        <v>180</v>
      </c>
      <c r="C347" t="s">
        <v>181</v>
      </c>
      <c r="D347" t="s">
        <v>182</v>
      </c>
      <c r="E347" t="s">
        <v>1125</v>
      </c>
      <c r="F347" t="s">
        <v>183</v>
      </c>
    </row>
    <row r="348" spans="1:6">
      <c r="A348">
        <f>HYPERLINK("https://learning.oreilly.com/live-events/in-conversation-james-gough-on-mastering-api-architecture/0636920095010/0636920095009", "0636920095009")</f>
        <v>0</v>
      </c>
      <c r="B348" t="s">
        <v>1126</v>
      </c>
      <c r="C348" t="s">
        <v>1127</v>
      </c>
      <c r="D348" t="s">
        <v>1128</v>
      </c>
      <c r="E348" t="s">
        <v>1129</v>
      </c>
      <c r="F348" t="s">
        <v>1130</v>
      </c>
    </row>
    <row r="349" spans="1:6">
      <c r="A349">
        <f>HYPERLINK("https://learning.oreilly.com/live-events/user-experience-design-for-developers-in-4-hours/0636920092229/0636920092228", "0636920092228")</f>
        <v>0</v>
      </c>
      <c r="B349" t="s">
        <v>1131</v>
      </c>
      <c r="C349" t="s">
        <v>1132</v>
      </c>
      <c r="D349" t="s">
        <v>1133</v>
      </c>
      <c r="E349" t="s">
        <v>1134</v>
      </c>
      <c r="F349" t="s">
        <v>1135</v>
      </c>
    </row>
    <row r="350" spans="1:6">
      <c r="A350">
        <f>HYPERLINK("https://learning.oreilly.com/live-events/aws-observe-and-operate-manage-your-cloud-infrastructure-and-modern-applications/0636920093826/0636920093825", "0636920093825")</f>
        <v>0</v>
      </c>
      <c r="B350" t="s">
        <v>35</v>
      </c>
      <c r="C350" t="s">
        <v>1136</v>
      </c>
      <c r="D350" t="s">
        <v>1137</v>
      </c>
      <c r="E350" t="s">
        <v>1138</v>
      </c>
      <c r="F350" t="s">
        <v>1139</v>
      </c>
    </row>
    <row r="351" spans="1:6">
      <c r="A351">
        <f>HYPERLINK("https://learning.oreilly.com/live-events/java-9-to-17-the-new-feature-benefits/0636920057909/0636920090221", "0636920090221")</f>
        <v>0</v>
      </c>
      <c r="B351" t="s">
        <v>1140</v>
      </c>
      <c r="C351" t="s">
        <v>1141</v>
      </c>
      <c r="E351" t="s">
        <v>1142</v>
      </c>
      <c r="F351" t="s">
        <v>255</v>
      </c>
    </row>
    <row r="352" spans="1:6">
      <c r="A352">
        <f>HYPERLINK("https://learning.oreilly.com/live-events/multimodal-machine-learning/0636920078965/0636920088621", "0636920088621")</f>
        <v>0</v>
      </c>
      <c r="B352" t="s">
        <v>315</v>
      </c>
      <c r="C352" t="s">
        <v>1143</v>
      </c>
      <c r="D352" t="s">
        <v>1144</v>
      </c>
      <c r="E352" t="s">
        <v>1145</v>
      </c>
      <c r="F352" t="s">
        <v>1146</v>
      </c>
    </row>
    <row r="353" spans="1:6">
      <c r="A353">
        <f>HYPERLINK("https://learning.oreilly.com/live-events/fundamentals-of-large-language-models-a-hands-on-approach/0636920089792/0636920089791", "0636920089791")</f>
        <v>0</v>
      </c>
      <c r="B353" t="s">
        <v>194</v>
      </c>
      <c r="C353" t="s">
        <v>1147</v>
      </c>
      <c r="E353" t="s">
        <v>1148</v>
      </c>
      <c r="F353" t="s">
        <v>119</v>
      </c>
    </row>
    <row r="354" spans="1:6">
      <c r="A354">
        <f>HYPERLINK("https://learning.oreilly.com/live-events/data-superstream-real-time-analytics/0636920087427/0636920087426", "0636920087426")</f>
        <v>0</v>
      </c>
      <c r="B354" t="s">
        <v>1149</v>
      </c>
      <c r="C354" t="s">
        <v>1150</v>
      </c>
      <c r="D354" t="s">
        <v>1151</v>
      </c>
      <c r="E354" t="s">
        <v>1152</v>
      </c>
      <c r="F354" t="s">
        <v>1153</v>
      </c>
    </row>
    <row r="355" spans="1:6">
      <c r="A355">
        <f>HYPERLINK("https://learning.oreilly.com/live-events/machine-learning-algorithms-for-trading-bootcamp/0636920082023/0636920088138", "0636920088138")</f>
        <v>0</v>
      </c>
      <c r="B355" t="s">
        <v>315</v>
      </c>
      <c r="C355" t="s">
        <v>1154</v>
      </c>
      <c r="D355" t="s">
        <v>1155</v>
      </c>
      <c r="E355" t="s">
        <v>1156</v>
      </c>
      <c r="F355" t="s">
        <v>1157</v>
      </c>
    </row>
    <row r="356" spans="1:6">
      <c r="A356">
        <f>HYPERLINK("https://learning.oreilly.com/live-events/becoming-a-successful-risk-manager/0636920089845/0636920089844", "0636920089844")</f>
        <v>0</v>
      </c>
      <c r="B356" t="s">
        <v>43</v>
      </c>
      <c r="C356" t="s">
        <v>1158</v>
      </c>
      <c r="D356" t="s">
        <v>1159</v>
      </c>
      <c r="E356" t="s">
        <v>1160</v>
      </c>
      <c r="F356" t="s">
        <v>95</v>
      </c>
    </row>
    <row r="357" spans="1:6">
      <c r="A357">
        <f>HYPERLINK("https://learning.oreilly.com/live-events/whats-new-in-modern-c/0636920089700/0636920089699", "0636920089699")</f>
        <v>0</v>
      </c>
      <c r="B357" t="s">
        <v>180</v>
      </c>
      <c r="C357" t="s">
        <v>1161</v>
      </c>
      <c r="D357" t="s">
        <v>1162</v>
      </c>
      <c r="E357" t="s">
        <v>1163</v>
      </c>
      <c r="F357" t="s">
        <v>582</v>
      </c>
    </row>
    <row r="358" spans="1:6">
      <c r="A358">
        <f>HYPERLINK("https://learning.oreilly.com/live-events/software-architecture-superstream-frontend-architectures/0636920089139/0636920089138", "0636920089138")</f>
        <v>0</v>
      </c>
      <c r="B358" t="s">
        <v>96</v>
      </c>
      <c r="C358" t="s">
        <v>1164</v>
      </c>
      <c r="D358" t="s">
        <v>1165</v>
      </c>
      <c r="E358" t="s">
        <v>1148</v>
      </c>
      <c r="F358" t="s">
        <v>100</v>
      </c>
    </row>
    <row r="359" spans="1:6">
      <c r="A359">
        <f>HYPERLINK("https://learning.oreilly.com/live-events/building-distributed-systems-using-sagas/0636920087477/0636920088877", "0636920088877")</f>
        <v>0</v>
      </c>
      <c r="B359" t="s">
        <v>808</v>
      </c>
      <c r="C359" t="s">
        <v>1166</v>
      </c>
      <c r="D359" t="s">
        <v>1167</v>
      </c>
      <c r="E359" t="s">
        <v>1168</v>
      </c>
      <c r="F359" t="s">
        <v>1169</v>
      </c>
    </row>
    <row r="360" spans="1:6">
      <c r="A360">
        <f>HYPERLINK("https://learning.oreilly.com/live-events/python-data-structures-and-comprehensions/0636920082741/0636920088411", "0636920088411")</f>
        <v>0</v>
      </c>
      <c r="B360" t="s">
        <v>21</v>
      </c>
      <c r="C360" t="s">
        <v>1170</v>
      </c>
      <c r="D360" t="s">
        <v>1171</v>
      </c>
      <c r="E360" t="s">
        <v>1172</v>
      </c>
      <c r="F360" t="s">
        <v>660</v>
      </c>
    </row>
    <row r="361" spans="1:6">
      <c r="A361">
        <f>HYPERLINK("https://learning.oreilly.com/live-events/aws-core-architecture-concepts/0636920096276/0636920087742", "0636920087742")</f>
        <v>0</v>
      </c>
      <c r="B361" t="s">
        <v>359</v>
      </c>
      <c r="C361" t="s">
        <v>1050</v>
      </c>
      <c r="D361" t="s">
        <v>1051</v>
      </c>
      <c r="E361" t="s">
        <v>1173</v>
      </c>
      <c r="F361" t="s">
        <v>352</v>
      </c>
    </row>
    <row r="362" spans="1:6">
      <c r="A362">
        <f>HYPERLINK("https://learning.oreilly.com/live-events/system-design-by-example/0636920087015/0636920088870", "0636920088870")</f>
        <v>0</v>
      </c>
      <c r="B362" t="s">
        <v>96</v>
      </c>
      <c r="C362" t="s">
        <v>1174</v>
      </c>
      <c r="D362" t="s">
        <v>1175</v>
      </c>
      <c r="E362" t="s">
        <v>1176</v>
      </c>
      <c r="F362" t="s">
        <v>297</v>
      </c>
    </row>
    <row r="363" spans="1:6">
      <c r="A363">
        <f>HYPERLINK("https://learning.oreilly.com/live-events/exam-az-305-microsoft-azure-solutions-architect-expert-bootcamp/0636920084763/0636920084762", "0636920084762")</f>
        <v>0</v>
      </c>
      <c r="B363" t="s">
        <v>391</v>
      </c>
      <c r="C363" t="s">
        <v>1177</v>
      </c>
      <c r="D363" t="s">
        <v>1178</v>
      </c>
      <c r="E363" t="s">
        <v>1179</v>
      </c>
      <c r="F363" t="s">
        <v>166</v>
      </c>
    </row>
    <row r="364" spans="1:6">
      <c r="A364">
        <f>HYPERLINK("https://learning.oreilly.com/live-events/first-steps-in-machine-learning-misfit-models-and-fixes/0636920087879/0636920087877", "0636920087877")</f>
        <v>0</v>
      </c>
      <c r="B364" t="s">
        <v>315</v>
      </c>
      <c r="C364" t="s">
        <v>1180</v>
      </c>
      <c r="D364" t="s">
        <v>1181</v>
      </c>
      <c r="E364" t="s">
        <v>1179</v>
      </c>
      <c r="F364" t="s">
        <v>1182</v>
      </c>
    </row>
    <row r="365" spans="1:6">
      <c r="A365">
        <f>HYPERLINK("https://learning.oreilly.com/live-events/mastering-threads-in-java/0636920431817/0636920088311", "0636920088311")</f>
        <v>0</v>
      </c>
      <c r="B365" t="s">
        <v>252</v>
      </c>
      <c r="C365" t="s">
        <v>1183</v>
      </c>
      <c r="D365" t="s">
        <v>1184</v>
      </c>
      <c r="E365" t="s">
        <v>1176</v>
      </c>
      <c r="F365" t="s">
        <v>589</v>
      </c>
    </row>
    <row r="366" spans="1:6">
      <c r="A366">
        <f>HYPERLINK("https://learning.oreilly.com/live-events/prompt-engineering-for-generating-ai-art-and-text/0636920084340/0636920087607", "0636920087607")</f>
        <v>0</v>
      </c>
      <c r="B366" t="s">
        <v>958</v>
      </c>
      <c r="C366" t="s">
        <v>1185</v>
      </c>
      <c r="D366" t="s">
        <v>1186</v>
      </c>
      <c r="E366" t="s">
        <v>1179</v>
      </c>
      <c r="F366" t="s">
        <v>1187</v>
      </c>
    </row>
    <row r="367" spans="1:6">
      <c r="A367">
        <f>HYPERLINK("https://learning.oreilly.com/live-events/ai-superstream-designing-machine-learning-systems/0636920086385/0636920086384", "0636920086384")</f>
        <v>0</v>
      </c>
      <c r="B367" t="s">
        <v>315</v>
      </c>
      <c r="C367" t="s">
        <v>1188</v>
      </c>
      <c r="D367" t="s">
        <v>1189</v>
      </c>
      <c r="E367" t="s">
        <v>1176</v>
      </c>
      <c r="F367" t="s">
        <v>20</v>
      </c>
    </row>
    <row r="368" spans="1:6">
      <c r="A368">
        <f>HYPERLINK("https://learning.oreilly.com/live-events/chatgpt-for-software-engineers/0636920090062/0636920090061", "0636920090061")</f>
        <v>0</v>
      </c>
      <c r="B368" t="s">
        <v>6</v>
      </c>
      <c r="C368" t="s">
        <v>1190</v>
      </c>
      <c r="D368" t="s">
        <v>1191</v>
      </c>
      <c r="E368" t="s">
        <v>1176</v>
      </c>
      <c r="F368" t="s">
        <v>1192</v>
      </c>
    </row>
    <row r="369" spans="1:6">
      <c r="A369">
        <f>HYPERLINK("https://learning.oreilly.com/live-events/java-concurrency-in-2-weeks/0636920087672/0636920087671", "0636920087671")</f>
        <v>0</v>
      </c>
      <c r="B369" t="s">
        <v>252</v>
      </c>
      <c r="C369" t="s">
        <v>1193</v>
      </c>
      <c r="D369" t="s">
        <v>1194</v>
      </c>
      <c r="E369" t="s">
        <v>1195</v>
      </c>
      <c r="F369" t="s">
        <v>1196</v>
      </c>
    </row>
    <row r="370" spans="1:6">
      <c r="A370">
        <f>HYPERLINK("https://learning.oreilly.com/live-events/graphs-for-data-science/0636920083101/0636920088234", "0636920088234")</f>
        <v>0</v>
      </c>
      <c r="B370" t="s">
        <v>25</v>
      </c>
      <c r="C370" t="s">
        <v>1197</v>
      </c>
      <c r="D370" t="s">
        <v>1198</v>
      </c>
      <c r="E370" t="s">
        <v>1199</v>
      </c>
      <c r="F370" t="s">
        <v>213</v>
      </c>
    </row>
    <row r="371" spans="1:6">
      <c r="A371">
        <f>HYPERLINK("https://learning.oreilly.com/live-events/deploying-gpt-and-large-language-models/0636920087375/0636920087374", "0636920087374")</f>
        <v>0</v>
      </c>
      <c r="B371" t="s">
        <v>6</v>
      </c>
      <c r="C371" t="s">
        <v>1200</v>
      </c>
      <c r="D371" t="s">
        <v>1201</v>
      </c>
      <c r="E371" t="s">
        <v>1199</v>
      </c>
      <c r="F371" t="s">
        <v>172</v>
      </c>
    </row>
    <row r="372" spans="1:6">
      <c r="A372">
        <f>HYPERLINK("https://learning.oreilly.com/live-events/infrastructure-ops-superstream-observability/0636920086404/0636920086403", "0636920086403")</f>
        <v>0</v>
      </c>
      <c r="B372" t="s">
        <v>1202</v>
      </c>
      <c r="C372" t="s">
        <v>1203</v>
      </c>
      <c r="D372" t="s">
        <v>1204</v>
      </c>
      <c r="E372" t="s">
        <v>1199</v>
      </c>
      <c r="F372" t="s">
        <v>70</v>
      </c>
    </row>
    <row r="373" spans="1:6">
      <c r="A373">
        <f>HYPERLINK("https://learning.oreilly.com/live-events/smarter-sql-for-data-science/0636920079365/0636920088357", "0636920088357")</f>
        <v>0</v>
      </c>
      <c r="B373" t="s">
        <v>1205</v>
      </c>
      <c r="C373" t="s">
        <v>1206</v>
      </c>
      <c r="D373" t="s">
        <v>1207</v>
      </c>
      <c r="E373" t="s">
        <v>1208</v>
      </c>
      <c r="F373" t="s">
        <v>24</v>
      </c>
    </row>
    <row r="374" spans="1:6">
      <c r="A374">
        <f>HYPERLINK("https://learning.oreilly.com/live-events/software-architecture-hour-technical-strategy-with-anna-shipman/0636920090704/0636920090703", "0636920090703")</f>
        <v>0</v>
      </c>
      <c r="B374" t="s">
        <v>96</v>
      </c>
      <c r="C374" t="s">
        <v>1209</v>
      </c>
      <c r="E374" t="s">
        <v>1210</v>
      </c>
      <c r="F374" t="s">
        <v>1211</v>
      </c>
    </row>
    <row r="375" spans="1:6">
      <c r="A375">
        <f>HYPERLINK("https://learning.oreilly.com/live-events/chatgpt-and-github-copilot-in-4-hours/0636920090248/0636920090247", "0636920090247")</f>
        <v>0</v>
      </c>
      <c r="B375" t="s">
        <v>6</v>
      </c>
      <c r="C375" t="s">
        <v>1212</v>
      </c>
      <c r="D375" t="s">
        <v>1213</v>
      </c>
      <c r="E375" t="s">
        <v>1214</v>
      </c>
      <c r="F375" t="s">
        <v>201</v>
      </c>
    </row>
    <row r="376" spans="1:6">
      <c r="A376">
        <f>HYPERLINK("https://learning.oreilly.com/live-events/certified-jenkins-engineer-cje-crash-course/0636920343998/0636920087193", "0636920087193")</f>
        <v>0</v>
      </c>
      <c r="B376" t="s">
        <v>1215</v>
      </c>
      <c r="C376" t="s">
        <v>1216</v>
      </c>
      <c r="D376" t="s">
        <v>135</v>
      </c>
      <c r="E376" t="s">
        <v>1217</v>
      </c>
      <c r="F376" t="s">
        <v>137</v>
      </c>
    </row>
    <row r="377" spans="1:6">
      <c r="A377">
        <f>HYPERLINK("https://learning.oreilly.com/live-events/writing-effective-prompts-for-chatgpt/0636920090058/0636920090057", "0636920090057")</f>
        <v>0</v>
      </c>
      <c r="B377" t="s">
        <v>958</v>
      </c>
      <c r="C377" t="s">
        <v>1218</v>
      </c>
      <c r="D377" t="s">
        <v>1219</v>
      </c>
      <c r="E377" t="s">
        <v>1220</v>
      </c>
      <c r="F377" t="s">
        <v>1221</v>
      </c>
    </row>
    <row r="378" spans="1:6">
      <c r="A378">
        <f>HYPERLINK("https://learning.oreilly.com/live-events/quality-code-boot-camp/0636920086483/0636920086481", "0636920086481")</f>
        <v>0</v>
      </c>
      <c r="B378" t="s">
        <v>1222</v>
      </c>
      <c r="C378" t="s">
        <v>1223</v>
      </c>
      <c r="D378" t="s">
        <v>1224</v>
      </c>
      <c r="E378" t="s">
        <v>1225</v>
      </c>
      <c r="F378" t="s">
        <v>1226</v>
      </c>
    </row>
    <row r="379" spans="1:6">
      <c r="A379">
        <f>HYPERLINK("https://learning.oreilly.com/live-events/data-engineering-fundamentals-in-3-weeks/0636920086304/0636920086303", "0636920086303")</f>
        <v>0</v>
      </c>
      <c r="B379" t="s">
        <v>441</v>
      </c>
      <c r="C379" t="s">
        <v>442</v>
      </c>
      <c r="D379" t="s">
        <v>443</v>
      </c>
      <c r="E379" t="s">
        <v>1227</v>
      </c>
      <c r="F379" t="s">
        <v>29</v>
      </c>
    </row>
    <row r="380" spans="1:6">
      <c r="A380">
        <f>HYPERLINK("https://learning.oreilly.com/live-events/testing-react-applications-with-big-nerd-ranch/0636920080704/0636920086960", "0636920086960")</f>
        <v>0</v>
      </c>
      <c r="B380" t="s">
        <v>173</v>
      </c>
      <c r="C380" t="s">
        <v>1228</v>
      </c>
      <c r="D380" t="s">
        <v>1229</v>
      </c>
      <c r="E380" t="s">
        <v>1230</v>
      </c>
      <c r="F380" t="s">
        <v>1231</v>
      </c>
    </row>
    <row r="381" spans="1:6">
      <c r="A381">
        <f>HYPERLINK("https://learning.oreilly.com/live-events/security-superstream-application-security/0636920083707/0636920083706", "0636920083706")</f>
        <v>0</v>
      </c>
      <c r="B381" t="s">
        <v>989</v>
      </c>
      <c r="C381" t="s">
        <v>1232</v>
      </c>
      <c r="D381" t="s">
        <v>1233</v>
      </c>
      <c r="E381" t="s">
        <v>1234</v>
      </c>
      <c r="F381" t="s">
        <v>1235</v>
      </c>
    </row>
    <row r="382" spans="1:6">
      <c r="A382">
        <f>HYPERLINK("https://learning.oreilly.com/live-events/comparing-software-architectures-by-example/0636920055602/0636920090834", "0636920090834")</f>
        <v>0</v>
      </c>
      <c r="B382" t="s">
        <v>96</v>
      </c>
      <c r="C382" t="s">
        <v>1236</v>
      </c>
      <c r="D382" t="s">
        <v>1237</v>
      </c>
      <c r="E382" t="s">
        <v>1238</v>
      </c>
      <c r="F382" t="s">
        <v>1169</v>
      </c>
    </row>
    <row r="383" spans="1:6">
      <c r="A383">
        <f>HYPERLINK("https://learning.oreilly.com/live-events/explainable-machine-learning-modelswith-interactivity/0636920061943/0636920085001", "0636920085001")</f>
        <v>0</v>
      </c>
      <c r="B383" t="s">
        <v>315</v>
      </c>
      <c r="C383" t="s">
        <v>1239</v>
      </c>
      <c r="D383" t="s">
        <v>1240</v>
      </c>
      <c r="E383" t="s">
        <v>1241</v>
      </c>
      <c r="F383" t="s">
        <v>1242</v>
      </c>
    </row>
    <row r="384" spans="1:6">
      <c r="A384">
        <f>HYPERLINK("https://learning.oreilly.com/live-events/smarter-shell-scripting-for-data-science/0636920079363/0636920086547", "0636920086547")</f>
        <v>0</v>
      </c>
      <c r="B384" t="s">
        <v>1243</v>
      </c>
      <c r="C384" t="s">
        <v>1244</v>
      </c>
      <c r="D384" t="s">
        <v>1207</v>
      </c>
      <c r="E384" t="s">
        <v>1227</v>
      </c>
      <c r="F384" t="s">
        <v>24</v>
      </c>
    </row>
    <row r="385" spans="1:6">
      <c r="A385">
        <f>HYPERLINK("https://learning.oreilly.com/live-events/build-a-cicd-pipeline/0636920057913/0636920086538", "0636920086538")</f>
        <v>0</v>
      </c>
      <c r="B385" t="s">
        <v>629</v>
      </c>
      <c r="C385" t="s">
        <v>630</v>
      </c>
      <c r="D385" t="s">
        <v>631</v>
      </c>
      <c r="E385" t="s">
        <v>1245</v>
      </c>
      <c r="F385" t="s">
        <v>633</v>
      </c>
    </row>
    <row r="386" spans="1:6">
      <c r="A386">
        <f>HYPERLINK("https://learning.oreilly.com/live-events/software-architecture-hour-software-design-tidy-first-with-kent-beck/0636920090256/0636920090255", "0636920090255")</f>
        <v>0</v>
      </c>
      <c r="B386" t="s">
        <v>96</v>
      </c>
      <c r="C386" t="s">
        <v>1246</v>
      </c>
      <c r="D386" t="s">
        <v>1247</v>
      </c>
      <c r="E386" t="s">
        <v>1245</v>
      </c>
      <c r="F386" t="s">
        <v>1248</v>
      </c>
    </row>
    <row r="387" spans="1:6">
      <c r="A387">
        <f>HYPERLINK("https://learning.oreilly.com/live-events/hands-on-natural-language-generation-and-gpt/0636920061438/0636920086524", "0636920086524")</f>
        <v>0</v>
      </c>
      <c r="B387" t="s">
        <v>6</v>
      </c>
      <c r="C387" t="s">
        <v>1249</v>
      </c>
      <c r="D387" t="s">
        <v>1250</v>
      </c>
      <c r="E387" t="s">
        <v>1251</v>
      </c>
      <c r="F387" t="s">
        <v>172</v>
      </c>
    </row>
    <row r="388" spans="1:6">
      <c r="A388">
        <f>HYPERLINK("https://learning.oreilly.com/live-events/software-architecture-superstream-microservices/0636920086286/0636920086285", "0636920086285")</f>
        <v>0</v>
      </c>
      <c r="B388" t="s">
        <v>429</v>
      </c>
      <c r="C388" t="s">
        <v>1252</v>
      </c>
      <c r="D388" t="s">
        <v>1253</v>
      </c>
      <c r="E388" t="s">
        <v>1251</v>
      </c>
      <c r="F388" t="s">
        <v>100</v>
      </c>
    </row>
    <row r="389" spans="1:6">
      <c r="A389">
        <f>HYPERLINK("https://learning.oreilly.com/live-events/bigquery-on-the-google-cloud-platform-in-3-weeks/0636920085870/0636920085869", "0636920085869")</f>
        <v>0</v>
      </c>
      <c r="B389" t="s">
        <v>1254</v>
      </c>
      <c r="C389" t="s">
        <v>1255</v>
      </c>
      <c r="D389" t="s">
        <v>1256</v>
      </c>
      <c r="E389" t="s">
        <v>1257</v>
      </c>
      <c r="F389" t="s">
        <v>607</v>
      </c>
    </row>
    <row r="390" spans="1:6">
      <c r="A390">
        <f>HYPERLINK("https://learning.oreilly.com/live-events/restful-microservices-apis-bootcamp/0636920087475/0636920087474", "0636920087474")</f>
        <v>0</v>
      </c>
      <c r="B390" t="s">
        <v>429</v>
      </c>
      <c r="C390" t="s">
        <v>430</v>
      </c>
      <c r="D390" t="s">
        <v>431</v>
      </c>
      <c r="E390" t="s">
        <v>1225</v>
      </c>
      <c r="F390" t="s">
        <v>297</v>
      </c>
    </row>
    <row r="391" spans="1:6">
      <c r="A391">
        <f>HYPERLINK("https://learning.oreilly.com/live-events/tensorflow-20-neural-networks-and-working-with-tabular-data/0636920081001/0636920086929", "0636920086929")</f>
        <v>0</v>
      </c>
      <c r="B391" t="s">
        <v>1258</v>
      </c>
      <c r="C391" t="s">
        <v>1259</v>
      </c>
      <c r="D391" t="s">
        <v>1260</v>
      </c>
      <c r="E391" t="s">
        <v>1225</v>
      </c>
      <c r="F391" t="s">
        <v>119</v>
      </c>
    </row>
    <row r="392" spans="1:6">
      <c r="A392">
        <f>HYPERLINK("https://learning.oreilly.com/live-events/modern-frontend-web-development-in-5-weeks/0636920056967/0636920080408", "0636920080408")</f>
        <v>0</v>
      </c>
      <c r="B392" t="s">
        <v>1261</v>
      </c>
      <c r="C392" t="s">
        <v>1262</v>
      </c>
      <c r="D392" t="s">
        <v>1263</v>
      </c>
      <c r="E392" t="s">
        <v>1264</v>
      </c>
      <c r="F392" t="s">
        <v>488</v>
      </c>
    </row>
    <row r="393" spans="1:6">
      <c r="A393">
        <f>HYPERLINK("https://learning.oreilly.com/live-events/spring-and-spring-boot-in-3-weeks/0636920055088/0636920083977", "0636920083977")</f>
        <v>0</v>
      </c>
      <c r="B393" t="s">
        <v>1265</v>
      </c>
      <c r="C393" t="s">
        <v>1266</v>
      </c>
      <c r="D393" t="s">
        <v>1267</v>
      </c>
      <c r="E393" t="s">
        <v>1268</v>
      </c>
      <c r="F393" t="s">
        <v>569</v>
      </c>
    </row>
    <row r="394" spans="1:6">
      <c r="A394">
        <f>HYPERLINK("https://learning.oreilly.com/live-events/introduction-to-deep-learning-with-pytorch/0636920086096/0636920086095", "0636920086095")</f>
        <v>0</v>
      </c>
      <c r="B394" t="s">
        <v>286</v>
      </c>
      <c r="C394" t="s">
        <v>1269</v>
      </c>
      <c r="D394" t="s">
        <v>1270</v>
      </c>
      <c r="E394" t="s">
        <v>1271</v>
      </c>
      <c r="F394" t="s">
        <v>172</v>
      </c>
    </row>
    <row r="395" spans="1:6">
      <c r="A395">
        <f>HYPERLINK("https://learning.oreilly.com/live-events/hands-on-azure-in-3-weeks/0636920086098/0636920086097", "0636920086097")</f>
        <v>0</v>
      </c>
      <c r="B395" t="s">
        <v>391</v>
      </c>
      <c r="C395" t="s">
        <v>1272</v>
      </c>
      <c r="D395" t="s">
        <v>1273</v>
      </c>
      <c r="E395" t="s">
        <v>1274</v>
      </c>
      <c r="F395" t="s">
        <v>434</v>
      </c>
    </row>
    <row r="396" spans="1:6">
      <c r="A396">
        <f>HYPERLINK("https://learning.oreilly.com/live-events/business-logic-design-patterns/0636920082720/0636920082719", "0636920082719")</f>
        <v>0</v>
      </c>
      <c r="B396" t="s">
        <v>378</v>
      </c>
      <c r="C396" t="s">
        <v>1275</v>
      </c>
      <c r="D396" t="s">
        <v>1276</v>
      </c>
      <c r="E396" t="s">
        <v>1277</v>
      </c>
      <c r="F396" t="s">
        <v>1278</v>
      </c>
    </row>
    <row r="397" spans="1:6">
      <c r="A397">
        <f>HYPERLINK("https://learning.oreilly.com/live-events/learn-linux-in-3-hours/0636920098508/0636920085018", "0636920085018")</f>
        <v>0</v>
      </c>
      <c r="B397" t="s">
        <v>63</v>
      </c>
      <c r="C397" t="s">
        <v>1279</v>
      </c>
      <c r="D397" t="s">
        <v>1280</v>
      </c>
      <c r="E397" t="s">
        <v>1277</v>
      </c>
      <c r="F397" t="s">
        <v>66</v>
      </c>
    </row>
    <row r="398" spans="1:6">
      <c r="A398">
        <f>HYPERLINK("https://learning.oreilly.com/live-events/programming-with-data-advanced-python-and-pandas/0636920284000/0636920086058", "0636920086058")</f>
        <v>0</v>
      </c>
      <c r="B398" t="s">
        <v>820</v>
      </c>
      <c r="C398" t="s">
        <v>1281</v>
      </c>
      <c r="E398" t="s">
        <v>1282</v>
      </c>
      <c r="F398" t="s">
        <v>1283</v>
      </c>
    </row>
    <row r="399" spans="1:6">
      <c r="A399">
        <f>HYPERLINK("https://learning.oreilly.com/live-events/tcpip-deep-dive-with-wireshark-for-netops-and-secops/0636920078983/0636920085876", "0636920085876")</f>
        <v>0</v>
      </c>
      <c r="B399" t="s">
        <v>1284</v>
      </c>
      <c r="C399" t="s">
        <v>1285</v>
      </c>
      <c r="D399" t="s">
        <v>1286</v>
      </c>
      <c r="E399" t="s">
        <v>1287</v>
      </c>
      <c r="F399" t="s">
        <v>1288</v>
      </c>
    </row>
    <row r="400" spans="1:6">
      <c r="A400">
        <f>HYPERLINK("https://learning.oreilly.com/live-events/applying-data-centric-ai-principles-to-production-systems/0636920081398/0636920084176", "0636920084176")</f>
        <v>0</v>
      </c>
      <c r="B400" t="s">
        <v>315</v>
      </c>
      <c r="C400" t="s">
        <v>1289</v>
      </c>
      <c r="D400" t="s">
        <v>1290</v>
      </c>
      <c r="E400" t="s">
        <v>1287</v>
      </c>
      <c r="F400" t="s">
        <v>1291</v>
      </c>
    </row>
    <row r="401" spans="1:6">
      <c r="A401">
        <f>HYPERLINK("https://learning.oreilly.com/live-events/causal-inference-for-data-scientists/0636920083043/0636920083042", "0636920083042")</f>
        <v>0</v>
      </c>
      <c r="B401" t="s">
        <v>25</v>
      </c>
      <c r="C401" t="s">
        <v>1292</v>
      </c>
      <c r="D401" t="s">
        <v>1293</v>
      </c>
      <c r="E401" t="s">
        <v>1294</v>
      </c>
      <c r="F401" t="s">
        <v>1295</v>
      </c>
    </row>
    <row r="402" spans="1:6">
      <c r="A402">
        <f>HYPERLINK("https://learning.oreilly.com/live-events/azure-networking-fundamentals/0790145081996/0790145081988", "0790145081988")</f>
        <v>0</v>
      </c>
      <c r="B402" t="s">
        <v>1296</v>
      </c>
      <c r="C402" t="s">
        <v>1297</v>
      </c>
      <c r="D402" t="s">
        <v>1298</v>
      </c>
      <c r="E402" t="s">
        <v>581</v>
      </c>
      <c r="F402" t="s">
        <v>166</v>
      </c>
    </row>
    <row r="403" spans="1:6">
      <c r="A403">
        <f>HYPERLINK("https://learning.oreilly.com/live-events/certified-kubernetes-application-developer-ckad-crash-course-in-3-days/0636920093949/0790145059907", "0790145059907")</f>
        <v>0</v>
      </c>
      <c r="B403" t="s">
        <v>290</v>
      </c>
      <c r="C403" t="s">
        <v>291</v>
      </c>
      <c r="D403" t="s">
        <v>292</v>
      </c>
      <c r="E403" t="s">
        <v>618</v>
      </c>
      <c r="F403" t="s">
        <v>137</v>
      </c>
    </row>
    <row r="404" spans="1:6">
      <c r="A404">
        <f>HYPERLINK("https://learning.oreilly.com/live-events/mastering-microsoft-excel-charts/0636920059854/0790145075023", "0790145075023")</f>
        <v>0</v>
      </c>
      <c r="B404" t="s">
        <v>245</v>
      </c>
      <c r="C404" t="s">
        <v>1299</v>
      </c>
      <c r="D404" t="s">
        <v>1300</v>
      </c>
      <c r="E404" t="s">
        <v>465</v>
      </c>
      <c r="F404" t="s">
        <v>248</v>
      </c>
    </row>
    <row r="405" spans="1:6">
      <c r="A405">
        <f>HYPERLINK("https://learning.oreilly.com/live-events/python-full-throttle-with-paul-deitel-a-one-day-fast-paced-code-intensive-python-presentation/0636920274667/0790145076925", "0790145076925")</f>
        <v>0</v>
      </c>
      <c r="B405" t="s">
        <v>21</v>
      </c>
      <c r="C405" t="s">
        <v>1301</v>
      </c>
      <c r="E405" t="s">
        <v>1302</v>
      </c>
      <c r="F405" t="s">
        <v>183</v>
      </c>
    </row>
    <row r="406" spans="1:6">
      <c r="A406">
        <f>HYPERLINK("https://learning.oreilly.com/live-events/securing-ai-implementations/0790145078634/0790145078626", "0790145078626")</f>
        <v>0</v>
      </c>
      <c r="B406" t="s">
        <v>1303</v>
      </c>
      <c r="C406" t="s">
        <v>1304</v>
      </c>
      <c r="D406" t="s">
        <v>1305</v>
      </c>
      <c r="E406" t="s">
        <v>1302</v>
      </c>
      <c r="F406" t="s">
        <v>786</v>
      </c>
    </row>
    <row r="407" spans="1:6">
      <c r="A407">
        <f>HYPERLINK("https://learning.oreilly.com/live-events/data-lakehouse-fundamentals/0636920075711/0790145080515", "0790145080515")</f>
        <v>0</v>
      </c>
      <c r="B407" t="s">
        <v>1306</v>
      </c>
      <c r="C407" t="s">
        <v>1307</v>
      </c>
      <c r="D407" t="s">
        <v>1308</v>
      </c>
      <c r="E407" t="s">
        <v>1302</v>
      </c>
      <c r="F407" t="s">
        <v>607</v>
      </c>
    </row>
    <row r="408" spans="1:6">
      <c r="A408">
        <f>HYPERLINK("https://learning.oreilly.com/live-events/analyzing-data-with-microsoft-power-bi/0636920054911/0790145078715", "0790145078715")</f>
        <v>0</v>
      </c>
      <c r="B408" t="s">
        <v>226</v>
      </c>
      <c r="C408" t="s">
        <v>1309</v>
      </c>
      <c r="D408" t="s">
        <v>1310</v>
      </c>
      <c r="E408" t="s">
        <v>1302</v>
      </c>
      <c r="F408" t="s">
        <v>479</v>
      </c>
    </row>
    <row r="409" spans="1:6">
      <c r="A409">
        <f>HYPERLINK("https://learning.oreilly.com/live-events/postgresql-fundamentals/0636920060241/0790145084987", "0790145084987")</f>
        <v>0</v>
      </c>
      <c r="B409" t="s">
        <v>386</v>
      </c>
      <c r="C409" t="s">
        <v>1311</v>
      </c>
      <c r="D409" t="s">
        <v>1312</v>
      </c>
      <c r="E409" t="s">
        <v>1302</v>
      </c>
      <c r="F409" t="s">
        <v>390</v>
      </c>
    </row>
    <row r="410" spans="1:6">
      <c r="A410">
        <f>HYPERLINK("https://learning.oreilly.com/live-events/coding-interview-bootcamp/0636920089572/0790145085436", "0790145085436")</f>
        <v>0</v>
      </c>
      <c r="B410" t="s">
        <v>371</v>
      </c>
      <c r="C410" t="s">
        <v>1313</v>
      </c>
      <c r="D410" t="s">
        <v>1314</v>
      </c>
      <c r="E410" t="s">
        <v>618</v>
      </c>
      <c r="F410" t="s">
        <v>297</v>
      </c>
    </row>
    <row r="411" spans="1:6">
      <c r="A411">
        <f>HYPERLINK("https://learning.oreilly.com/live-events/hands-on-web-performance/0790145081210/0790145081201", "0790145081201")</f>
        <v>0</v>
      </c>
      <c r="B411" t="s">
        <v>1315</v>
      </c>
      <c r="C411" t="s">
        <v>1316</v>
      </c>
      <c r="D411" t="s">
        <v>1317</v>
      </c>
      <c r="E411" t="s">
        <v>618</v>
      </c>
      <c r="F411" t="s">
        <v>488</v>
      </c>
    </row>
    <row r="412" spans="1:6">
      <c r="A412">
        <f>HYPERLINK("https://learning.oreilly.com/live-events/zero-trust-security-fundamentals/0636920066250/0790145077131", "0790145077131")</f>
        <v>0</v>
      </c>
      <c r="B412" t="s">
        <v>1318</v>
      </c>
      <c r="C412" t="s">
        <v>1319</v>
      </c>
      <c r="D412" t="s">
        <v>1320</v>
      </c>
      <c r="E412" t="s">
        <v>1321</v>
      </c>
      <c r="F412" t="s">
        <v>1322</v>
      </c>
    </row>
    <row r="413" spans="1:6">
      <c r="A413">
        <f>HYPERLINK("https://learning.oreilly.com/live-events/design-patterns-in-java-deep-dive/0636920391081/0790145083360", "0790145083360")</f>
        <v>0</v>
      </c>
      <c r="B413" t="s">
        <v>252</v>
      </c>
      <c r="C413" t="s">
        <v>1323</v>
      </c>
      <c r="D413" t="s">
        <v>1324</v>
      </c>
      <c r="E413" t="s">
        <v>1325</v>
      </c>
      <c r="F413" t="s">
        <v>589</v>
      </c>
    </row>
    <row r="414" spans="1:6">
      <c r="A414">
        <f>HYPERLINK("https://learning.oreilly.com/live-events/terraform-getting-started/0636920060088/0790145081660", "0790145081660")</f>
        <v>0</v>
      </c>
      <c r="B414" t="s">
        <v>138</v>
      </c>
      <c r="C414" t="s">
        <v>1326</v>
      </c>
      <c r="D414" t="s">
        <v>1327</v>
      </c>
      <c r="E414" t="s">
        <v>1321</v>
      </c>
      <c r="F414" t="s">
        <v>141</v>
      </c>
    </row>
    <row r="415" spans="1:6">
      <c r="A415">
        <f>HYPERLINK("https://learning.oreilly.com/live-events/chatgpt-kitchen-generative-ai-recipes-for-software-developers/0790145077000/0790145076992", "0790145076992")</f>
        <v>0</v>
      </c>
      <c r="B415" t="s">
        <v>6</v>
      </c>
      <c r="C415" t="s">
        <v>1328</v>
      </c>
      <c r="D415" t="s">
        <v>1329</v>
      </c>
      <c r="E415" t="s">
        <v>1325</v>
      </c>
      <c r="F415" t="s">
        <v>15</v>
      </c>
    </row>
    <row r="416" spans="1:6">
      <c r="A416">
        <f>HYPERLINK("https://learning.oreilly.com/live-events/fundamentals-of-machine-learning-for-software-engineers/0790145079967/0790145079959", "0790145079959")</f>
        <v>0</v>
      </c>
      <c r="B416" t="s">
        <v>315</v>
      </c>
      <c r="C416" t="s">
        <v>1330</v>
      </c>
      <c r="D416" t="s">
        <v>1331</v>
      </c>
      <c r="E416" t="s">
        <v>1332</v>
      </c>
      <c r="F416" t="s">
        <v>1333</v>
      </c>
    </row>
    <row r="417" spans="1:6">
      <c r="A417">
        <f>HYPERLINK("https://learning.oreilly.com/live-events/git-clinic/0790145080000/0790145079991", "0790145079991")</f>
        <v>0</v>
      </c>
      <c r="B417" t="s">
        <v>620</v>
      </c>
      <c r="C417" t="s">
        <v>1334</v>
      </c>
      <c r="D417" t="s">
        <v>1335</v>
      </c>
      <c r="E417" t="s">
        <v>1325</v>
      </c>
      <c r="F417" t="s">
        <v>270</v>
      </c>
    </row>
    <row r="418" spans="1:6">
      <c r="A418">
        <f>HYPERLINK("https://learning.oreilly.com/live-events/ansible-in-4-hours/0636920123842/0790145076780", "0790145076780")</f>
        <v>0</v>
      </c>
      <c r="B418" t="s">
        <v>124</v>
      </c>
      <c r="C418" t="s">
        <v>1336</v>
      </c>
      <c r="D418" t="s">
        <v>1337</v>
      </c>
      <c r="E418" t="s">
        <v>1325</v>
      </c>
      <c r="F418" t="s">
        <v>66</v>
      </c>
    </row>
    <row r="419" spans="1:6">
      <c r="A419">
        <f>HYPERLINK("https://learning.oreilly.com/live-events/linear-algebra-for-machine-learning-intro-ml-foundations-series/0636920057978/0790145072989", "0790145072989")</f>
        <v>0</v>
      </c>
      <c r="B419" t="s">
        <v>496</v>
      </c>
      <c r="C419" t="s">
        <v>1338</v>
      </c>
      <c r="D419" t="s">
        <v>1339</v>
      </c>
      <c r="E419" t="s">
        <v>1332</v>
      </c>
      <c r="F419" t="s">
        <v>80</v>
      </c>
    </row>
    <row r="420" spans="1:6">
      <c r="A420">
        <f>HYPERLINK("https://learning.oreilly.com/live-events/learn-nextjs/0636920081393/0790145084170", "0790145084170")</f>
        <v>0</v>
      </c>
      <c r="B420" t="s">
        <v>1340</v>
      </c>
      <c r="C420" t="s">
        <v>1341</v>
      </c>
      <c r="D420" t="s">
        <v>1342</v>
      </c>
      <c r="E420" t="s">
        <v>1332</v>
      </c>
      <c r="F420" t="s">
        <v>1343</v>
      </c>
    </row>
    <row r="421" spans="1:6">
      <c r="A421">
        <f>HYPERLINK("https://learning.oreilly.com/live-events/introduction-to-machine-learning-in-cybersecurity/0636920387480/0790145069716", "0790145069716")</f>
        <v>0</v>
      </c>
      <c r="B421" t="s">
        <v>315</v>
      </c>
      <c r="C421" t="s">
        <v>1344</v>
      </c>
      <c r="E421" t="s">
        <v>663</v>
      </c>
      <c r="F421" t="s">
        <v>42</v>
      </c>
    </row>
    <row r="422" spans="1:6">
      <c r="A422">
        <f>HYPERLINK("https://learning.oreilly.com/live-events/aws-solutions-architect-associate-exam-readiness-course/0790145077034/0790145077026", "0790145077026")</f>
        <v>0</v>
      </c>
      <c r="B422" t="s">
        <v>666</v>
      </c>
      <c r="C422" t="s">
        <v>1345</v>
      </c>
      <c r="D422" t="s">
        <v>1346</v>
      </c>
      <c r="E422" t="s">
        <v>671</v>
      </c>
      <c r="F422" t="s">
        <v>52</v>
      </c>
    </row>
    <row r="423" spans="1:6">
      <c r="A423">
        <f>HYPERLINK("https://learning.oreilly.com/live-events/react-the-right-way/0636920092150/0790145068582", "0790145068582")</f>
        <v>0</v>
      </c>
      <c r="B423" t="s">
        <v>173</v>
      </c>
      <c r="C423" t="s">
        <v>1347</v>
      </c>
      <c r="D423" t="s">
        <v>1348</v>
      </c>
      <c r="E423" t="s">
        <v>1349</v>
      </c>
      <c r="F423" t="s">
        <v>624</v>
      </c>
    </row>
    <row r="424" spans="1:6">
      <c r="A424">
        <f>HYPERLINK("https://learning.oreilly.com/live-events/rhcsa-and-lfcs-certification-labs-workshop/0636920096425/0790145059346", "0790145059346")</f>
        <v>0</v>
      </c>
      <c r="B424" t="s">
        <v>63</v>
      </c>
      <c r="C424" t="s">
        <v>1350</v>
      </c>
      <c r="D424" t="s">
        <v>178</v>
      </c>
      <c r="E424" t="s">
        <v>1351</v>
      </c>
      <c r="F424" t="s">
        <v>66</v>
      </c>
    </row>
    <row r="425" spans="1:6">
      <c r="A425">
        <f>HYPERLINK("https://learning.oreilly.com/live-events/network-devops-with-ansible-git-and-travis-ci/0636920081051/0790145069457", "0790145069457")</f>
        <v>0</v>
      </c>
      <c r="B425" t="s">
        <v>629</v>
      </c>
      <c r="C425" t="s">
        <v>1352</v>
      </c>
      <c r="D425" t="s">
        <v>1353</v>
      </c>
      <c r="E425" t="s">
        <v>1351</v>
      </c>
      <c r="F425" t="s">
        <v>279</v>
      </c>
    </row>
    <row r="426" spans="1:6">
      <c r="A426">
        <f>HYPERLINK("https://learning.oreilly.com/live-events/how-llms-work/0790145066962/0790145066954", "0790145066954")</f>
        <v>0</v>
      </c>
      <c r="B426" t="s">
        <v>194</v>
      </c>
      <c r="C426" t="s">
        <v>1354</v>
      </c>
      <c r="D426" t="s">
        <v>1355</v>
      </c>
      <c r="E426" t="s">
        <v>1351</v>
      </c>
      <c r="F426" t="s">
        <v>1356</v>
      </c>
    </row>
    <row r="427" spans="1:6">
      <c r="A427">
        <f>HYPERLINK("https://learning.oreilly.com/live-events/threading-in-python/0636920370437/0790145068051", "0790145068051")</f>
        <v>0</v>
      </c>
      <c r="B427" t="s">
        <v>21</v>
      </c>
      <c r="C427" t="s">
        <v>1357</v>
      </c>
      <c r="D427" t="s">
        <v>1358</v>
      </c>
      <c r="E427" t="s">
        <v>1351</v>
      </c>
      <c r="F427" t="s">
        <v>403</v>
      </c>
    </row>
    <row r="428" spans="1:6">
      <c r="A428">
        <f>HYPERLINK("https://learning.oreilly.com/live-events/adversarial-ai-mitigation/0790145066164/0790145066156", "0790145066156")</f>
        <v>0</v>
      </c>
      <c r="B428" t="s">
        <v>1359</v>
      </c>
      <c r="C428" t="s">
        <v>1360</v>
      </c>
      <c r="D428" t="s">
        <v>1361</v>
      </c>
      <c r="E428" t="s">
        <v>1351</v>
      </c>
      <c r="F428" t="s">
        <v>1362</v>
      </c>
    </row>
    <row r="429" spans="1:6">
      <c r="A429">
        <f>HYPERLINK("https://learning.oreilly.com/live-events/hands-on-aws-in-3-weeks/0636920057763/0790145065141", "0790145065141")</f>
        <v>0</v>
      </c>
      <c r="B429" t="s">
        <v>1363</v>
      </c>
      <c r="C429" t="s">
        <v>1364</v>
      </c>
      <c r="D429" t="s">
        <v>1365</v>
      </c>
      <c r="E429" t="s">
        <v>1366</v>
      </c>
      <c r="F429" t="s">
        <v>52</v>
      </c>
    </row>
    <row r="430" spans="1:6">
      <c r="A430">
        <f>HYPERLINK("https://learning.oreilly.com/live-events/patterns-of-distributed-systems/0636920079744/0790145067411", "0790145067411")</f>
        <v>0</v>
      </c>
      <c r="B430" t="s">
        <v>808</v>
      </c>
      <c r="C430" t="s">
        <v>1066</v>
      </c>
      <c r="D430" t="s">
        <v>1067</v>
      </c>
      <c r="E430" t="s">
        <v>1367</v>
      </c>
      <c r="F430" t="s">
        <v>1068</v>
      </c>
    </row>
    <row r="431" spans="1:6">
      <c r="A431">
        <f>HYPERLINK("https://learning.oreilly.com/live-events/bash-shell-scripting-in-4-hours/0636920245810/0790145059303", "0790145059303")</f>
        <v>0</v>
      </c>
      <c r="B431" t="s">
        <v>1368</v>
      </c>
      <c r="C431" t="s">
        <v>1369</v>
      </c>
      <c r="D431" t="s">
        <v>1370</v>
      </c>
      <c r="E431" t="s">
        <v>1371</v>
      </c>
      <c r="F431" t="s">
        <v>66</v>
      </c>
    </row>
    <row r="432" spans="1:6">
      <c r="A432">
        <f>HYPERLINK("https://learning.oreilly.com/live-events/hands-on-serverless-webassembly/0790145067020/0790145067012", "0790145067012")</f>
        <v>0</v>
      </c>
      <c r="B432" t="s">
        <v>1372</v>
      </c>
      <c r="C432" t="s">
        <v>1373</v>
      </c>
      <c r="D432" t="s">
        <v>1374</v>
      </c>
      <c r="E432" t="s">
        <v>1367</v>
      </c>
      <c r="F432" t="s">
        <v>1375</v>
      </c>
    </row>
    <row r="433" spans="1:6">
      <c r="A433">
        <f>HYPERLINK("https://learning.oreilly.com/live-events/communication-styles-for-distributed-architectures-and-microservices/0636920408406/0790145067756", "0790145067756")</f>
        <v>0</v>
      </c>
      <c r="B433" t="s">
        <v>429</v>
      </c>
      <c r="C433" t="s">
        <v>1376</v>
      </c>
      <c r="D433" t="s">
        <v>1377</v>
      </c>
      <c r="E433" t="s">
        <v>1378</v>
      </c>
      <c r="F433" t="s">
        <v>100</v>
      </c>
    </row>
    <row r="434" spans="1:6">
      <c r="A434">
        <f>HYPERLINK("https://learning.oreilly.com/live-events/building-enterprise-apps-with-react/0636920064014/0790145068620", "0790145068620")</f>
        <v>0</v>
      </c>
      <c r="B434" t="s">
        <v>173</v>
      </c>
      <c r="C434" t="s">
        <v>1108</v>
      </c>
      <c r="D434" t="s">
        <v>1109</v>
      </c>
      <c r="E434" t="s">
        <v>1378</v>
      </c>
      <c r="F434" t="s">
        <v>582</v>
      </c>
    </row>
    <row r="435" spans="1:6">
      <c r="A435">
        <f>HYPERLINK("https://learning.oreilly.com/live-events/react-in-4-hours/0636920436553/0790145066695", "0790145066695")</f>
        <v>0</v>
      </c>
      <c r="B435" t="s">
        <v>173</v>
      </c>
      <c r="C435" t="s">
        <v>1379</v>
      </c>
      <c r="D435" t="s">
        <v>1380</v>
      </c>
      <c r="E435" t="s">
        <v>1381</v>
      </c>
      <c r="F435" t="s">
        <v>582</v>
      </c>
    </row>
    <row r="436" spans="1:6">
      <c r="A436">
        <f>HYPERLINK("https://learning.oreilly.com/live-events/spring-ai/0790145045396/0790145067071", "0790145067071")</f>
        <v>0</v>
      </c>
      <c r="B436" t="s">
        <v>1265</v>
      </c>
      <c r="C436" t="s">
        <v>1382</v>
      </c>
      <c r="D436" t="s">
        <v>1383</v>
      </c>
      <c r="E436" t="s">
        <v>1381</v>
      </c>
      <c r="F436" t="s">
        <v>569</v>
      </c>
    </row>
    <row r="437" spans="1:6">
      <c r="A437">
        <f>HYPERLINK("https://learning.oreilly.com/live-events/learn-infrastructure-as-code-with-terraform/0636920077731/0790145068663", "0790145068663")</f>
        <v>0</v>
      </c>
      <c r="B437" t="s">
        <v>138</v>
      </c>
      <c r="C437" t="s">
        <v>1384</v>
      </c>
      <c r="D437" t="s">
        <v>1385</v>
      </c>
      <c r="E437" t="s">
        <v>1386</v>
      </c>
      <c r="F437" t="s">
        <v>1387</v>
      </c>
    </row>
    <row r="438" spans="1:6">
      <c r="A438">
        <f>HYPERLINK("https://learning.oreilly.com/live-events/software-architecture-by-example/0636920261797/0790145064862", "0790145064862")</f>
        <v>0</v>
      </c>
      <c r="B438" t="s">
        <v>96</v>
      </c>
      <c r="C438" t="s">
        <v>1388</v>
      </c>
      <c r="D438" t="s">
        <v>1389</v>
      </c>
      <c r="E438" t="s">
        <v>1386</v>
      </c>
      <c r="F438" t="s">
        <v>1169</v>
      </c>
    </row>
    <row r="439" spans="1:6">
      <c r="A439">
        <f>HYPERLINK("https://learning.oreilly.com/live-events/how-to-give-great-presentations/0636920054691/0790145065389", "0790145065389")</f>
        <v>0</v>
      </c>
      <c r="B439" t="s">
        <v>697</v>
      </c>
      <c r="C439" t="s">
        <v>1390</v>
      </c>
      <c r="D439" t="s">
        <v>1391</v>
      </c>
      <c r="E439" t="s">
        <v>1386</v>
      </c>
      <c r="F439" t="s">
        <v>155</v>
      </c>
    </row>
    <row r="440" spans="1:6">
      <c r="A440">
        <f>HYPERLINK("https://learning.oreilly.com/live-events/databricks-data-engineer-associate-certification-prep-in-2-weeks/0636920093415/0790145063084", "0790145063084")</f>
        <v>0</v>
      </c>
      <c r="B440" t="s">
        <v>235</v>
      </c>
      <c r="C440" t="s">
        <v>236</v>
      </c>
      <c r="E440" t="s">
        <v>1392</v>
      </c>
      <c r="F440" t="s">
        <v>238</v>
      </c>
    </row>
    <row r="441" spans="1:6">
      <c r="A441">
        <f>HYPERLINK("https://learning.oreilly.com/live-events/getting-started-with-kafka/0636920070697/0790145070803", "0790145070803")</f>
        <v>0</v>
      </c>
      <c r="B441" t="s">
        <v>1393</v>
      </c>
      <c r="C441" t="s">
        <v>1394</v>
      </c>
      <c r="D441" t="s">
        <v>1395</v>
      </c>
      <c r="E441" t="s">
        <v>1396</v>
      </c>
      <c r="F441" t="s">
        <v>1036</v>
      </c>
    </row>
    <row r="442" spans="1:6">
      <c r="A442">
        <f>HYPERLINK("https://learning.oreilly.com/live-events/graph-data-structures-and-algorithms-from-scratch/0636920071713/0790145067810", "0790145067810")</f>
        <v>0</v>
      </c>
      <c r="B442" t="s">
        <v>371</v>
      </c>
      <c r="C442" t="s">
        <v>1397</v>
      </c>
      <c r="D442" t="s">
        <v>1398</v>
      </c>
      <c r="E442" t="s">
        <v>1396</v>
      </c>
      <c r="F442" t="s">
        <v>1399</v>
      </c>
    </row>
    <row r="443" spans="1:6">
      <c r="A443">
        <f>HYPERLINK("https://learning.oreilly.com/live-events/spring-recipes/0636920095810/0790145052570", "0790145052570")</f>
        <v>0</v>
      </c>
      <c r="B443" t="s">
        <v>1265</v>
      </c>
      <c r="C443" t="s">
        <v>1400</v>
      </c>
      <c r="D443" t="s">
        <v>1401</v>
      </c>
      <c r="E443" t="s">
        <v>1396</v>
      </c>
      <c r="F443" t="s">
        <v>1402</v>
      </c>
    </row>
    <row r="444" spans="1:6">
      <c r="A444">
        <f>HYPERLINK("https://learning.oreilly.com/live-events/using-dax-in-microsoft-power-bi/0636920095718/0790145069384", "0790145069384")</f>
        <v>0</v>
      </c>
      <c r="B444" t="s">
        <v>226</v>
      </c>
      <c r="C444" t="s">
        <v>700</v>
      </c>
      <c r="D444" t="s">
        <v>701</v>
      </c>
      <c r="E444" t="s">
        <v>1396</v>
      </c>
      <c r="F444" t="s">
        <v>479</v>
      </c>
    </row>
    <row r="445" spans="1:6">
      <c r="A445">
        <f>HYPERLINK("https://learning.oreilly.com/live-events/aws-core-architecture-concepts/0636920096276/0790145067500", "0790145067500")</f>
        <v>0</v>
      </c>
      <c r="B445" t="s">
        <v>359</v>
      </c>
      <c r="C445" t="s">
        <v>1050</v>
      </c>
      <c r="D445" t="s">
        <v>1051</v>
      </c>
      <c r="E445" t="s">
        <v>1403</v>
      </c>
      <c r="F445" t="s">
        <v>352</v>
      </c>
    </row>
    <row r="446" spans="1:6">
      <c r="A446">
        <f>HYPERLINK("https://learning.oreilly.com/live-events/certified-aws-developer-associate-dva-c02-crash-course/0636920089875/0790145069490", "0790145069490")</f>
        <v>0</v>
      </c>
      <c r="B446" t="s">
        <v>1073</v>
      </c>
      <c r="C446" t="s">
        <v>1074</v>
      </c>
      <c r="D446" t="s">
        <v>1075</v>
      </c>
      <c r="E446" t="s">
        <v>1404</v>
      </c>
      <c r="F446" t="s">
        <v>1077</v>
      </c>
    </row>
    <row r="447" spans="1:6">
      <c r="A447">
        <f>HYPERLINK("https://learning.oreilly.com/live-events/exam-dp-203-data-engineering-on-microsoft-azure-crash-course/0636920093050/0790145065079", "0790145065079")</f>
        <v>0</v>
      </c>
      <c r="B447" t="s">
        <v>391</v>
      </c>
      <c r="C447" t="s">
        <v>392</v>
      </c>
      <c r="D447" t="s">
        <v>393</v>
      </c>
      <c r="E447" t="s">
        <v>1403</v>
      </c>
      <c r="F447" t="s">
        <v>201</v>
      </c>
    </row>
    <row r="448" spans="1:6">
      <c r="A448">
        <f>HYPERLINK("https://learning.oreilly.com/live-events/mastering-patterns-in-event-driven-architecture/0636920064167/0790145066490", "0790145066490")</f>
        <v>0</v>
      </c>
      <c r="B448" t="s">
        <v>1405</v>
      </c>
      <c r="C448" t="s">
        <v>1406</v>
      </c>
      <c r="D448" t="s">
        <v>1407</v>
      </c>
      <c r="E448" t="s">
        <v>1403</v>
      </c>
      <c r="F448" t="s">
        <v>341</v>
      </c>
    </row>
    <row r="449" spans="1:6">
      <c r="A449">
        <f>HYPERLINK("https://learning.oreilly.com/live-events/deep-learning-for-beginners-in-3-weeks/0636920079316/0790145063610", "0790145063610")</f>
        <v>0</v>
      </c>
      <c r="B449" t="s">
        <v>539</v>
      </c>
      <c r="C449" t="s">
        <v>1408</v>
      </c>
      <c r="D449" t="s">
        <v>1409</v>
      </c>
      <c r="E449" t="s">
        <v>1410</v>
      </c>
      <c r="F449" t="s">
        <v>29</v>
      </c>
    </row>
    <row r="450" spans="1:6">
      <c r="A450">
        <f>HYPERLINK("https://learning.oreilly.com/live-events/knowledge-graphs-large-language-models-bootcamp/0636920091408/0790145061979", "0790145061979")</f>
        <v>0</v>
      </c>
      <c r="B450" t="s">
        <v>194</v>
      </c>
      <c r="C450" t="s">
        <v>1411</v>
      </c>
      <c r="D450" t="s">
        <v>1098</v>
      </c>
      <c r="E450" t="s">
        <v>1412</v>
      </c>
      <c r="F450" t="s">
        <v>1100</v>
      </c>
    </row>
    <row r="451" spans="1:6">
      <c r="A451">
        <f>HYPERLINK("https://learning.oreilly.com/live-events/google-gemini-for-software-engineers/0790145068817/0790145068809", "0790145068809")</f>
        <v>0</v>
      </c>
      <c r="B451" t="s">
        <v>1413</v>
      </c>
      <c r="C451" t="s">
        <v>1414</v>
      </c>
      <c r="D451" t="s">
        <v>1415</v>
      </c>
      <c r="E451" t="s">
        <v>1404</v>
      </c>
      <c r="F451" t="s">
        <v>1333</v>
      </c>
    </row>
    <row r="452" spans="1:6">
      <c r="A452">
        <f>HYPERLINK("https://learning.oreilly.com/live-events/getting-started-with-llm-agents-using-langchain/0790145047100/0790145066288", "0790145066288")</f>
        <v>0</v>
      </c>
      <c r="B452" t="s">
        <v>547</v>
      </c>
      <c r="C452" t="s">
        <v>548</v>
      </c>
      <c r="D452" t="s">
        <v>549</v>
      </c>
      <c r="E452" t="s">
        <v>1416</v>
      </c>
      <c r="F452" t="s">
        <v>398</v>
      </c>
    </row>
    <row r="453" spans="1:6">
      <c r="A453">
        <f>HYPERLINK("https://learning.oreilly.com/live-events/efficient-software-development/0636920462842/0790145066539", "0790145066539")</f>
        <v>0</v>
      </c>
      <c r="B453" t="s">
        <v>283</v>
      </c>
      <c r="C453" t="s">
        <v>1417</v>
      </c>
      <c r="D453" t="s">
        <v>1418</v>
      </c>
      <c r="E453" t="s">
        <v>1366</v>
      </c>
      <c r="F453" t="s">
        <v>1419</v>
      </c>
    </row>
    <row r="454" spans="1:6">
      <c r="A454">
        <f>HYPERLINK("https://learning.oreilly.com/live-events/threat-hunting-with-wireshark-for-secops/0636920087438/0790145070960", "0790145070960")</f>
        <v>0</v>
      </c>
      <c r="B454" t="s">
        <v>1420</v>
      </c>
      <c r="C454" t="s">
        <v>1421</v>
      </c>
      <c r="D454" t="s">
        <v>1422</v>
      </c>
      <c r="E454" t="s">
        <v>1412</v>
      </c>
      <c r="F454" t="s">
        <v>1288</v>
      </c>
    </row>
    <row r="455" spans="1:6">
      <c r="A455">
        <f>HYPERLINK("https://learning.oreilly.com/live-events/unit-testing-with-dependencies/0636920092313/0790145045922", "0790145045922")</f>
        <v>0</v>
      </c>
      <c r="B455" t="s">
        <v>1423</v>
      </c>
      <c r="C455" t="s">
        <v>1424</v>
      </c>
      <c r="D455" t="s">
        <v>1425</v>
      </c>
      <c r="E455" t="s">
        <v>1412</v>
      </c>
      <c r="F455" t="s">
        <v>935</v>
      </c>
    </row>
    <row r="456" spans="1:6">
      <c r="A456">
        <f>HYPERLINK("https://learning.oreilly.com/live-events/hands-on-with-aws-rds-and-aurora-databases/0790145066784/0790145066776", "0790145066776")</f>
        <v>0</v>
      </c>
      <c r="B456" t="s">
        <v>359</v>
      </c>
      <c r="C456" t="s">
        <v>1426</v>
      </c>
      <c r="D456" t="s">
        <v>1427</v>
      </c>
      <c r="E456" t="s">
        <v>1412</v>
      </c>
      <c r="F456" t="s">
        <v>218</v>
      </c>
    </row>
    <row r="457" spans="1:6">
      <c r="A457">
        <f>HYPERLINK("https://learning.oreilly.com/live-events/smarter-statistics-for-data-science/0636920081037/0790145069104", "0790145069104")</f>
        <v>0</v>
      </c>
      <c r="B457" t="s">
        <v>25</v>
      </c>
      <c r="C457" t="s">
        <v>1428</v>
      </c>
      <c r="D457" t="s">
        <v>1207</v>
      </c>
      <c r="E457" t="s">
        <v>1429</v>
      </c>
      <c r="F457" t="s">
        <v>24</v>
      </c>
    </row>
    <row r="458" spans="1:6">
      <c r="A458">
        <f>HYPERLINK("https://learning.oreilly.com/live-events/cloud-security-essentials/0790145066849/0790145066830", "0790145066830")</f>
        <v>0</v>
      </c>
      <c r="B458" t="s">
        <v>231</v>
      </c>
      <c r="C458" t="s">
        <v>1430</v>
      </c>
      <c r="D458" t="s">
        <v>1431</v>
      </c>
      <c r="E458" t="s">
        <v>1432</v>
      </c>
      <c r="F458" t="s">
        <v>34</v>
      </c>
    </row>
    <row r="459" spans="1:6">
      <c r="A459">
        <f>HYPERLINK("https://learning.oreilly.com/live-events/build-a-continuous-deployment-pipeline/0790145066997/0790145066989", "0790145066989")</f>
        <v>0</v>
      </c>
      <c r="B459" t="s">
        <v>1433</v>
      </c>
      <c r="C459" t="s">
        <v>1434</v>
      </c>
      <c r="D459" t="s">
        <v>1435</v>
      </c>
      <c r="E459" t="s">
        <v>1432</v>
      </c>
      <c r="F459" t="s">
        <v>633</v>
      </c>
    </row>
    <row r="460" spans="1:6">
      <c r="A460">
        <f>HYPERLINK("https://learning.oreilly.com/live-events/python-in-5-weeks-python-programming-for-beginnerswith-interactivity/0636920054111/0790145046490", "0790145046490")</f>
        <v>0</v>
      </c>
      <c r="B460" t="s">
        <v>21</v>
      </c>
      <c r="C460" t="s">
        <v>1436</v>
      </c>
      <c r="D460" t="s">
        <v>1437</v>
      </c>
      <c r="E460" t="s">
        <v>1438</v>
      </c>
      <c r="F460" t="s">
        <v>916</v>
      </c>
    </row>
    <row r="461" spans="1:6">
      <c r="A461">
        <f>HYPERLINK("https://learning.oreilly.com/live-events/kubernetes-ai-and-machine-learning-in-production/0636920098315/0790145066873", "0790145066873")</f>
        <v>0</v>
      </c>
      <c r="B461" t="s">
        <v>315</v>
      </c>
      <c r="C461" t="s">
        <v>763</v>
      </c>
      <c r="D461" t="s">
        <v>764</v>
      </c>
      <c r="E461" t="s">
        <v>1432</v>
      </c>
      <c r="F461" t="s">
        <v>205</v>
      </c>
    </row>
    <row r="462" spans="1:6">
      <c r="A462">
        <f>HYPERLINK("https://learning.oreilly.com/live-events/kafka-fundamentals/0636920077756/0790145061197", "0790145061197")</f>
        <v>0</v>
      </c>
      <c r="B462" t="s">
        <v>1393</v>
      </c>
      <c r="C462" t="s">
        <v>1439</v>
      </c>
      <c r="D462" t="s">
        <v>1440</v>
      </c>
      <c r="E462" t="s">
        <v>1410</v>
      </c>
      <c r="F462" t="s">
        <v>1441</v>
      </c>
    </row>
    <row r="463" spans="1:6">
      <c r="A463">
        <f>HYPERLINK("https://learning.oreilly.com/live-events/software-development-superstream-becoming-a-senior-software-engineer/0790145048891/0790145048883", "0790145048883")</f>
        <v>0</v>
      </c>
      <c r="B463" t="s">
        <v>800</v>
      </c>
      <c r="C463" t="s">
        <v>1442</v>
      </c>
      <c r="D463" t="s">
        <v>1443</v>
      </c>
      <c r="E463" t="s">
        <v>1444</v>
      </c>
      <c r="F463" t="s">
        <v>70</v>
      </c>
    </row>
    <row r="464" spans="1:6">
      <c r="A464">
        <f>HYPERLINK("https://learning.oreilly.com/live-events/machine-learning-from-scratch/0636920054754/0790145063696", "0790145063696")</f>
        <v>0</v>
      </c>
      <c r="B464" t="s">
        <v>315</v>
      </c>
      <c r="C464" t="s">
        <v>974</v>
      </c>
      <c r="D464" t="s">
        <v>975</v>
      </c>
      <c r="E464" t="s">
        <v>1444</v>
      </c>
      <c r="F464" t="s">
        <v>29</v>
      </c>
    </row>
    <row r="465" spans="1:6">
      <c r="A465">
        <f>HYPERLINK("https://learning.oreilly.com/live-events/introduction-to-ui-ux-design/0636920248682/0790145064196", "0790145064196")</f>
        <v>0</v>
      </c>
      <c r="B465" t="s">
        <v>1131</v>
      </c>
      <c r="C465" t="s">
        <v>1445</v>
      </c>
      <c r="D465" t="s">
        <v>1446</v>
      </c>
      <c r="E465" t="s">
        <v>1410</v>
      </c>
      <c r="F465" t="s">
        <v>1447</v>
      </c>
    </row>
    <row r="466" spans="1:6">
      <c r="A466">
        <f>HYPERLINK("https://learning.oreilly.com/live-events/cto-hour-with-peter-bell-engineering-metrics-that-matter/0790145080060/0790145080051", "0790145080051")</f>
        <v>0</v>
      </c>
      <c r="B466" t="s">
        <v>1413</v>
      </c>
      <c r="C466" t="s">
        <v>1448</v>
      </c>
      <c r="D466" t="s">
        <v>1449</v>
      </c>
      <c r="E466" t="s">
        <v>1410</v>
      </c>
      <c r="F466" t="s">
        <v>1450</v>
      </c>
    </row>
    <row r="467" spans="1:6">
      <c r="A467">
        <f>HYPERLINK("https://learning.oreilly.com/live-events/ai-tools-for-data-analytics/0790145065125/0790145065117", "0790145065117")</f>
        <v>0</v>
      </c>
      <c r="B467" t="s">
        <v>25</v>
      </c>
      <c r="C467" t="s">
        <v>1451</v>
      </c>
      <c r="D467" t="s">
        <v>1452</v>
      </c>
      <c r="E467" t="s">
        <v>1453</v>
      </c>
      <c r="F467" t="s">
        <v>1454</v>
      </c>
    </row>
    <row r="468" spans="1:6">
      <c r="A468">
        <f>HYPERLINK("https://learning.oreilly.com/live-events/using-generative-ai-to-land-your-next-job/0790145067802/0790145067799", "0790145067799")</f>
        <v>0</v>
      </c>
      <c r="B468" t="s">
        <v>16</v>
      </c>
      <c r="C468" t="s">
        <v>1455</v>
      </c>
      <c r="D468" t="s">
        <v>1456</v>
      </c>
      <c r="E468" t="s">
        <v>1453</v>
      </c>
      <c r="F468" t="s">
        <v>1457</v>
      </c>
    </row>
    <row r="469" spans="1:6">
      <c r="A469">
        <f>HYPERLINK("https://learning.oreilly.com/live-events/genai-superstream-possibilities-and-pitfalls/0790145052422/0790145052414", "0790145052414")</f>
        <v>0</v>
      </c>
      <c r="B469" t="s">
        <v>16</v>
      </c>
      <c r="C469" t="s">
        <v>1458</v>
      </c>
      <c r="D469" t="s">
        <v>1459</v>
      </c>
      <c r="E469" t="s">
        <v>1460</v>
      </c>
      <c r="F469" t="s">
        <v>29</v>
      </c>
    </row>
    <row r="470" spans="1:6">
      <c r="A470">
        <f>HYPERLINK("https://learning.oreilly.com/live-events/software-design-with-unit-tests/0636920092311/0790145045825", "0790145045825")</f>
        <v>0</v>
      </c>
      <c r="B470" t="s">
        <v>1461</v>
      </c>
      <c r="C470" t="s">
        <v>1462</v>
      </c>
      <c r="D470" t="s">
        <v>1463</v>
      </c>
      <c r="E470" t="s">
        <v>1464</v>
      </c>
      <c r="F470" t="s">
        <v>935</v>
      </c>
    </row>
    <row r="471" spans="1:6">
      <c r="A471">
        <f>HYPERLINK("https://learning.oreilly.com/live-events/building-microservices-with-containers-kubernetes-and-istio-updated/0636920408468/0790145047810", "0790145047810")</f>
        <v>0</v>
      </c>
      <c r="B471" t="s">
        <v>429</v>
      </c>
      <c r="C471" t="s">
        <v>1465</v>
      </c>
      <c r="D471" t="s">
        <v>1466</v>
      </c>
      <c r="E471" t="s">
        <v>1467</v>
      </c>
      <c r="F471" t="s">
        <v>66</v>
      </c>
    </row>
    <row r="472" spans="1:6">
      <c r="A472">
        <f>HYPERLINK("https://learning.oreilly.com/live-events/excel-skills-for-finance/0790145043946/0790145043938", "0790145043938")</f>
        <v>0</v>
      </c>
      <c r="B472" t="s">
        <v>1468</v>
      </c>
      <c r="C472" t="s">
        <v>1469</v>
      </c>
      <c r="D472" t="s">
        <v>1470</v>
      </c>
      <c r="E472" t="s">
        <v>1471</v>
      </c>
      <c r="F472" t="s">
        <v>248</v>
      </c>
    </row>
    <row r="473" spans="1:6">
      <c r="A473">
        <f>HYPERLINK("https://learning.oreilly.com/live-events/aws-resource-governance-at-scale/0790145049286/0790145049278", "0790145049278")</f>
        <v>0</v>
      </c>
      <c r="B473" t="s">
        <v>1472</v>
      </c>
      <c r="C473" t="s">
        <v>1473</v>
      </c>
      <c r="D473" t="s">
        <v>1474</v>
      </c>
      <c r="E473" t="s">
        <v>1475</v>
      </c>
      <c r="F473" t="s">
        <v>52</v>
      </c>
    </row>
    <row r="474" spans="1:6">
      <c r="A474">
        <f>HYPERLINK("https://learning.oreilly.com/live-events/learn-mlops-in-4-hours/0636920069758/0790145055103", "0790145055103")</f>
        <v>0</v>
      </c>
      <c r="B474" t="s">
        <v>787</v>
      </c>
      <c r="C474" t="s">
        <v>1476</v>
      </c>
      <c r="D474" t="s">
        <v>1477</v>
      </c>
      <c r="E474" t="s">
        <v>1478</v>
      </c>
      <c r="F474" t="s">
        <v>1479</v>
      </c>
    </row>
    <row r="475" spans="1:6">
      <c r="A475">
        <f>HYPERLINK("https://learning.oreilly.com/live-events/hands-on-algorithmic-trading-with-python/0636920267645/0790145055596", "0790145055596")</f>
        <v>0</v>
      </c>
      <c r="B475" t="s">
        <v>1480</v>
      </c>
      <c r="C475" t="s">
        <v>1481</v>
      </c>
      <c r="D475" t="s">
        <v>1482</v>
      </c>
      <c r="E475" t="s">
        <v>1483</v>
      </c>
      <c r="F475" t="s">
        <v>1157</v>
      </c>
    </row>
    <row r="476" spans="1:6">
      <c r="A476">
        <f>HYPERLINK("https://learning.oreilly.com/live-events/data-superstream-data-lakes-and-warehouses/0790145049014/0790145049006", "0790145049006")</f>
        <v>0</v>
      </c>
      <c r="B476" t="s">
        <v>1306</v>
      </c>
      <c r="C476" t="s">
        <v>1484</v>
      </c>
      <c r="D476" t="s">
        <v>1485</v>
      </c>
      <c r="E476" t="s">
        <v>1486</v>
      </c>
      <c r="F476" t="s">
        <v>114</v>
      </c>
    </row>
    <row r="477" spans="1:6">
      <c r="A477">
        <f>HYPERLINK("https://learning.oreilly.com/live-events/microsoft-azure-developer-associate-az-204-crash-course/0636920053454/0790145045140", "0790145045140")</f>
        <v>0</v>
      </c>
      <c r="B477" t="s">
        <v>521</v>
      </c>
      <c r="C477" t="s">
        <v>1082</v>
      </c>
      <c r="D477" t="s">
        <v>1083</v>
      </c>
      <c r="E477" t="s">
        <v>1486</v>
      </c>
      <c r="F477" t="s">
        <v>166</v>
      </c>
    </row>
    <row r="478" spans="1:6">
      <c r="A478">
        <f>HYPERLINK("https://learning.oreilly.com/live-events/aws-certified-solutions-architect-prep-session/0636920328803/0790145051850", "0790145051850")</f>
        <v>0</v>
      </c>
      <c r="B478" t="s">
        <v>666</v>
      </c>
      <c r="C478" t="s">
        <v>1487</v>
      </c>
      <c r="D478" t="s">
        <v>1488</v>
      </c>
      <c r="E478" t="s">
        <v>1489</v>
      </c>
      <c r="F478" t="s">
        <v>352</v>
      </c>
    </row>
    <row r="479" spans="1:6">
      <c r="A479">
        <f>HYPERLINK("https://learning.oreilly.com/live-events/introduction-to-devops/0790145057793/0790145057785", "0790145057785")</f>
        <v>0</v>
      </c>
      <c r="B479" t="s">
        <v>629</v>
      </c>
      <c r="C479" t="s">
        <v>1490</v>
      </c>
      <c r="D479" t="s">
        <v>751</v>
      </c>
      <c r="E479" t="s">
        <v>1491</v>
      </c>
      <c r="F479" t="s">
        <v>1492</v>
      </c>
    </row>
    <row r="480" spans="1:6">
      <c r="A480">
        <f>HYPERLINK("https://learning.oreilly.com/live-events/peer-code-review-best-practices/0636920074783/0790145057602", "0790145057602")</f>
        <v>0</v>
      </c>
      <c r="B480" t="s">
        <v>283</v>
      </c>
      <c r="C480" t="s">
        <v>1493</v>
      </c>
      <c r="D480" t="s">
        <v>1494</v>
      </c>
      <c r="E480" t="s">
        <v>1495</v>
      </c>
      <c r="F480" t="s">
        <v>1496</v>
      </c>
    </row>
    <row r="481" spans="1:6">
      <c r="A481">
        <f>HYPERLINK("https://learning.oreilly.com/live-events/introduction-to-statistics-and-data-analysis-with-microsoft-excel/0790145047020/0790145047011", "0790145047011")</f>
        <v>0</v>
      </c>
      <c r="B481" t="s">
        <v>832</v>
      </c>
      <c r="C481" t="s">
        <v>1497</v>
      </c>
      <c r="D481" t="s">
        <v>1498</v>
      </c>
      <c r="E481" t="s">
        <v>1499</v>
      </c>
      <c r="F481" t="s">
        <v>248</v>
      </c>
    </row>
    <row r="482" spans="1:6">
      <c r="A482">
        <f>HYPERLINK("https://learning.oreilly.com/live-events/event-driven-architecture-and-data/0636920053458/0790145041633", "0790145041633")</f>
        <v>0</v>
      </c>
      <c r="B482" t="s">
        <v>96</v>
      </c>
      <c r="C482" t="s">
        <v>646</v>
      </c>
      <c r="D482" t="s">
        <v>647</v>
      </c>
      <c r="E482" t="s">
        <v>1499</v>
      </c>
      <c r="F482" t="s">
        <v>648</v>
      </c>
    </row>
    <row r="483" spans="1:6">
      <c r="A483">
        <f>HYPERLINK("https://learning.oreilly.com/live-events/hands-on-introduction-to-oauth-20/0636920328384/0790145043962", "0790145043962")</f>
        <v>0</v>
      </c>
      <c r="B483" t="s">
        <v>1500</v>
      </c>
      <c r="C483" t="s">
        <v>1501</v>
      </c>
      <c r="E483" t="s">
        <v>1502</v>
      </c>
      <c r="F483" t="s">
        <v>1503</v>
      </c>
    </row>
    <row r="484" spans="1:6">
      <c r="A484">
        <f>HYPERLINK("https://learning.oreilly.com/live-events/software-architecture-superstream-software-architecture-and-generative-ai/0790145046783/0790145046775", "0790145046775")</f>
        <v>0</v>
      </c>
      <c r="B484" t="s">
        <v>96</v>
      </c>
      <c r="C484" t="s">
        <v>1504</v>
      </c>
      <c r="D484" t="s">
        <v>1505</v>
      </c>
      <c r="E484" t="s">
        <v>1506</v>
      </c>
      <c r="F484" t="s">
        <v>100</v>
      </c>
    </row>
    <row r="485" spans="1:6">
      <c r="A485">
        <f>HYPERLINK("https://learning.oreilly.com/live-events/sql-next-steps-optimization/0636920378389/0790145046937", "0790145046937")</f>
        <v>0</v>
      </c>
      <c r="B485" t="s">
        <v>1104</v>
      </c>
      <c r="C485" t="s">
        <v>1507</v>
      </c>
      <c r="D485" t="s">
        <v>1508</v>
      </c>
      <c r="E485" t="s">
        <v>1506</v>
      </c>
      <c r="F485" t="s">
        <v>390</v>
      </c>
    </row>
    <row r="486" spans="1:6">
      <c r="A486">
        <f>HYPERLINK("https://learning.oreilly.com/live-events/introduction-to-machine-learning-for-algorithmic-trading/0636920376668/0790145041781", "0790145041781")</f>
        <v>0</v>
      </c>
      <c r="B486" t="s">
        <v>315</v>
      </c>
      <c r="C486" t="s">
        <v>1509</v>
      </c>
      <c r="D486" t="s">
        <v>1510</v>
      </c>
      <c r="E486" t="s">
        <v>1511</v>
      </c>
      <c r="F486" t="s">
        <v>1157</v>
      </c>
    </row>
    <row r="487" spans="1:6">
      <c r="A487">
        <f>HYPERLINK("https://learning.oreilly.com/live-events/modern-cybersecurity-fundamentals/0636920121701/0790145044462", "0790145044462")</f>
        <v>0</v>
      </c>
      <c r="B487" t="s">
        <v>73</v>
      </c>
      <c r="C487" t="s">
        <v>1512</v>
      </c>
      <c r="D487" t="s">
        <v>1513</v>
      </c>
      <c r="E487" t="s">
        <v>1514</v>
      </c>
      <c r="F487" t="s">
        <v>786</v>
      </c>
    </row>
    <row r="488" spans="1:6">
      <c r="A488">
        <f>HYPERLINK("https://learning.oreilly.com/live-events/automated-machine-learning-and-deep-learning-with-python/0636920064090/0636920093769", "0636920093769")</f>
        <v>0</v>
      </c>
      <c r="B488" t="s">
        <v>315</v>
      </c>
      <c r="C488" t="s">
        <v>1515</v>
      </c>
      <c r="D488" t="s">
        <v>1516</v>
      </c>
      <c r="E488" t="s">
        <v>1514</v>
      </c>
      <c r="F488" t="s">
        <v>76</v>
      </c>
    </row>
    <row r="489" spans="1:6">
      <c r="A489">
        <f>HYPERLINK("https://learning.oreilly.com/live-events/leadership-bootcamp/0636920078225/0636920094698", "0636920094698")</f>
        <v>0</v>
      </c>
      <c r="B489" t="s">
        <v>795</v>
      </c>
      <c r="C489" t="s">
        <v>1517</v>
      </c>
      <c r="D489" t="s">
        <v>1518</v>
      </c>
      <c r="E489" t="s">
        <v>1519</v>
      </c>
      <c r="F489" t="s">
        <v>1520</v>
      </c>
    </row>
    <row r="490" spans="1:6">
      <c r="A490">
        <f>HYPERLINK("https://learning.oreilly.com/live-events/boosting-software-development-with-ai/0636920094087/0636920095185", "0636920095185")</f>
        <v>0</v>
      </c>
      <c r="B490" t="s">
        <v>16</v>
      </c>
      <c r="C490" t="s">
        <v>1521</v>
      </c>
      <c r="D490" t="s">
        <v>1522</v>
      </c>
      <c r="E490" t="s">
        <v>1523</v>
      </c>
      <c r="F490" t="s">
        <v>1524</v>
      </c>
    </row>
    <row r="491" spans="1:6">
      <c r="A491">
        <f>HYPERLINK("https://learning.oreilly.com/live-events/github-copilot-for-developers/0636920094356/0636920099265", "0636920099265")</f>
        <v>0</v>
      </c>
      <c r="B491" t="s">
        <v>11</v>
      </c>
      <c r="C491" t="s">
        <v>1525</v>
      </c>
      <c r="D491" t="s">
        <v>1526</v>
      </c>
      <c r="E491" t="s">
        <v>1527</v>
      </c>
      <c r="F491" t="s">
        <v>201</v>
      </c>
    </row>
    <row r="492" spans="1:6">
      <c r="A492">
        <f>HYPERLINK("https://learning.oreilly.com/live-events/scalable-pyspark-for-data-science/0790145046104/0790145046090", "0790145046090")</f>
        <v>0</v>
      </c>
      <c r="B492" t="s">
        <v>1528</v>
      </c>
      <c r="C492" t="s">
        <v>1529</v>
      </c>
      <c r="D492" t="s">
        <v>1530</v>
      </c>
      <c r="E492" t="s">
        <v>1531</v>
      </c>
      <c r="F492" t="s">
        <v>1036</v>
      </c>
    </row>
    <row r="493" spans="1:6">
      <c r="A493">
        <f>HYPERLINK("https://learning.oreilly.com/live-events/data-lake-bootcamp/0636920095503/0636920095506", "0636920095506")</f>
        <v>0</v>
      </c>
      <c r="B493" t="s">
        <v>1306</v>
      </c>
      <c r="C493" t="s">
        <v>1532</v>
      </c>
      <c r="D493" t="s">
        <v>1533</v>
      </c>
      <c r="E493" t="s">
        <v>1519</v>
      </c>
      <c r="F493" t="s">
        <v>1534</v>
      </c>
    </row>
    <row r="494" spans="1:6">
      <c r="A494">
        <f>HYPERLINK("https://learning.oreilly.com/live-events/aws-certified-solutions-architect-professional-sap-c02-crash-course/0636920060215/0636920097311", "0636920097311")</f>
        <v>0</v>
      </c>
      <c r="B494" t="s">
        <v>666</v>
      </c>
      <c r="C494" t="s">
        <v>1535</v>
      </c>
      <c r="D494" t="s">
        <v>668</v>
      </c>
      <c r="E494" t="s">
        <v>1536</v>
      </c>
      <c r="F494" t="s">
        <v>52</v>
      </c>
    </row>
    <row r="495" spans="1:6">
      <c r="A495">
        <f>HYPERLINK("https://learning.oreilly.com/live-events/react-the-right-way/0636920092150/0636920097714", "0636920097714")</f>
        <v>0</v>
      </c>
      <c r="B495" t="s">
        <v>173</v>
      </c>
      <c r="C495" t="s">
        <v>1347</v>
      </c>
      <c r="D495" t="s">
        <v>1348</v>
      </c>
      <c r="E495" t="s">
        <v>1537</v>
      </c>
      <c r="F495" t="s">
        <v>624</v>
      </c>
    </row>
    <row r="496" spans="1:6">
      <c r="A496">
        <f>HYPERLINK("https://learning.oreilly.com/live-events/designing-microservices/0636920098728/0636920098727", "0636920098727")</f>
        <v>0</v>
      </c>
      <c r="B496" t="s">
        <v>429</v>
      </c>
      <c r="C496" t="s">
        <v>1538</v>
      </c>
      <c r="D496" t="s">
        <v>1539</v>
      </c>
      <c r="E496" t="s">
        <v>1537</v>
      </c>
      <c r="F496" t="s">
        <v>1169</v>
      </c>
    </row>
    <row r="497" spans="1:6">
      <c r="A497">
        <f>HYPERLINK("https://learning.oreilly.com/live-events/negotiation-fundamentals/0636920148470/0636920098518", "0636920098518")</f>
        <v>0</v>
      </c>
      <c r="B497" t="s">
        <v>1540</v>
      </c>
      <c r="C497" t="s">
        <v>1541</v>
      </c>
      <c r="D497" t="s">
        <v>1542</v>
      </c>
      <c r="E497" t="s">
        <v>1537</v>
      </c>
      <c r="F497" t="s">
        <v>518</v>
      </c>
    </row>
    <row r="498" spans="1:6">
      <c r="A498">
        <f>HYPERLINK("https://learning.oreilly.com/live-events/getting-started-with-langchain/0636920098586/0636920098585", "0636920098585")</f>
        <v>0</v>
      </c>
      <c r="B498" t="s">
        <v>547</v>
      </c>
      <c r="C498" t="s">
        <v>608</v>
      </c>
      <c r="D498" t="s">
        <v>609</v>
      </c>
      <c r="E498" t="s">
        <v>1543</v>
      </c>
      <c r="F498" t="s">
        <v>398</v>
      </c>
    </row>
    <row r="499" spans="1:6">
      <c r="A499">
        <f>HYPERLINK("https://learning.oreilly.com/live-events/comptia-security-sy0-601-crash-course/0636920055925/0636920097669", "0636920097669")</f>
        <v>0</v>
      </c>
      <c r="B499" t="s">
        <v>445</v>
      </c>
      <c r="C499" t="s">
        <v>1544</v>
      </c>
      <c r="D499" t="s">
        <v>1545</v>
      </c>
      <c r="E499" t="s">
        <v>1546</v>
      </c>
      <c r="F499" t="s">
        <v>1547</v>
      </c>
    </row>
    <row r="500" spans="1:6">
      <c r="A500">
        <f>HYPERLINK("https://learning.oreilly.com/live-events/microservices-application-decomposition/0636920446163/0636920098552", "0636920098552")</f>
        <v>0</v>
      </c>
      <c r="B500" t="s">
        <v>429</v>
      </c>
      <c r="C500" t="s">
        <v>1548</v>
      </c>
      <c r="D500" t="s">
        <v>1549</v>
      </c>
      <c r="E500" t="s">
        <v>1543</v>
      </c>
      <c r="F500" t="s">
        <v>70</v>
      </c>
    </row>
    <row r="501" spans="1:6">
      <c r="A501">
        <f>HYPERLINK("https://learning.oreilly.com/live-events/certified-cloud-security-professional-ccsp-the-hard-parts/0636920093153/0636920095146", "0636920095146")</f>
        <v>0</v>
      </c>
      <c r="B501" t="s">
        <v>219</v>
      </c>
      <c r="C501" t="s">
        <v>1550</v>
      </c>
      <c r="D501" t="s">
        <v>1551</v>
      </c>
      <c r="E501" t="s">
        <v>1546</v>
      </c>
      <c r="F501" t="s">
        <v>449</v>
      </c>
    </row>
    <row r="502" spans="1:6">
      <c r="A502">
        <f>HYPERLINK("https://learning.oreilly.com/live-events/cloud-superstream-super-cloud-multicloud-and-hybrid-cloud/0636920083824/0636920083823", "0636920083823")</f>
        <v>0</v>
      </c>
      <c r="B502" t="s">
        <v>1552</v>
      </c>
      <c r="C502" t="s">
        <v>1553</v>
      </c>
      <c r="D502" t="s">
        <v>1554</v>
      </c>
      <c r="E502" t="s">
        <v>1555</v>
      </c>
      <c r="F502" t="s">
        <v>70</v>
      </c>
    </row>
    <row r="503" spans="1:6">
      <c r="A503">
        <f>HYPERLINK("https://learning.oreilly.com/live-events/google-bigquery-first-steps/0636920508700/0636920085788", "0636920085788")</f>
        <v>0</v>
      </c>
      <c r="B503" t="s">
        <v>1254</v>
      </c>
      <c r="C503" t="s">
        <v>1556</v>
      </c>
      <c r="D503" t="s">
        <v>1557</v>
      </c>
      <c r="E503" t="s">
        <v>1555</v>
      </c>
      <c r="F503" t="s">
        <v>1558</v>
      </c>
    </row>
    <row r="504" spans="1:6">
      <c r="A504">
        <f>HYPERLINK("https://learning.oreilly.com/live-events/data-science-bootcamp-with-python-pandas-and-plotly/0636920082424/0636920082423", "0636920082423")</f>
        <v>0</v>
      </c>
      <c r="B504" t="s">
        <v>820</v>
      </c>
      <c r="C504" t="s">
        <v>1559</v>
      </c>
      <c r="D504" t="s">
        <v>1560</v>
      </c>
      <c r="E504" t="s">
        <v>1561</v>
      </c>
      <c r="F504" t="s">
        <v>1562</v>
      </c>
    </row>
    <row r="505" spans="1:6">
      <c r="A505">
        <f>HYPERLINK("https://learning.oreilly.com/live-events/learn-nextjs-develop-scalable-and-high-performance-web-applications/0636920081393/0636920084166", "0636920084166")</f>
        <v>0</v>
      </c>
      <c r="B505" t="s">
        <v>1340</v>
      </c>
      <c r="C505" t="s">
        <v>1563</v>
      </c>
      <c r="D505" t="s">
        <v>1342</v>
      </c>
      <c r="E505" t="s">
        <v>1268</v>
      </c>
      <c r="F505" t="s">
        <v>1343</v>
      </c>
    </row>
    <row r="506" spans="1:6">
      <c r="A506">
        <f>HYPERLINK("https://learning.oreilly.com/live-events/business-analytics-with-python-bootcamp/0636920081960/0636920081959", "0636920081959")</f>
        <v>0</v>
      </c>
      <c r="B506" t="s">
        <v>21</v>
      </c>
      <c r="C506" t="s">
        <v>1564</v>
      </c>
      <c r="D506" t="s">
        <v>1565</v>
      </c>
      <c r="E506" t="s">
        <v>1566</v>
      </c>
      <c r="F506" t="s">
        <v>10</v>
      </c>
    </row>
    <row r="507" spans="1:6">
      <c r="A507">
        <f>HYPERLINK("https://learning.oreilly.com/live-events/snowflake-fundamentals-bootcamp/0636920082025/0636920082024", "0636920082024")</f>
        <v>0</v>
      </c>
      <c r="B507" t="s">
        <v>262</v>
      </c>
      <c r="C507" t="s">
        <v>1567</v>
      </c>
      <c r="D507" t="s">
        <v>414</v>
      </c>
      <c r="E507" t="s">
        <v>1561</v>
      </c>
      <c r="F507" t="s">
        <v>265</v>
      </c>
    </row>
    <row r="508" spans="1:6">
      <c r="A508">
        <f>HYPERLINK("https://learning.oreilly.com/live-events/tcpip-fundamentals/0636920345237/0636920085967", "0636920085967")</f>
        <v>0</v>
      </c>
      <c r="B508" t="s">
        <v>81</v>
      </c>
      <c r="C508" t="s">
        <v>1568</v>
      </c>
      <c r="D508" t="s">
        <v>1569</v>
      </c>
      <c r="E508" t="s">
        <v>1570</v>
      </c>
      <c r="F508" t="s">
        <v>222</v>
      </c>
    </row>
    <row r="509" spans="1:6">
      <c r="A509">
        <f>HYPERLINK("https://learning.oreilly.com/live-events/ai-catalyst-conference-nlp-with-chatgpt-and-other-large-language-models/0636920084097/0636920084096", "0636920084096")</f>
        <v>0</v>
      </c>
      <c r="B509" t="s">
        <v>6</v>
      </c>
      <c r="C509" t="s">
        <v>1571</v>
      </c>
      <c r="D509" t="s">
        <v>1572</v>
      </c>
      <c r="E509" t="s">
        <v>1573</v>
      </c>
      <c r="F509" t="s">
        <v>80</v>
      </c>
    </row>
    <row r="510" spans="1:6">
      <c r="A510">
        <f>HYPERLINK("https://learning.oreilly.com/live-events/data-literacy-bootcamp/0636920083423/0636920083422", "0636920083422")</f>
        <v>0</v>
      </c>
      <c r="B510" t="s">
        <v>441</v>
      </c>
      <c r="C510" t="s">
        <v>909</v>
      </c>
      <c r="D510" t="s">
        <v>910</v>
      </c>
      <c r="E510" t="s">
        <v>1574</v>
      </c>
      <c r="F510" t="s">
        <v>912</v>
      </c>
    </row>
    <row r="511" spans="1:6">
      <c r="A511">
        <f>HYPERLINK("https://learning.oreilly.com/live-events/blockchain-developer-bootcamp/0636920081962/0636920081961", "0636920081961")</f>
        <v>0</v>
      </c>
      <c r="B511" t="s">
        <v>1575</v>
      </c>
      <c r="C511" t="s">
        <v>1576</v>
      </c>
      <c r="D511" t="s">
        <v>1577</v>
      </c>
      <c r="E511" t="s">
        <v>1578</v>
      </c>
      <c r="F511" t="s">
        <v>1579</v>
      </c>
    </row>
    <row r="512" spans="1:6">
      <c r="A512">
        <f>HYPERLINK("https://learning.oreilly.com/live-events/aws-certified-advanced-networking-specialty-ans-c01-crash-course/0636920085015/0636920085014", "0636920085014")</f>
        <v>0</v>
      </c>
      <c r="B512" t="s">
        <v>1580</v>
      </c>
      <c r="C512" t="s">
        <v>1581</v>
      </c>
      <c r="D512" t="s">
        <v>1582</v>
      </c>
      <c r="E512" t="s">
        <v>1583</v>
      </c>
      <c r="F512" t="s">
        <v>52</v>
      </c>
    </row>
    <row r="513" spans="1:6">
      <c r="A513">
        <f>HYPERLINK("https://learning.oreilly.com/live-events/api-styles-fundamentals/0636920078591/0636920086225", "0636920086225")</f>
        <v>0</v>
      </c>
      <c r="B513" t="s">
        <v>1126</v>
      </c>
      <c r="C513" t="s">
        <v>1584</v>
      </c>
      <c r="D513" t="s">
        <v>1585</v>
      </c>
      <c r="E513" t="s">
        <v>1586</v>
      </c>
      <c r="F513" t="s">
        <v>1587</v>
      </c>
    </row>
    <row r="514" spans="1:6">
      <c r="A514">
        <f>HYPERLINK("https://learning.oreilly.com/live-events/github-fundamentalswith-interactivity/0636920056978/0636920086229", "0636920086229")</f>
        <v>0</v>
      </c>
      <c r="B514" t="s">
        <v>525</v>
      </c>
      <c r="C514" t="s">
        <v>1588</v>
      </c>
      <c r="E514" t="s">
        <v>1583</v>
      </c>
      <c r="F514" t="s">
        <v>1587</v>
      </c>
    </row>
    <row r="515" spans="1:6">
      <c r="A515">
        <f>HYPERLINK("https://learning.oreilly.com/live-events/linux-networking-security-fundamentals/0636920507611/0636920083761", "0636920083761")</f>
        <v>0</v>
      </c>
      <c r="B515" t="s">
        <v>63</v>
      </c>
      <c r="C515" t="s">
        <v>426</v>
      </c>
      <c r="D515" t="s">
        <v>427</v>
      </c>
      <c r="E515" t="s">
        <v>1589</v>
      </c>
      <c r="F515" t="s">
        <v>428</v>
      </c>
    </row>
    <row r="516" spans="1:6">
      <c r="A516">
        <f>HYPERLINK("https://learning.oreilly.com/live-events/kubernetes-fundamentals-in-3-weekswith-interactivity/0636920059778/0636920084577", "0636920084577")</f>
        <v>0</v>
      </c>
      <c r="B516" t="s">
        <v>574</v>
      </c>
      <c r="C516" t="s">
        <v>931</v>
      </c>
      <c r="D516" t="s">
        <v>793</v>
      </c>
      <c r="E516" t="s">
        <v>1590</v>
      </c>
      <c r="F516" t="s">
        <v>679</v>
      </c>
    </row>
    <row r="517" spans="1:6">
      <c r="A517">
        <f>HYPERLINK("https://learning.oreilly.com/live-events/scaling-machine-learning-in-three-weeks/0636920081997/0636920081996", "0636920081996")</f>
        <v>0</v>
      </c>
      <c r="B517" t="s">
        <v>315</v>
      </c>
      <c r="C517" t="s">
        <v>1591</v>
      </c>
      <c r="D517" t="s">
        <v>1592</v>
      </c>
      <c r="E517" t="s">
        <v>1590</v>
      </c>
      <c r="F517" t="s">
        <v>1593</v>
      </c>
    </row>
    <row r="518" spans="1:6">
      <c r="A518">
        <f>HYPERLINK("https://learning.oreilly.com/live-events/typescript-in-4-hours/0636920084758/0636920084757", "0636920084757")</f>
        <v>0</v>
      </c>
      <c r="B518" t="s">
        <v>53</v>
      </c>
      <c r="C518" t="s">
        <v>1594</v>
      </c>
      <c r="D518" t="s">
        <v>1595</v>
      </c>
      <c r="E518" t="s">
        <v>1596</v>
      </c>
      <c r="F518" t="s">
        <v>582</v>
      </c>
    </row>
    <row r="519" spans="1:6">
      <c r="A519">
        <f>HYPERLINK("https://learning.oreilly.com/live-events/hands-on-with-aws-cloudformation/0636920078993/0636920084807", "0636920084807")</f>
        <v>0</v>
      </c>
      <c r="B519" t="s">
        <v>359</v>
      </c>
      <c r="C519" t="s">
        <v>1597</v>
      </c>
      <c r="D519" t="s">
        <v>1598</v>
      </c>
      <c r="E519" t="s">
        <v>1589</v>
      </c>
      <c r="F519" t="s">
        <v>218</v>
      </c>
    </row>
    <row r="520" spans="1:6">
      <c r="A520">
        <f>HYPERLINK("https://learning.oreilly.com/live-events/oreilly-book-club-mark-richards-neal-ford-on-fundamentals-of-software-architecture/0636920086408/0636920086407", "0636920086407")</f>
        <v>0</v>
      </c>
      <c r="B520" t="s">
        <v>96</v>
      </c>
      <c r="C520" t="s">
        <v>1599</v>
      </c>
      <c r="D520" t="s">
        <v>1600</v>
      </c>
      <c r="E520" t="s">
        <v>1589</v>
      </c>
      <c r="F520" t="s">
        <v>1169</v>
      </c>
    </row>
    <row r="521" spans="1:6">
      <c r="A521">
        <f>HYPERLINK("https://learning.oreilly.com/live-events/cicd-and-devops-in-3-weeks/0636920072763/0636920084540", "0636920084540")</f>
        <v>0</v>
      </c>
      <c r="B521" t="s">
        <v>629</v>
      </c>
      <c r="C521" t="s">
        <v>1601</v>
      </c>
      <c r="D521" t="s">
        <v>1602</v>
      </c>
      <c r="E521" t="s">
        <v>1603</v>
      </c>
      <c r="F521" t="s">
        <v>146</v>
      </c>
    </row>
    <row r="522" spans="1:6">
      <c r="A522">
        <f>HYPERLINK("https://learning.oreilly.com/live-events/natural-language-processing-in-5-weeks/0636920081958/0636920081957", "0636920081957")</f>
        <v>0</v>
      </c>
      <c r="B522" t="s">
        <v>128</v>
      </c>
      <c r="C522" t="s">
        <v>1604</v>
      </c>
      <c r="D522" t="s">
        <v>459</v>
      </c>
      <c r="E522" t="s">
        <v>1605</v>
      </c>
      <c r="F522" t="s">
        <v>1606</v>
      </c>
    </row>
    <row r="523" spans="1:6">
      <c r="A523">
        <f>HYPERLINK("https://learning.oreilly.com/live-events/software-development-superstream-becoming-a-senior-software-engineer/0636920083578/0636920083577", "0636920083577")</f>
        <v>0</v>
      </c>
      <c r="B523" t="s">
        <v>800</v>
      </c>
      <c r="C523" t="s">
        <v>1442</v>
      </c>
      <c r="D523" t="s">
        <v>1443</v>
      </c>
      <c r="E523" t="s">
        <v>1607</v>
      </c>
      <c r="F523" t="s">
        <v>70</v>
      </c>
    </row>
    <row r="524" spans="1:6">
      <c r="A524">
        <f>HYPERLINK("https://learning.oreilly.com/live-events/aws-certified-security-specialty-crash-course/0636920219972/0636920084660", "0636920084660")</f>
        <v>0</v>
      </c>
      <c r="B524" t="s">
        <v>1608</v>
      </c>
      <c r="C524" t="s">
        <v>1609</v>
      </c>
      <c r="E524" t="s">
        <v>1561</v>
      </c>
      <c r="F524" t="s">
        <v>52</v>
      </c>
    </row>
    <row r="525" spans="1:6">
      <c r="A525">
        <f>HYPERLINK("https://learning.oreilly.com/live-events/reactive-spring-and-spring-boot/0636920161608/0636920083514", "0636920083514")</f>
        <v>0</v>
      </c>
      <c r="B525" t="s">
        <v>566</v>
      </c>
      <c r="C525" t="s">
        <v>567</v>
      </c>
      <c r="D525" t="s">
        <v>568</v>
      </c>
      <c r="E525" t="s">
        <v>1607</v>
      </c>
      <c r="F525" t="s">
        <v>569</v>
      </c>
    </row>
    <row r="526" spans="1:6">
      <c r="A526">
        <f>HYPERLINK("https://learning.oreilly.com/live-events/malware-hunting-and-analysis/0636920449539/0636920084004", "0636920084004")</f>
        <v>0</v>
      </c>
      <c r="B526" t="s">
        <v>1610</v>
      </c>
      <c r="C526" t="s">
        <v>1611</v>
      </c>
      <c r="D526" t="s">
        <v>1612</v>
      </c>
      <c r="E526" t="s">
        <v>1613</v>
      </c>
      <c r="F526" t="s">
        <v>628</v>
      </c>
    </row>
    <row r="527" spans="1:6">
      <c r="A527">
        <f>HYPERLINK("https://learning.oreilly.com/live-events/az-900-azure-fundamentals-crash-course/0636920060199/0636920083874", "0636920083874")</f>
        <v>0</v>
      </c>
      <c r="B527" t="s">
        <v>1037</v>
      </c>
      <c r="C527" t="s">
        <v>1614</v>
      </c>
      <c r="D527" t="s">
        <v>1615</v>
      </c>
      <c r="E527" t="s">
        <v>1616</v>
      </c>
      <c r="F527" t="s">
        <v>1617</v>
      </c>
    </row>
    <row r="528" spans="1:6">
      <c r="A528">
        <f>HYPERLINK("https://learning.oreilly.com/live-events/certified-kubernetes-administrator-cka-exam-prep/0636920459743/0636920083855", "0636920083855")</f>
        <v>0</v>
      </c>
      <c r="B528" t="s">
        <v>574</v>
      </c>
      <c r="C528" t="s">
        <v>885</v>
      </c>
      <c r="D528" t="s">
        <v>886</v>
      </c>
      <c r="E528" t="s">
        <v>1616</v>
      </c>
      <c r="F528" t="s">
        <v>137</v>
      </c>
    </row>
    <row r="529" spans="1:6">
      <c r="A529">
        <f>HYPERLINK("https://learning.oreilly.com/live-events/microservice-security/0636920070932/0636920082977", "0636920082977")</f>
        <v>0</v>
      </c>
      <c r="B529" t="s">
        <v>429</v>
      </c>
      <c r="C529" t="s">
        <v>1618</v>
      </c>
      <c r="D529" t="s">
        <v>1619</v>
      </c>
      <c r="E529" t="s">
        <v>1620</v>
      </c>
      <c r="F529" t="s">
        <v>70</v>
      </c>
    </row>
    <row r="530" spans="1:6">
      <c r="A530">
        <f>HYPERLINK("https://learning.oreilly.com/live-events/learn-infrastructure-as-code-with-terraform/0636920077731/0636920084510", "0636920084510")</f>
        <v>0</v>
      </c>
      <c r="B530" t="s">
        <v>138</v>
      </c>
      <c r="C530" t="s">
        <v>1384</v>
      </c>
      <c r="D530" t="s">
        <v>1385</v>
      </c>
      <c r="E530" t="s">
        <v>1616</v>
      </c>
      <c r="F530" t="s">
        <v>1387</v>
      </c>
    </row>
    <row r="531" spans="1:6">
      <c r="A531">
        <f>HYPERLINK("https://learning.oreilly.com/live-events/python-decorators/0636920081334/0636920081332", "0636920081332")</f>
        <v>0</v>
      </c>
      <c r="B531" t="s">
        <v>21</v>
      </c>
      <c r="C531" t="s">
        <v>1621</v>
      </c>
      <c r="D531" t="s">
        <v>1622</v>
      </c>
      <c r="E531" t="s">
        <v>1616</v>
      </c>
      <c r="F531" t="s">
        <v>105</v>
      </c>
    </row>
    <row r="532" spans="1:6">
      <c r="A532">
        <f>HYPERLINK("https://learning.oreilly.com/live-events/analyzing-architecture-risk/0636920054370/0636920083510", "0636920083510")</f>
        <v>0</v>
      </c>
      <c r="B532" t="s">
        <v>96</v>
      </c>
      <c r="C532" t="s">
        <v>1623</v>
      </c>
      <c r="D532" t="s">
        <v>1624</v>
      </c>
      <c r="E532" t="s">
        <v>1616</v>
      </c>
      <c r="F532" t="s">
        <v>341</v>
      </c>
    </row>
    <row r="533" spans="1:6">
      <c r="A533">
        <f>HYPERLINK("https://learning.oreilly.com/live-events/exam-dp-203-microsoft-azure-data-engineer-associate-crash-course/0636920054124/0636920083478", "0636920083478")</f>
        <v>0</v>
      </c>
      <c r="B533" t="s">
        <v>391</v>
      </c>
      <c r="C533" t="s">
        <v>1625</v>
      </c>
      <c r="D533" t="s">
        <v>1626</v>
      </c>
      <c r="E533" t="s">
        <v>1616</v>
      </c>
      <c r="F533" t="s">
        <v>166</v>
      </c>
    </row>
    <row r="534" spans="1:6">
      <c r="A534">
        <f>HYPERLINK("https://learning.oreilly.com/live-events/api-security-bootcamp/0636920083103/0636920083102", "0636920083102")</f>
        <v>0</v>
      </c>
      <c r="B534" t="s">
        <v>989</v>
      </c>
      <c r="C534" t="s">
        <v>1627</v>
      </c>
      <c r="D534" t="s">
        <v>1628</v>
      </c>
      <c r="E534" t="s">
        <v>1629</v>
      </c>
      <c r="F534" t="s">
        <v>1630</v>
      </c>
    </row>
    <row r="535" spans="1:6">
      <c r="A535">
        <f>HYPERLINK("https://learning.oreilly.com/live-events/mastering-patterns-in-event-driven-architecture/0636920064167/0636920083313", "0636920083313")</f>
        <v>0</v>
      </c>
      <c r="B535" t="s">
        <v>1405</v>
      </c>
      <c r="C535" t="s">
        <v>1406</v>
      </c>
      <c r="D535" t="s">
        <v>1407</v>
      </c>
      <c r="E535" t="s">
        <v>1574</v>
      </c>
      <c r="F535" t="s">
        <v>341</v>
      </c>
    </row>
    <row r="536" spans="1:6">
      <c r="A536">
        <f>HYPERLINK("https://learning.oreilly.com/live-events/google-bigquery-in-action/0636920085068/0636920085067", "0636920085067")</f>
        <v>0</v>
      </c>
      <c r="B536" t="s">
        <v>1254</v>
      </c>
      <c r="C536" t="s">
        <v>1631</v>
      </c>
      <c r="D536" t="s">
        <v>1632</v>
      </c>
      <c r="E536" t="s">
        <v>1629</v>
      </c>
      <c r="F536" t="s">
        <v>1633</v>
      </c>
    </row>
    <row r="537" spans="1:6">
      <c r="A537">
        <f>HYPERLINK("https://learning.oreilly.com/live-events/linux-under-the-hood/0636920137849/0636920082206", "0636920082206")</f>
        <v>0</v>
      </c>
      <c r="B537" t="s">
        <v>63</v>
      </c>
      <c r="C537" t="s">
        <v>1634</v>
      </c>
      <c r="D537" t="s">
        <v>1635</v>
      </c>
      <c r="E537" t="s">
        <v>1590</v>
      </c>
      <c r="F537" t="s">
        <v>66</v>
      </c>
    </row>
    <row r="538" spans="1:6">
      <c r="A538">
        <f>HYPERLINK("https://learning.oreilly.com/live-events/threading-in-python/0636920370437/0636920083918", "0636920083918")</f>
        <v>0</v>
      </c>
      <c r="B538" t="s">
        <v>21</v>
      </c>
      <c r="C538" t="s">
        <v>1357</v>
      </c>
      <c r="D538" t="s">
        <v>1358</v>
      </c>
      <c r="E538" t="s">
        <v>1590</v>
      </c>
      <c r="F538" t="s">
        <v>403</v>
      </c>
    </row>
    <row r="539" spans="1:6">
      <c r="A539">
        <f>HYPERLINK("https://learning.oreilly.com/live-events/spring-security-for-rest-apis/0636920418153/0636920084852", "0636920084852")</f>
        <v>0</v>
      </c>
      <c r="B539" t="s">
        <v>1636</v>
      </c>
      <c r="C539" t="s">
        <v>1637</v>
      </c>
      <c r="D539" t="s">
        <v>1638</v>
      </c>
      <c r="E539" t="s">
        <v>1639</v>
      </c>
      <c r="F539" t="s">
        <v>1640</v>
      </c>
    </row>
    <row r="540" spans="1:6">
      <c r="A540">
        <f>HYPERLINK("https://learning.oreilly.com/live-events/linux-fundamentals-bootcamp/0636920325130/0636920082242", "0636920082242")</f>
        <v>0</v>
      </c>
      <c r="B540" t="s">
        <v>63</v>
      </c>
      <c r="C540" t="s">
        <v>462</v>
      </c>
      <c r="D540" t="s">
        <v>463</v>
      </c>
      <c r="E540" t="s">
        <v>1603</v>
      </c>
      <c r="F540" t="s">
        <v>66</v>
      </c>
    </row>
    <row r="541" spans="1:6">
      <c r="A541">
        <f>HYPERLINK("https://learning.oreilly.com/live-events/data-observability-fundamentals-in-2-weeks/0636920086300/0636920086299", "0636920086299")</f>
        <v>0</v>
      </c>
      <c r="B541" t="s">
        <v>1202</v>
      </c>
      <c r="C541" t="s">
        <v>1641</v>
      </c>
      <c r="D541" t="s">
        <v>1642</v>
      </c>
      <c r="E541" t="s">
        <v>1643</v>
      </c>
      <c r="F541" t="s">
        <v>1644</v>
      </c>
    </row>
    <row r="542" spans="1:6">
      <c r="A542">
        <f>HYPERLINK("https://learning.oreilly.com/live-events/applying-design-patterns/0636920483069/0636920082956", "0636920082956")</f>
        <v>0</v>
      </c>
      <c r="B542" t="s">
        <v>932</v>
      </c>
      <c r="C542" t="s">
        <v>1645</v>
      </c>
      <c r="D542" t="s">
        <v>1646</v>
      </c>
      <c r="E542" t="s">
        <v>1603</v>
      </c>
      <c r="F542" t="s">
        <v>1647</v>
      </c>
    </row>
    <row r="543" spans="1:6">
      <c r="A543">
        <f>HYPERLINK("https://learning.oreilly.com/live-events/architecture-decision-making-by-example/0636920080767/0636920080766", "0636920080766")</f>
        <v>0</v>
      </c>
      <c r="B543" t="s">
        <v>96</v>
      </c>
      <c r="C543" t="s">
        <v>1648</v>
      </c>
      <c r="D543" t="s">
        <v>1649</v>
      </c>
      <c r="E543" t="s">
        <v>1603</v>
      </c>
      <c r="F543" t="s">
        <v>1650</v>
      </c>
    </row>
    <row r="544" spans="1:6">
      <c r="A544">
        <f>HYPERLINK("https://learning.oreilly.com/live-events/data-superstream-data-lakes-and-warehouses/0636920084329/0636920084328", "0636920084328")</f>
        <v>0</v>
      </c>
      <c r="B544" t="s">
        <v>1306</v>
      </c>
      <c r="C544" t="s">
        <v>1484</v>
      </c>
      <c r="D544" t="s">
        <v>1485</v>
      </c>
      <c r="E544" t="s">
        <v>1603</v>
      </c>
      <c r="F544" t="s">
        <v>114</v>
      </c>
    </row>
    <row r="545" spans="1:6">
      <c r="A545">
        <f>HYPERLINK("https://learning.oreilly.com/live-events/product-management-fundamentals-in-4-weeks/0636920080939/0636920080938", "0636920080938")</f>
        <v>0</v>
      </c>
      <c r="B545" t="s">
        <v>1651</v>
      </c>
      <c r="C545" t="s">
        <v>1652</v>
      </c>
      <c r="D545" t="s">
        <v>1653</v>
      </c>
      <c r="E545" t="s">
        <v>1654</v>
      </c>
      <c r="F545" t="s">
        <v>1655</v>
      </c>
    </row>
    <row r="546" spans="1:6">
      <c r="A546">
        <f>HYPERLINK("https://learning.oreilly.com/live-events/red-hat-certified-specialist-in-containers-and-kubernetes-ex180-crash-course/0636920053764/0636920082236", "0636920082236")</f>
        <v>0</v>
      </c>
      <c r="B546" t="s">
        <v>1656</v>
      </c>
      <c r="C546" t="s">
        <v>1657</v>
      </c>
      <c r="E546" t="s">
        <v>1658</v>
      </c>
      <c r="F546" t="s">
        <v>66</v>
      </c>
    </row>
    <row r="547" spans="1:6">
      <c r="A547">
        <f>HYPERLINK("https://learning.oreilly.com/live-events/how-to-think-like-a-java-programmer/0636920065022/0636920084727", "0636920084727")</f>
        <v>0</v>
      </c>
      <c r="B547" t="s">
        <v>252</v>
      </c>
      <c r="C547" t="s">
        <v>1659</v>
      </c>
      <c r="D547" t="s">
        <v>1660</v>
      </c>
      <c r="E547" t="s">
        <v>1658</v>
      </c>
      <c r="F547" t="s">
        <v>589</v>
      </c>
    </row>
    <row r="548" spans="1:6">
      <c r="A548">
        <f>HYPERLINK("https://learning.oreilly.com/live-events/communicating-software-architecture/0636920078578/0636920085635", "0636920085635")</f>
        <v>0</v>
      </c>
      <c r="B548" t="s">
        <v>96</v>
      </c>
      <c r="C548" t="s">
        <v>1661</v>
      </c>
      <c r="D548" t="s">
        <v>1662</v>
      </c>
      <c r="E548" t="s">
        <v>1663</v>
      </c>
      <c r="F548" t="s">
        <v>1664</v>
      </c>
    </row>
    <row r="549" spans="1:6">
      <c r="A549">
        <f>HYPERLINK("https://learning.oreilly.com/live-events/google-cloud-platform-professional-cloud-architect-certification-prep/0636920061481/0636920084514", "0636920084514")</f>
        <v>0</v>
      </c>
      <c r="B549" t="s">
        <v>561</v>
      </c>
      <c r="C549" t="s">
        <v>839</v>
      </c>
      <c r="D549" t="s">
        <v>840</v>
      </c>
      <c r="E549" t="s">
        <v>1643</v>
      </c>
      <c r="F549" t="s">
        <v>607</v>
      </c>
    </row>
    <row r="550" spans="1:6">
      <c r="A550">
        <f>HYPERLINK("https://learning.oreilly.com/live-events/software-architecture-hour-lean-software-development-with-mary-and-tom-poppendieck/0636920086092/0636920086091", "0636920086091")</f>
        <v>0</v>
      </c>
      <c r="B550" t="s">
        <v>96</v>
      </c>
      <c r="C550" t="s">
        <v>1665</v>
      </c>
      <c r="D550" t="s">
        <v>1666</v>
      </c>
      <c r="E550" t="s">
        <v>1643</v>
      </c>
      <c r="F550" t="s">
        <v>1667</v>
      </c>
    </row>
    <row r="551" spans="1:6">
      <c r="A551">
        <f>HYPERLINK("https://learning.oreilly.com/live-events/12-ways-of-the-cloud-native-warrior/0636920083952/0636920083951", "0636920083951")</f>
        <v>0</v>
      </c>
      <c r="B551" t="s">
        <v>1668</v>
      </c>
      <c r="C551" t="s">
        <v>1669</v>
      </c>
      <c r="D551" t="s">
        <v>1670</v>
      </c>
      <c r="E551" t="s">
        <v>1671</v>
      </c>
      <c r="F551" t="s">
        <v>1672</v>
      </c>
    </row>
    <row r="552" spans="1:6">
      <c r="A552">
        <f>HYPERLINK("https://learning.oreilly.com/live-events/software-development-hour-software-design-with-kevlin-henney/0636920086089/0636920086088", "0636920086088")</f>
        <v>0</v>
      </c>
      <c r="B552" t="s">
        <v>1673</v>
      </c>
      <c r="C552" t="s">
        <v>1674</v>
      </c>
      <c r="D552" t="s">
        <v>1675</v>
      </c>
      <c r="E552" t="s">
        <v>1671</v>
      </c>
      <c r="F552" t="s">
        <v>1676</v>
      </c>
    </row>
    <row r="553" spans="1:6">
      <c r="A553">
        <f>HYPERLINK("https://learning.oreilly.com/live-events/python-comprehensions-and-generator-expressions/0636920081331/0636920081330", "0636920081330")</f>
        <v>0</v>
      </c>
      <c r="B553" t="s">
        <v>21</v>
      </c>
      <c r="C553" t="s">
        <v>1677</v>
      </c>
      <c r="D553" t="s">
        <v>1678</v>
      </c>
      <c r="E553" t="s">
        <v>1671</v>
      </c>
      <c r="F553" t="s">
        <v>105</v>
      </c>
    </row>
    <row r="554" spans="1:6">
      <c r="A554">
        <f>HYPERLINK("https://learning.oreilly.com/live-events/making-new-java-features-work-for-you/0636920078589/0636920083462", "0636920083462")</f>
        <v>0</v>
      </c>
      <c r="B554" t="s">
        <v>252</v>
      </c>
      <c r="C554" t="s">
        <v>1679</v>
      </c>
      <c r="D554" t="s">
        <v>1680</v>
      </c>
      <c r="E554" t="s">
        <v>1671</v>
      </c>
      <c r="F554" t="s">
        <v>569</v>
      </c>
    </row>
    <row r="555" spans="1:6">
      <c r="A555">
        <f>HYPERLINK("https://learning.oreilly.com/live-events/bash-shell-scripting-in-4-hours/0636920245810/0636920082134", "0636920082134")</f>
        <v>0</v>
      </c>
      <c r="B555" t="s">
        <v>1368</v>
      </c>
      <c r="C555" t="s">
        <v>1369</v>
      </c>
      <c r="D555" t="s">
        <v>1370</v>
      </c>
      <c r="E555" t="s">
        <v>1566</v>
      </c>
      <c r="F555" t="s">
        <v>66</v>
      </c>
    </row>
    <row r="556" spans="1:6">
      <c r="A556">
        <f>HYPERLINK("https://learning.oreilly.com/live-events/aws-design-fundamentals/0636920096313/0636920082765", "0636920082765")</f>
        <v>0</v>
      </c>
      <c r="B556" t="s">
        <v>940</v>
      </c>
      <c r="C556" t="s">
        <v>941</v>
      </c>
      <c r="D556" t="s">
        <v>942</v>
      </c>
      <c r="E556" t="s">
        <v>1681</v>
      </c>
      <c r="F556" t="s">
        <v>352</v>
      </c>
    </row>
    <row r="557" spans="1:6">
      <c r="A557">
        <f>HYPERLINK("https://learning.oreilly.com/live-events/postgresql-bootcamp/0636920081341/0636920081339", "0636920081339")</f>
        <v>0</v>
      </c>
      <c r="B557" t="s">
        <v>386</v>
      </c>
      <c r="C557" t="s">
        <v>387</v>
      </c>
      <c r="D557" t="s">
        <v>388</v>
      </c>
      <c r="E557" t="s">
        <v>1682</v>
      </c>
      <c r="F557" t="s">
        <v>390</v>
      </c>
    </row>
    <row r="558" spans="1:6">
      <c r="A558">
        <f>HYPERLINK("https://learning.oreilly.com/live-events/a-hands-on-workshop-on-data-visualization-fundamentals/0636920073479/0636920083714", "0636920083714")</f>
        <v>0</v>
      </c>
      <c r="B558" t="s">
        <v>151</v>
      </c>
      <c r="C558" t="s">
        <v>613</v>
      </c>
      <c r="D558" t="s">
        <v>614</v>
      </c>
      <c r="E558" t="s">
        <v>1681</v>
      </c>
      <c r="F558" t="s">
        <v>615</v>
      </c>
    </row>
    <row r="559" spans="1:6">
      <c r="A559">
        <f>HYPERLINK("https://learning.oreilly.com/live-events/linux-performance-optimization/0636920155775/0636920086756", "0636920086756")</f>
        <v>0</v>
      </c>
      <c r="B559" t="s">
        <v>63</v>
      </c>
      <c r="C559" t="s">
        <v>996</v>
      </c>
      <c r="D559" t="s">
        <v>997</v>
      </c>
      <c r="E559" t="s">
        <v>1681</v>
      </c>
      <c r="F559" t="s">
        <v>66</v>
      </c>
    </row>
    <row r="560" spans="1:6">
      <c r="A560">
        <f>HYPERLINK("https://learning.oreilly.com/live-events/hands-on-spring-boot-in-3-weeks/0636920061597/0636920083145", "0636920083145")</f>
        <v>0</v>
      </c>
      <c r="B560" t="s">
        <v>578</v>
      </c>
      <c r="C560" t="s">
        <v>579</v>
      </c>
      <c r="D560" t="s">
        <v>580</v>
      </c>
      <c r="E560" t="s">
        <v>1683</v>
      </c>
      <c r="F560" t="s">
        <v>582</v>
      </c>
    </row>
    <row r="561" spans="1:6">
      <c r="A561">
        <f>HYPERLINK("https://learning.oreilly.com/live-events/gcp-professional-cloud-architect-crash-course/0636920076967/0636920083179", "0636920083179")</f>
        <v>0</v>
      </c>
      <c r="B561" t="s">
        <v>561</v>
      </c>
      <c r="C561" t="s">
        <v>562</v>
      </c>
      <c r="D561" t="s">
        <v>563</v>
      </c>
      <c r="E561" t="s">
        <v>1684</v>
      </c>
      <c r="F561" t="s">
        <v>565</v>
      </c>
    </row>
    <row r="562" spans="1:6">
      <c r="A562">
        <f>HYPERLINK("https://learning.oreilly.com/live-events/hands-on-with-aws-vpcs/0636920078212/0636920083213", "0636920083213")</f>
        <v>0</v>
      </c>
      <c r="B562" t="s">
        <v>1685</v>
      </c>
      <c r="C562" t="s">
        <v>1686</v>
      </c>
      <c r="D562" t="s">
        <v>1687</v>
      </c>
      <c r="E562" t="s">
        <v>1684</v>
      </c>
      <c r="F562" t="s">
        <v>218</v>
      </c>
    </row>
    <row r="563" spans="1:6">
      <c r="A563">
        <f>HYPERLINK("https://learning.oreilly.com/live-events/predictive-analytics/0636920076535/0636920083243", "0636920083243")</f>
        <v>0</v>
      </c>
      <c r="B563" t="s">
        <v>25</v>
      </c>
      <c r="C563" t="s">
        <v>302</v>
      </c>
      <c r="D563" t="s">
        <v>303</v>
      </c>
      <c r="E563" t="s">
        <v>1684</v>
      </c>
      <c r="F563" t="s">
        <v>225</v>
      </c>
    </row>
    <row r="564" spans="1:6">
      <c r="A564">
        <f>HYPERLINK("https://learning.oreilly.com/live-events/apache-airflow-technical-essentials/0636920457541/0636920083906", "0636920083906")</f>
        <v>0</v>
      </c>
      <c r="B564" t="s">
        <v>399</v>
      </c>
      <c r="C564" t="s">
        <v>400</v>
      </c>
      <c r="D564" t="s">
        <v>401</v>
      </c>
      <c r="E564" t="s">
        <v>1684</v>
      </c>
      <c r="F564" t="s">
        <v>403</v>
      </c>
    </row>
    <row r="565" spans="1:6">
      <c r="A565">
        <f>HYPERLINK("https://learning.oreilly.com/live-events/machine-learning-interviews-in-3-weeks/0636920080937/0636920080936", "0636920080936")</f>
        <v>0</v>
      </c>
      <c r="B565" t="s">
        <v>315</v>
      </c>
      <c r="C565" t="s">
        <v>1688</v>
      </c>
      <c r="D565" t="s">
        <v>1689</v>
      </c>
      <c r="E565" t="s">
        <v>1690</v>
      </c>
      <c r="F565" t="s">
        <v>424</v>
      </c>
    </row>
    <row r="566" spans="1:6">
      <c r="A566">
        <f>HYPERLINK("https://learning.oreilly.com/live-events/using-ansible-automation-platform-and-awx/0636920367628/0636920082891", "0636920082891")</f>
        <v>0</v>
      </c>
      <c r="B566" t="s">
        <v>124</v>
      </c>
      <c r="C566" t="s">
        <v>1691</v>
      </c>
      <c r="D566" t="s">
        <v>1692</v>
      </c>
      <c r="E566" t="s">
        <v>1684</v>
      </c>
      <c r="F566" t="s">
        <v>66</v>
      </c>
    </row>
    <row r="567" spans="1:6">
      <c r="A567">
        <f>HYPERLINK("https://learning.oreilly.com/live-events/ansible-in-4-hours/0636920123842/0636920082124", "0636920082124")</f>
        <v>0</v>
      </c>
      <c r="B567" t="s">
        <v>124</v>
      </c>
      <c r="C567" t="s">
        <v>1336</v>
      </c>
      <c r="D567" t="s">
        <v>1337</v>
      </c>
      <c r="E567" t="s">
        <v>1605</v>
      </c>
      <c r="F567" t="s">
        <v>66</v>
      </c>
    </row>
    <row r="568" spans="1:6">
      <c r="A568">
        <f>HYPERLINK("https://learning.oreilly.com/live-events/hands-on-aws-in-3-weeks/0636920057763/0636920082834", "0636920082834")</f>
        <v>0</v>
      </c>
      <c r="B568" t="s">
        <v>1363</v>
      </c>
      <c r="C568" t="s">
        <v>1364</v>
      </c>
      <c r="D568" t="s">
        <v>1365</v>
      </c>
      <c r="E568" t="s">
        <v>1693</v>
      </c>
      <c r="F568" t="s">
        <v>52</v>
      </c>
    </row>
    <row r="569" spans="1:6">
      <c r="A569">
        <f>HYPERLINK("https://learning.oreilly.com/live-events/getting-started-with-aws-lambda-automation/0636920071050/0636920083248", "0636920083248")</f>
        <v>0</v>
      </c>
      <c r="B569" t="s">
        <v>1694</v>
      </c>
      <c r="C569" t="s">
        <v>1695</v>
      </c>
      <c r="D569" t="s">
        <v>1696</v>
      </c>
      <c r="E569" t="s">
        <v>1697</v>
      </c>
      <c r="F569" t="s">
        <v>1698</v>
      </c>
    </row>
    <row r="570" spans="1:6">
      <c r="A570">
        <f>HYPERLINK("https://learning.oreilly.com/live-events/c-software-design/0636920078585/0636920078584", "0636920078584")</f>
        <v>0</v>
      </c>
      <c r="B570" t="s">
        <v>180</v>
      </c>
      <c r="C570" t="s">
        <v>872</v>
      </c>
      <c r="D570" t="s">
        <v>873</v>
      </c>
      <c r="E570" t="s">
        <v>1697</v>
      </c>
      <c r="F570" t="s">
        <v>326</v>
      </c>
    </row>
    <row r="571" spans="1:6">
      <c r="A571">
        <f>HYPERLINK("https://learning.oreilly.com/live-events/architecture-patterns-for-resilient-distributed-systems/0636920078186/0636920083058", "0636920083058")</f>
        <v>0</v>
      </c>
      <c r="B571" t="s">
        <v>943</v>
      </c>
      <c r="C571" t="s">
        <v>1699</v>
      </c>
      <c r="D571" t="s">
        <v>1700</v>
      </c>
      <c r="E571" t="s">
        <v>1701</v>
      </c>
      <c r="F571" t="s">
        <v>297</v>
      </c>
    </row>
    <row r="572" spans="1:6">
      <c r="A572">
        <f>HYPERLINK("https://learning.oreilly.com/live-events/hands-on-software-design/0636920059654/0636920083407", "0636920083407")</f>
        <v>0</v>
      </c>
      <c r="B572" t="s">
        <v>932</v>
      </c>
      <c r="C572" t="s">
        <v>933</v>
      </c>
      <c r="D572" t="s">
        <v>934</v>
      </c>
      <c r="E572" t="s">
        <v>1697</v>
      </c>
      <c r="F572" t="s">
        <v>935</v>
      </c>
    </row>
    <row r="573" spans="1:6">
      <c r="A573">
        <f>HYPERLINK("https://learning.oreilly.com/live-events/java-se-17-developer-1z0-829-crash-course/0636920079000/0636920083170", "0636920083170")</f>
        <v>0</v>
      </c>
      <c r="B573" t="s">
        <v>252</v>
      </c>
      <c r="C573" t="s">
        <v>298</v>
      </c>
      <c r="D573" t="s">
        <v>299</v>
      </c>
      <c r="E573" t="s">
        <v>1654</v>
      </c>
      <c r="F573" t="s">
        <v>301</v>
      </c>
    </row>
    <row r="574" spans="1:6">
      <c r="A574">
        <f>HYPERLINK("https://learning.oreilly.com/live-events/salesforce-development-fundamentals-in-3-weeks/0636920082168/0636920082167", "0636920082167")</f>
        <v>0</v>
      </c>
      <c r="B574" t="s">
        <v>1702</v>
      </c>
      <c r="C574" t="s">
        <v>1703</v>
      </c>
      <c r="D574" t="s">
        <v>1704</v>
      </c>
      <c r="E574" t="s">
        <v>1705</v>
      </c>
      <c r="F574" t="s">
        <v>1706</v>
      </c>
    </row>
    <row r="575" spans="1:6">
      <c r="A575">
        <f>HYPERLINK("https://learning.oreilly.com/live-events/build-your-critical-thinking-skills-in-3-weeks/0636920064650/0636920082434", "0636920082434")</f>
        <v>0</v>
      </c>
      <c r="B575" t="s">
        <v>673</v>
      </c>
      <c r="C575" t="s">
        <v>1707</v>
      </c>
      <c r="D575" t="s">
        <v>1708</v>
      </c>
      <c r="E575" t="s">
        <v>1705</v>
      </c>
      <c r="F575" t="s">
        <v>676</v>
      </c>
    </row>
    <row r="576" spans="1:6">
      <c r="A576">
        <f>HYPERLINK("https://learning.oreilly.com/live-events/microservices-in-3-weeks/0636920058477/0636920082812", "0636920082812")</f>
        <v>0</v>
      </c>
      <c r="B576" t="s">
        <v>429</v>
      </c>
      <c r="C576" t="s">
        <v>1709</v>
      </c>
      <c r="D576" t="s">
        <v>1710</v>
      </c>
      <c r="E576" t="s">
        <v>1705</v>
      </c>
      <c r="F576" t="s">
        <v>70</v>
      </c>
    </row>
    <row r="577" spans="1:6">
      <c r="A577">
        <f>HYPERLINK("https://learning.oreilly.com/live-events/understanding-business-strategy/0636920177616/0636920084771", "0636920084771")</f>
        <v>0</v>
      </c>
      <c r="B577" t="s">
        <v>634</v>
      </c>
      <c r="C577" t="s">
        <v>635</v>
      </c>
      <c r="D577" t="s">
        <v>636</v>
      </c>
      <c r="E577" t="s">
        <v>1654</v>
      </c>
      <c r="F577" t="s">
        <v>637</v>
      </c>
    </row>
    <row r="578" spans="1:6">
      <c r="A578">
        <f>HYPERLINK("https://learning.oreilly.com/live-events/github-actions-in-4-hours/0636920078758/0636920082824", "0636920082824")</f>
        <v>0</v>
      </c>
      <c r="B578" t="s">
        <v>1711</v>
      </c>
      <c r="C578" t="s">
        <v>1712</v>
      </c>
      <c r="D578" t="s">
        <v>1713</v>
      </c>
      <c r="E578" t="s">
        <v>1654</v>
      </c>
      <c r="F578" t="s">
        <v>1714</v>
      </c>
    </row>
    <row r="579" spans="1:6">
      <c r="A579">
        <f>HYPERLINK("https://learning.oreilly.com/live-events/hands-on-design-patterns/0636920080765/0636920082459", "0636920082459")</f>
        <v>0</v>
      </c>
      <c r="B579" t="s">
        <v>932</v>
      </c>
      <c r="C579" t="s">
        <v>1715</v>
      </c>
      <c r="D579" t="s">
        <v>1716</v>
      </c>
      <c r="E579" t="s">
        <v>1693</v>
      </c>
      <c r="F579" t="s">
        <v>1717</v>
      </c>
    </row>
    <row r="580" spans="1:6">
      <c r="A580">
        <f>HYPERLINK("https://learning.oreilly.com/live-events/java-full-throttle-with-paul-deitel-a-one-day-code-intensive-java-se-10-17-presentation/0636920162582/0636920082099", "0636920082099")</f>
        <v>0</v>
      </c>
      <c r="B580" t="s">
        <v>252</v>
      </c>
      <c r="C580" t="s">
        <v>1718</v>
      </c>
      <c r="D580" t="s">
        <v>1719</v>
      </c>
      <c r="E580" t="s">
        <v>1690</v>
      </c>
      <c r="F580" t="s">
        <v>183</v>
      </c>
    </row>
    <row r="581" spans="1:6">
      <c r="A581">
        <f>HYPERLINK("https://learning.oreilly.com/live-events/software-architecture-hour-the-future-of-software-engineering-with-grady-booch/0636920085745/0636920085744", "0636920085744")</f>
        <v>0</v>
      </c>
      <c r="B581" t="s">
        <v>96</v>
      </c>
      <c r="C581" t="s">
        <v>1720</v>
      </c>
      <c r="D581" t="s">
        <v>1720</v>
      </c>
      <c r="E581" t="s">
        <v>1690</v>
      </c>
      <c r="F581" t="s">
        <v>1721</v>
      </c>
    </row>
    <row r="582" spans="1:6">
      <c r="A582">
        <f>HYPERLINK("https://learning.oreilly.com/live-events/hands-on-nlp-with-transformers/0636920063159/0636920083234", "0636920083234")</f>
        <v>0</v>
      </c>
      <c r="B582" t="s">
        <v>717</v>
      </c>
      <c r="C582" t="s">
        <v>863</v>
      </c>
      <c r="D582" t="s">
        <v>864</v>
      </c>
      <c r="E582" t="s">
        <v>1693</v>
      </c>
      <c r="F582" t="s">
        <v>172</v>
      </c>
    </row>
    <row r="583" spans="1:6">
      <c r="A583">
        <f>HYPERLINK("https://learning.oreilly.com/live-events/infrastructure-ops-superstream-platform-engineering/0636920084412/0636920084411", "0636920084411")</f>
        <v>0</v>
      </c>
      <c r="B583" t="s">
        <v>740</v>
      </c>
      <c r="C583" t="s">
        <v>1722</v>
      </c>
      <c r="D583" t="s">
        <v>1723</v>
      </c>
      <c r="E583" t="s">
        <v>1693</v>
      </c>
      <c r="F583" t="s">
        <v>70</v>
      </c>
    </row>
    <row r="584" spans="1:6">
      <c r="A584">
        <f>HYPERLINK("https://learning.oreilly.com/live-events/introduction-to-algorithms-and-data-structureswith-interactivity/0636920306542/0636920082455", "0636920082455")</f>
        <v>0</v>
      </c>
      <c r="B584" t="s">
        <v>21</v>
      </c>
      <c r="C584" t="s">
        <v>1724</v>
      </c>
      <c r="D584" t="s">
        <v>1725</v>
      </c>
      <c r="E584" t="s">
        <v>1693</v>
      </c>
      <c r="F584" t="s">
        <v>1647</v>
      </c>
    </row>
    <row r="585" spans="1:6">
      <c r="A585">
        <f>HYPERLINK("https://learning.oreilly.com/live-events/hands-on-with-aws-s3/0636920066047/0636920083209", "0636920083209")</f>
        <v>0</v>
      </c>
      <c r="B585" t="s">
        <v>359</v>
      </c>
      <c r="C585" t="s">
        <v>1726</v>
      </c>
      <c r="D585" t="s">
        <v>1727</v>
      </c>
      <c r="E585" t="s">
        <v>1693</v>
      </c>
      <c r="F585" t="s">
        <v>218</v>
      </c>
    </row>
    <row r="586" spans="1:6">
      <c r="A586">
        <f>HYPERLINK("https://learning.oreilly.com/live-events/designing-well-architected-frameworks-in-two-weeks/0636920080225/0636920081443", "0636920081443")</f>
        <v>0</v>
      </c>
      <c r="B586" t="s">
        <v>96</v>
      </c>
      <c r="C586" t="s">
        <v>1728</v>
      </c>
      <c r="D586" t="s">
        <v>1729</v>
      </c>
      <c r="E586" t="s">
        <v>1730</v>
      </c>
      <c r="F586" t="s">
        <v>297</v>
      </c>
    </row>
    <row r="587" spans="1:6">
      <c r="A587">
        <f>HYPERLINK("https://learning.oreilly.com/live-events/aws-certified-solutions-architect-professional-sap-c02-crash-course/0636920060215/0636920082877", "0636920082877")</f>
        <v>0</v>
      </c>
      <c r="B587" t="s">
        <v>666</v>
      </c>
      <c r="C587" t="s">
        <v>1731</v>
      </c>
      <c r="D587" t="s">
        <v>668</v>
      </c>
      <c r="E587" t="s">
        <v>1732</v>
      </c>
      <c r="F587" t="s">
        <v>52</v>
      </c>
    </row>
    <row r="588" spans="1:6">
      <c r="A588">
        <f>HYPERLINK("https://learning.oreilly.com/live-events/software-development-hour-the-staff-engineers-path-with-tanya-reilly/0636920084459/0636920084458", "0636920084458")</f>
        <v>0</v>
      </c>
      <c r="B588" t="s">
        <v>654</v>
      </c>
      <c r="C588" t="s">
        <v>1733</v>
      </c>
      <c r="D588" t="s">
        <v>1734</v>
      </c>
      <c r="E588" t="s">
        <v>1732</v>
      </c>
      <c r="F588" t="s">
        <v>1735</v>
      </c>
    </row>
    <row r="589" spans="1:6">
      <c r="A589">
        <f>HYPERLINK("https://learning.oreilly.com/live-events/software-architecture-characteristics-defining-discovering-and-protecting-architecture/0636920282488/0636920082689", "0636920082689")</f>
        <v>0</v>
      </c>
      <c r="B589" t="s">
        <v>96</v>
      </c>
      <c r="C589" t="s">
        <v>1736</v>
      </c>
      <c r="D589" t="s">
        <v>1737</v>
      </c>
      <c r="E589" t="s">
        <v>1732</v>
      </c>
      <c r="F589" t="s">
        <v>100</v>
      </c>
    </row>
    <row r="590" spans="1:6">
      <c r="A590">
        <f>HYPERLINK("https://learning.oreilly.com/live-events/hands-on-transformers-for-computer-vision/0636920077361/0636920082180", "0636920082180")</f>
        <v>0</v>
      </c>
      <c r="B590" t="s">
        <v>717</v>
      </c>
      <c r="C590" t="s">
        <v>1738</v>
      </c>
      <c r="D590" t="s">
        <v>1739</v>
      </c>
      <c r="E590" t="s">
        <v>1740</v>
      </c>
      <c r="F590" t="s">
        <v>119</v>
      </c>
    </row>
    <row r="591" spans="1:6">
      <c r="A591">
        <f>HYPERLINK("https://learning.oreilly.com/live-events/scala-basics-in-4-hours/0636920081389/0636920081388", "0636920081388")</f>
        <v>0</v>
      </c>
      <c r="B591" t="s">
        <v>1113</v>
      </c>
      <c r="C591" t="s">
        <v>1741</v>
      </c>
      <c r="D591" t="s">
        <v>1742</v>
      </c>
      <c r="E591" t="s">
        <v>1740</v>
      </c>
      <c r="F591" t="s">
        <v>1743</v>
      </c>
    </row>
    <row r="592" spans="1:6">
      <c r="A592">
        <f>HYPERLINK("https://learning.oreilly.com/live-events/strategic-thinking-for-product-managers/0636920078182/0636920082086", "0636920082086")</f>
        <v>0</v>
      </c>
      <c r="B592" t="s">
        <v>1744</v>
      </c>
      <c r="C592" t="s">
        <v>1745</v>
      </c>
      <c r="D592" t="s">
        <v>1746</v>
      </c>
      <c r="E592" t="s">
        <v>1740</v>
      </c>
      <c r="F592" t="s">
        <v>1747</v>
      </c>
    </row>
    <row r="593" spans="1:6">
      <c r="A593">
        <f>HYPERLINK("https://learning.oreilly.com/live-events/hands-on-with-aws-ec2-and-ebs/0636920068551/0636920083204", "0636920083204")</f>
        <v>0</v>
      </c>
      <c r="B593" t="s">
        <v>332</v>
      </c>
      <c r="C593" t="s">
        <v>333</v>
      </c>
      <c r="D593" t="s">
        <v>334</v>
      </c>
      <c r="E593" t="s">
        <v>1705</v>
      </c>
      <c r="F593" t="s">
        <v>218</v>
      </c>
    </row>
    <row r="594" spans="1:6">
      <c r="A594">
        <f>HYPERLINK("https://learning.oreilly.com/live-events/apache-hadoop-spark-and-kafka-foundations-effective-data-pipelines/0636920360032/0636920083141", "0636920083141")</f>
        <v>0</v>
      </c>
      <c r="B594" t="s">
        <v>441</v>
      </c>
      <c r="C594" t="s">
        <v>1034</v>
      </c>
      <c r="D594" t="s">
        <v>1035</v>
      </c>
      <c r="E594" t="s">
        <v>1705</v>
      </c>
      <c r="F594" t="s">
        <v>1036</v>
      </c>
    </row>
    <row r="595" spans="1:6">
      <c r="A595">
        <f>HYPERLINK("https://learning.oreilly.com/live-events/hands-on-quality-code/0636920080499/0636920083400", "0636920083400")</f>
        <v>0</v>
      </c>
      <c r="B595" t="s">
        <v>283</v>
      </c>
      <c r="C595" t="s">
        <v>1748</v>
      </c>
      <c r="D595" t="s">
        <v>1749</v>
      </c>
      <c r="E595" t="s">
        <v>1730</v>
      </c>
      <c r="F595" t="s">
        <v>935</v>
      </c>
    </row>
    <row r="596" spans="1:6">
      <c r="A596">
        <f>HYPERLINK("https://learning.oreilly.com/live-events/practical-amazon-elastic-kubernetes-service-eks-for-the-real-world/0636920074620/0636920083154", "0636920083154")</f>
        <v>0</v>
      </c>
      <c r="B596" t="s">
        <v>574</v>
      </c>
      <c r="C596" t="s">
        <v>1750</v>
      </c>
      <c r="D596" t="s">
        <v>1751</v>
      </c>
      <c r="E596" t="s">
        <v>1730</v>
      </c>
      <c r="F596" t="s">
        <v>1752</v>
      </c>
    </row>
    <row r="597" spans="1:6">
      <c r="A597">
        <f>HYPERLINK("https://learning.oreilly.com/live-events/refactoring-for-continuous-delivery/0636920074785/0636920081953", "0636920081953")</f>
        <v>0</v>
      </c>
      <c r="B597" t="s">
        <v>1222</v>
      </c>
      <c r="C597" t="s">
        <v>1753</v>
      </c>
      <c r="D597" t="s">
        <v>1754</v>
      </c>
      <c r="E597" t="s">
        <v>1730</v>
      </c>
      <c r="F597" t="s">
        <v>1226</v>
      </c>
    </row>
    <row r="598" spans="1:6">
      <c r="A598">
        <f>HYPERLINK("https://learning.oreilly.com/live-events/aws-certified-database-specialty-crash-course/0636920403142/0636920081903", "0636920081903")</f>
        <v>0</v>
      </c>
      <c r="B598" t="s">
        <v>1755</v>
      </c>
      <c r="C598" t="s">
        <v>1756</v>
      </c>
      <c r="D598" t="s">
        <v>1757</v>
      </c>
      <c r="E598" t="s">
        <v>1758</v>
      </c>
      <c r="F598" t="s">
        <v>52</v>
      </c>
    </row>
    <row r="599" spans="1:6">
      <c r="A599">
        <f>HYPERLINK("https://learning.oreilly.com/live-events/helm-charts-with-kubernetes/0636920074683/0636920081682", "0636920081682")</f>
        <v>0</v>
      </c>
      <c r="B599" t="s">
        <v>1759</v>
      </c>
      <c r="C599" t="s">
        <v>1760</v>
      </c>
      <c r="D599" t="s">
        <v>1761</v>
      </c>
      <c r="E599" t="s">
        <v>1762</v>
      </c>
      <c r="F599" t="s">
        <v>205</v>
      </c>
    </row>
    <row r="600" spans="1:6">
      <c r="A600">
        <f>HYPERLINK("https://learning.oreilly.com/live-events/object-oriented-programming-in-python/0636920338673/0636920081721", "0636920081721")</f>
        <v>0</v>
      </c>
      <c r="B600" t="s">
        <v>21</v>
      </c>
      <c r="C600" t="s">
        <v>1763</v>
      </c>
      <c r="E600" t="s">
        <v>1764</v>
      </c>
      <c r="F600" t="s">
        <v>660</v>
      </c>
    </row>
    <row r="601" spans="1:6">
      <c r="A601">
        <f>HYPERLINK("https://learning.oreilly.com/live-events/data-lake-bootcamp-building-reliable-data-lakes-in-3-weeks/0636920080624/0636920080623", "0636920080623")</f>
        <v>0</v>
      </c>
      <c r="B601" t="s">
        <v>1306</v>
      </c>
      <c r="C601" t="s">
        <v>1765</v>
      </c>
      <c r="D601" t="s">
        <v>1766</v>
      </c>
      <c r="E601" t="s">
        <v>1767</v>
      </c>
      <c r="F601" t="s">
        <v>1534</v>
      </c>
    </row>
    <row r="602" spans="1:6">
      <c r="A602">
        <f>HYPERLINK("https://learning.oreilly.com/live-events/functional-programming-with-python-3/0636920376620/0636920421689", "0636920421689")</f>
        <v>0</v>
      </c>
      <c r="B602" t="s">
        <v>21</v>
      </c>
      <c r="C602" t="s">
        <v>1768</v>
      </c>
      <c r="D602" t="s">
        <v>1769</v>
      </c>
      <c r="E602" t="s">
        <v>1770</v>
      </c>
      <c r="F602" t="s">
        <v>15</v>
      </c>
    </row>
    <row r="603" spans="1:6">
      <c r="A603">
        <f>HYPERLINK("https://learning.oreilly.com/live-events/advanced-test-driven-development-tdd/0636920239543/0636920451211", "0636920451211")</f>
        <v>0</v>
      </c>
      <c r="B603" t="s">
        <v>1771</v>
      </c>
      <c r="C603" t="s">
        <v>1772</v>
      </c>
      <c r="E603" t="s">
        <v>1773</v>
      </c>
      <c r="F603" t="s">
        <v>437</v>
      </c>
    </row>
    <row r="604" spans="1:6">
      <c r="A604">
        <f>HYPERLINK("https://learning.oreilly.com/live-events/advanced-python-for-finance/0636920402664/0636920402657", "0636920402657")</f>
        <v>0</v>
      </c>
      <c r="B604" t="s">
        <v>21</v>
      </c>
      <c r="C604" t="s">
        <v>1774</v>
      </c>
      <c r="D604" t="s">
        <v>1775</v>
      </c>
      <c r="E604" t="s">
        <v>1776</v>
      </c>
      <c r="F604" t="s">
        <v>1777</v>
      </c>
    </row>
    <row r="605" spans="1:6">
      <c r="A605">
        <f>HYPERLINK("https://learning.oreilly.com/live-events/building-data-pipelines-with-cassandra-kafka-and-spark/0636920416746/0636920416739", "0636920416739")</f>
        <v>0</v>
      </c>
      <c r="B605" t="s">
        <v>1778</v>
      </c>
      <c r="C605" t="s">
        <v>1779</v>
      </c>
      <c r="D605" t="s">
        <v>1780</v>
      </c>
      <c r="E605" t="s">
        <v>1781</v>
      </c>
      <c r="F605" t="s">
        <v>1782</v>
      </c>
    </row>
    <row r="606" spans="1:6">
      <c r="A606">
        <f>HYPERLINK("https://learning.oreilly.com/live-events/clean-code/0636920194545/0636920447382", "0636920447382")</f>
        <v>0</v>
      </c>
      <c r="B606" t="s">
        <v>1043</v>
      </c>
      <c r="C606" t="s">
        <v>1043</v>
      </c>
      <c r="E606" t="s">
        <v>1783</v>
      </c>
      <c r="F606" t="s">
        <v>437</v>
      </c>
    </row>
    <row r="607" spans="1:6">
      <c r="A607">
        <f>HYPERLINK("https://learning.oreilly.com/live-events/python-for-finance-next-steps/0636920402640/0636920402633", "0636920402633")</f>
        <v>0</v>
      </c>
      <c r="B607" t="s">
        <v>21</v>
      </c>
      <c r="C607" t="s">
        <v>1784</v>
      </c>
      <c r="D607" t="s">
        <v>1785</v>
      </c>
      <c r="E607" t="s">
        <v>1786</v>
      </c>
      <c r="F607" t="s">
        <v>1777</v>
      </c>
    </row>
    <row r="608" spans="1:6">
      <c r="A608">
        <f>HYPERLINK("https://learning.oreilly.com/live-events/architecting-on-aws/0636920401070/0636920402596", "0636920402596")</f>
        <v>0</v>
      </c>
      <c r="B608" t="s">
        <v>1363</v>
      </c>
      <c r="C608" t="s">
        <v>1787</v>
      </c>
      <c r="D608" t="s">
        <v>1788</v>
      </c>
      <c r="E608" t="s">
        <v>1789</v>
      </c>
      <c r="F608" t="s">
        <v>1790</v>
      </c>
    </row>
    <row r="609" spans="1:6">
      <c r="A609">
        <f>HYPERLINK("https://learning.oreilly.com/live-events/mastering-pythons-pytest/0636920156246/0636920422013", "0636920422013")</f>
        <v>0</v>
      </c>
      <c r="B609" t="s">
        <v>1791</v>
      </c>
      <c r="C609" t="s">
        <v>1792</v>
      </c>
      <c r="D609" t="s">
        <v>1793</v>
      </c>
      <c r="E609" t="s">
        <v>1789</v>
      </c>
      <c r="F609" t="s">
        <v>1794</v>
      </c>
    </row>
    <row r="610" spans="1:6">
      <c r="A610">
        <f>HYPERLINK("https://learning.oreilly.com/live-events/mastering-patterns-in-event-driven-architecture/0636920440246/0636920422259", "0636920422259")</f>
        <v>0</v>
      </c>
      <c r="B610" t="s">
        <v>1405</v>
      </c>
      <c r="C610" t="s">
        <v>1406</v>
      </c>
      <c r="D610" t="s">
        <v>1407</v>
      </c>
      <c r="E610" t="s">
        <v>1795</v>
      </c>
      <c r="F610" t="s">
        <v>341</v>
      </c>
    </row>
    <row r="611" spans="1:6">
      <c r="A611">
        <f>HYPERLINK("https://learning.oreilly.com/live-events/getting-started-with-pythons-pytest/0636920156208/0636920421962", "0636920421962")</f>
        <v>0</v>
      </c>
      <c r="B611" t="s">
        <v>1791</v>
      </c>
      <c r="C611" t="s">
        <v>1796</v>
      </c>
      <c r="D611" t="s">
        <v>1797</v>
      </c>
      <c r="E611" t="s">
        <v>1798</v>
      </c>
      <c r="F611" t="s">
        <v>1794</v>
      </c>
    </row>
    <row r="612" spans="1:6">
      <c r="A612">
        <f>HYPERLINK("https://learning.oreilly.com/live-events/jupyter-notebook-foundations/0636920348535/0636920441373", "0636920441373")</f>
        <v>0</v>
      </c>
      <c r="B612" t="s">
        <v>1799</v>
      </c>
      <c r="C612" t="s">
        <v>1800</v>
      </c>
      <c r="D612" t="s">
        <v>1801</v>
      </c>
      <c r="E612" t="s">
        <v>1802</v>
      </c>
      <c r="F612" t="s">
        <v>1743</v>
      </c>
    </row>
    <row r="613" spans="1:6">
      <c r="A613">
        <f>HYPERLINK("https://learning.oreilly.com/live-events/database-design-for-any-it-professional/0636920436706/0636920449409", "0636920449409")</f>
        <v>0</v>
      </c>
      <c r="B613" t="s">
        <v>1803</v>
      </c>
      <c r="C613" t="s">
        <v>1804</v>
      </c>
      <c r="D613" t="s">
        <v>1805</v>
      </c>
      <c r="E613" t="s">
        <v>1806</v>
      </c>
      <c r="F613" t="s">
        <v>1807</v>
      </c>
    </row>
    <row r="614" spans="1:6">
      <c r="A614">
        <f>HYPERLINK("https://learning.oreilly.com/live-events/the-fundamentals-of-machine-learning-and-data-analytics/0636920288114/0636920447764", "0636920447764")</f>
        <v>0</v>
      </c>
      <c r="B614" t="s">
        <v>315</v>
      </c>
      <c r="C614" t="s">
        <v>1808</v>
      </c>
      <c r="E614" t="s">
        <v>1809</v>
      </c>
      <c r="F614" t="s">
        <v>542</v>
      </c>
    </row>
    <row r="615" spans="1:6">
      <c r="A615">
        <f>HYPERLINK("https://learning.oreilly.com/live-events/60-minutes-to-designing-a-better-powerpoint-slide/0636920054705/0636920076879", "0636920076879")</f>
        <v>0</v>
      </c>
      <c r="B615" t="s">
        <v>697</v>
      </c>
      <c r="C615" t="s">
        <v>1810</v>
      </c>
      <c r="D615" t="s">
        <v>1811</v>
      </c>
      <c r="E615" t="s">
        <v>1812</v>
      </c>
      <c r="F615" t="s">
        <v>155</v>
      </c>
    </row>
    <row r="616" spans="1:6">
      <c r="A616">
        <f>HYPERLINK("https://learning.oreilly.com/live-events/introduction-to-strategic-thinking-skills/0636920177579/0636920075251", "0636920075251")</f>
        <v>0</v>
      </c>
      <c r="B616" t="s">
        <v>1744</v>
      </c>
      <c r="C616" t="s">
        <v>1813</v>
      </c>
      <c r="D616" t="s">
        <v>1814</v>
      </c>
      <c r="E616" t="s">
        <v>1815</v>
      </c>
      <c r="F616" t="s">
        <v>1816</v>
      </c>
    </row>
    <row r="617" spans="1:6">
      <c r="A617">
        <f>HYPERLINK("https://learning.oreilly.com/live-events/design-patterns-in-java-deep-dive/0636920391081/0636920075367", "0636920075367")</f>
        <v>0</v>
      </c>
      <c r="B617" t="s">
        <v>252</v>
      </c>
      <c r="C617" t="s">
        <v>1323</v>
      </c>
      <c r="D617" t="s">
        <v>1324</v>
      </c>
      <c r="E617" t="s">
        <v>1817</v>
      </c>
      <c r="F617" t="s">
        <v>589</v>
      </c>
    </row>
    <row r="618" spans="1:6">
      <c r="A618">
        <f>HYPERLINK("https://learning.oreilly.com/live-events/build-a-robust-data-pipeline-with-airflow-dbt-and-great-expectationswith-interactivity/0636920058631/0636920077356", "0636920077356")</f>
        <v>0</v>
      </c>
      <c r="B618" t="s">
        <v>441</v>
      </c>
      <c r="C618" t="s">
        <v>1818</v>
      </c>
      <c r="D618" t="s">
        <v>1819</v>
      </c>
      <c r="E618" t="s">
        <v>1820</v>
      </c>
      <c r="F618" t="s">
        <v>890</v>
      </c>
    </row>
    <row r="619" spans="1:6">
      <c r="A619">
        <f>HYPERLINK("https://learning.oreilly.com/live-events/data-superstream-building-data-pipelines-and-connectivity/0636920064968/0636920064967", "0636920064967")</f>
        <v>0</v>
      </c>
      <c r="B619" t="s">
        <v>441</v>
      </c>
      <c r="C619" t="s">
        <v>1821</v>
      </c>
      <c r="E619" t="s">
        <v>1820</v>
      </c>
      <c r="F619" t="s">
        <v>114</v>
      </c>
    </row>
    <row r="620" spans="1:6">
      <c r="A620">
        <f>HYPERLINK("https://learning.oreilly.com/live-events/azure-fundamentals-az-900-bootcamp/0636920061258/0636920077340", "0636920077340")</f>
        <v>0</v>
      </c>
      <c r="B620" t="s">
        <v>1037</v>
      </c>
      <c r="C620" t="s">
        <v>1038</v>
      </c>
      <c r="D620" t="s">
        <v>1039</v>
      </c>
      <c r="E620" t="s">
        <v>1822</v>
      </c>
      <c r="F620" t="s">
        <v>166</v>
      </c>
    </row>
    <row r="621" spans="1:6">
      <c r="A621">
        <f>HYPERLINK("https://learning.oreilly.com/live-events/tableau-for-data-visualizations/0636920071407/0636920071406", "0636920071406")</f>
        <v>0</v>
      </c>
      <c r="B621" t="s">
        <v>1823</v>
      </c>
      <c r="C621" t="s">
        <v>1824</v>
      </c>
      <c r="D621" t="s">
        <v>1825</v>
      </c>
      <c r="E621" t="s">
        <v>1826</v>
      </c>
      <c r="F621" t="s">
        <v>1454</v>
      </c>
    </row>
    <row r="622" spans="1:6">
      <c r="A622">
        <f>HYPERLINK("https://learning.oreilly.com/live-events/introduction-to-machine-learning-for-algorithmic-trading/0636920376668/0636920075140", "0636920075140")</f>
        <v>0</v>
      </c>
      <c r="B622" t="s">
        <v>315</v>
      </c>
      <c r="C622" t="s">
        <v>1509</v>
      </c>
      <c r="D622" t="s">
        <v>1510</v>
      </c>
      <c r="E622" t="s">
        <v>1827</v>
      </c>
      <c r="F622" t="s">
        <v>1157</v>
      </c>
    </row>
    <row r="623" spans="1:6">
      <c r="A623">
        <f>HYPERLINK("https://learning.oreilly.com/live-events/certified-kubernetes-application-developer-crash-course-ckad/0636920329183/0636920073480", "0636920073480")</f>
        <v>0</v>
      </c>
      <c r="B623" t="s">
        <v>290</v>
      </c>
      <c r="C623" t="s">
        <v>1828</v>
      </c>
      <c r="D623" t="s">
        <v>135</v>
      </c>
      <c r="E623" t="s">
        <v>1829</v>
      </c>
      <c r="F623" t="s">
        <v>137</v>
      </c>
    </row>
    <row r="624" spans="1:6">
      <c r="A624">
        <f>HYPERLINK("https://learning.oreilly.com/live-events/getting-started-with-elasticsearch/0636920060292/0636920072690", "0636920072690")</f>
        <v>0</v>
      </c>
      <c r="B624" t="s">
        <v>1830</v>
      </c>
      <c r="C624" t="s">
        <v>1831</v>
      </c>
      <c r="D624" t="s">
        <v>1832</v>
      </c>
      <c r="E624" t="s">
        <v>1833</v>
      </c>
      <c r="F624" t="s">
        <v>434</v>
      </c>
    </row>
    <row r="625" spans="1:6">
      <c r="A625">
        <f>HYPERLINK("https://learning.oreilly.com/live-events/spring-for-architects/0636920055604/0636920074919", "0636920074919")</f>
        <v>0</v>
      </c>
      <c r="B625" t="s">
        <v>1668</v>
      </c>
      <c r="C625" t="s">
        <v>1834</v>
      </c>
      <c r="E625" t="s">
        <v>1835</v>
      </c>
      <c r="F625" t="s">
        <v>1836</v>
      </c>
    </row>
    <row r="626" spans="1:6">
      <c r="A626">
        <f>HYPERLINK("https://learning.oreilly.com/live-events/spring-data-fundamentals/0636920060988/0636920074989", "0636920074989")</f>
        <v>0</v>
      </c>
      <c r="B626" t="s">
        <v>1837</v>
      </c>
      <c r="C626" t="s">
        <v>1838</v>
      </c>
      <c r="D626" t="s">
        <v>1839</v>
      </c>
      <c r="E626" t="s">
        <v>1840</v>
      </c>
      <c r="F626" t="s">
        <v>569</v>
      </c>
    </row>
    <row r="627" spans="1:6">
      <c r="A627">
        <f>HYPERLINK("https://learning.oreilly.com/live-events/data-engineering-and-ml-pipelines-with-python/0636920075531/0636920075530", "0636920075530")</f>
        <v>0</v>
      </c>
      <c r="B627" t="s">
        <v>21</v>
      </c>
      <c r="C627" t="s">
        <v>1841</v>
      </c>
      <c r="D627" t="s">
        <v>1842</v>
      </c>
      <c r="E627" t="s">
        <v>1843</v>
      </c>
      <c r="F627" t="s">
        <v>318</v>
      </c>
    </row>
    <row r="628" spans="1:6">
      <c r="A628">
        <f>HYPERLINK("https://learning.oreilly.com/live-events/hands-on-algorithmic-trading-with-python/0636920267645/0636920075135", "0636920075135")</f>
        <v>0</v>
      </c>
      <c r="B628" t="s">
        <v>1480</v>
      </c>
      <c r="C628" t="s">
        <v>1481</v>
      </c>
      <c r="D628" t="s">
        <v>1482</v>
      </c>
      <c r="E628" t="s">
        <v>1844</v>
      </c>
      <c r="F628" t="s">
        <v>1157</v>
      </c>
    </row>
    <row r="629" spans="1:6">
      <c r="A629">
        <f>HYPERLINK("https://learning.oreilly.com/live-events/domain-driven-design-boot-camp/0636920072004/0636920073493", "0636920073493")</f>
        <v>0</v>
      </c>
      <c r="B629" t="s">
        <v>378</v>
      </c>
      <c r="C629" t="s">
        <v>1845</v>
      </c>
      <c r="D629" t="s">
        <v>1846</v>
      </c>
      <c r="E629" t="s">
        <v>1847</v>
      </c>
      <c r="F629" t="s">
        <v>1848</v>
      </c>
    </row>
    <row r="630" spans="1:6">
      <c r="A630">
        <f>HYPERLINK("https://learning.oreilly.com/live-events/web-application-security-fundamentals/0636920508793/0636920074438", "0636920074438")</f>
        <v>0</v>
      </c>
      <c r="B630" t="s">
        <v>989</v>
      </c>
      <c r="C630" t="s">
        <v>1849</v>
      </c>
      <c r="D630" t="s">
        <v>1850</v>
      </c>
      <c r="E630" t="s">
        <v>1851</v>
      </c>
      <c r="F630" t="s">
        <v>1852</v>
      </c>
    </row>
    <row r="631" spans="1:6">
      <c r="A631">
        <f>HYPERLINK("https://learning.oreilly.com/live-events/kubernetes-intermediate-in-3-weekswith-interactivity/0636920056954/0636920072469", "0636920072469")</f>
        <v>0</v>
      </c>
      <c r="B631" t="s">
        <v>574</v>
      </c>
      <c r="C631" t="s">
        <v>677</v>
      </c>
      <c r="D631" t="s">
        <v>678</v>
      </c>
      <c r="E631" t="s">
        <v>1853</v>
      </c>
      <c r="F631" t="s">
        <v>679</v>
      </c>
    </row>
    <row r="632" spans="1:6">
      <c r="A632">
        <f>HYPERLINK("https://learning.oreilly.com/live-events/event-driven-architecture-and-data/0636920053458/0636920072384", "0636920072384")</f>
        <v>0</v>
      </c>
      <c r="B632" t="s">
        <v>96</v>
      </c>
      <c r="C632" t="s">
        <v>646</v>
      </c>
      <c r="D632" t="s">
        <v>647</v>
      </c>
      <c r="E632" t="s">
        <v>1854</v>
      </c>
      <c r="F632" t="s">
        <v>648</v>
      </c>
    </row>
    <row r="633" spans="1:6">
      <c r="A633">
        <f>HYPERLINK("https://learning.oreilly.com/live-events/aws-web-application-development/0636920065519/0636920073047", "0636920073047")</f>
        <v>0</v>
      </c>
      <c r="B633" t="s">
        <v>484</v>
      </c>
      <c r="C633" t="s">
        <v>1855</v>
      </c>
      <c r="D633" t="s">
        <v>1856</v>
      </c>
      <c r="E633" t="s">
        <v>1857</v>
      </c>
      <c r="F633" t="s">
        <v>1077</v>
      </c>
    </row>
    <row r="634" spans="1:6">
      <c r="A634">
        <f>HYPERLINK("https://learning.oreilly.com/live-events/functional-programming-in-java/0636920071136/0636920073670", "0636920073670")</f>
        <v>0</v>
      </c>
      <c r="B634" t="s">
        <v>252</v>
      </c>
      <c r="C634" t="s">
        <v>1060</v>
      </c>
      <c r="D634" t="s">
        <v>1061</v>
      </c>
      <c r="E634" t="s">
        <v>1858</v>
      </c>
      <c r="F634" t="s">
        <v>569</v>
      </c>
    </row>
    <row r="635" spans="1:6">
      <c r="A635">
        <f>HYPERLINK("https://learning.oreilly.com/live-events/python-for-excel-users-first-steps/0636920463214/0636920072907", "0636920072907")</f>
        <v>0</v>
      </c>
      <c r="B635" t="s">
        <v>21</v>
      </c>
      <c r="C635" t="s">
        <v>1859</v>
      </c>
      <c r="E635" t="s">
        <v>1853</v>
      </c>
      <c r="F635" t="s">
        <v>693</v>
      </c>
    </row>
    <row r="636" spans="1:6">
      <c r="A636">
        <f>HYPERLINK("https://learning.oreilly.com/live-events/terraform-and-aws-serverless-in-4-hours/0636920072276/0636920072275", "0636920072275")</f>
        <v>0</v>
      </c>
      <c r="B636" t="s">
        <v>138</v>
      </c>
      <c r="C636" t="s">
        <v>1860</v>
      </c>
      <c r="D636" t="s">
        <v>1861</v>
      </c>
      <c r="E636" t="s">
        <v>1858</v>
      </c>
      <c r="F636" t="s">
        <v>1862</v>
      </c>
    </row>
    <row r="637" spans="1:6">
      <c r="A637">
        <f>HYPERLINK("https://learning.oreilly.com/live-events/aws-security-deep-dive-vpcs-networking-and-ddos-mitigation/0636920072958/0636920072957", "0636920072957")</f>
        <v>0</v>
      </c>
      <c r="B637" t="s">
        <v>214</v>
      </c>
      <c r="C637" t="s">
        <v>215</v>
      </c>
      <c r="D637" t="s">
        <v>216</v>
      </c>
      <c r="E637" t="s">
        <v>1863</v>
      </c>
      <c r="F637" t="s">
        <v>218</v>
      </c>
    </row>
    <row r="638" spans="1:6">
      <c r="A638">
        <f>HYPERLINK("https://learning.oreilly.com/live-events/software-architecture-by-example/0636920261797/0636920074248", "0636920074248")</f>
        <v>0</v>
      </c>
      <c r="B638" t="s">
        <v>96</v>
      </c>
      <c r="C638" t="s">
        <v>1388</v>
      </c>
      <c r="D638" t="s">
        <v>1389</v>
      </c>
      <c r="E638" t="s">
        <v>1864</v>
      </c>
      <c r="F638" t="s">
        <v>1169</v>
      </c>
    </row>
    <row r="639" spans="1:6">
      <c r="A639">
        <f>HYPERLINK("https://learning.oreilly.com/live-events/mastering-elasticsearch/0636920060295/0636920072694", "0636920072694")</f>
        <v>0</v>
      </c>
      <c r="B639" t="s">
        <v>1830</v>
      </c>
      <c r="C639" t="s">
        <v>1865</v>
      </c>
      <c r="D639" t="s">
        <v>1866</v>
      </c>
      <c r="E639" t="s">
        <v>1867</v>
      </c>
      <c r="F639" t="s">
        <v>434</v>
      </c>
    </row>
    <row r="640" spans="1:6">
      <c r="A640">
        <f>HYPERLINK("https://learning.oreilly.com/live-events/transforming-excel-analysis-into-python-and-pandas-data-models/0636920448181/0636920071701", "0636920071701")</f>
        <v>0</v>
      </c>
      <c r="B640" t="s">
        <v>820</v>
      </c>
      <c r="C640" t="s">
        <v>1868</v>
      </c>
      <c r="D640" t="s">
        <v>1869</v>
      </c>
      <c r="E640" t="s">
        <v>1870</v>
      </c>
      <c r="F640" t="s">
        <v>213</v>
      </c>
    </row>
    <row r="641" spans="1:6">
      <c r="A641">
        <f>HYPERLINK("https://learning.oreilly.com/live-events/data-engineering-for-data-scientists/0636920062376/0636920072758", "0636920072758")</f>
        <v>0</v>
      </c>
      <c r="B641" t="s">
        <v>441</v>
      </c>
      <c r="C641" t="s">
        <v>1871</v>
      </c>
      <c r="D641" t="s">
        <v>1872</v>
      </c>
      <c r="E641" t="s">
        <v>1873</v>
      </c>
      <c r="F641" t="s">
        <v>1874</v>
      </c>
    </row>
    <row r="642" spans="1:6">
      <c r="A642">
        <f>HYPERLINK("https://learning.oreilly.com/live-events/ai-superstream-nlp-in-production/0636920064955/0636920064953", "0636920064953")</f>
        <v>0</v>
      </c>
      <c r="B642" t="s">
        <v>16</v>
      </c>
      <c r="C642" t="s">
        <v>1875</v>
      </c>
      <c r="E642" t="s">
        <v>1876</v>
      </c>
      <c r="F642" t="s">
        <v>1877</v>
      </c>
    </row>
    <row r="643" spans="1:6">
      <c r="A643">
        <f>HYPERLINK("https://learning.oreilly.com/live-events/better-business-writing/0636920260493/0636920070589", "0636920070589")</f>
        <v>0</v>
      </c>
      <c r="B643" t="s">
        <v>515</v>
      </c>
      <c r="C643" t="s">
        <v>1878</v>
      </c>
      <c r="D643" t="s">
        <v>1879</v>
      </c>
      <c r="E643" t="s">
        <v>1876</v>
      </c>
      <c r="F643" t="s">
        <v>1880</v>
      </c>
    </row>
    <row r="644" spans="1:6">
      <c r="A644">
        <f>HYPERLINK("https://learning.oreilly.com/live-events/mongodb-fundamentals/0636920478454/0636920072486", "0636920072486")</f>
        <v>0</v>
      </c>
      <c r="B644" t="s">
        <v>1881</v>
      </c>
      <c r="C644" t="s">
        <v>1882</v>
      </c>
      <c r="D644" t="s">
        <v>1883</v>
      </c>
      <c r="E644" t="s">
        <v>1884</v>
      </c>
      <c r="F644" t="s">
        <v>1885</v>
      </c>
    </row>
    <row r="645" spans="1:6">
      <c r="A645">
        <f>HYPERLINK("https://learning.oreilly.com/live-events/hands-on-java-essentials-in-3-weeks/0636920070233/0636920070232", "0636920070232")</f>
        <v>0</v>
      </c>
      <c r="B645" t="s">
        <v>1886</v>
      </c>
      <c r="C645" t="s">
        <v>1887</v>
      </c>
      <c r="D645" t="s">
        <v>1888</v>
      </c>
      <c r="E645" t="s">
        <v>1889</v>
      </c>
      <c r="F645" t="s">
        <v>301</v>
      </c>
    </row>
    <row r="646" spans="1:6">
      <c r="A646">
        <f>HYPERLINK("https://learning.oreilly.com/live-events/modeling-complex-enterprise-data/0636920062012/0636920070800", "0636920070800")</f>
        <v>0</v>
      </c>
      <c r="B646" t="s">
        <v>1890</v>
      </c>
      <c r="C646" t="s">
        <v>1891</v>
      </c>
      <c r="D646" t="s">
        <v>1892</v>
      </c>
      <c r="E646" t="s">
        <v>1893</v>
      </c>
      <c r="F646" t="s">
        <v>1894</v>
      </c>
    </row>
    <row r="647" spans="1:6">
      <c r="A647">
        <f>HYPERLINK("https://learning.oreilly.com/live-events/analyze-and-process-data-with-databricks/0636920070796/0636920070794", "0636920070794")</f>
        <v>0</v>
      </c>
      <c r="B647" t="s">
        <v>1895</v>
      </c>
      <c r="C647" t="s">
        <v>1896</v>
      </c>
      <c r="D647" t="s">
        <v>1897</v>
      </c>
      <c r="E647" t="s">
        <v>1898</v>
      </c>
      <c r="F647" t="s">
        <v>607</v>
      </c>
    </row>
    <row r="648" spans="1:6">
      <c r="A648">
        <f>HYPERLINK("https://learning.oreilly.com/live-events/getting-started-with-kafka/0636920070697/0636920070695", "0636920070695")</f>
        <v>0</v>
      </c>
      <c r="B648" t="s">
        <v>1393</v>
      </c>
      <c r="C648" t="s">
        <v>1394</v>
      </c>
      <c r="D648" t="s">
        <v>1395</v>
      </c>
      <c r="E648" t="s">
        <v>1899</v>
      </c>
      <c r="F648" t="s">
        <v>1036</v>
      </c>
    </row>
    <row r="649" spans="1:6">
      <c r="A649">
        <f>HYPERLINK("https://learning.oreilly.com/live-events/graph-powered-machine-learning-first-steps/0636920479369/0636920071114", "0636920071114")</f>
        <v>0</v>
      </c>
      <c r="B649" t="s">
        <v>315</v>
      </c>
      <c r="C649" t="s">
        <v>1900</v>
      </c>
      <c r="D649" t="s">
        <v>1901</v>
      </c>
      <c r="E649" t="s">
        <v>1902</v>
      </c>
      <c r="F649" t="s">
        <v>1903</v>
      </c>
    </row>
    <row r="650" spans="1:6">
      <c r="A650">
        <f>HYPERLINK("https://learning.oreilly.com/live-events/introduction-to-critical-thinking/0636920056299/0636920067931", "0636920067931")</f>
        <v>0</v>
      </c>
      <c r="B650" t="s">
        <v>673</v>
      </c>
      <c r="C650" t="s">
        <v>1904</v>
      </c>
      <c r="D650" t="s">
        <v>1905</v>
      </c>
      <c r="E650" t="s">
        <v>1906</v>
      </c>
      <c r="F650" t="s">
        <v>676</v>
      </c>
    </row>
    <row r="651" spans="1:6">
      <c r="A651">
        <f>HYPERLINK("https://learning.oreilly.com/live-events/modern-java-exception-handling/0636920215950/0636920070355", "0636920070355")</f>
        <v>0</v>
      </c>
      <c r="B651" t="s">
        <v>252</v>
      </c>
      <c r="C651" t="s">
        <v>1042</v>
      </c>
      <c r="E651" t="s">
        <v>1907</v>
      </c>
      <c r="F651" t="s">
        <v>301</v>
      </c>
    </row>
    <row r="652" spans="1:6">
      <c r="A652">
        <f>HYPERLINK("https://learning.oreilly.com/live-events/c-essentials-templates/0636920056819/0636920067045", "0636920067045")</f>
        <v>0</v>
      </c>
      <c r="B652" t="s">
        <v>180</v>
      </c>
      <c r="C652" t="s">
        <v>1047</v>
      </c>
      <c r="D652" t="s">
        <v>1048</v>
      </c>
      <c r="E652" t="s">
        <v>1908</v>
      </c>
      <c r="F652" t="s">
        <v>326</v>
      </c>
    </row>
    <row r="653" spans="1:6">
      <c r="A653">
        <f>HYPERLINK("https://learning.oreilly.com/live-events/testing-react-applications/0636920069591/0636920069590", "0636920069590")</f>
        <v>0</v>
      </c>
      <c r="B653" t="s">
        <v>173</v>
      </c>
      <c r="C653" t="s">
        <v>1909</v>
      </c>
      <c r="D653" t="s">
        <v>1229</v>
      </c>
      <c r="E653" t="s">
        <v>1910</v>
      </c>
      <c r="F653" t="s">
        <v>1911</v>
      </c>
    </row>
    <row r="654" spans="1:6">
      <c r="A654">
        <f>HYPERLINK("https://learning.oreilly.com/live-events/artificial-intelligence-ai-for-business/0636920147244/0636920071317", "0636920071317")</f>
        <v>0</v>
      </c>
      <c r="B654" t="s">
        <v>86</v>
      </c>
      <c r="C654" t="s">
        <v>1912</v>
      </c>
      <c r="E654" t="s">
        <v>1913</v>
      </c>
      <c r="F654" t="s">
        <v>356</v>
      </c>
    </row>
    <row r="655" spans="1:6">
      <c r="A655">
        <f>HYPERLINK("https://learning.oreilly.com/live-events/linear-regression-with-python-essential-math-for-machine-learningwith-interactivity/0636920065004/0636920070473", "0636920070473")</f>
        <v>0</v>
      </c>
      <c r="B655" t="s">
        <v>315</v>
      </c>
      <c r="C655" t="s">
        <v>1914</v>
      </c>
      <c r="D655" t="s">
        <v>1915</v>
      </c>
      <c r="E655" t="s">
        <v>1916</v>
      </c>
      <c r="F655" t="s">
        <v>1917</v>
      </c>
    </row>
    <row r="656" spans="1:6">
      <c r="A656">
        <f>HYPERLINK("https://learning.oreilly.com/live-events/business-applications-of-blockchain/0636920283430/0636920069037", "0636920069037")</f>
        <v>0</v>
      </c>
      <c r="B656" t="s">
        <v>120</v>
      </c>
      <c r="C656" t="s">
        <v>1918</v>
      </c>
      <c r="D656" t="s">
        <v>1919</v>
      </c>
      <c r="E656" t="s">
        <v>1920</v>
      </c>
      <c r="F656" t="s">
        <v>90</v>
      </c>
    </row>
    <row r="657" spans="1:6">
      <c r="A657">
        <f>HYPERLINK("https://learning.oreilly.com/live-events/microservices-data-decomposition/0636920248385/0636920064789", "0636920064789")</f>
        <v>0</v>
      </c>
      <c r="B657" t="s">
        <v>429</v>
      </c>
      <c r="C657" t="s">
        <v>1029</v>
      </c>
      <c r="D657" t="s">
        <v>1030</v>
      </c>
      <c r="E657" t="s">
        <v>1921</v>
      </c>
      <c r="F657" t="s">
        <v>70</v>
      </c>
    </row>
    <row r="658" spans="1:6">
      <c r="A658">
        <f>HYPERLINK("https://learning.oreilly.com/live-events/how-to-give-great-presentations/0636920054691/0636920069365", "0636920069365")</f>
        <v>0</v>
      </c>
      <c r="B658" t="s">
        <v>697</v>
      </c>
      <c r="C658" t="s">
        <v>1390</v>
      </c>
      <c r="D658" t="s">
        <v>1391</v>
      </c>
      <c r="E658" t="s">
        <v>1922</v>
      </c>
      <c r="F658" t="s">
        <v>155</v>
      </c>
    </row>
    <row r="659" spans="1:6">
      <c r="A659">
        <f>HYPERLINK("https://learning.oreilly.com/live-events/python-data-science-full-throttle-with-paul-deitel-introductory-ai-big-data-and-cloud-case-studies/0636920289197/0636920068414", "0636920068414")</f>
        <v>0</v>
      </c>
      <c r="B659" t="s">
        <v>25</v>
      </c>
      <c r="C659" t="s">
        <v>1923</v>
      </c>
      <c r="D659" t="s">
        <v>1924</v>
      </c>
      <c r="E659" t="s">
        <v>1922</v>
      </c>
      <c r="F659" t="s">
        <v>183</v>
      </c>
    </row>
    <row r="660" spans="1:6">
      <c r="A660">
        <f>HYPERLINK("https://learning.oreilly.com/live-events/refactoring-to-java-streams-and-lambdas/0636920507567/0636920068827", "0636920068827")</f>
        <v>0</v>
      </c>
      <c r="B660" t="s">
        <v>1925</v>
      </c>
      <c r="C660" t="s">
        <v>1926</v>
      </c>
      <c r="D660" t="s">
        <v>1927</v>
      </c>
      <c r="E660" t="s">
        <v>1928</v>
      </c>
      <c r="F660" t="s">
        <v>589</v>
      </c>
    </row>
    <row r="661" spans="1:6">
      <c r="A661">
        <f>HYPERLINK("https://learning.oreilly.com/live-events/webassembly-first-steps/0636920385097/0636920069088", "0636920069088")</f>
        <v>0</v>
      </c>
      <c r="B661" t="s">
        <v>1372</v>
      </c>
      <c r="C661" t="s">
        <v>1929</v>
      </c>
      <c r="D661" t="s">
        <v>1930</v>
      </c>
      <c r="E661" t="s">
        <v>1931</v>
      </c>
      <c r="F661" t="s">
        <v>1932</v>
      </c>
    </row>
    <row r="662" spans="1:6">
      <c r="A662">
        <f>HYPERLINK("https://learning.oreilly.com/live-events/java-microservices-with-spring-in-3-weeks/0636920064934/0636920064933", "0636920064933")</f>
        <v>0</v>
      </c>
      <c r="B662" t="s">
        <v>596</v>
      </c>
      <c r="C662" t="s">
        <v>597</v>
      </c>
      <c r="D662" t="s">
        <v>598</v>
      </c>
      <c r="E662" t="s">
        <v>1933</v>
      </c>
      <c r="F662" t="s">
        <v>366</v>
      </c>
    </row>
    <row r="663" spans="1:6">
      <c r="A663">
        <f>HYPERLINK("https://learning.oreilly.com/live-events/intermediate-sql-for-data-analysis/0636920099789/0636920066770", "0636920066770")</f>
        <v>0</v>
      </c>
      <c r="B663" t="s">
        <v>1104</v>
      </c>
      <c r="C663" t="s">
        <v>1934</v>
      </c>
      <c r="D663" t="s">
        <v>1935</v>
      </c>
      <c r="E663" t="s">
        <v>1936</v>
      </c>
      <c r="F663" t="s">
        <v>29</v>
      </c>
    </row>
    <row r="664" spans="1:6">
      <c r="A664">
        <f>HYPERLINK("https://learning.oreilly.com/live-events/essential-math-for-data-science-in-6-weekswith-interactivity/0636920055929/0636920063064", "0636920063064")</f>
        <v>0</v>
      </c>
      <c r="B664" t="s">
        <v>832</v>
      </c>
      <c r="C664" t="s">
        <v>1937</v>
      </c>
      <c r="D664" t="s">
        <v>27</v>
      </c>
      <c r="E664" t="s">
        <v>1938</v>
      </c>
      <c r="F664" t="s">
        <v>29</v>
      </c>
    </row>
    <row r="665" spans="1:6">
      <c r="A665">
        <f>HYPERLINK("https://learning.oreilly.com/live-events/memory-efficient-java/0636920457060/0636920068450", "0636920068450")</f>
        <v>0</v>
      </c>
      <c r="B665" t="s">
        <v>252</v>
      </c>
      <c r="C665" t="s">
        <v>308</v>
      </c>
      <c r="D665" t="s">
        <v>309</v>
      </c>
      <c r="E665" t="s">
        <v>1939</v>
      </c>
      <c r="F665" t="s">
        <v>310</v>
      </c>
    </row>
    <row r="666" spans="1:6">
      <c r="A666">
        <f>HYPERLINK("https://learning.oreilly.com/live-events/integration-testing-with-docker-and-testcontainers/0636920063105/0636920069609", "0636920069609")</f>
        <v>0</v>
      </c>
      <c r="B666" t="s">
        <v>1461</v>
      </c>
      <c r="C666" t="s">
        <v>1940</v>
      </c>
      <c r="D666" t="s">
        <v>1941</v>
      </c>
      <c r="E666" t="s">
        <v>1942</v>
      </c>
      <c r="F666" t="s">
        <v>137</v>
      </c>
    </row>
    <row r="667" spans="1:6">
      <c r="A667">
        <f>HYPERLINK("https://learning.oreilly.com/live-events/kubernetes-microservices-testing-techniqueswith-interactivity/0636920055599/0636920069783", "0636920069783")</f>
        <v>0</v>
      </c>
      <c r="B667" t="s">
        <v>574</v>
      </c>
      <c r="C667" t="s">
        <v>1943</v>
      </c>
      <c r="D667" t="s">
        <v>1944</v>
      </c>
      <c r="E667" t="s">
        <v>1945</v>
      </c>
      <c r="F667" t="s">
        <v>679</v>
      </c>
    </row>
    <row r="668" spans="1:6">
      <c r="A668">
        <f>HYPERLINK("https://learning.oreilly.com/live-events/java-testing-with-mockito-and-the-hamcrest-matchers/0636920180777/0636920068292", "0636920068292")</f>
        <v>0</v>
      </c>
      <c r="B668" t="s">
        <v>1946</v>
      </c>
      <c r="C668" t="s">
        <v>1947</v>
      </c>
      <c r="D668" t="s">
        <v>1948</v>
      </c>
      <c r="E668" t="s">
        <v>1949</v>
      </c>
      <c r="F668" t="s">
        <v>569</v>
      </c>
    </row>
    <row r="669" spans="1:6">
      <c r="A669">
        <f>HYPERLINK("https://learning.oreilly.com/live-events/java-next-steps-modules/0636920061457/0636920067952", "0636920067952")</f>
        <v>0</v>
      </c>
      <c r="B669" t="s">
        <v>252</v>
      </c>
      <c r="C669" t="s">
        <v>1950</v>
      </c>
      <c r="D669" t="s">
        <v>1951</v>
      </c>
      <c r="E669" t="s">
        <v>1933</v>
      </c>
      <c r="F669" t="s">
        <v>935</v>
      </c>
    </row>
    <row r="670" spans="1:6">
      <c r="A670">
        <f>HYPERLINK("https://learning.oreilly.com/live-events/git-in-4-weeks/0636920057275/0636920066836", "0636920066836")</f>
        <v>0</v>
      </c>
      <c r="B670" t="s">
        <v>620</v>
      </c>
      <c r="C670" t="s">
        <v>1952</v>
      </c>
      <c r="D670" t="s">
        <v>1953</v>
      </c>
      <c r="E670" t="s">
        <v>1938</v>
      </c>
      <c r="F670" t="s">
        <v>146</v>
      </c>
    </row>
    <row r="671" spans="1:6">
      <c r="A671">
        <f>HYPERLINK("https://learning.oreilly.com/live-events/aws-core-architecture-concepts/0636920096276/0636920067957", "0636920067957")</f>
        <v>0</v>
      </c>
      <c r="B671" t="s">
        <v>359</v>
      </c>
      <c r="C671" t="s">
        <v>1050</v>
      </c>
      <c r="D671" t="s">
        <v>1051</v>
      </c>
      <c r="E671" t="s">
        <v>1954</v>
      </c>
      <c r="F671" t="s">
        <v>352</v>
      </c>
    </row>
    <row r="672" spans="1:6">
      <c r="A672">
        <f>HYPERLINK("https://learning.oreilly.com/live-events/machine-learning-from-scratch/0636920054754/0636920066308", "0636920066308")</f>
        <v>0</v>
      </c>
      <c r="B672" t="s">
        <v>315</v>
      </c>
      <c r="C672" t="s">
        <v>974</v>
      </c>
      <c r="D672" t="s">
        <v>975</v>
      </c>
      <c r="E672" t="s">
        <v>1954</v>
      </c>
      <c r="F672" t="s">
        <v>29</v>
      </c>
    </row>
    <row r="673" spans="1:6">
      <c r="A673">
        <f>HYPERLINK("https://learning.oreilly.com/live-events/spring-and-spring-boot-in-3-weeks/0636920055088/0636920068553", "0636920068553")</f>
        <v>0</v>
      </c>
      <c r="B673" t="s">
        <v>1265</v>
      </c>
      <c r="C673" t="s">
        <v>1266</v>
      </c>
      <c r="D673" t="s">
        <v>1267</v>
      </c>
      <c r="E673" t="s">
        <v>1955</v>
      </c>
      <c r="F673" t="s">
        <v>569</v>
      </c>
    </row>
    <row r="674" spans="1:6">
      <c r="A674">
        <f>HYPERLINK("https://learning.oreilly.com/live-events/terraform-getting-startedwith-interactivity/0636920060088/0636920068672", "0636920068672")</f>
        <v>0</v>
      </c>
      <c r="B674" t="s">
        <v>138</v>
      </c>
      <c r="C674" t="s">
        <v>1956</v>
      </c>
      <c r="D674" t="s">
        <v>1327</v>
      </c>
      <c r="E674" t="s">
        <v>1957</v>
      </c>
      <c r="F674" t="s">
        <v>141</v>
      </c>
    </row>
    <row r="675" spans="1:6">
      <c r="A675">
        <f>HYPERLINK("https://learning.oreilly.com/live-events/understanding-functional-programming/0636920054353/0636920067947", "0636920067947")</f>
        <v>0</v>
      </c>
      <c r="B675" t="s">
        <v>1958</v>
      </c>
      <c r="C675" t="s">
        <v>1959</v>
      </c>
      <c r="D675" t="s">
        <v>1960</v>
      </c>
      <c r="E675" t="s">
        <v>1961</v>
      </c>
      <c r="F675" t="s">
        <v>935</v>
      </c>
    </row>
    <row r="676" spans="1:6">
      <c r="A676">
        <f>HYPERLINK("https://learning.oreilly.com/live-events/containers-in-3-weeks-part-1/0636920067968/0636920067967", "0636920067967")</f>
        <v>0</v>
      </c>
      <c r="B676" t="s">
        <v>1962</v>
      </c>
      <c r="C676" t="s">
        <v>1963</v>
      </c>
      <c r="E676" t="s">
        <v>1938</v>
      </c>
      <c r="F676" t="s">
        <v>1964</v>
      </c>
    </row>
    <row r="677" spans="1:6">
      <c r="A677">
        <f>HYPERLINK("https://learning.oreilly.com/live-events/blockchain-bitcoin-cryptocurrency-nfts-and-the-metaverse/0636920067302/0636920067301", "0636920067301")</f>
        <v>0</v>
      </c>
      <c r="B677" t="s">
        <v>120</v>
      </c>
      <c r="C677" t="s">
        <v>1965</v>
      </c>
      <c r="D677" t="s">
        <v>1966</v>
      </c>
      <c r="E677" t="s">
        <v>1967</v>
      </c>
      <c r="F677" t="s">
        <v>123</v>
      </c>
    </row>
    <row r="678" spans="1:6">
      <c r="A678">
        <f>HYPERLINK("https://learning.oreilly.com/live-events/scala-fundamentals/0636920155232/0636920067494", "0636920067494")</f>
        <v>0</v>
      </c>
      <c r="B678" t="s">
        <v>1113</v>
      </c>
      <c r="C678" t="s">
        <v>1968</v>
      </c>
      <c r="D678" t="s">
        <v>1969</v>
      </c>
      <c r="E678" t="s">
        <v>1955</v>
      </c>
      <c r="F678" t="s">
        <v>301</v>
      </c>
    </row>
    <row r="679" spans="1:6">
      <c r="A679">
        <f>HYPERLINK("https://learning.oreilly.com/live-events/container-based-devops-in-3-weeks-docker-podman-kubernetes-and-openshift/0636920055233/0636920064709", "0636920064709")</f>
        <v>0</v>
      </c>
      <c r="B679" t="s">
        <v>1970</v>
      </c>
      <c r="C679" t="s">
        <v>1971</v>
      </c>
      <c r="D679" t="s">
        <v>1972</v>
      </c>
      <c r="E679" t="s">
        <v>1973</v>
      </c>
      <c r="F679" t="s">
        <v>66</v>
      </c>
    </row>
    <row r="680" spans="1:6">
      <c r="A680">
        <f>HYPERLINK("https://learning.oreilly.com/live-events/essentials-of-jvm-threading/0636920274704/0636920067472", "0636920067472")</f>
        <v>0</v>
      </c>
      <c r="B680" t="s">
        <v>252</v>
      </c>
      <c r="C680" t="s">
        <v>1974</v>
      </c>
      <c r="E680" t="s">
        <v>1975</v>
      </c>
      <c r="F680" t="s">
        <v>301</v>
      </c>
    </row>
    <row r="681" spans="1:6">
      <c r="A681">
        <f>HYPERLINK("https://learning.oreilly.com/live-events/scalable-reactive-programming-with-java/0636920444022/0636920067662", "0636920067662")</f>
        <v>0</v>
      </c>
      <c r="B681" t="s">
        <v>252</v>
      </c>
      <c r="C681" t="s">
        <v>1976</v>
      </c>
      <c r="E681" t="s">
        <v>1977</v>
      </c>
      <c r="F681" t="s">
        <v>1978</v>
      </c>
    </row>
    <row r="682" spans="1:6">
      <c r="A682">
        <f>HYPERLINK("https://learning.oreilly.com/live-events/docker-fundamentals-in-4-weekswith-interactivity/0636920061161/0636920062610", "0636920062610")</f>
        <v>0</v>
      </c>
      <c r="B682" t="s">
        <v>271</v>
      </c>
      <c r="C682" t="s">
        <v>272</v>
      </c>
      <c r="D682" t="s">
        <v>273</v>
      </c>
      <c r="E682" t="s">
        <v>1979</v>
      </c>
      <c r="F682" t="s">
        <v>141</v>
      </c>
    </row>
    <row r="683" spans="1:6">
      <c r="A683">
        <f>HYPERLINK("https://learning.oreilly.com/live-events/9-steps-to-awesome-with-kubernetes/0636920196105/0636920067645", "0636920067645")</f>
        <v>0</v>
      </c>
      <c r="B683" t="s">
        <v>1980</v>
      </c>
      <c r="C683" t="s">
        <v>1981</v>
      </c>
      <c r="D683" t="s">
        <v>1982</v>
      </c>
      <c r="E683" t="s">
        <v>1983</v>
      </c>
      <c r="F683" t="s">
        <v>1672</v>
      </c>
    </row>
    <row r="684" spans="1:6">
      <c r="A684">
        <f>HYPERLINK("https://learning.oreilly.com/live-events/testable-architecture-with-java-junit-and-spring/0636920457527/0636920066588", "0636920066588")</f>
        <v>0</v>
      </c>
      <c r="B684" t="s">
        <v>1461</v>
      </c>
      <c r="C684" t="s">
        <v>1984</v>
      </c>
      <c r="D684" t="s">
        <v>1985</v>
      </c>
      <c r="E684" t="s">
        <v>1983</v>
      </c>
      <c r="F684" t="s">
        <v>1986</v>
      </c>
    </row>
    <row r="685" spans="1:6">
      <c r="A685">
        <f>HYPERLINK("https://learning.oreilly.com/live-events/kafka-fundamentals/0636920077756/0636920066034", "0636920066034")</f>
        <v>0</v>
      </c>
      <c r="B685" t="s">
        <v>1393</v>
      </c>
      <c r="C685" t="s">
        <v>1439</v>
      </c>
      <c r="D685" t="s">
        <v>1440</v>
      </c>
      <c r="E685" t="s">
        <v>1987</v>
      </c>
      <c r="F685" t="s">
        <v>1441</v>
      </c>
    </row>
    <row r="686" spans="1:6">
      <c r="A686">
        <f>HYPERLINK("https://learning.oreilly.com/live-events/java-concurrency/0636920057954/0636920068163", "0636920068163")</f>
        <v>0</v>
      </c>
      <c r="B686" t="s">
        <v>252</v>
      </c>
      <c r="C686" t="s">
        <v>1988</v>
      </c>
      <c r="D686" t="s">
        <v>1989</v>
      </c>
      <c r="E686" t="s">
        <v>1987</v>
      </c>
      <c r="F686" t="s">
        <v>1196</v>
      </c>
    </row>
    <row r="687" spans="1:6">
      <c r="A687">
        <f>HYPERLINK("https://learning.oreilly.com/live-events/helm-fundamentals/0636920059871/0636920067809", "0636920067809")</f>
        <v>0</v>
      </c>
      <c r="B687" t="s">
        <v>1759</v>
      </c>
      <c r="C687" t="s">
        <v>1990</v>
      </c>
      <c r="D687" t="s">
        <v>1991</v>
      </c>
      <c r="E687" t="s">
        <v>1987</v>
      </c>
      <c r="F687" t="s">
        <v>146</v>
      </c>
    </row>
    <row r="688" spans="1:6">
      <c r="A688">
        <f>HYPERLINK("https://learning.oreilly.com/live-events/software-architecture-superstream-software-architecture-patterns/0636920064971/0636920064970", "0636920064970")</f>
        <v>0</v>
      </c>
      <c r="B688" t="s">
        <v>96</v>
      </c>
      <c r="C688" t="s">
        <v>1992</v>
      </c>
      <c r="E688" t="s">
        <v>1993</v>
      </c>
      <c r="F688" t="s">
        <v>100</v>
      </c>
    </row>
    <row r="689" spans="1:6">
      <c r="A689">
        <f>HYPERLINK("https://learning.oreilly.com/live-events/design-patterns-for-distributed-systems/0636920061982/0636920061981", "0636920061981")</f>
        <v>0</v>
      </c>
      <c r="B689" t="s">
        <v>808</v>
      </c>
      <c r="C689" t="s">
        <v>1017</v>
      </c>
      <c r="D689" t="s">
        <v>1018</v>
      </c>
      <c r="E689" t="s">
        <v>1994</v>
      </c>
      <c r="F689" t="s">
        <v>1019</v>
      </c>
    </row>
    <row r="690" spans="1:6">
      <c r="A690">
        <f>HYPERLINK("https://learning.oreilly.com/live-events/kotlin-fundamentals/0636920253341/0636920066017", "0636920066017")</f>
        <v>0</v>
      </c>
      <c r="B690" t="s">
        <v>1995</v>
      </c>
      <c r="C690" t="s">
        <v>1996</v>
      </c>
      <c r="D690" t="s">
        <v>1997</v>
      </c>
      <c r="E690" t="s">
        <v>1998</v>
      </c>
      <c r="F690" t="s">
        <v>569</v>
      </c>
    </row>
    <row r="691" spans="1:6">
      <c r="A691">
        <f>HYPERLINK("https://learning.oreilly.com/live-events/getting-started-with-continuous-delivery/0636920059767/0636920067805", "0636920067805")</f>
        <v>0</v>
      </c>
      <c r="B691" t="s">
        <v>1999</v>
      </c>
      <c r="C691" t="s">
        <v>2000</v>
      </c>
      <c r="D691" t="s">
        <v>2001</v>
      </c>
      <c r="E691" t="s">
        <v>1998</v>
      </c>
      <c r="F691" t="s">
        <v>146</v>
      </c>
    </row>
    <row r="692" spans="1:6">
      <c r="A692">
        <f>HYPERLINK("https://learning.oreilly.com/live-events/mastering-threads-in-java/0636920431817/0636920065909", "0636920065909")</f>
        <v>0</v>
      </c>
      <c r="B692" t="s">
        <v>252</v>
      </c>
      <c r="C692" t="s">
        <v>1183</v>
      </c>
      <c r="D692" t="s">
        <v>1184</v>
      </c>
      <c r="E692" t="s">
        <v>2002</v>
      </c>
      <c r="F692" t="s">
        <v>589</v>
      </c>
    </row>
    <row r="693" spans="1:6">
      <c r="A693">
        <f>HYPERLINK("https://learning.oreilly.com/live-events/getting-started-with-spring-boot-spring-cloud-and-aws/0636920053451/0636920062284", "0636920062284")</f>
        <v>0</v>
      </c>
      <c r="B693" t="s">
        <v>2003</v>
      </c>
      <c r="C693" t="s">
        <v>2004</v>
      </c>
      <c r="D693" t="s">
        <v>2005</v>
      </c>
      <c r="E693" t="s">
        <v>2006</v>
      </c>
      <c r="F693" t="s">
        <v>434</v>
      </c>
    </row>
    <row r="694" spans="1:6">
      <c r="A694">
        <f>HYPERLINK("https://learning.oreilly.com/live-events/data-structures-in-java/0636920254768/0636920065112", "0636920065112")</f>
        <v>0</v>
      </c>
      <c r="B694" t="s">
        <v>252</v>
      </c>
      <c r="C694" t="s">
        <v>2007</v>
      </c>
      <c r="D694" t="s">
        <v>2008</v>
      </c>
      <c r="E694" t="s">
        <v>2009</v>
      </c>
      <c r="F694" t="s">
        <v>589</v>
      </c>
    </row>
    <row r="695" spans="1:6">
      <c r="A695">
        <f>HYPERLINK("https://learning.oreilly.com/live-events/introducing-blockchain/0636920157021/0636920065754", "0636920065754")</f>
        <v>0</v>
      </c>
      <c r="B695" t="s">
        <v>120</v>
      </c>
      <c r="C695" t="s">
        <v>2010</v>
      </c>
      <c r="D695" t="s">
        <v>2011</v>
      </c>
      <c r="E695" t="s">
        <v>2012</v>
      </c>
      <c r="F695" t="s">
        <v>628</v>
      </c>
    </row>
    <row r="696" spans="1:6">
      <c r="A696">
        <f>HYPERLINK("https://learning.oreilly.com/live-events/building-reliable-distributed-systems/0636920066051/0636920066050", "0636920066050")</f>
        <v>0</v>
      </c>
      <c r="B696" t="s">
        <v>808</v>
      </c>
      <c r="C696" t="s">
        <v>809</v>
      </c>
      <c r="D696" t="s">
        <v>810</v>
      </c>
      <c r="E696" t="s">
        <v>2013</v>
      </c>
      <c r="F696" t="s">
        <v>812</v>
      </c>
    </row>
    <row r="697" spans="1:6">
      <c r="A697">
        <f>HYPERLINK("https://learning.oreilly.com/live-events/software-architecture-hour-the-future-of-software-with-martin-fowler/0636920066225/0636920066224", "0636920066224")</f>
        <v>0</v>
      </c>
      <c r="B697" t="s">
        <v>96</v>
      </c>
      <c r="C697" t="s">
        <v>2014</v>
      </c>
      <c r="E697" t="s">
        <v>2013</v>
      </c>
      <c r="F697" t="s">
        <v>2015</v>
      </c>
    </row>
    <row r="698" spans="1:6">
      <c r="A698">
        <f>HYPERLINK("https://learning.oreilly.com/live-events/observability-first-steps-for-java-developers/0636920065546/0636920065545", "0636920065545")</f>
        <v>0</v>
      </c>
      <c r="B698" t="s">
        <v>2016</v>
      </c>
      <c r="C698" t="s">
        <v>2017</v>
      </c>
      <c r="D698" t="s">
        <v>2018</v>
      </c>
      <c r="E698" t="s">
        <v>2019</v>
      </c>
      <c r="F698" t="s">
        <v>1196</v>
      </c>
    </row>
    <row r="699" spans="1:6">
      <c r="A699">
        <f>HYPERLINK("https://learning.oreilly.com/live-events/fundamentals-of-software-engineering-in-3-weeks/0636920057747/0636920061390", "0636920061390")</f>
        <v>0</v>
      </c>
      <c r="B699" t="s">
        <v>96</v>
      </c>
      <c r="C699" t="s">
        <v>2020</v>
      </c>
      <c r="D699" t="s">
        <v>2021</v>
      </c>
      <c r="E699" t="s">
        <v>2022</v>
      </c>
      <c r="F699" t="s">
        <v>939</v>
      </c>
    </row>
    <row r="700" spans="1:6">
      <c r="A700">
        <f>HYPERLINK("https://learning.oreilly.com/live-events/redis-fundamentals/0636920064996/0636920064995", "0636920064995")</f>
        <v>0</v>
      </c>
      <c r="B700" t="s">
        <v>2023</v>
      </c>
      <c r="C700" t="s">
        <v>2024</v>
      </c>
      <c r="D700" t="s">
        <v>2025</v>
      </c>
      <c r="E700" t="s">
        <v>2026</v>
      </c>
      <c r="F700" t="s">
        <v>2027</v>
      </c>
    </row>
    <row r="701" spans="1:6">
      <c r="A701">
        <f>HYPERLINK("https://learning.oreilly.com/live-events/hands-on-spring-boot-in-3-weeks/0636920061597/0636920064620", "0636920064620")</f>
        <v>0</v>
      </c>
      <c r="B701" t="s">
        <v>578</v>
      </c>
      <c r="C701" t="s">
        <v>579</v>
      </c>
      <c r="D701" t="s">
        <v>580</v>
      </c>
      <c r="E701" t="s">
        <v>2028</v>
      </c>
      <c r="F701" t="s">
        <v>582</v>
      </c>
    </row>
    <row r="702" spans="1:6">
      <c r="A702">
        <f>HYPERLINK("https://learning.oreilly.com/live-events/building-microservices-with-containers-kubernetes-and-istio/0636920408468/0636920063474", "0636920063474")</f>
        <v>0</v>
      </c>
      <c r="B702" t="s">
        <v>429</v>
      </c>
      <c r="C702" t="s">
        <v>2029</v>
      </c>
      <c r="D702" t="s">
        <v>1466</v>
      </c>
      <c r="E702" t="s">
        <v>2030</v>
      </c>
      <c r="F702" t="s">
        <v>66</v>
      </c>
    </row>
    <row r="703" spans="1:6">
      <c r="A703">
        <f>HYPERLINK("https://learning.oreilly.com/live-events/applying-design-patterns/0636920483069/0636920061328", "0636920061328")</f>
        <v>0</v>
      </c>
      <c r="B703" t="s">
        <v>932</v>
      </c>
      <c r="C703" t="s">
        <v>1645</v>
      </c>
      <c r="D703" t="s">
        <v>1646</v>
      </c>
      <c r="E703" t="s">
        <v>2031</v>
      </c>
      <c r="F703" t="s">
        <v>1647</v>
      </c>
    </row>
    <row r="704" spans="1:6">
      <c r="A704">
        <f>HYPERLINK("https://learning.oreilly.com/live-events/advanced-functional-programming-with-java/0636920058560/0636920064774", "0636920064774")</f>
        <v>0</v>
      </c>
      <c r="B704" t="s">
        <v>252</v>
      </c>
      <c r="C704" t="s">
        <v>2032</v>
      </c>
      <c r="D704" t="s">
        <v>2033</v>
      </c>
      <c r="E704" t="s">
        <v>2034</v>
      </c>
      <c r="F704" t="s">
        <v>2035</v>
      </c>
    </row>
    <row r="705" spans="1:6">
      <c r="A705">
        <f>HYPERLINK("https://learning.oreilly.com/live-events/java-8-generics-in-4-hours/0636920126201/0636920064311", "0636920064311")</f>
        <v>0</v>
      </c>
      <c r="B705" t="s">
        <v>2036</v>
      </c>
      <c r="C705" t="s">
        <v>2037</v>
      </c>
      <c r="D705" t="s">
        <v>2038</v>
      </c>
      <c r="E705" t="s">
        <v>2039</v>
      </c>
      <c r="F705" t="s">
        <v>301</v>
      </c>
    </row>
    <row r="706" spans="1:6">
      <c r="A706">
        <f>HYPERLINK("https://learning.oreilly.com/live-events/software-architecture-hour-enterprise-architecture-with-matt-stine/0636920053287/0636920053285", "0636920053285")</f>
        <v>0</v>
      </c>
      <c r="B706" t="s">
        <v>294</v>
      </c>
      <c r="C706" t="s">
        <v>2040</v>
      </c>
      <c r="E706" t="s">
        <v>2039</v>
      </c>
      <c r="F706" t="s">
        <v>2041</v>
      </c>
    </row>
    <row r="707" spans="1:6">
      <c r="A707">
        <f>HYPERLINK("https://learning.oreilly.com/live-events/java-next-steps-collections-generics-and-streams/0636920431701/0636920066373", "0636920066373")</f>
        <v>0</v>
      </c>
      <c r="B707" t="s">
        <v>252</v>
      </c>
      <c r="C707" t="s">
        <v>2042</v>
      </c>
      <c r="E707" t="s">
        <v>2043</v>
      </c>
      <c r="F707" t="s">
        <v>1196</v>
      </c>
    </row>
    <row r="708" spans="1:6">
      <c r="A708">
        <f>HYPERLINK("https://learning.oreilly.com/live-events/introduction-to-algorithms-and-data-structures/0636920306542/0636920061324", "0636920061324")</f>
        <v>0</v>
      </c>
      <c r="B708" t="s">
        <v>21</v>
      </c>
      <c r="C708" t="s">
        <v>2044</v>
      </c>
      <c r="D708" t="s">
        <v>1725</v>
      </c>
      <c r="E708" t="s">
        <v>2045</v>
      </c>
      <c r="F708" t="s">
        <v>1647</v>
      </c>
    </row>
    <row r="709" spans="1:6">
      <c r="A709">
        <f>HYPERLINK("https://learning.oreilly.com/live-events/postgresql-fundamentals/0636920060241/0636920061372", "0636920061372")</f>
        <v>0</v>
      </c>
      <c r="B709" t="s">
        <v>386</v>
      </c>
      <c r="C709" t="s">
        <v>1311</v>
      </c>
      <c r="D709" t="s">
        <v>1312</v>
      </c>
      <c r="E709" t="s">
        <v>2045</v>
      </c>
      <c r="F709" t="s">
        <v>390</v>
      </c>
    </row>
    <row r="710" spans="1:6">
      <c r="A710">
        <f>HYPERLINK("https://learning.oreilly.com/live-events/programming-with-java-lambdas-and-streams/0636920121909/0636920064887", "0636920064887")</f>
        <v>0</v>
      </c>
      <c r="B710" t="s">
        <v>1925</v>
      </c>
      <c r="C710" t="s">
        <v>2046</v>
      </c>
      <c r="E710" t="s">
        <v>2047</v>
      </c>
      <c r="F710" t="s">
        <v>1978</v>
      </c>
    </row>
    <row r="711" spans="1:6">
      <c r="A711">
        <f>HYPERLINK("https://learning.oreilly.com/live-events/java-9-to-17-the-new-feature-benefits/0636920057909/0636920064260", "0636920064260")</f>
        <v>0</v>
      </c>
      <c r="B711" t="s">
        <v>1140</v>
      </c>
      <c r="C711" t="s">
        <v>1141</v>
      </c>
      <c r="E711" t="s">
        <v>2028</v>
      </c>
      <c r="F711" t="s">
        <v>255</v>
      </c>
    </row>
    <row r="712" spans="1:6">
      <c r="A712">
        <f>HYPERLINK("https://learning.oreilly.com/live-events/solving-java-memory-leaks/0636920288152/0636920064063", "0636920064063")</f>
        <v>0</v>
      </c>
      <c r="B712" t="s">
        <v>252</v>
      </c>
      <c r="C712" t="s">
        <v>2048</v>
      </c>
      <c r="D712" t="s">
        <v>2049</v>
      </c>
      <c r="E712" t="s">
        <v>2050</v>
      </c>
      <c r="F712" t="s">
        <v>310</v>
      </c>
    </row>
    <row r="713" spans="1:6">
      <c r="A713">
        <f>HYPERLINK("https://learning.oreilly.com/live-events/domain-driven-design-first-steps/0636920436867/0636920064054", "0636920064054")</f>
        <v>0</v>
      </c>
      <c r="B713" t="s">
        <v>378</v>
      </c>
      <c r="C713" t="s">
        <v>2051</v>
      </c>
      <c r="D713" t="s">
        <v>2052</v>
      </c>
      <c r="E713" t="s">
        <v>2053</v>
      </c>
      <c r="F713" t="s">
        <v>1650</v>
      </c>
    </row>
    <row r="714" spans="1:6">
      <c r="A714">
        <f>HYPERLINK("https://learning.oreilly.com/live-events/hands-on-aws-in-3-weeks/0636920057763/0636920063085", "0636920063085")</f>
        <v>0</v>
      </c>
      <c r="B714" t="s">
        <v>1363</v>
      </c>
      <c r="C714" t="s">
        <v>1364</v>
      </c>
      <c r="D714" t="s">
        <v>1365</v>
      </c>
      <c r="E714" t="s">
        <v>2054</v>
      </c>
      <c r="F714" t="s">
        <v>52</v>
      </c>
    </row>
    <row r="715" spans="1:6">
      <c r="A715">
        <f>HYPERLINK("https://learning.oreilly.com/live-events/smarter-plotting-for-data-science/0636920081796/0636920081795", "0636920081795")</f>
        <v>0</v>
      </c>
      <c r="B715" t="s">
        <v>151</v>
      </c>
      <c r="C715" t="s">
        <v>2055</v>
      </c>
      <c r="D715" t="s">
        <v>1207</v>
      </c>
      <c r="E715" t="s">
        <v>1764</v>
      </c>
      <c r="F715" t="s">
        <v>24</v>
      </c>
    </row>
    <row r="716" spans="1:6">
      <c r="A716">
        <f>HYPERLINK("https://learning.oreilly.com/live-events/clean-agile/0636920337829/0636920081729", "0636920081729")</f>
        <v>0</v>
      </c>
      <c r="B716" t="s">
        <v>2056</v>
      </c>
      <c r="C716" t="s">
        <v>2057</v>
      </c>
      <c r="E716" t="s">
        <v>2058</v>
      </c>
      <c r="F716" t="s">
        <v>437</v>
      </c>
    </row>
    <row r="717" spans="1:6">
      <c r="A717">
        <f>HYPERLINK("https://learning.oreilly.com/live-events/rust-in-4-hours/0636920063666/0636920081893", "0636920081893")</f>
        <v>0</v>
      </c>
      <c r="B717" t="s">
        <v>335</v>
      </c>
      <c r="C717" t="s">
        <v>683</v>
      </c>
      <c r="D717" t="s">
        <v>684</v>
      </c>
      <c r="E717" t="s">
        <v>2058</v>
      </c>
      <c r="F717" t="s">
        <v>582</v>
      </c>
    </row>
    <row r="718" spans="1:6">
      <c r="A718">
        <f>HYPERLINK("https://learning.oreilly.com/live-events/hands-on-introduction-to-apache-hadoop-spark-and-kafka-programming-effective-data-pipelines/0636920360018/0636920081826", "0636920081826")</f>
        <v>0</v>
      </c>
      <c r="B718" t="s">
        <v>441</v>
      </c>
      <c r="C718" t="s">
        <v>2059</v>
      </c>
      <c r="D718" t="s">
        <v>2060</v>
      </c>
      <c r="E718" t="s">
        <v>2061</v>
      </c>
      <c r="F718" t="s">
        <v>1036</v>
      </c>
    </row>
    <row r="719" spans="1:6">
      <c r="A719">
        <f>HYPERLINK("https://learning.oreilly.com/live-events/tensorflow-20-working-with-nlp-tasks/0636920081006/0636920081004", "0636920081004")</f>
        <v>0</v>
      </c>
      <c r="B719" t="s">
        <v>1258</v>
      </c>
      <c r="C719" t="s">
        <v>2062</v>
      </c>
      <c r="D719" t="s">
        <v>1260</v>
      </c>
      <c r="E719" t="s">
        <v>2063</v>
      </c>
      <c r="F719" t="s">
        <v>119</v>
      </c>
    </row>
    <row r="720" spans="1:6">
      <c r="A720">
        <f>HYPERLINK("https://learning.oreilly.com/live-events/azure-governance-and-compliance-crash-course/0636920080219/0636920080980", "0636920080980")</f>
        <v>0</v>
      </c>
      <c r="B720" t="s">
        <v>391</v>
      </c>
      <c r="C720" t="s">
        <v>2064</v>
      </c>
      <c r="D720" t="s">
        <v>2065</v>
      </c>
      <c r="E720" t="s">
        <v>2063</v>
      </c>
      <c r="F720" t="s">
        <v>166</v>
      </c>
    </row>
    <row r="721" spans="1:6">
      <c r="A721">
        <f>HYPERLINK("https://learning.oreilly.com/live-events/getting-started-with-azure/0636920403197/0636920081691", "0636920081691")</f>
        <v>0</v>
      </c>
      <c r="B721" t="s">
        <v>391</v>
      </c>
      <c r="C721" t="s">
        <v>2066</v>
      </c>
      <c r="E721" t="s">
        <v>2067</v>
      </c>
      <c r="F721" t="s">
        <v>524</v>
      </c>
    </row>
    <row r="722" spans="1:6">
      <c r="A722">
        <f>HYPERLINK("https://learning.oreilly.com/live-events/introduction-to-statistics-and-data-analysis-with-microsoft-excel-in-3-weeks/0636920080288/0636920080287", "0636920080287")</f>
        <v>0</v>
      </c>
      <c r="B722" t="s">
        <v>245</v>
      </c>
      <c r="C722" t="s">
        <v>2068</v>
      </c>
      <c r="D722" t="s">
        <v>2069</v>
      </c>
      <c r="E722" t="s">
        <v>2070</v>
      </c>
      <c r="F722" t="s">
        <v>248</v>
      </c>
    </row>
    <row r="723" spans="1:6">
      <c r="A723">
        <f>HYPERLINK("https://learning.oreilly.com/live-events/c-essentials-the-special-member-functions/0636920066062/0636920078727", "0636920078727")</f>
        <v>0</v>
      </c>
      <c r="B723" t="s">
        <v>180</v>
      </c>
      <c r="C723" t="s">
        <v>324</v>
      </c>
      <c r="D723" t="s">
        <v>325</v>
      </c>
      <c r="E723" t="s">
        <v>2061</v>
      </c>
      <c r="F723" t="s">
        <v>326</v>
      </c>
    </row>
    <row r="724" spans="1:6">
      <c r="A724">
        <f>HYPERLINK("https://learning.oreilly.com/live-events/smarter-pandas-for-data-science/0636920081618/0636920081617", "0636920081617")</f>
        <v>0</v>
      </c>
      <c r="B724" t="s">
        <v>820</v>
      </c>
      <c r="C724" t="s">
        <v>2071</v>
      </c>
      <c r="D724" t="s">
        <v>1207</v>
      </c>
      <c r="E724" t="s">
        <v>2061</v>
      </c>
      <c r="F724" t="s">
        <v>24</v>
      </c>
    </row>
    <row r="725" spans="1:6">
      <c r="A725">
        <f>HYPERLINK("https://learning.oreilly.com/live-events/deep-learning-for-beginners-in-3-weeks/0636920079316/0636920079315", "0636920079315")</f>
        <v>0</v>
      </c>
      <c r="B725" t="s">
        <v>539</v>
      </c>
      <c r="C725" t="s">
        <v>1408</v>
      </c>
      <c r="D725" t="s">
        <v>1409</v>
      </c>
      <c r="E725" t="s">
        <v>2072</v>
      </c>
      <c r="F725" t="s">
        <v>29</v>
      </c>
    </row>
    <row r="726" spans="1:6">
      <c r="A726">
        <f>HYPERLINK("https://learning.oreilly.com/live-events/python-and-r-for-data-science/0636920073477/0636920079638", "0636920079638")</f>
        <v>0</v>
      </c>
      <c r="B726" t="s">
        <v>2073</v>
      </c>
      <c r="C726" t="s">
        <v>2074</v>
      </c>
      <c r="D726" t="s">
        <v>2075</v>
      </c>
      <c r="E726" t="s">
        <v>2067</v>
      </c>
      <c r="F726" t="s">
        <v>2076</v>
      </c>
    </row>
    <row r="727" spans="1:6">
      <c r="A727">
        <f>HYPERLINK("https://learning.oreilly.com/live-events/architecture-foundations-styles-patterns-and-trade-offs/0636920327219/0636920076823", "0636920076823")</f>
        <v>0</v>
      </c>
      <c r="B727" t="s">
        <v>96</v>
      </c>
      <c r="C727" t="s">
        <v>2077</v>
      </c>
      <c r="D727" t="s">
        <v>2078</v>
      </c>
      <c r="E727" t="s">
        <v>2067</v>
      </c>
      <c r="F727" t="s">
        <v>100</v>
      </c>
    </row>
    <row r="728" spans="1:6">
      <c r="A728">
        <f>HYPERLINK("https://learning.oreilly.com/live-events/applying-monte-carlo-simulations-in-finance/0636920348559/0636920080889", "0636920080889")</f>
        <v>0</v>
      </c>
      <c r="B728" t="s">
        <v>2079</v>
      </c>
      <c r="C728" t="s">
        <v>2080</v>
      </c>
      <c r="D728" t="s">
        <v>2081</v>
      </c>
      <c r="E728" t="s">
        <v>2082</v>
      </c>
      <c r="F728" t="s">
        <v>1157</v>
      </c>
    </row>
    <row r="729" spans="1:6">
      <c r="A729">
        <f>HYPERLINK("https://learning.oreilly.com/live-events/python-programming-for-data-analysis-in-5-weekswith-interactivity/0636920074227/0636920077502", "0636920077502")</f>
        <v>0</v>
      </c>
      <c r="B729" t="s">
        <v>21</v>
      </c>
      <c r="C729" t="s">
        <v>2083</v>
      </c>
      <c r="D729" t="s">
        <v>2084</v>
      </c>
      <c r="E729" t="s">
        <v>2085</v>
      </c>
      <c r="F729" t="s">
        <v>916</v>
      </c>
    </row>
    <row r="730" spans="1:6">
      <c r="A730">
        <f>HYPERLINK("https://learning.oreilly.com/live-events/design-patterns-boot-camp/0636920057253/0636920082282", "0636920082282")</f>
        <v>0</v>
      </c>
      <c r="B730" t="s">
        <v>932</v>
      </c>
      <c r="C730" t="s">
        <v>2086</v>
      </c>
      <c r="D730" t="s">
        <v>2087</v>
      </c>
      <c r="E730" t="s">
        <v>2088</v>
      </c>
      <c r="F730" t="s">
        <v>2089</v>
      </c>
    </row>
    <row r="731" spans="1:6">
      <c r="A731">
        <f>HYPERLINK("https://learning.oreilly.com/live-events/docker-beyond-the-basics-ci-cd/0636920059799/0636920076756", "0636920076756")</f>
        <v>0</v>
      </c>
      <c r="B731" t="s">
        <v>271</v>
      </c>
      <c r="C731" t="s">
        <v>2090</v>
      </c>
      <c r="D731" t="s">
        <v>2091</v>
      </c>
      <c r="E731" t="s">
        <v>2088</v>
      </c>
      <c r="F731" t="s">
        <v>141</v>
      </c>
    </row>
    <row r="732" spans="1:6">
      <c r="A732">
        <f>HYPERLINK("https://learning.oreilly.com/live-events/6-rules-for-communicating-with-management/0636920080772/0636920080770", "0636920080770")</f>
        <v>0</v>
      </c>
      <c r="B732" t="s">
        <v>515</v>
      </c>
      <c r="C732" t="s">
        <v>516</v>
      </c>
      <c r="D732" t="s">
        <v>517</v>
      </c>
      <c r="E732" t="s">
        <v>2082</v>
      </c>
      <c r="F732" t="s">
        <v>518</v>
      </c>
    </row>
    <row r="733" spans="1:6">
      <c r="A733">
        <f>HYPERLINK("https://learning.oreilly.com/live-events/python-functions/0636920390817/0636920080841", "0636920080841")</f>
        <v>0</v>
      </c>
      <c r="B733" t="s">
        <v>21</v>
      </c>
      <c r="C733" t="s">
        <v>2092</v>
      </c>
      <c r="D733" t="s">
        <v>2093</v>
      </c>
      <c r="E733" t="s">
        <v>2082</v>
      </c>
      <c r="F733" t="s">
        <v>338</v>
      </c>
    </row>
    <row r="734" spans="1:6">
      <c r="A734">
        <f>HYPERLINK("https://learning.oreilly.com/live-events/data-science-with-big-datasets-using-dask-ray-and-other-best-of-breed-tools/0636920478973/0636920080082", "0636920080082")</f>
        <v>0</v>
      </c>
      <c r="B734" t="s">
        <v>25</v>
      </c>
      <c r="C734" t="s">
        <v>2094</v>
      </c>
      <c r="D734" t="s">
        <v>2095</v>
      </c>
      <c r="E734" t="s">
        <v>2088</v>
      </c>
      <c r="F734" t="s">
        <v>2096</v>
      </c>
    </row>
    <row r="735" spans="1:6">
      <c r="A735">
        <f>HYPERLINK("https://learning.oreilly.com/live-events/learn-reflection-with-javalangreflect/0636920075284/0636920081864", "0636920081864")</f>
        <v>0</v>
      </c>
      <c r="B735" t="s">
        <v>252</v>
      </c>
      <c r="C735" t="s">
        <v>2097</v>
      </c>
      <c r="D735" t="s">
        <v>2098</v>
      </c>
      <c r="E735" t="s">
        <v>2088</v>
      </c>
      <c r="F735" t="s">
        <v>589</v>
      </c>
    </row>
    <row r="736" spans="1:6">
      <c r="A736">
        <f>HYPERLINK("https://learning.oreilly.com/live-events/aws-certification-prep-developer-associate/0636920410744/0636920080449", "0636920080449")</f>
        <v>0</v>
      </c>
      <c r="B736" t="s">
        <v>1073</v>
      </c>
      <c r="C736" t="s">
        <v>2099</v>
      </c>
      <c r="D736" t="s">
        <v>2100</v>
      </c>
      <c r="E736" t="s">
        <v>2101</v>
      </c>
      <c r="F736" t="s">
        <v>2102</v>
      </c>
    </row>
    <row r="737" spans="1:6">
      <c r="A737">
        <f>HYPERLINK("https://learning.oreilly.com/live-events/sql-fundamentals-for-data/0636920054762/0636920077779", "0636920077779")</f>
        <v>0</v>
      </c>
      <c r="B737" t="s">
        <v>1104</v>
      </c>
      <c r="C737" t="s">
        <v>2103</v>
      </c>
      <c r="D737" t="s">
        <v>2104</v>
      </c>
      <c r="E737" t="s">
        <v>2105</v>
      </c>
      <c r="F737" t="s">
        <v>29</v>
      </c>
    </row>
    <row r="738" spans="1:6">
      <c r="A738">
        <f>HYPERLINK("https://learning.oreilly.com/live-events/cicd-for-data-lakes/0636920070687/0636920080940", "0636920080940")</f>
        <v>0</v>
      </c>
      <c r="B738" t="s">
        <v>1306</v>
      </c>
      <c r="C738" t="s">
        <v>2106</v>
      </c>
      <c r="D738" t="s">
        <v>2107</v>
      </c>
      <c r="E738" t="s">
        <v>2105</v>
      </c>
      <c r="F738" t="s">
        <v>1593</v>
      </c>
    </row>
    <row r="739" spans="1:6">
      <c r="A739">
        <f>HYPERLINK("https://learning.oreilly.com/live-events/certified-kubernetes-application-developer-ckad-crash-course/0636920315803/0636920076776", "0636920076776")</f>
        <v>0</v>
      </c>
      <c r="B739" t="s">
        <v>574</v>
      </c>
      <c r="C739" t="s">
        <v>2108</v>
      </c>
      <c r="D739" t="s">
        <v>2109</v>
      </c>
      <c r="E739" t="s">
        <v>2072</v>
      </c>
      <c r="F739" t="s">
        <v>66</v>
      </c>
    </row>
    <row r="740" spans="1:6">
      <c r="A740">
        <f>HYPERLINK("https://learning.oreilly.com/live-events/exam-dp-420-microsoft-azure-cosmos-db-developer-crash-course/0636920079751/0636920081007", "0636920081007")</f>
        <v>0</v>
      </c>
      <c r="B740" t="s">
        <v>2110</v>
      </c>
      <c r="C740" t="s">
        <v>2111</v>
      </c>
      <c r="D740" t="s">
        <v>2112</v>
      </c>
      <c r="E740" t="s">
        <v>2105</v>
      </c>
      <c r="F740" t="s">
        <v>166</v>
      </c>
    </row>
    <row r="741" spans="1:6">
      <c r="A741">
        <f>HYPERLINK("https://learning.oreilly.com/live-events/python-full-throttle-with-paul-deitel-a-one-day-fast-paced-code-intensive-python-presentation/0636920274667/0636920078748", "0636920078748")</f>
        <v>0</v>
      </c>
      <c r="B741" t="s">
        <v>21</v>
      </c>
      <c r="C741" t="s">
        <v>1301</v>
      </c>
      <c r="E741" t="s">
        <v>2113</v>
      </c>
      <c r="F741" t="s">
        <v>183</v>
      </c>
    </row>
    <row r="742" spans="1:6">
      <c r="A742">
        <f>HYPERLINK("https://learning.oreilly.com/live-events/aws-certified-solutions-architect-prep-session/0636920328803/0636920078017", "0636920078017")</f>
        <v>0</v>
      </c>
      <c r="B742" t="s">
        <v>666</v>
      </c>
      <c r="C742" t="s">
        <v>1487</v>
      </c>
      <c r="D742" t="s">
        <v>1488</v>
      </c>
      <c r="E742" t="s">
        <v>2113</v>
      </c>
      <c r="F742" t="s">
        <v>352</v>
      </c>
    </row>
    <row r="743" spans="1:6">
      <c r="A743">
        <f>HYPERLINK("https://learning.oreilly.com/live-events/automated-machine-learning-and-deep-learning-with-python/0636920064090/0636920080424", "0636920080424")</f>
        <v>0</v>
      </c>
      <c r="B743" t="s">
        <v>315</v>
      </c>
      <c r="C743" t="s">
        <v>1515</v>
      </c>
      <c r="D743" t="s">
        <v>1516</v>
      </c>
      <c r="E743" t="s">
        <v>2072</v>
      </c>
      <c r="F743" t="s">
        <v>76</v>
      </c>
    </row>
    <row r="744" spans="1:6">
      <c r="A744">
        <f>HYPERLINK("https://learning.oreilly.com/live-events/tensorflow-20-working-with-images-tensorflow-hub-and-tensorboard/0636920081003/0636920081002", "0636920081002")</f>
        <v>0</v>
      </c>
      <c r="B744" t="s">
        <v>1258</v>
      </c>
      <c r="C744" t="s">
        <v>2114</v>
      </c>
      <c r="D744" t="s">
        <v>1260</v>
      </c>
      <c r="E744" t="s">
        <v>1767</v>
      </c>
      <c r="F744" t="s">
        <v>119</v>
      </c>
    </row>
    <row r="745" spans="1:6">
      <c r="A745">
        <f>HYPERLINK("https://learning.oreilly.com/live-events/design-patterns-with-typescript/0636920288411/0636920080773", "0636920080773")</f>
        <v>0</v>
      </c>
      <c r="B745" t="s">
        <v>2115</v>
      </c>
      <c r="C745" t="s">
        <v>2116</v>
      </c>
      <c r="D745" t="s">
        <v>2117</v>
      </c>
      <c r="E745" t="s">
        <v>2070</v>
      </c>
      <c r="F745" t="s">
        <v>2118</v>
      </c>
    </row>
    <row r="746" spans="1:6">
      <c r="A746">
        <f>HYPERLINK("https://learning.oreilly.com/live-events/microsoft-azure-developer-associate-az-204-crash-course/0636920053454/0636920080044", "0636920080044")</f>
        <v>0</v>
      </c>
      <c r="B746" t="s">
        <v>521</v>
      </c>
      <c r="C746" t="s">
        <v>1082</v>
      </c>
      <c r="D746" t="s">
        <v>1083</v>
      </c>
      <c r="E746" t="s">
        <v>2119</v>
      </c>
      <c r="F746" t="s">
        <v>166</v>
      </c>
    </row>
    <row r="747" spans="1:6">
      <c r="A747">
        <f>HYPERLINK("https://learning.oreilly.com/live-events/from-developer-to-software-architect/0636920155256/0636920080385", "0636920080385")</f>
        <v>0</v>
      </c>
      <c r="B747" t="s">
        <v>96</v>
      </c>
      <c r="C747" t="s">
        <v>936</v>
      </c>
      <c r="D747" t="s">
        <v>937</v>
      </c>
      <c r="E747" t="s">
        <v>2120</v>
      </c>
      <c r="F747" t="s">
        <v>939</v>
      </c>
    </row>
    <row r="748" spans="1:6">
      <c r="A748">
        <f>HYPERLINK("https://learning.oreilly.com/live-events/python-environments-and-best-practices/0636920444237/0636920078930", "0636920078930")</f>
        <v>0</v>
      </c>
      <c r="B748" t="s">
        <v>21</v>
      </c>
      <c r="C748" t="s">
        <v>657</v>
      </c>
      <c r="D748" t="s">
        <v>658</v>
      </c>
      <c r="E748" t="s">
        <v>2120</v>
      </c>
      <c r="F748" t="s">
        <v>660</v>
      </c>
    </row>
    <row r="749" spans="1:6">
      <c r="A749">
        <f>HYPERLINK("https://learning.oreilly.com/live-events/smarter-dashboarding-for-data-science/0636920081041/0636920081040", "0636920081040")</f>
        <v>0</v>
      </c>
      <c r="B749" t="s">
        <v>2121</v>
      </c>
      <c r="C749" t="s">
        <v>2122</v>
      </c>
      <c r="D749" t="s">
        <v>1207</v>
      </c>
      <c r="E749" t="s">
        <v>2123</v>
      </c>
      <c r="F749" t="s">
        <v>24</v>
      </c>
    </row>
    <row r="750" spans="1:6">
      <c r="A750">
        <f>HYPERLINK("https://learning.oreilly.com/live-events/kubernetes-in-4-hours/0636920056367/0636920079278", "0636920079278")</f>
        <v>0</v>
      </c>
      <c r="B750" t="s">
        <v>574</v>
      </c>
      <c r="C750" t="s">
        <v>882</v>
      </c>
      <c r="D750" t="s">
        <v>883</v>
      </c>
      <c r="E750" t="s">
        <v>2124</v>
      </c>
      <c r="F750" t="s">
        <v>66</v>
      </c>
    </row>
    <row r="751" spans="1:6">
      <c r="A751">
        <f>HYPERLINK("https://learning.oreilly.com/live-events/exam-az-400-microsoft-azure-devops-solutions-crash-course/0636920382614/0636920081248", "0636920081248")</f>
        <v>0</v>
      </c>
      <c r="B751" t="s">
        <v>2125</v>
      </c>
      <c r="C751" t="s">
        <v>2126</v>
      </c>
      <c r="D751" t="s">
        <v>2127</v>
      </c>
      <c r="E751" t="s">
        <v>2128</v>
      </c>
      <c r="F751" t="s">
        <v>201</v>
      </c>
    </row>
    <row r="752" spans="1:6">
      <c r="A752">
        <f>HYPERLINK("https://learning.oreilly.com/live-events/gradient-descent-and-optimization-algorithms-for-ai/0636920269793/0636920077757", "0636920077757")</f>
        <v>0</v>
      </c>
      <c r="B752" t="s">
        <v>371</v>
      </c>
      <c r="C752" t="s">
        <v>2129</v>
      </c>
      <c r="D752" t="s">
        <v>2130</v>
      </c>
      <c r="E752" t="s">
        <v>2131</v>
      </c>
      <c r="F752" t="s">
        <v>29</v>
      </c>
    </row>
    <row r="753" spans="1:6">
      <c r="A753">
        <f>HYPERLINK("https://learning.oreilly.com/live-events/streamlit-dashboards/0636920075499/0636920077515", "0636920077515")</f>
        <v>0</v>
      </c>
      <c r="B753" t="s">
        <v>2121</v>
      </c>
      <c r="C753" t="s">
        <v>2132</v>
      </c>
      <c r="D753" t="s">
        <v>2133</v>
      </c>
      <c r="E753" t="s">
        <v>2134</v>
      </c>
      <c r="F753" t="s">
        <v>76</v>
      </c>
    </row>
    <row r="754" spans="1:6">
      <c r="A754">
        <f>HYPERLINK("https://learning.oreilly.com/live-events/smarter-statistics-for-data-science/0636920081037/0636920081035", "0636920081035")</f>
        <v>0</v>
      </c>
      <c r="B754" t="s">
        <v>25</v>
      </c>
      <c r="C754" t="s">
        <v>1428</v>
      </c>
      <c r="D754" t="s">
        <v>1207</v>
      </c>
      <c r="E754" t="s">
        <v>2135</v>
      </c>
      <c r="F754" t="s">
        <v>24</v>
      </c>
    </row>
    <row r="755" spans="1:6">
      <c r="A755">
        <f>HYPERLINK("https://learning.oreilly.com/live-events/exam-az-305-designing-microsoft-azure-infrastructure-solutions-crash-course/0636920066430/0636920081078", "0636920081078")</f>
        <v>0</v>
      </c>
      <c r="B755" t="s">
        <v>2136</v>
      </c>
      <c r="C755" t="s">
        <v>590</v>
      </c>
      <c r="E755" t="s">
        <v>2137</v>
      </c>
      <c r="F755" t="s">
        <v>201</v>
      </c>
    </row>
    <row r="756" spans="1:6">
      <c r="A756">
        <f>HYPERLINK("https://learning.oreilly.com/live-events/introduction-to-docker-cicd/0636920255345/0636920077880", "0636920077880")</f>
        <v>0</v>
      </c>
      <c r="B756" t="s">
        <v>271</v>
      </c>
      <c r="C756" t="s">
        <v>375</v>
      </c>
      <c r="D756" t="s">
        <v>376</v>
      </c>
      <c r="E756" t="s">
        <v>2138</v>
      </c>
      <c r="F756" t="s">
        <v>141</v>
      </c>
    </row>
    <row r="757" spans="1:6">
      <c r="A757">
        <f>HYPERLINK("https://learning.oreilly.com/live-events/hands-on-mlops-with-pytorch/0636920072575/0636920081311", "0636920081311")</f>
        <v>0</v>
      </c>
      <c r="B757" t="s">
        <v>286</v>
      </c>
      <c r="C757" t="s">
        <v>2139</v>
      </c>
      <c r="D757" t="s">
        <v>2140</v>
      </c>
      <c r="E757" t="s">
        <v>2137</v>
      </c>
      <c r="F757" t="s">
        <v>172</v>
      </c>
    </row>
    <row r="758" spans="1:6">
      <c r="A758">
        <f>HYPERLINK("https://learning.oreilly.com/live-events/practical-mlops/0636920060689/0636920077300", "0636920077300")</f>
        <v>0</v>
      </c>
      <c r="B758" t="s">
        <v>787</v>
      </c>
      <c r="C758" t="s">
        <v>2141</v>
      </c>
      <c r="D758" t="s">
        <v>2142</v>
      </c>
      <c r="E758" t="s">
        <v>2137</v>
      </c>
      <c r="F758" t="s">
        <v>338</v>
      </c>
    </row>
    <row r="759" spans="1:6">
      <c r="A759">
        <f>HYPERLINK("https://learning.oreilly.com/live-events/fundamentals-of-machine-learning-and-data-analytics/0636920288114/0636920081237", "0636920081237")</f>
        <v>0</v>
      </c>
      <c r="B759" t="s">
        <v>315</v>
      </c>
      <c r="C759" t="s">
        <v>2143</v>
      </c>
      <c r="E759" t="s">
        <v>2144</v>
      </c>
      <c r="F759" t="s">
        <v>542</v>
      </c>
    </row>
    <row r="760" spans="1:6">
      <c r="A760">
        <f>HYPERLINK("https://learning.oreilly.com/live-events/elasticsearch-bootcamp-learning-elasticsearch-from-ground-up-in-5-weeks/0636920077890/0636920077889", "0636920077889")</f>
        <v>0</v>
      </c>
      <c r="B760" t="s">
        <v>2145</v>
      </c>
      <c r="C760" t="s">
        <v>2146</v>
      </c>
      <c r="D760" t="s">
        <v>2147</v>
      </c>
      <c r="E760" t="s">
        <v>2148</v>
      </c>
      <c r="F760" t="s">
        <v>434</v>
      </c>
    </row>
    <row r="761" spans="1:6">
      <c r="A761">
        <f>HYPERLINK("https://learning.oreilly.com/live-events/scale-your-python-processing-with-dask/0636920310099/0636920080246", "0636920080246")</f>
        <v>0</v>
      </c>
      <c r="B761" t="s">
        <v>2149</v>
      </c>
      <c r="C761" t="s">
        <v>2150</v>
      </c>
      <c r="D761" t="s">
        <v>2151</v>
      </c>
      <c r="E761" t="s">
        <v>2152</v>
      </c>
      <c r="F761" t="s">
        <v>2096</v>
      </c>
    </row>
    <row r="762" spans="1:6">
      <c r="A762">
        <f>HYPERLINK("https://learning.oreilly.com/live-events/aws-event-driven-automation-and-operations/0636920065014/0636920079124", "0636920079124")</f>
        <v>0</v>
      </c>
      <c r="B762" t="s">
        <v>359</v>
      </c>
      <c r="C762" t="s">
        <v>519</v>
      </c>
      <c r="D762" t="s">
        <v>520</v>
      </c>
      <c r="E762" t="s">
        <v>2152</v>
      </c>
      <c r="F762" t="s">
        <v>52</v>
      </c>
    </row>
    <row r="763" spans="1:6">
      <c r="A763">
        <f>HYPERLINK("https://learning.oreilly.com/live-events/exam-dp-203-data-engineering-on-microsoft-azure-crash-course/0636920058871/0636920079049", "0636920079049")</f>
        <v>0</v>
      </c>
      <c r="B763" t="s">
        <v>391</v>
      </c>
      <c r="C763" t="s">
        <v>392</v>
      </c>
      <c r="E763" t="s">
        <v>2153</v>
      </c>
      <c r="F763" t="s">
        <v>201</v>
      </c>
    </row>
    <row r="764" spans="1:6">
      <c r="A764">
        <f>HYPERLINK("https://learning.oreilly.com/live-events/certified-kubernetes-administrator-cka-crash-course/0636920315766/0636920076112", "0636920076112")</f>
        <v>0</v>
      </c>
      <c r="B764" t="s">
        <v>574</v>
      </c>
      <c r="C764" t="s">
        <v>2154</v>
      </c>
      <c r="D764" t="s">
        <v>2155</v>
      </c>
      <c r="E764" t="s">
        <v>2156</v>
      </c>
      <c r="F764" t="s">
        <v>66</v>
      </c>
    </row>
    <row r="765" spans="1:6">
      <c r="A765">
        <f>HYPERLINK("https://learning.oreilly.com/live-events/graph-data-structures-and-algorithms-from-scratch/0636920071713/0636920077283", "0636920077283")</f>
        <v>0</v>
      </c>
      <c r="B765" t="s">
        <v>371</v>
      </c>
      <c r="C765" t="s">
        <v>1397</v>
      </c>
      <c r="D765" t="s">
        <v>1398</v>
      </c>
      <c r="E765" t="s">
        <v>2157</v>
      </c>
      <c r="F765" t="s">
        <v>1399</v>
      </c>
    </row>
    <row r="766" spans="1:6">
      <c r="A766">
        <f>HYPERLINK("https://learning.oreilly.com/live-events/exam-az-204-microsoft-azure-developer-crash-course/0636920074173/0636920079596", "0636920079596")</f>
        <v>0</v>
      </c>
      <c r="B766" t="s">
        <v>521</v>
      </c>
      <c r="C766" t="s">
        <v>522</v>
      </c>
      <c r="E766" t="s">
        <v>2158</v>
      </c>
      <c r="F766" t="s">
        <v>524</v>
      </c>
    </row>
    <row r="767" spans="1:6">
      <c r="A767">
        <f>HYPERLINK("https://learning.oreilly.com/live-events/graphs-and-network-algorithms-for-everyone/0636920316381/0636920079557", "0636920079557")</f>
        <v>0</v>
      </c>
      <c r="B767" t="s">
        <v>371</v>
      </c>
      <c r="C767" t="s">
        <v>2159</v>
      </c>
      <c r="D767" t="s">
        <v>2160</v>
      </c>
      <c r="E767" t="s">
        <v>2156</v>
      </c>
      <c r="F767" t="s">
        <v>213</v>
      </c>
    </row>
    <row r="768" spans="1:6">
      <c r="A768">
        <f>HYPERLINK("https://learning.oreilly.com/live-events/aws-architecture-automation-and-infrastructure-deployment/0636920303473/0636920079111", "0636920079111")</f>
        <v>0</v>
      </c>
      <c r="B768" t="s">
        <v>359</v>
      </c>
      <c r="C768" t="s">
        <v>360</v>
      </c>
      <c r="D768" t="s">
        <v>361</v>
      </c>
      <c r="E768" t="s">
        <v>2158</v>
      </c>
      <c r="F768" t="s">
        <v>52</v>
      </c>
    </row>
    <row r="769" spans="1:6">
      <c r="A769">
        <f>HYPERLINK("https://learning.oreilly.com/live-events/kubernetes-on-gke/0636920078991/0636920078990", "0636920078990")</f>
        <v>0</v>
      </c>
      <c r="B769" t="s">
        <v>574</v>
      </c>
      <c r="C769" t="s">
        <v>2161</v>
      </c>
      <c r="D769" t="s">
        <v>2162</v>
      </c>
      <c r="E769" t="s">
        <v>2158</v>
      </c>
      <c r="F769" t="s">
        <v>2163</v>
      </c>
    </row>
    <row r="770" spans="1:6">
      <c r="A770">
        <f>HYPERLINK("https://learning.oreilly.com/live-events/getting-started-with-aws/0636920126294/0636920076161", "0636920076161")</f>
        <v>0</v>
      </c>
      <c r="B770" t="s">
        <v>359</v>
      </c>
      <c r="C770" t="s">
        <v>2164</v>
      </c>
      <c r="D770" t="s">
        <v>2165</v>
      </c>
      <c r="E770" t="s">
        <v>2166</v>
      </c>
      <c r="F770" t="s">
        <v>52</v>
      </c>
    </row>
    <row r="771" spans="1:6">
      <c r="A771">
        <f>HYPERLINK("https://learning.oreilly.com/live-events/aws-certified-solutions-architect-associate-saa-c03-bootcamp/0636920055432/0636920077437", "0636920077437")</f>
        <v>0</v>
      </c>
      <c r="B771" t="s">
        <v>48</v>
      </c>
      <c r="C771" t="s">
        <v>349</v>
      </c>
      <c r="D771" t="s">
        <v>350</v>
      </c>
      <c r="E771" t="s">
        <v>2167</v>
      </c>
      <c r="F771" t="s">
        <v>352</v>
      </c>
    </row>
    <row r="772" spans="1:6">
      <c r="A772">
        <f>HYPERLINK("https://learning.oreilly.com/live-events/machine-learning-from-scratch/0636920054754/0636920077702", "0636920077702")</f>
        <v>0</v>
      </c>
      <c r="B772" t="s">
        <v>315</v>
      </c>
      <c r="C772" t="s">
        <v>974</v>
      </c>
      <c r="D772" t="s">
        <v>975</v>
      </c>
      <c r="E772" t="s">
        <v>2168</v>
      </c>
      <c r="F772" t="s">
        <v>29</v>
      </c>
    </row>
    <row r="773" spans="1:6">
      <c r="A773">
        <f>HYPERLINK("https://learning.oreilly.com/live-events/apache-spark-first-steps/0636920371533/0636920079879", "0636920079879")</f>
        <v>0</v>
      </c>
      <c r="B773" t="s">
        <v>1895</v>
      </c>
      <c r="C773" t="s">
        <v>2169</v>
      </c>
      <c r="D773" t="s">
        <v>2170</v>
      </c>
      <c r="E773" t="s">
        <v>2171</v>
      </c>
      <c r="F773" t="s">
        <v>2096</v>
      </c>
    </row>
    <row r="774" spans="1:6">
      <c r="A774">
        <f>HYPERLINK("https://learning.oreilly.com/live-events/azure-application-development/0636920053758/0636920079875", "0636920079875")</f>
        <v>0</v>
      </c>
      <c r="B774" t="s">
        <v>391</v>
      </c>
      <c r="C774" t="s">
        <v>2172</v>
      </c>
      <c r="D774" t="s">
        <v>2173</v>
      </c>
      <c r="E774" t="s">
        <v>2171</v>
      </c>
      <c r="F774" t="s">
        <v>166</v>
      </c>
    </row>
    <row r="775" spans="1:6">
      <c r="A775">
        <f>HYPERLINK("https://learning.oreilly.com/live-events/gcp-certification-prep-crash-course-professional-data-engineer/0636920061474/0636920077455", "0636920077455")</f>
        <v>0</v>
      </c>
      <c r="B775" t="s">
        <v>2174</v>
      </c>
      <c r="C775" t="s">
        <v>2175</v>
      </c>
      <c r="D775" t="s">
        <v>2176</v>
      </c>
      <c r="E775" t="s">
        <v>2177</v>
      </c>
      <c r="F775" t="s">
        <v>607</v>
      </c>
    </row>
    <row r="776" spans="1:6">
      <c r="A776">
        <f>HYPERLINK("https://learning.oreilly.com/live-events/hands-on-few-shot-learning/0636920080217/0636920080216", "0636920080216")</f>
        <v>0</v>
      </c>
      <c r="B776" t="s">
        <v>2178</v>
      </c>
      <c r="C776" t="s">
        <v>2179</v>
      </c>
      <c r="D776" t="s">
        <v>2180</v>
      </c>
      <c r="E776" t="s">
        <v>2181</v>
      </c>
      <c r="F776" t="s">
        <v>2182</v>
      </c>
    </row>
    <row r="777" spans="1:6">
      <c r="A777">
        <f>HYPERLINK("https://learning.oreilly.com/live-events/leadership-bootcamp/0636920078225/0636920078224", "0636920078224")</f>
        <v>0</v>
      </c>
      <c r="B777" t="s">
        <v>795</v>
      </c>
      <c r="C777" t="s">
        <v>1517</v>
      </c>
      <c r="D777" t="s">
        <v>1518</v>
      </c>
      <c r="E777" t="s">
        <v>2148</v>
      </c>
      <c r="F777" t="s">
        <v>1520</v>
      </c>
    </row>
    <row r="778" spans="1:6">
      <c r="A778">
        <f>HYPERLINK("https://learning.oreilly.com/live-events/beginning-splunk/0636920372424/0636920079565", "0636920079565")</f>
        <v>0</v>
      </c>
      <c r="B778" t="s">
        <v>2183</v>
      </c>
      <c r="C778" t="s">
        <v>2184</v>
      </c>
      <c r="D778" t="s">
        <v>2185</v>
      </c>
      <c r="E778" t="s">
        <v>2186</v>
      </c>
      <c r="F778" t="s">
        <v>2187</v>
      </c>
    </row>
    <row r="779" spans="1:6">
      <c r="A779">
        <f>HYPERLINK("https://learning.oreilly.com/live-events/data-governance-in-practice/0636920078217/0636920078216", "0636920078216")</f>
        <v>0</v>
      </c>
      <c r="B779" t="s">
        <v>1020</v>
      </c>
      <c r="C779" t="s">
        <v>2188</v>
      </c>
      <c r="D779" t="s">
        <v>2189</v>
      </c>
      <c r="E779" t="s">
        <v>2190</v>
      </c>
      <c r="F779" t="s">
        <v>2191</v>
      </c>
    </row>
    <row r="780" spans="1:6">
      <c r="A780">
        <f>HYPERLINK("https://learning.oreilly.com/live-events/mastering-creative-and-critical-thinking/0636920078192/0636920078191", "0636920078191")</f>
        <v>0</v>
      </c>
      <c r="B780" t="s">
        <v>673</v>
      </c>
      <c r="C780" t="s">
        <v>2192</v>
      </c>
      <c r="D780" t="s">
        <v>2193</v>
      </c>
      <c r="E780" t="s">
        <v>2194</v>
      </c>
      <c r="F780" t="s">
        <v>688</v>
      </c>
    </row>
    <row r="781" spans="1:6">
      <c r="A781">
        <f>HYPERLINK("https://learning.oreilly.com/live-events/writing-better-sql-in-90-minuteswith-interactivity/0636920068899/0636920078041", "0636920078041")</f>
        <v>0</v>
      </c>
      <c r="B781" t="s">
        <v>1104</v>
      </c>
      <c r="C781" t="s">
        <v>2195</v>
      </c>
      <c r="D781" t="s">
        <v>2196</v>
      </c>
      <c r="E781" t="s">
        <v>2197</v>
      </c>
      <c r="F781" t="s">
        <v>1107</v>
      </c>
    </row>
    <row r="782" spans="1:6">
      <c r="A782">
        <f>HYPERLINK("https://learning.oreilly.com/live-events/hands-on-with-amazon-route-53-cloudfront-and-disaster-recovery/0636920071405/0636920078342", "0636920078342")</f>
        <v>0</v>
      </c>
      <c r="B782" t="s">
        <v>359</v>
      </c>
      <c r="C782" t="s">
        <v>2198</v>
      </c>
      <c r="D782" t="s">
        <v>2199</v>
      </c>
      <c r="E782" t="s">
        <v>2200</v>
      </c>
      <c r="F782" t="s">
        <v>218</v>
      </c>
    </row>
    <row r="783" spans="1:6">
      <c r="A783">
        <f>HYPERLINK("https://learning.oreilly.com/live-events/aws-command-line-essentials/0636920069699/0636920075571", "0636920075571")</f>
        <v>0</v>
      </c>
      <c r="B783" t="s">
        <v>359</v>
      </c>
      <c r="C783" t="s">
        <v>987</v>
      </c>
      <c r="E783" t="s">
        <v>2200</v>
      </c>
      <c r="F783" t="s">
        <v>352</v>
      </c>
    </row>
    <row r="784" spans="1:6">
      <c r="A784">
        <f>HYPERLINK("https://learning.oreilly.com/live-events/effective-project-management-skills/0636920067245/0636920077690", "0636920077690")</f>
        <v>0</v>
      </c>
      <c r="B784" t="s">
        <v>43</v>
      </c>
      <c r="C784" t="s">
        <v>2201</v>
      </c>
      <c r="D784" t="s">
        <v>2202</v>
      </c>
      <c r="E784" t="s">
        <v>2203</v>
      </c>
      <c r="F784" t="s">
        <v>2204</v>
      </c>
    </row>
    <row r="785" spans="1:6">
      <c r="A785">
        <f>HYPERLINK("https://learning.oreilly.com/live-events/salary-negotiation-fundamentals/0636920252771/0636920075506", "0636920075506")</f>
        <v>0</v>
      </c>
      <c r="B785" t="s">
        <v>1540</v>
      </c>
      <c r="C785" t="s">
        <v>2205</v>
      </c>
      <c r="D785" t="s">
        <v>2206</v>
      </c>
      <c r="E785" t="s">
        <v>2203</v>
      </c>
      <c r="F785" t="s">
        <v>518</v>
      </c>
    </row>
    <row r="786" spans="1:6">
      <c r="A786">
        <f>HYPERLINK("https://learning.oreilly.com/live-events/sql-and-postgresql-for-data-analytics/0636920061990/0636920078323", "0636920078323")</f>
        <v>0</v>
      </c>
      <c r="B786" t="s">
        <v>386</v>
      </c>
      <c r="C786" t="s">
        <v>919</v>
      </c>
      <c r="D786" t="s">
        <v>920</v>
      </c>
      <c r="E786" t="s">
        <v>2203</v>
      </c>
      <c r="F786" t="s">
        <v>921</v>
      </c>
    </row>
    <row r="787" spans="1:6">
      <c r="A787">
        <f>HYPERLINK("https://learning.oreilly.com/live-events/introduction-to-leadership-skills/0636920177593/0636920078276", "0636920078276")</f>
        <v>0</v>
      </c>
      <c r="B787" t="s">
        <v>795</v>
      </c>
      <c r="C787" t="s">
        <v>2207</v>
      </c>
      <c r="D787" t="s">
        <v>2208</v>
      </c>
      <c r="E787" t="s">
        <v>2209</v>
      </c>
      <c r="F787" t="s">
        <v>2210</v>
      </c>
    </row>
    <row r="788" spans="1:6">
      <c r="A788">
        <f>HYPERLINK("https://learning.oreilly.com/live-events/architecture-for-modern-engineering-practices/0636920218029/0636920075742", "0636920075742")</f>
        <v>0</v>
      </c>
      <c r="B788" t="s">
        <v>943</v>
      </c>
      <c r="C788" t="s">
        <v>944</v>
      </c>
      <c r="D788" t="s">
        <v>945</v>
      </c>
      <c r="E788" t="s">
        <v>2209</v>
      </c>
      <c r="F788" t="s">
        <v>100</v>
      </c>
    </row>
    <row r="789" spans="1:6">
      <c r="A789">
        <f>HYPERLINK("https://learning.oreilly.com/live-events/architecture-the-hard-parts/0636920395522/0636920075087", "0636920075087")</f>
        <v>0</v>
      </c>
      <c r="B789" t="s">
        <v>96</v>
      </c>
      <c r="C789" t="s">
        <v>2211</v>
      </c>
      <c r="D789" t="s">
        <v>2212</v>
      </c>
      <c r="E789" t="s">
        <v>2213</v>
      </c>
      <c r="F789" t="s">
        <v>1169</v>
      </c>
    </row>
    <row r="790" spans="1:6">
      <c r="A790">
        <f>HYPERLINK("https://learning.oreilly.com/live-events/aws-certified-solutions-architect-associate-saa-c03-crash-course/0636920078770/0636920078769", "0636920078769")</f>
        <v>0</v>
      </c>
      <c r="B790" t="s">
        <v>48</v>
      </c>
      <c r="C790" t="s">
        <v>49</v>
      </c>
      <c r="D790" t="s">
        <v>50</v>
      </c>
      <c r="E790" t="s">
        <v>2214</v>
      </c>
      <c r="F790" t="s">
        <v>52</v>
      </c>
    </row>
    <row r="791" spans="1:6">
      <c r="A791">
        <f>HYPERLINK("https://learning.oreilly.com/live-events/designing-data-pipelineswith-interactivity/0636920063917/0636920079008", "0636920079008")</f>
        <v>0</v>
      </c>
      <c r="B791" t="s">
        <v>2215</v>
      </c>
      <c r="C791" t="s">
        <v>2216</v>
      </c>
      <c r="D791" t="s">
        <v>2217</v>
      </c>
      <c r="E791" t="s">
        <v>2214</v>
      </c>
      <c r="F791" t="s">
        <v>2218</v>
      </c>
    </row>
    <row r="792" spans="1:6">
      <c r="A792">
        <f>HYPERLINK("https://learning.oreilly.com/live-events/hands-on-javascript-deep-dive/0636920073362/0636920078335", "0636920078335")</f>
        <v>0</v>
      </c>
      <c r="B792" t="s">
        <v>2219</v>
      </c>
      <c r="C792" t="s">
        <v>2220</v>
      </c>
      <c r="D792" t="s">
        <v>2221</v>
      </c>
      <c r="E792" t="s">
        <v>2222</v>
      </c>
      <c r="F792" t="s">
        <v>582</v>
      </c>
    </row>
    <row r="793" spans="1:6">
      <c r="A793">
        <f>HYPERLINK("https://learning.oreilly.com/live-events/next-generation-java-testing-with-junit-5/0636920054820/0636920079419", "0636920079419")</f>
        <v>0</v>
      </c>
      <c r="B793" t="s">
        <v>2223</v>
      </c>
      <c r="C793" t="s">
        <v>2224</v>
      </c>
      <c r="D793" t="s">
        <v>2225</v>
      </c>
      <c r="E793" t="s">
        <v>2222</v>
      </c>
      <c r="F793" t="s">
        <v>569</v>
      </c>
    </row>
    <row r="794" spans="1:6">
      <c r="A794">
        <f>HYPERLINK("https://learning.oreilly.com/live-events/google-cloud-fundamentals/0636920054119/0636920077063", "0636920077063")</f>
        <v>0</v>
      </c>
      <c r="B794" t="s">
        <v>2226</v>
      </c>
      <c r="C794" t="s">
        <v>2227</v>
      </c>
      <c r="D794" t="s">
        <v>2228</v>
      </c>
      <c r="E794" t="s">
        <v>2229</v>
      </c>
      <c r="F794" t="s">
        <v>607</v>
      </c>
    </row>
    <row r="795" spans="1:6">
      <c r="A795">
        <f>HYPERLINK("https://learning.oreilly.com/live-events/data-engineering-from-notebook-to-production/0636920078219/0636920078218", "0636920078218")</f>
        <v>0</v>
      </c>
      <c r="B795" t="s">
        <v>441</v>
      </c>
      <c r="C795" t="s">
        <v>2230</v>
      </c>
      <c r="D795" t="s">
        <v>2231</v>
      </c>
      <c r="E795" t="s">
        <v>2232</v>
      </c>
      <c r="F795" t="s">
        <v>2233</v>
      </c>
    </row>
    <row r="796" spans="1:6">
      <c r="A796">
        <f>HYPERLINK("https://learning.oreilly.com/live-events/90-minutes-to-giving-effective-feedback/0636920446187/0636920077637", "0636920077637")</f>
        <v>0</v>
      </c>
      <c r="B796" t="s">
        <v>2234</v>
      </c>
      <c r="C796" t="s">
        <v>2235</v>
      </c>
      <c r="D796" t="s">
        <v>2236</v>
      </c>
      <c r="E796" t="s">
        <v>2237</v>
      </c>
      <c r="F796" t="s">
        <v>2238</v>
      </c>
    </row>
    <row r="797" spans="1:6">
      <c r="A797">
        <f>HYPERLINK("https://learning.oreilly.com/live-events/enterprise-data-visualization-executive-dashboards-and-managerial-displays/0636920353324/0636920078450", "0636920078450")</f>
        <v>0</v>
      </c>
      <c r="B797" t="s">
        <v>151</v>
      </c>
      <c r="C797" t="s">
        <v>2239</v>
      </c>
      <c r="D797" t="s">
        <v>2240</v>
      </c>
      <c r="E797" t="s">
        <v>2241</v>
      </c>
      <c r="F797" t="s">
        <v>1894</v>
      </c>
    </row>
    <row r="798" spans="1:6">
      <c r="A798">
        <f>HYPERLINK("https://learning.oreilly.com/live-events/techniques-of-visual-persuasion/0636920055229/0636920077806", "0636920077806")</f>
        <v>0</v>
      </c>
      <c r="B798" t="s">
        <v>654</v>
      </c>
      <c r="C798" t="s">
        <v>2242</v>
      </c>
      <c r="D798" t="s">
        <v>2243</v>
      </c>
      <c r="E798" t="s">
        <v>2244</v>
      </c>
      <c r="F798" t="s">
        <v>2245</v>
      </c>
    </row>
    <row r="799" spans="1:6">
      <c r="A799">
        <f>HYPERLINK("https://learning.oreilly.com/live-events/90-minutes-to-better-decision-making/0636920298557/0636920077120", "0636920077120")</f>
        <v>0</v>
      </c>
      <c r="B799" t="s">
        <v>673</v>
      </c>
      <c r="C799" t="s">
        <v>2246</v>
      </c>
      <c r="D799" t="s">
        <v>2247</v>
      </c>
      <c r="E799" t="s">
        <v>2248</v>
      </c>
      <c r="F799" t="s">
        <v>2249</v>
      </c>
    </row>
    <row r="800" spans="1:6">
      <c r="A800">
        <f>HYPERLINK("https://learning.oreilly.com/live-events/mastering-aws-kinesis-data-streams/0636920059729/0636920075069", "0636920075069")</f>
        <v>0</v>
      </c>
      <c r="B800" t="s">
        <v>1694</v>
      </c>
      <c r="C800" t="s">
        <v>2250</v>
      </c>
      <c r="D800" t="s">
        <v>2251</v>
      </c>
      <c r="E800" t="s">
        <v>2248</v>
      </c>
      <c r="F800" t="s">
        <v>2252</v>
      </c>
    </row>
    <row r="801" spans="1:6">
      <c r="A801">
        <f>HYPERLINK("https://learning.oreilly.com/live-events/visual-design-thinking-for-software-requirements/0636920077085/0636920077084", "0636920077084")</f>
        <v>0</v>
      </c>
      <c r="B801" t="s">
        <v>96</v>
      </c>
      <c r="C801" t="s">
        <v>206</v>
      </c>
      <c r="D801" t="s">
        <v>207</v>
      </c>
      <c r="E801" t="s">
        <v>2253</v>
      </c>
      <c r="F801" t="s">
        <v>209</v>
      </c>
    </row>
    <row r="802" spans="1:6">
      <c r="A802">
        <f>HYPERLINK("https://learning.oreilly.com/live-events/dynamic-proxies-in-java/0636920431794/0636920076591", "0636920076591")</f>
        <v>0</v>
      </c>
      <c r="B802" t="s">
        <v>252</v>
      </c>
      <c r="C802" t="s">
        <v>2254</v>
      </c>
      <c r="E802" t="s">
        <v>2255</v>
      </c>
      <c r="F802" t="s">
        <v>589</v>
      </c>
    </row>
    <row r="803" spans="1:6">
      <c r="A803">
        <f>HYPERLINK("https://learning.oreilly.com/live-events/essential-product-management-skills/0636920075808/0636920075807", "0636920075807")</f>
        <v>0</v>
      </c>
      <c r="B803" t="s">
        <v>1651</v>
      </c>
      <c r="C803" t="s">
        <v>2256</v>
      </c>
      <c r="D803" t="s">
        <v>2257</v>
      </c>
      <c r="E803" t="s">
        <v>2258</v>
      </c>
      <c r="F803" t="s">
        <v>2204</v>
      </c>
    </row>
    <row r="804" spans="1:6">
      <c r="A804">
        <f>HYPERLINK("https://learning.oreilly.com/live-events/introduction-to-logstash/0636920060702/0636920076900", "0636920076900")</f>
        <v>0</v>
      </c>
      <c r="B804" t="s">
        <v>2259</v>
      </c>
      <c r="C804" t="s">
        <v>2260</v>
      </c>
      <c r="D804" t="s">
        <v>2261</v>
      </c>
      <c r="E804" t="s">
        <v>2258</v>
      </c>
      <c r="F804" t="s">
        <v>434</v>
      </c>
    </row>
    <row r="805" spans="1:6">
      <c r="A805">
        <f>HYPERLINK("https://learning.oreilly.com/live-events/applying-critical-thinking/0636920056303/0636920076895", "0636920076895")</f>
        <v>0</v>
      </c>
      <c r="B805" t="s">
        <v>673</v>
      </c>
      <c r="C805" t="s">
        <v>2262</v>
      </c>
      <c r="D805" t="s">
        <v>2263</v>
      </c>
      <c r="E805" t="s">
        <v>2258</v>
      </c>
      <c r="F805" t="s">
        <v>676</v>
      </c>
    </row>
    <row r="806" spans="1:6">
      <c r="A806">
        <f>HYPERLINK("https://learning.oreilly.com/live-events/data-lakehouse-fundamentals/0636920075711/0636920075710", "0636920075710")</f>
        <v>0</v>
      </c>
      <c r="B806" t="s">
        <v>1306</v>
      </c>
      <c r="C806" t="s">
        <v>1307</v>
      </c>
      <c r="D806" t="s">
        <v>1308</v>
      </c>
      <c r="E806" t="s">
        <v>2264</v>
      </c>
      <c r="F806" t="s">
        <v>607</v>
      </c>
    </row>
    <row r="807" spans="1:6">
      <c r="A807">
        <f>HYPERLINK("https://learning.oreilly.com/live-events/getting-started-with-spring-and-spring-boot/0636920054708/0636920076935", "0636920076935")</f>
        <v>0</v>
      </c>
      <c r="B807" t="s">
        <v>578</v>
      </c>
      <c r="C807" t="s">
        <v>2265</v>
      </c>
      <c r="D807" t="s">
        <v>2266</v>
      </c>
      <c r="E807" t="s">
        <v>2267</v>
      </c>
      <c r="F807" t="s">
        <v>569</v>
      </c>
    </row>
    <row r="808" spans="1:6">
      <c r="A808">
        <f>HYPERLINK("https://learning.oreilly.com/live-events/intellij-wizardry-with-heinz-kabutz/0636920065020/0636920076587", "0636920076587")</f>
        <v>0</v>
      </c>
      <c r="B808" t="s">
        <v>2268</v>
      </c>
      <c r="C808" t="s">
        <v>2269</v>
      </c>
      <c r="D808" t="s">
        <v>2270</v>
      </c>
      <c r="E808" t="s">
        <v>2267</v>
      </c>
      <c r="F808" t="s">
        <v>589</v>
      </c>
    </row>
    <row r="809" spans="1:6">
      <c r="A809">
        <f>HYPERLINK("https://learning.oreilly.com/live-events/advanced-web-scraping/0636920063145/0636920076887", "0636920076887")</f>
        <v>0</v>
      </c>
      <c r="B809" t="s">
        <v>2271</v>
      </c>
      <c r="C809" t="s">
        <v>2272</v>
      </c>
      <c r="E809" t="s">
        <v>2267</v>
      </c>
      <c r="F809" t="s">
        <v>1874</v>
      </c>
    </row>
    <row r="810" spans="1:6">
      <c r="A810">
        <f>HYPERLINK("https://learning.oreilly.com/live-events/unlock-your-potential/0636920271222/0636920073843", "0636920073843")</f>
        <v>0</v>
      </c>
      <c r="B810" t="s">
        <v>2273</v>
      </c>
      <c r="C810" t="s">
        <v>2274</v>
      </c>
      <c r="D810" t="s">
        <v>2275</v>
      </c>
      <c r="E810" t="s">
        <v>2276</v>
      </c>
      <c r="F810" t="s">
        <v>2277</v>
      </c>
    </row>
    <row r="811" spans="1:6">
      <c r="A811">
        <f>HYPERLINK("https://learning.oreilly.com/live-events/web-performance-in-2-weeks/0636920075092/0636920075091", "0636920075091")</f>
        <v>0</v>
      </c>
      <c r="B811" t="s">
        <v>1315</v>
      </c>
      <c r="C811" t="s">
        <v>2278</v>
      </c>
      <c r="D811" t="s">
        <v>2279</v>
      </c>
      <c r="E811" t="s">
        <v>2280</v>
      </c>
      <c r="F811" t="s">
        <v>488</v>
      </c>
    </row>
    <row r="812" spans="1:6">
      <c r="A812">
        <f>HYPERLINK("https://learning.oreilly.com/live-events/analyzing-risks-in-your-software-system/0636920069694/0636920075260", "0636920075260")</f>
        <v>0</v>
      </c>
      <c r="B812" t="s">
        <v>2281</v>
      </c>
      <c r="C812" t="s">
        <v>2282</v>
      </c>
      <c r="D812" t="s">
        <v>2283</v>
      </c>
      <c r="E812" t="s">
        <v>2284</v>
      </c>
      <c r="F812" t="s">
        <v>1333</v>
      </c>
    </row>
    <row r="813" spans="1:6">
      <c r="A813">
        <f>HYPERLINK("https://learning.oreilly.com/live-events/nonlinear-machine-learning-for-algorithmic-trading/0636920394082/0636920075255", "0636920075255")</f>
        <v>0</v>
      </c>
      <c r="B813" t="s">
        <v>2285</v>
      </c>
      <c r="C813" t="s">
        <v>2286</v>
      </c>
      <c r="D813" t="s">
        <v>2287</v>
      </c>
      <c r="E813" t="s">
        <v>1812</v>
      </c>
      <c r="F813" t="s">
        <v>1157</v>
      </c>
    </row>
    <row r="814" spans="1:6">
      <c r="A814">
        <f>HYPERLINK("https://learning.oreilly.com/live-events/leadership-communication-skills-for-managers/0636920054671/0636920074846", "0636920074846")</f>
        <v>0</v>
      </c>
      <c r="B814" t="s">
        <v>515</v>
      </c>
      <c r="C814" t="s">
        <v>2288</v>
      </c>
      <c r="D814" t="s">
        <v>2289</v>
      </c>
      <c r="E814" t="s">
        <v>1812</v>
      </c>
      <c r="F814" t="s">
        <v>155</v>
      </c>
    </row>
    <row r="815" spans="1:6">
      <c r="A815">
        <f>HYPERLINK("https://learning.oreilly.com/live-events/java-concurrency/0636920345299/0636920066369", "0636920066369")</f>
        <v>0</v>
      </c>
      <c r="B815" t="s">
        <v>252</v>
      </c>
      <c r="C815" t="s">
        <v>2290</v>
      </c>
      <c r="D815" t="s">
        <v>1989</v>
      </c>
      <c r="E815" t="s">
        <v>2291</v>
      </c>
      <c r="F815" t="s">
        <v>1196</v>
      </c>
    </row>
    <row r="816" spans="1:6">
      <c r="A816">
        <f>HYPERLINK("https://learning.oreilly.com/live-events/building-enterprise-apps-with-react/0636920064014/0636920064013", "0636920064013")</f>
        <v>0</v>
      </c>
      <c r="B816" t="s">
        <v>173</v>
      </c>
      <c r="C816" t="s">
        <v>1108</v>
      </c>
      <c r="D816" t="s">
        <v>1109</v>
      </c>
      <c r="E816" t="s">
        <v>2292</v>
      </c>
      <c r="F816" t="s">
        <v>582</v>
      </c>
    </row>
    <row r="817" spans="1:6">
      <c r="A817">
        <f>HYPERLINK("https://learning.oreilly.com/live-events/az-900-azure-fundamentals-crash-course/0636920060199/0636920063578", "0636920063578")</f>
        <v>0</v>
      </c>
      <c r="B817" t="s">
        <v>1037</v>
      </c>
      <c r="C817" t="s">
        <v>1614</v>
      </c>
      <c r="D817" t="s">
        <v>1615</v>
      </c>
      <c r="E817" t="s">
        <v>2293</v>
      </c>
      <c r="F817" t="s">
        <v>1617</v>
      </c>
    </row>
    <row r="818" spans="1:6">
      <c r="A818">
        <f>HYPERLINK("https://learning.oreilly.com/live-events/linux-for-developers-in-3-weeks/0636920057754/0636920061180", "0636920061180")</f>
        <v>0</v>
      </c>
      <c r="B818" t="s">
        <v>63</v>
      </c>
      <c r="C818" t="s">
        <v>2294</v>
      </c>
      <c r="D818" t="s">
        <v>2295</v>
      </c>
      <c r="E818" t="s">
        <v>2296</v>
      </c>
      <c r="F818" t="s">
        <v>2297</v>
      </c>
    </row>
    <row r="819" spans="1:6">
      <c r="A819">
        <f>HYPERLINK("https://learning.oreilly.com/live-events/data-visualization-in-javascript-and-react/0636920062901/0636920062900", "0636920062900")</f>
        <v>0</v>
      </c>
      <c r="B819" t="s">
        <v>151</v>
      </c>
      <c r="C819" t="s">
        <v>2298</v>
      </c>
      <c r="D819" t="s">
        <v>2299</v>
      </c>
      <c r="E819" t="s">
        <v>2300</v>
      </c>
      <c r="F819" t="s">
        <v>1479</v>
      </c>
    </row>
    <row r="820" spans="1:6">
      <c r="A820">
        <f>HYPERLINK("https://learning.oreilly.com/live-events/stream-processing-with-kafka-and-kafka-streams/0636920056971/0636920061176", "0636920061176")</f>
        <v>0</v>
      </c>
      <c r="B820" t="s">
        <v>2301</v>
      </c>
      <c r="C820" t="s">
        <v>2302</v>
      </c>
      <c r="E820" t="s">
        <v>2303</v>
      </c>
      <c r="F820" t="s">
        <v>2304</v>
      </c>
    </row>
    <row r="821" spans="1:6">
      <c r="A821">
        <f>HYPERLINK("https://learning.oreilly.com/live-events/software-architecture-hour-patterns-in-architecture-with-unmesh-joshi/0636920053283/0636920053282", "0636920053282")</f>
        <v>0</v>
      </c>
      <c r="B821" t="s">
        <v>96</v>
      </c>
      <c r="C821" t="s">
        <v>2305</v>
      </c>
      <c r="E821" t="s">
        <v>2303</v>
      </c>
      <c r="F821" t="s">
        <v>2306</v>
      </c>
    </row>
    <row r="822" spans="1:6">
      <c r="A822">
        <f>HYPERLINK("https://learning.oreilly.com/live-events/software-architecture-superstream-series-architecture-outside-of-applications/0636920053239/0636920053238", "0636920053238")</f>
        <v>0</v>
      </c>
      <c r="B822" t="s">
        <v>96</v>
      </c>
      <c r="C822" t="s">
        <v>2307</v>
      </c>
      <c r="E822" t="s">
        <v>2308</v>
      </c>
      <c r="F822" t="s">
        <v>100</v>
      </c>
    </row>
    <row r="823" spans="1:6">
      <c r="A823">
        <f>HYPERLINK("https://learning.oreilly.com/live-events/intro-to-statistics-machine-learning-foundations/0636920062827/0636920062826", "0636920062826")</f>
        <v>0</v>
      </c>
      <c r="B823" t="s">
        <v>2309</v>
      </c>
      <c r="C823" t="s">
        <v>2310</v>
      </c>
      <c r="D823" t="s">
        <v>2311</v>
      </c>
      <c r="E823" t="s">
        <v>2312</v>
      </c>
      <c r="F823" t="s">
        <v>80</v>
      </c>
    </row>
    <row r="824" spans="1:6">
      <c r="A824">
        <f>HYPERLINK("https://learning.oreilly.com/live-events/go-in-3-weeks/0636920060986/0636920060985", "0636920060985")</f>
        <v>0</v>
      </c>
      <c r="B824" t="s">
        <v>404</v>
      </c>
      <c r="C824" t="s">
        <v>2313</v>
      </c>
      <c r="D824" t="s">
        <v>670</v>
      </c>
      <c r="E824" t="s">
        <v>2314</v>
      </c>
      <c r="F824" t="s">
        <v>672</v>
      </c>
    </row>
    <row r="825" spans="1:6">
      <c r="A825">
        <f>HYPERLINK("https://learning.oreilly.com/live-events/aws-certified-solutions-architect-prep-session/0636920328803/0636920061727", "0636920061727")</f>
        <v>0</v>
      </c>
      <c r="B825" t="s">
        <v>666</v>
      </c>
      <c r="C825" t="s">
        <v>1487</v>
      </c>
      <c r="D825" t="s">
        <v>1488</v>
      </c>
      <c r="E825" t="s">
        <v>2315</v>
      </c>
      <c r="F825" t="s">
        <v>352</v>
      </c>
    </row>
    <row r="826" spans="1:6">
      <c r="A826">
        <f>HYPERLINK("https://learning.oreilly.com/live-events/sql-next-steps-optimization/0636920378389/0636920060447", "0636920060447")</f>
        <v>0</v>
      </c>
      <c r="B826" t="s">
        <v>1104</v>
      </c>
      <c r="C826" t="s">
        <v>1507</v>
      </c>
      <c r="D826" t="s">
        <v>1508</v>
      </c>
      <c r="E826" t="s">
        <v>2316</v>
      </c>
      <c r="F826" t="s">
        <v>390</v>
      </c>
    </row>
    <row r="827" spans="1:6">
      <c r="A827">
        <f>HYPERLINK("https://learning.oreilly.com/live-events/fundamentals-of-event-driven-microservices/0636920410980/0636920060035", "0636920060035")</f>
        <v>0</v>
      </c>
      <c r="B827" t="s">
        <v>2317</v>
      </c>
      <c r="C827" t="s">
        <v>2318</v>
      </c>
      <c r="D827" t="s">
        <v>2319</v>
      </c>
      <c r="E827" t="s">
        <v>2320</v>
      </c>
      <c r="F827" t="s">
        <v>648</v>
      </c>
    </row>
    <row r="828" spans="1:6">
      <c r="A828">
        <f>HYPERLINK("https://learning.oreilly.com/live-events/deep-learning-for-algorithmic-trading/0636920058754/0636920059483", "0636920059483")</f>
        <v>0</v>
      </c>
      <c r="B828" t="s">
        <v>539</v>
      </c>
      <c r="C828" t="s">
        <v>2321</v>
      </c>
      <c r="D828" t="s">
        <v>2322</v>
      </c>
      <c r="E828" t="s">
        <v>2323</v>
      </c>
      <c r="F828" t="s">
        <v>1157</v>
      </c>
    </row>
    <row r="829" spans="1:6">
      <c r="A829">
        <f>HYPERLINK("https://learning.oreilly.com/live-events/building-an-mlai-pipeline-with-kubeflow-and-mlflow/0636920384380/0636920060762", "0636920060762")</f>
        <v>0</v>
      </c>
      <c r="B829" t="s">
        <v>787</v>
      </c>
      <c r="C829" t="s">
        <v>2324</v>
      </c>
      <c r="D829" t="s">
        <v>2325</v>
      </c>
      <c r="E829" t="s">
        <v>2326</v>
      </c>
      <c r="F829" t="s">
        <v>2327</v>
      </c>
    </row>
    <row r="830" spans="1:6">
      <c r="A830">
        <f>HYPERLINK("https://learning.oreilly.com/live-events/introduction-to-algorithms-and-data-structures/0636920306542/0636920060950", "0636920060950")</f>
        <v>0</v>
      </c>
      <c r="B830" t="s">
        <v>21</v>
      </c>
      <c r="C830" t="s">
        <v>2044</v>
      </c>
      <c r="D830" t="s">
        <v>1725</v>
      </c>
      <c r="E830" t="s">
        <v>2328</v>
      </c>
      <c r="F830" t="s">
        <v>1647</v>
      </c>
    </row>
    <row r="831" spans="1:6">
      <c r="A831">
        <f>HYPERLINK("https://learning.oreilly.com/live-events/calculus-iv-gradients-and-integrals-machine-learning-foundations/0636920059511/0636920059510", "0636920059510")</f>
        <v>0</v>
      </c>
      <c r="B831" t="s">
        <v>2329</v>
      </c>
      <c r="C831" t="s">
        <v>2330</v>
      </c>
      <c r="D831" t="s">
        <v>2331</v>
      </c>
      <c r="E831" t="s">
        <v>2332</v>
      </c>
      <c r="F831" t="s">
        <v>80</v>
      </c>
    </row>
    <row r="832" spans="1:6">
      <c r="A832">
        <f>HYPERLINK("https://learning.oreilly.com/live-events/aws-certified-solutions-architect-associate-saa-c02-crash-course/0636920309086/0636920060186", "0636920060186")</f>
        <v>0</v>
      </c>
      <c r="B832" t="s">
        <v>48</v>
      </c>
      <c r="C832" t="s">
        <v>2333</v>
      </c>
      <c r="E832" t="s">
        <v>2334</v>
      </c>
      <c r="F832" t="s">
        <v>52</v>
      </c>
    </row>
    <row r="833" spans="1:6">
      <c r="A833">
        <f>HYPERLINK("https://learning.oreilly.com/live-events/kubernetes-intermediate-in-3-weeks/0636920059877/0636920059876", "0636920059876")</f>
        <v>0</v>
      </c>
      <c r="B833" t="s">
        <v>574</v>
      </c>
      <c r="C833" t="s">
        <v>2335</v>
      </c>
      <c r="D833" t="s">
        <v>678</v>
      </c>
      <c r="E833" t="s">
        <v>2336</v>
      </c>
      <c r="F833" t="s">
        <v>679</v>
      </c>
    </row>
    <row r="834" spans="1:6">
      <c r="A834">
        <f>HYPERLINK("https://learning.oreilly.com/live-events/scalable-analytics-with-apache-hadoop-spark-and-kafka-effective-data-pipelines/0636920288947/0636920061224", "0636920061224")</f>
        <v>0</v>
      </c>
      <c r="B834" t="s">
        <v>441</v>
      </c>
      <c r="C834" t="s">
        <v>2337</v>
      </c>
      <c r="D834" t="s">
        <v>2338</v>
      </c>
      <c r="E834" t="s">
        <v>2339</v>
      </c>
      <c r="F834" t="s">
        <v>1036</v>
      </c>
    </row>
    <row r="835" spans="1:6">
      <c r="A835">
        <f>HYPERLINK("https://learning.oreilly.com/live-events/calculus-iii-partial-derivatives-machine-learning-foundations/0636920059509/0636920059508", "0636920059508")</f>
        <v>0</v>
      </c>
      <c r="B835" t="s">
        <v>2329</v>
      </c>
      <c r="C835" t="s">
        <v>2340</v>
      </c>
      <c r="D835" t="s">
        <v>2341</v>
      </c>
      <c r="E835" t="s">
        <v>2342</v>
      </c>
      <c r="F835" t="s">
        <v>80</v>
      </c>
    </row>
    <row r="836" spans="1:6">
      <c r="A836">
        <f>HYPERLINK("https://learning.oreilly.com/live-events/optimizing-mysql-performance/0636920058629/0636920058628", "0636920058628")</f>
        <v>0</v>
      </c>
      <c r="B836" t="s">
        <v>2343</v>
      </c>
      <c r="C836" t="s">
        <v>2344</v>
      </c>
      <c r="E836" t="s">
        <v>2345</v>
      </c>
      <c r="F836" t="s">
        <v>2346</v>
      </c>
    </row>
    <row r="837" spans="1:6">
      <c r="A837">
        <f>HYPERLINK("https://learning.oreilly.com/live-events/java-essentials/0636920055700/0636920056961", "0636920056961")</f>
        <v>0</v>
      </c>
      <c r="B837" t="s">
        <v>252</v>
      </c>
      <c r="C837" t="s">
        <v>2347</v>
      </c>
      <c r="D837" t="s">
        <v>2348</v>
      </c>
      <c r="E837" t="s">
        <v>2349</v>
      </c>
      <c r="F837" t="s">
        <v>1196</v>
      </c>
    </row>
    <row r="838" spans="1:6">
      <c r="A838">
        <f>HYPERLINK("https://learning.oreilly.com/live-events/meet-the-expert-alexandra-damsker-on-building-the-future-of-fintech-with-decentralized-finance/0636920060243/0636920060242", "0636920060242")</f>
        <v>0</v>
      </c>
      <c r="B838" t="s">
        <v>2350</v>
      </c>
      <c r="C838" t="s">
        <v>2351</v>
      </c>
      <c r="D838" t="s">
        <v>2352</v>
      </c>
      <c r="E838" t="s">
        <v>2353</v>
      </c>
      <c r="F838" t="s">
        <v>2354</v>
      </c>
    </row>
    <row r="839" spans="1:6">
      <c r="A839">
        <f>HYPERLINK("https://learning.oreilly.com/live-events/google-cloud-platform-professional-cloud-architect-certification-prep/0636920335382/0636920060371", "0636920060371")</f>
        <v>0</v>
      </c>
      <c r="B839" t="s">
        <v>561</v>
      </c>
      <c r="C839" t="s">
        <v>839</v>
      </c>
      <c r="D839" t="s">
        <v>840</v>
      </c>
      <c r="E839" t="s">
        <v>2353</v>
      </c>
      <c r="F839" t="s">
        <v>607</v>
      </c>
    </row>
    <row r="840" spans="1:6">
      <c r="A840">
        <f>HYPERLINK("https://learning.oreilly.com/live-events/managing-kubernetes-with-helm-3/0636920060912/0636920060911", "0636920060911")</f>
        <v>0</v>
      </c>
      <c r="B840" t="s">
        <v>1759</v>
      </c>
      <c r="C840" t="s">
        <v>2355</v>
      </c>
      <c r="E840" t="s">
        <v>2336</v>
      </c>
      <c r="F840" t="s">
        <v>2356</v>
      </c>
    </row>
    <row r="841" spans="1:6">
      <c r="A841">
        <f>HYPERLINK("https://learning.oreilly.com/live-events/introduction-to-apache-spark-with-python/0636920060914/0636920060913", "0636920060913")</f>
        <v>0</v>
      </c>
      <c r="B841" t="s">
        <v>2357</v>
      </c>
      <c r="C841" t="s">
        <v>2358</v>
      </c>
      <c r="D841" t="s">
        <v>2359</v>
      </c>
      <c r="E841" t="s">
        <v>2360</v>
      </c>
      <c r="F841" t="s">
        <v>2361</v>
      </c>
    </row>
    <row r="842" spans="1:6">
      <c r="A842">
        <f>HYPERLINK("https://learning.oreilly.com/live-events/getting-started-with-c/0636920059731/0636920059730", "0636920059730")</f>
        <v>0</v>
      </c>
      <c r="B842" t="s">
        <v>2362</v>
      </c>
      <c r="C842" t="s">
        <v>2363</v>
      </c>
      <c r="D842" t="s">
        <v>2364</v>
      </c>
      <c r="E842" t="s">
        <v>2360</v>
      </c>
      <c r="F842" t="s">
        <v>348</v>
      </c>
    </row>
    <row r="843" spans="1:6">
      <c r="A843">
        <f>HYPERLINK("https://learning.oreilly.com/live-events/building-microservices-with-containers/0636920408468/0636920058937", "0636920058937")</f>
        <v>0</v>
      </c>
      <c r="B843" t="s">
        <v>429</v>
      </c>
      <c r="C843" t="s">
        <v>2365</v>
      </c>
      <c r="D843" t="s">
        <v>1466</v>
      </c>
      <c r="E843" t="s">
        <v>2366</v>
      </c>
      <c r="F843" t="s">
        <v>66</v>
      </c>
    </row>
    <row r="844" spans="1:6">
      <c r="A844">
        <f>HYPERLINK("https://learning.oreilly.com/live-events/kubernetes-fundamentals-in-3-weeks/0636920059778/0636920059777", "0636920059777")</f>
        <v>0</v>
      </c>
      <c r="B844" t="s">
        <v>574</v>
      </c>
      <c r="C844" t="s">
        <v>2367</v>
      </c>
      <c r="D844" t="s">
        <v>793</v>
      </c>
      <c r="E844" t="s">
        <v>2368</v>
      </c>
      <c r="F844" t="s">
        <v>679</v>
      </c>
    </row>
    <row r="845" spans="1:6">
      <c r="A845">
        <f>HYPERLINK("https://learning.oreilly.com/live-events/calculus-ii-automatic-differentiation-machine-learning-foundations/0636920059507/0636920059506", "0636920059506")</f>
        <v>0</v>
      </c>
      <c r="B845" t="s">
        <v>2329</v>
      </c>
      <c r="C845" t="s">
        <v>2369</v>
      </c>
      <c r="D845" t="s">
        <v>984</v>
      </c>
      <c r="E845" t="s">
        <v>2370</v>
      </c>
      <c r="F845" t="s">
        <v>80</v>
      </c>
    </row>
    <row r="846" spans="1:6">
      <c r="A846">
        <f>HYPERLINK("https://learning.oreilly.com/live-events/apache-spark-ml-first-steps/0636920384229/0636920055141", "0636920055141")</f>
        <v>0</v>
      </c>
      <c r="B846" t="s">
        <v>1895</v>
      </c>
      <c r="C846" t="s">
        <v>2371</v>
      </c>
      <c r="D846" t="s">
        <v>2372</v>
      </c>
      <c r="E846" t="s">
        <v>2373</v>
      </c>
      <c r="F846" t="s">
        <v>1593</v>
      </c>
    </row>
    <row r="847" spans="1:6">
      <c r="A847">
        <f>HYPERLINK("https://learning.oreilly.com/live-events/artificial-intelligence-real-world-applications/0636920146445/0636920060100", "0636920060100")</f>
        <v>0</v>
      </c>
      <c r="B847" t="s">
        <v>315</v>
      </c>
      <c r="C847" t="s">
        <v>2374</v>
      </c>
      <c r="E847" t="s">
        <v>2375</v>
      </c>
      <c r="F847" t="s">
        <v>356</v>
      </c>
    </row>
    <row r="848" spans="1:6">
      <c r="A848">
        <f>HYPERLINK("https://learning.oreilly.com/live-events/intro-to-calculus-machine-learning-foundations/0636920059505/0636920059504", "0636920059504")</f>
        <v>0</v>
      </c>
      <c r="B848" t="s">
        <v>418</v>
      </c>
      <c r="C848" t="s">
        <v>2376</v>
      </c>
      <c r="D848" t="s">
        <v>420</v>
      </c>
      <c r="E848" t="s">
        <v>2368</v>
      </c>
      <c r="F848" t="s">
        <v>80</v>
      </c>
    </row>
    <row r="849" spans="1:6">
      <c r="A849">
        <f>HYPERLINK("https://learning.oreilly.com/live-events/fundamentals-of-event-driven-microservices/0636920410980/0636920059707", "0636920059707")</f>
        <v>0</v>
      </c>
      <c r="B849" t="s">
        <v>2317</v>
      </c>
      <c r="C849" t="s">
        <v>2318</v>
      </c>
      <c r="D849" t="s">
        <v>2319</v>
      </c>
      <c r="E849" t="s">
        <v>2377</v>
      </c>
      <c r="F849" t="s">
        <v>648</v>
      </c>
    </row>
    <row r="850" spans="1:6">
      <c r="A850">
        <f>HYPERLINK("https://learning.oreilly.com/live-events/aws-cloudformation/0636920472940/0636920059959", "0636920059959")</f>
        <v>0</v>
      </c>
      <c r="B850" t="s">
        <v>359</v>
      </c>
      <c r="C850" t="s">
        <v>2378</v>
      </c>
      <c r="D850" t="s">
        <v>2379</v>
      </c>
      <c r="E850" t="s">
        <v>2380</v>
      </c>
      <c r="F850" t="s">
        <v>2381</v>
      </c>
    </row>
    <row r="851" spans="1:6">
      <c r="A851">
        <f>HYPERLINK("https://learning.oreilly.com/live-events/building-text-analytics-pipelines-using-nlp/0636920457022/0636920059907", "0636920059907")</f>
        <v>0</v>
      </c>
      <c r="B851" t="s">
        <v>128</v>
      </c>
      <c r="C851" t="s">
        <v>2382</v>
      </c>
      <c r="D851" t="s">
        <v>2383</v>
      </c>
      <c r="E851" t="s">
        <v>2384</v>
      </c>
      <c r="F851" t="s">
        <v>2385</v>
      </c>
    </row>
    <row r="852" spans="1:6">
      <c r="A852">
        <f>HYPERLINK("https://learning.oreilly.com/live-events/hands-on-software-design/0636920059654/0636920059653", "0636920059653")</f>
        <v>0</v>
      </c>
      <c r="B852" t="s">
        <v>932</v>
      </c>
      <c r="C852" t="s">
        <v>933</v>
      </c>
      <c r="D852" t="s">
        <v>934</v>
      </c>
      <c r="E852" t="s">
        <v>2384</v>
      </c>
      <c r="F852" t="s">
        <v>935</v>
      </c>
    </row>
    <row r="853" spans="1:6">
      <c r="A853">
        <f>HYPERLINK("https://learning.oreilly.com/live-events/supervised-learning-demystified/0636920400417/0636920059369", "0636920059369")</f>
        <v>0</v>
      </c>
      <c r="B853" t="s">
        <v>2386</v>
      </c>
      <c r="C853" t="s">
        <v>2387</v>
      </c>
      <c r="D853" t="s">
        <v>2388</v>
      </c>
      <c r="E853" t="s">
        <v>2389</v>
      </c>
      <c r="F853" t="s">
        <v>2390</v>
      </c>
    </row>
    <row r="854" spans="1:6">
      <c r="A854">
        <f>HYPERLINK("https://learning.oreilly.com/live-events/microservices-in-3-weeks/0636920058477/0636920058476", "0636920058476")</f>
        <v>0</v>
      </c>
      <c r="B854" t="s">
        <v>429</v>
      </c>
      <c r="C854" t="s">
        <v>1709</v>
      </c>
      <c r="D854" t="s">
        <v>1710</v>
      </c>
      <c r="E854" t="s">
        <v>2391</v>
      </c>
      <c r="F854" t="s">
        <v>70</v>
      </c>
    </row>
    <row r="855" spans="1:6">
      <c r="A855">
        <f>HYPERLINK("https://learning.oreilly.com/live-events/build-a-cicd-pipeline/0636920057913/0636920057912", "0636920057912")</f>
        <v>0</v>
      </c>
      <c r="B855" t="s">
        <v>629</v>
      </c>
      <c r="C855" t="s">
        <v>630</v>
      </c>
      <c r="D855" t="s">
        <v>631</v>
      </c>
      <c r="E855" t="s">
        <v>2392</v>
      </c>
      <c r="F855" t="s">
        <v>633</v>
      </c>
    </row>
    <row r="856" spans="1:6">
      <c r="A856">
        <f>HYPERLINK("https://learning.oreilly.com/live-events/communication-styles-for-distributed-architectures-and-microservices/0636920408406/0636920057300", "0636920057300")</f>
        <v>0</v>
      </c>
      <c r="B856" t="s">
        <v>429</v>
      </c>
      <c r="C856" t="s">
        <v>1376</v>
      </c>
      <c r="D856" t="s">
        <v>1377</v>
      </c>
      <c r="E856" t="s">
        <v>2393</v>
      </c>
      <c r="F856" t="s">
        <v>100</v>
      </c>
    </row>
    <row r="857" spans="1:6">
      <c r="A857">
        <f>HYPERLINK("https://learning.oreilly.com/live-events/infrastructure-ops-superstream-series-microservices-devops/0636920053249/0636920053247", "0636920053247")</f>
        <v>0</v>
      </c>
      <c r="B857" t="s">
        <v>629</v>
      </c>
      <c r="C857" t="s">
        <v>2394</v>
      </c>
      <c r="E857" t="s">
        <v>2393</v>
      </c>
      <c r="F857" t="s">
        <v>70</v>
      </c>
    </row>
    <row r="858" spans="1:6">
      <c r="A858">
        <f>HYPERLINK("https://learning.oreilly.com/live-events/building-microservices-with-react-and-aws/0636920403999/0636920058499", "0636920058499")</f>
        <v>0</v>
      </c>
      <c r="B858" t="s">
        <v>173</v>
      </c>
      <c r="C858" t="s">
        <v>2395</v>
      </c>
      <c r="D858" t="s">
        <v>2396</v>
      </c>
      <c r="E858" t="s">
        <v>2397</v>
      </c>
      <c r="F858" t="s">
        <v>1752</v>
      </c>
    </row>
    <row r="859" spans="1:6">
      <c r="A859">
        <f>HYPERLINK("https://learning.oreilly.com/live-events/building-data-pipelines-with-cassandra-kafka-and-spark/0636920416746/0636920058611", "0636920058611")</f>
        <v>0</v>
      </c>
      <c r="B859" t="s">
        <v>1778</v>
      </c>
      <c r="C859" t="s">
        <v>1779</v>
      </c>
      <c r="D859" t="s">
        <v>1780</v>
      </c>
      <c r="E859" t="s">
        <v>2398</v>
      </c>
      <c r="F859" t="s">
        <v>1782</v>
      </c>
    </row>
    <row r="860" spans="1:6">
      <c r="A860">
        <f>HYPERLINK("https://learning.oreilly.com/live-events/domain-driven-design-first-steps/0636920436867/0636920058711", "0636920058711")</f>
        <v>0</v>
      </c>
      <c r="B860" t="s">
        <v>378</v>
      </c>
      <c r="C860" t="s">
        <v>2051</v>
      </c>
      <c r="D860" t="s">
        <v>2052</v>
      </c>
      <c r="E860" t="s">
        <v>2398</v>
      </c>
      <c r="F860" t="s">
        <v>1650</v>
      </c>
    </row>
    <row r="861" spans="1:6">
      <c r="A861">
        <f>HYPERLINK("https://learning.oreilly.com/live-events/mastering-pythons-pytest/0636920156246/0636920057398", "0636920057398")</f>
        <v>0</v>
      </c>
      <c r="B861" t="s">
        <v>1791</v>
      </c>
      <c r="C861" t="s">
        <v>1792</v>
      </c>
      <c r="D861" t="s">
        <v>1793</v>
      </c>
      <c r="E861" t="s">
        <v>2399</v>
      </c>
      <c r="F861" t="s">
        <v>1794</v>
      </c>
    </row>
    <row r="862" spans="1:6">
      <c r="A862">
        <f>HYPERLINK("https://learning.oreilly.com/live-events/software-architecture-superstream-series-soft-skills-are-the-hardest-part/0636920053233/0636920053232", "0636920053232")</f>
        <v>0</v>
      </c>
      <c r="B862" t="s">
        <v>96</v>
      </c>
      <c r="C862" t="s">
        <v>2400</v>
      </c>
      <c r="E862" t="s">
        <v>2401</v>
      </c>
      <c r="F862" t="s">
        <v>100</v>
      </c>
    </row>
    <row r="863" spans="1:6">
      <c r="A863">
        <f>HYPERLINK("https://learning.oreilly.com/live-events/microservices-data-decomposition/0636920054842/0636920054841", "0636920054841")</f>
        <v>0</v>
      </c>
      <c r="B863" t="s">
        <v>429</v>
      </c>
      <c r="C863" t="s">
        <v>1029</v>
      </c>
      <c r="D863" t="s">
        <v>1030</v>
      </c>
      <c r="E863" t="s">
        <v>2402</v>
      </c>
      <c r="F863" t="s">
        <v>70</v>
      </c>
    </row>
    <row r="864" spans="1:6">
      <c r="A864">
        <f>HYPERLINK("https://learning.oreilly.com/live-events/introduction-to-the-go-programming-language/0636920273189/0636920057296", "0636920057296")</f>
        <v>0</v>
      </c>
      <c r="B864" t="s">
        <v>404</v>
      </c>
      <c r="C864" t="s">
        <v>470</v>
      </c>
      <c r="D864" t="s">
        <v>471</v>
      </c>
      <c r="E864" t="s">
        <v>2403</v>
      </c>
      <c r="F864" t="s">
        <v>472</v>
      </c>
    </row>
    <row r="865" spans="1:6">
      <c r="A865">
        <f>HYPERLINK("https://learning.oreilly.com/live-events/getting-started-with-google-cloud-platform-gcp/0636920134206/0636920056059", "0636920056059")</f>
        <v>0</v>
      </c>
      <c r="B865" t="s">
        <v>2404</v>
      </c>
      <c r="C865" t="s">
        <v>2405</v>
      </c>
      <c r="E865" t="s">
        <v>2406</v>
      </c>
      <c r="F865" t="s">
        <v>52</v>
      </c>
    </row>
    <row r="866" spans="1:6">
      <c r="A866">
        <f>HYPERLINK("https://learning.oreilly.com/live-events/microservices-caching-strategies/0636920246428/0636920054790", "0636920054790")</f>
        <v>0</v>
      </c>
      <c r="B866" t="s">
        <v>429</v>
      </c>
      <c r="C866" t="s">
        <v>2407</v>
      </c>
      <c r="D866" t="s">
        <v>2408</v>
      </c>
      <c r="E866" t="s">
        <v>2409</v>
      </c>
      <c r="F866" t="s">
        <v>341</v>
      </c>
    </row>
    <row r="867" spans="1:6">
      <c r="A867">
        <f>HYPERLINK("https://learning.oreilly.com/live-events/software-architecture-hour-architecture-decision-making-with-michael-nygard/0636920053267/0636920059305", "0636920059305")</f>
        <v>0</v>
      </c>
      <c r="B867" t="s">
        <v>96</v>
      </c>
      <c r="C867" t="s">
        <v>2410</v>
      </c>
      <c r="E867" t="s">
        <v>2411</v>
      </c>
      <c r="F867" t="s">
        <v>2412</v>
      </c>
    </row>
    <row r="868" spans="1:6">
      <c r="A868">
        <f>HYPERLINK("https://learning.oreilly.com/live-events/web-performance-fundamentals/0636920055867/0636920055866", "0636920055866")</f>
        <v>0</v>
      </c>
      <c r="B868" t="s">
        <v>1315</v>
      </c>
      <c r="C868" t="s">
        <v>2413</v>
      </c>
      <c r="E868" t="s">
        <v>2411</v>
      </c>
      <c r="F868" t="s">
        <v>488</v>
      </c>
    </row>
    <row r="869" spans="1:6">
      <c r="A869">
        <f>HYPERLINK("https://learning.oreilly.com/live-events/advanced-test-driven-development-tdd/0636920239543/0636920056173", "0636920056173")</f>
        <v>0</v>
      </c>
      <c r="B869" t="s">
        <v>1771</v>
      </c>
      <c r="C869" t="s">
        <v>1772</v>
      </c>
      <c r="E869" t="s">
        <v>2414</v>
      </c>
      <c r="F869" t="s">
        <v>437</v>
      </c>
    </row>
    <row r="870" spans="1:6">
      <c r="A870">
        <f>HYPERLINK("https://learning.oreilly.com/live-events/react-deep-dive-user-authentication-and-onboarding/0636920055871/0636920055870", "0636920055870")</f>
        <v>0</v>
      </c>
      <c r="B870" t="s">
        <v>173</v>
      </c>
      <c r="C870" t="s">
        <v>2415</v>
      </c>
      <c r="D870" t="s">
        <v>2416</v>
      </c>
      <c r="E870" t="s">
        <v>2417</v>
      </c>
      <c r="F870" t="s">
        <v>15</v>
      </c>
    </row>
    <row r="871" spans="1:6">
      <c r="A871">
        <f>HYPERLINK("https://learning.oreilly.com/live-events/apache-hadoop-spark-and-kafka-foundations-effective-data-pipelines/0636920360032/0636920056822", "0636920056822")</f>
        <v>0</v>
      </c>
      <c r="B871" t="s">
        <v>441</v>
      </c>
      <c r="C871" t="s">
        <v>1034</v>
      </c>
      <c r="D871" t="s">
        <v>1035</v>
      </c>
      <c r="E871" t="s">
        <v>2418</v>
      </c>
      <c r="F871" t="s">
        <v>1036</v>
      </c>
    </row>
    <row r="872" spans="1:6">
      <c r="A872">
        <f>HYPERLINK("https://learning.oreilly.com/live-events/elastic-stack-first-steps/0636920053465/0636920053464", "0636920053464")</f>
        <v>0</v>
      </c>
      <c r="B872" t="s">
        <v>2419</v>
      </c>
      <c r="C872" t="s">
        <v>2420</v>
      </c>
      <c r="D872" t="s">
        <v>2421</v>
      </c>
      <c r="E872" t="s">
        <v>2422</v>
      </c>
      <c r="F872" t="s">
        <v>434</v>
      </c>
    </row>
    <row r="873" spans="1:6">
      <c r="A873">
        <f>HYPERLINK("https://learning.oreilly.com/live-events/learn-react-16-on-the-spot/0636920468417/0636920056838", "0636920056838")</f>
        <v>0</v>
      </c>
      <c r="B873" t="s">
        <v>173</v>
      </c>
      <c r="C873" t="s">
        <v>2423</v>
      </c>
      <c r="E873" t="s">
        <v>2424</v>
      </c>
      <c r="F873" t="s">
        <v>15</v>
      </c>
    </row>
    <row r="874" spans="1:6">
      <c r="A874">
        <f>HYPERLINK("https://learning.oreilly.com/live-events/building-microservices-with-react-and-aws/0636920403999/0636920056790", "0636920056790")</f>
        <v>0</v>
      </c>
      <c r="B874" t="s">
        <v>173</v>
      </c>
      <c r="C874" t="s">
        <v>2395</v>
      </c>
      <c r="D874" t="s">
        <v>2396</v>
      </c>
      <c r="E874" t="s">
        <v>2424</v>
      </c>
      <c r="F874" t="s">
        <v>1752</v>
      </c>
    </row>
    <row r="875" spans="1:6">
      <c r="A875">
        <f>HYPERLINK("https://learning.oreilly.com/live-events/software-architecture-hour-architecture-decision-making-with-michael-nygard/0636920053267/0636920053266", "0636920053266")</f>
        <v>0</v>
      </c>
      <c r="B875" t="s">
        <v>96</v>
      </c>
      <c r="C875" t="s">
        <v>2410</v>
      </c>
      <c r="E875" t="s">
        <v>2425</v>
      </c>
      <c r="F875" t="s">
        <v>2412</v>
      </c>
    </row>
    <row r="876" spans="1:6">
      <c r="A876">
        <f>HYPERLINK("https://learning.oreilly.com/live-events/advanced-machine-learning-create-real-world-ml-projects/0636920388661/0636920056770", "0636920056770")</f>
        <v>0</v>
      </c>
      <c r="B876" t="s">
        <v>315</v>
      </c>
      <c r="C876" t="s">
        <v>2426</v>
      </c>
      <c r="D876" t="s">
        <v>2427</v>
      </c>
      <c r="E876" t="s">
        <v>2428</v>
      </c>
      <c r="F876" t="s">
        <v>318</v>
      </c>
    </row>
    <row r="877" spans="1:6">
      <c r="A877">
        <f>HYPERLINK("https://learning.oreilly.com/live-events/python-for-finance-in-2-weeks/0636920055608/0636920055607", "0636920055607")</f>
        <v>0</v>
      </c>
      <c r="B877" t="s">
        <v>21</v>
      </c>
      <c r="C877" t="s">
        <v>2429</v>
      </c>
      <c r="D877" t="s">
        <v>2430</v>
      </c>
      <c r="E877" t="s">
        <v>2431</v>
      </c>
      <c r="F877" t="s">
        <v>1777</v>
      </c>
    </row>
    <row r="878" spans="1:6">
      <c r="A878">
        <f>HYPERLINK("https://learning.oreilly.com/live-events/practical-software-design-from-problem-to-solution/0636920274681/0636920056083", "0636920056083")</f>
        <v>0</v>
      </c>
      <c r="B878" t="s">
        <v>2432</v>
      </c>
      <c r="C878" t="s">
        <v>2433</v>
      </c>
      <c r="E878" t="s">
        <v>2434</v>
      </c>
      <c r="F878" t="s">
        <v>301</v>
      </c>
    </row>
    <row r="879" spans="1:6">
      <c r="A879">
        <f>HYPERLINK("https://learning.oreilly.com/live-events/elasticsearch-next-steps/0636920053461/0636920054223", "0636920054223")</f>
        <v>0</v>
      </c>
      <c r="B879" t="s">
        <v>1830</v>
      </c>
      <c r="C879" t="s">
        <v>2435</v>
      </c>
      <c r="D879" t="s">
        <v>1866</v>
      </c>
      <c r="E879" t="s">
        <v>2436</v>
      </c>
      <c r="F879" t="s">
        <v>434</v>
      </c>
    </row>
    <row r="880" spans="1:6">
      <c r="A880">
        <f>HYPERLINK("https://learning.oreilly.com/live-events/microservices-application-decomposition/0636920054836/0636920054835", "0636920054835")</f>
        <v>0</v>
      </c>
      <c r="B880" t="s">
        <v>429</v>
      </c>
      <c r="C880" t="s">
        <v>1548</v>
      </c>
      <c r="D880" t="s">
        <v>1549</v>
      </c>
      <c r="E880" t="s">
        <v>2437</v>
      </c>
      <c r="F880" t="s">
        <v>70</v>
      </c>
    </row>
    <row r="881" spans="1:6">
      <c r="A881">
        <f>HYPERLINK("https://learning.oreilly.com/live-events/solid-principles-of-object-oriented-and-agile-design/0636920129271/0636920054497", "0636920054497")</f>
        <v>0</v>
      </c>
      <c r="B881" t="s">
        <v>435</v>
      </c>
      <c r="C881" t="s">
        <v>436</v>
      </c>
      <c r="E881" t="s">
        <v>2438</v>
      </c>
      <c r="F881" t="s">
        <v>437</v>
      </c>
    </row>
    <row r="882" spans="1:6">
      <c r="A882">
        <f>HYPERLINK("https://learning.oreilly.com/live-events/react-deep-dive-state-management/0636920055547/0636920055546", "0636920055546")</f>
        <v>0</v>
      </c>
      <c r="B882" t="s">
        <v>173</v>
      </c>
      <c r="C882" t="s">
        <v>2439</v>
      </c>
      <c r="D882" t="s">
        <v>2440</v>
      </c>
      <c r="E882" t="s">
        <v>2441</v>
      </c>
      <c r="F882" t="s">
        <v>15</v>
      </c>
    </row>
    <row r="883" spans="1:6">
      <c r="A883">
        <f>HYPERLINK("https://learning.oreilly.com/live-events/advanced-python/0636920055231/0636920055230", "0636920055230")</f>
        <v>0</v>
      </c>
      <c r="B883" t="s">
        <v>21</v>
      </c>
      <c r="C883" t="s">
        <v>1123</v>
      </c>
      <c r="E883" t="s">
        <v>2441</v>
      </c>
      <c r="F883" t="s">
        <v>2442</v>
      </c>
    </row>
    <row r="884" spans="1:6">
      <c r="A884">
        <f>HYPERLINK("https://learning.oreilly.com/live-events/react-deep-dive-billing-payment-processing/0636920055545/0636920055544", "0636920055544")</f>
        <v>0</v>
      </c>
      <c r="B884" t="s">
        <v>173</v>
      </c>
      <c r="C884" t="s">
        <v>2443</v>
      </c>
      <c r="D884" t="s">
        <v>2444</v>
      </c>
      <c r="E884" t="s">
        <v>2445</v>
      </c>
      <c r="F884" t="s">
        <v>15</v>
      </c>
    </row>
    <row r="885" spans="1:6">
      <c r="A885">
        <f>HYPERLINK("https://learning.oreilly.com/live-events/microservice-fundamentals/0636920248347/0636920502265", "0636920502265")</f>
        <v>0</v>
      </c>
      <c r="B885" t="s">
        <v>429</v>
      </c>
      <c r="C885" t="s">
        <v>2446</v>
      </c>
      <c r="D885" t="s">
        <v>2447</v>
      </c>
      <c r="E885" t="s">
        <v>2448</v>
      </c>
      <c r="F885" t="s">
        <v>70</v>
      </c>
    </row>
    <row r="886" spans="1:6">
      <c r="A886">
        <f>HYPERLINK("https://learning.oreilly.com/live-events/algorithmic-risk-management-in-trading-and-investing/0636920301554/0636920053748", "0636920053748")</f>
        <v>0</v>
      </c>
      <c r="B886" t="s">
        <v>2285</v>
      </c>
      <c r="C886" t="s">
        <v>2449</v>
      </c>
      <c r="D886" t="s">
        <v>2450</v>
      </c>
      <c r="E886" t="s">
        <v>2451</v>
      </c>
      <c r="F886" t="s">
        <v>1157</v>
      </c>
    </row>
    <row r="887" spans="1:6">
      <c r="A887">
        <f>HYPERLINK("https://learning.oreilly.com/live-events/software-architecture-restructuring-and-migration/0636920435853/0636920056620", "0636920056620")</f>
        <v>0</v>
      </c>
      <c r="B887" t="s">
        <v>96</v>
      </c>
      <c r="C887" t="s">
        <v>2452</v>
      </c>
      <c r="D887" t="s">
        <v>417</v>
      </c>
      <c r="E887" t="s">
        <v>2453</v>
      </c>
      <c r="F887" t="s">
        <v>100</v>
      </c>
    </row>
    <row r="888" spans="1:6">
      <c r="A888">
        <f>HYPERLINK("https://learning.oreilly.com/live-events/python-advanced-generators-and-coroutines/0636920206750/0636920054666", "0636920054666")</f>
        <v>0</v>
      </c>
      <c r="B888" t="s">
        <v>21</v>
      </c>
      <c r="C888" t="s">
        <v>2454</v>
      </c>
      <c r="E888" t="s">
        <v>2453</v>
      </c>
      <c r="F888" t="s">
        <v>2442</v>
      </c>
    </row>
    <row r="889" spans="1:6">
      <c r="A889">
        <f>HYPERLINK("https://learning.oreilly.com/live-events/clean-code/0636920194545/0636920054493", "0636920054493")</f>
        <v>0</v>
      </c>
      <c r="B889" t="s">
        <v>1043</v>
      </c>
      <c r="C889" t="s">
        <v>1043</v>
      </c>
      <c r="E889" t="s">
        <v>2455</v>
      </c>
      <c r="F889" t="s">
        <v>437</v>
      </c>
    </row>
    <row r="890" spans="1:6">
      <c r="A890">
        <f>HYPERLINK("https://learning.oreilly.com/live-events/user-experience-design-implemented/0636920055534/0636920055533", "0636920055533")</f>
        <v>0</v>
      </c>
      <c r="B890" t="s">
        <v>1131</v>
      </c>
      <c r="C890" t="s">
        <v>2456</v>
      </c>
      <c r="E890" t="s">
        <v>2457</v>
      </c>
      <c r="F890" t="s">
        <v>1135</v>
      </c>
    </row>
    <row r="891" spans="1:6">
      <c r="A891">
        <f>HYPERLINK("https://learning.oreilly.com/live-events/design-patterns-in-3-weeks/0636920054121/0636920054120", "0636920054120")</f>
        <v>0</v>
      </c>
      <c r="B891" t="s">
        <v>932</v>
      </c>
      <c r="C891" t="s">
        <v>2458</v>
      </c>
      <c r="E891" t="s">
        <v>2459</v>
      </c>
      <c r="F891" t="s">
        <v>2089</v>
      </c>
    </row>
    <row r="892" spans="1:6">
      <c r="A892">
        <f>HYPERLINK("https://learning.oreilly.com/live-events/creating-enterprise-applications-with-react/0636920468462/0636920052986", "0636920052986")</f>
        <v>0</v>
      </c>
      <c r="B892" t="s">
        <v>173</v>
      </c>
      <c r="C892" t="s">
        <v>2460</v>
      </c>
      <c r="D892" t="s">
        <v>2461</v>
      </c>
      <c r="E892" t="s">
        <v>2462</v>
      </c>
      <c r="F892" t="s">
        <v>582</v>
      </c>
    </row>
    <row r="893" spans="1:6">
      <c r="A893">
        <f>HYPERLINK("https://learning.oreilly.com/live-events/meet-the-expert-blockchain-best-practices-with-john-hargrave-and-evan-karnoupakis/0636920508571/0636920508564", "0636920508564")</f>
        <v>0</v>
      </c>
      <c r="B893" t="s">
        <v>120</v>
      </c>
      <c r="C893" t="s">
        <v>2463</v>
      </c>
      <c r="D893" t="s">
        <v>2464</v>
      </c>
      <c r="E893" t="s">
        <v>2465</v>
      </c>
      <c r="F893" t="s">
        <v>2466</v>
      </c>
    </row>
    <row r="894" spans="1:6">
      <c r="A894">
        <f>HYPERLINK("https://learning.oreilly.com/live-events/ai-superstream-series-ai-ml-in-production/0636920053203/0636920053202", "0636920053202")</f>
        <v>0</v>
      </c>
      <c r="B894" t="s">
        <v>16</v>
      </c>
      <c r="C894" t="s">
        <v>2467</v>
      </c>
      <c r="E894" t="s">
        <v>2468</v>
      </c>
      <c r="F894" t="s">
        <v>1877</v>
      </c>
    </row>
    <row r="895" spans="1:6">
      <c r="A895">
        <f>HYPERLINK("https://learning.oreilly.com/live-events/strata-data-superstream-series-data-science-fundamentals/0636920052709/0636920052707", "0636920052707")</f>
        <v>0</v>
      </c>
      <c r="B895" t="s">
        <v>25</v>
      </c>
      <c r="C895" t="s">
        <v>2469</v>
      </c>
      <c r="E895" t="s">
        <v>2470</v>
      </c>
      <c r="F895" t="s">
        <v>114</v>
      </c>
    </row>
    <row r="896" spans="1:6">
      <c r="A896">
        <f>HYPERLINK("https://learning.oreilly.com/live-events/fraud-analytics-using-python/0636920267621/0636920051668", "0636920051668")</f>
        <v>0</v>
      </c>
      <c r="B896" t="s">
        <v>21</v>
      </c>
      <c r="C896" t="s">
        <v>2471</v>
      </c>
      <c r="D896" t="s">
        <v>2472</v>
      </c>
      <c r="E896" t="s">
        <v>2473</v>
      </c>
      <c r="F896" t="s">
        <v>2474</v>
      </c>
    </row>
    <row r="897" spans="1:6">
      <c r="A897">
        <f>HYPERLINK("https://learning.oreilly.com/live-events/solid-principles-of-object-oriented-and-agile-design/0636920129271/0636920499114", "0636920499114")</f>
        <v>0</v>
      </c>
      <c r="B897" t="s">
        <v>435</v>
      </c>
      <c r="C897" t="s">
        <v>436</v>
      </c>
      <c r="E897" t="s">
        <v>2475</v>
      </c>
      <c r="F897" t="s">
        <v>437</v>
      </c>
    </row>
    <row r="898" spans="1:6">
      <c r="A898">
        <f>HYPERLINK("https://learning.oreilly.com/live-events/software-architecture-superstream-series-architecture-meets-data/0636920051609/0636920051608", "0636920051608")</f>
        <v>0</v>
      </c>
      <c r="B898" t="s">
        <v>96</v>
      </c>
      <c r="C898" t="s">
        <v>2476</v>
      </c>
      <c r="E898" t="s">
        <v>2477</v>
      </c>
      <c r="F898" t="s">
        <v>100</v>
      </c>
    </row>
    <row r="899" spans="1:6">
      <c r="A899">
        <f>HYPERLINK("https://learning.oreilly.com/live-events/building-your-personal-brand/0636920373902/0636920509981", "0636920509981")</f>
        <v>0</v>
      </c>
      <c r="B899" t="s">
        <v>654</v>
      </c>
      <c r="C899" t="s">
        <v>655</v>
      </c>
      <c r="D899" t="s">
        <v>656</v>
      </c>
      <c r="E899" t="s">
        <v>2478</v>
      </c>
      <c r="F899" t="s">
        <v>518</v>
      </c>
    </row>
    <row r="900" spans="1:6">
      <c r="A900">
        <f>HYPERLINK("https://learning.oreilly.com/live-events/introduction-to-critical-thinking/0636920118909/0636920483779", "0636920483779")</f>
        <v>0</v>
      </c>
      <c r="B900" t="s">
        <v>673</v>
      </c>
      <c r="C900" t="s">
        <v>1904</v>
      </c>
      <c r="D900" t="s">
        <v>1905</v>
      </c>
      <c r="E900" t="s">
        <v>2479</v>
      </c>
      <c r="F900" t="s">
        <v>676</v>
      </c>
    </row>
    <row r="901" spans="1:6">
      <c r="A901">
        <f>HYPERLINK("https://learning.oreilly.com/live-events/applying-critical-thinking/0636920209881/0636920483571", "0636920483571")</f>
        <v>0</v>
      </c>
      <c r="B901" t="s">
        <v>673</v>
      </c>
      <c r="C901" t="s">
        <v>2480</v>
      </c>
      <c r="D901" t="s">
        <v>2263</v>
      </c>
      <c r="E901" t="s">
        <v>2481</v>
      </c>
      <c r="F901" t="s">
        <v>676</v>
      </c>
    </row>
    <row r="902" spans="1:6">
      <c r="A902">
        <f>HYPERLINK("https://learning.oreilly.com/live-events/microservices-architecture-and-design/0636920071099/0636920423331", "0636920423331")</f>
        <v>0</v>
      </c>
      <c r="B902" t="s">
        <v>429</v>
      </c>
      <c r="C902" t="s">
        <v>2482</v>
      </c>
      <c r="D902" t="s">
        <v>2483</v>
      </c>
      <c r="E902" t="s">
        <v>2484</v>
      </c>
      <c r="F902" t="s">
        <v>341</v>
      </c>
    </row>
    <row r="903" spans="1:6">
      <c r="A903">
        <f>HYPERLINK("https://learning.oreilly.com/live-events/kubernetes-in-4-hours/0636920137313/0636920464662", "0636920464662")</f>
        <v>0</v>
      </c>
      <c r="B903" t="s">
        <v>574</v>
      </c>
      <c r="C903" t="s">
        <v>882</v>
      </c>
      <c r="D903" t="s">
        <v>883</v>
      </c>
      <c r="E903" t="s">
        <v>2485</v>
      </c>
      <c r="F903" t="s">
        <v>66</v>
      </c>
    </row>
    <row r="904" spans="1:6">
      <c r="A904">
        <f>HYPERLINK("https://learning.oreilly.com/live-events/python-advanced-generators-and-coroutines/0636920206750/0636920470649", "0636920470649")</f>
        <v>0</v>
      </c>
      <c r="B904" t="s">
        <v>21</v>
      </c>
      <c r="C904" t="s">
        <v>2454</v>
      </c>
      <c r="E904" t="s">
        <v>2486</v>
      </c>
      <c r="F904" t="s">
        <v>2442</v>
      </c>
    </row>
    <row r="905" spans="1:6">
      <c r="A905">
        <f>HYPERLINK("https://learning.oreilly.com/live-events/intense-introduction-to-hacking-web-applications/0636920215974/0636920465430", "0636920465430")</f>
        <v>0</v>
      </c>
      <c r="B905" t="s">
        <v>2487</v>
      </c>
      <c r="C905" t="s">
        <v>2488</v>
      </c>
      <c r="E905" t="s">
        <v>2486</v>
      </c>
      <c r="F905" t="s">
        <v>786</v>
      </c>
    </row>
    <row r="906" spans="1:6">
      <c r="A906">
        <f>HYPERLINK("https://learning.oreilly.com/live-events/aws-design-fundamentals/0636920096313/0636920412991", "0636920412991")</f>
        <v>0</v>
      </c>
      <c r="B906" t="s">
        <v>940</v>
      </c>
      <c r="C906" t="s">
        <v>941</v>
      </c>
      <c r="D906" t="s">
        <v>942</v>
      </c>
      <c r="E906" t="s">
        <v>2489</v>
      </c>
      <c r="F906" t="s">
        <v>352</v>
      </c>
    </row>
    <row r="907" spans="1:6">
      <c r="A907">
        <f>HYPERLINK("https://learning.oreilly.com/live-events/creating-enterprise-applications-with-react/0636920468462/0636920468455", "0636920468455")</f>
        <v>0</v>
      </c>
      <c r="B907" t="s">
        <v>173</v>
      </c>
      <c r="C907" t="s">
        <v>2460</v>
      </c>
      <c r="D907" t="s">
        <v>2461</v>
      </c>
      <c r="E907" t="s">
        <v>2490</v>
      </c>
      <c r="F907" t="s">
        <v>582</v>
      </c>
    </row>
    <row r="908" spans="1:6">
      <c r="A908">
        <f>HYPERLINK("https://learning.oreilly.com/live-events/intro-to-mathematical-optimization/0636920269793/0636920425366", "0636920425366")</f>
        <v>0</v>
      </c>
      <c r="B908" t="s">
        <v>371</v>
      </c>
      <c r="C908" t="s">
        <v>2491</v>
      </c>
      <c r="D908" t="s">
        <v>2130</v>
      </c>
      <c r="E908" t="s">
        <v>2492</v>
      </c>
      <c r="F908" t="s">
        <v>29</v>
      </c>
    </row>
    <row r="909" spans="1:6">
      <c r="A909">
        <f>HYPERLINK("https://learning.oreilly.com/live-events/algorithmic-risk-management-in-trading-and-investing/0636920301554/0636920455783", "0636920455783")</f>
        <v>0</v>
      </c>
      <c r="B909" t="s">
        <v>2285</v>
      </c>
      <c r="C909" t="s">
        <v>2449</v>
      </c>
      <c r="D909" t="s">
        <v>2450</v>
      </c>
      <c r="E909" t="s">
        <v>2493</v>
      </c>
      <c r="F909" t="s">
        <v>1157</v>
      </c>
    </row>
    <row r="910" spans="1:6">
      <c r="A910">
        <f>HYPERLINK("https://learning.oreilly.com/live-events/job-search-strategies-how-to-identify-and-land-your-next-job/0636920375982/0636920461074", "0636920461074")</f>
        <v>0</v>
      </c>
      <c r="B910" t="s">
        <v>2494</v>
      </c>
      <c r="C910" t="s">
        <v>2495</v>
      </c>
      <c r="D910" t="s">
        <v>2496</v>
      </c>
      <c r="E910" t="s">
        <v>2497</v>
      </c>
      <c r="F910" t="s">
        <v>518</v>
      </c>
    </row>
    <row r="911" spans="1:6">
      <c r="A911">
        <f>HYPERLINK("https://learning.oreilly.com/live-events/aws-infrastructure-bootcamp/0636920449461/0636920449454", "0636920449454")</f>
        <v>0</v>
      </c>
      <c r="B911" t="s">
        <v>48</v>
      </c>
      <c r="C911" t="s">
        <v>2498</v>
      </c>
      <c r="E911" t="s">
        <v>2499</v>
      </c>
      <c r="F911" t="s">
        <v>352</v>
      </c>
    </row>
    <row r="912" spans="1:6">
      <c r="A912">
        <f>HYPERLINK("https://learning.oreilly.com/live-events/react-with-serverless/0636920420118/0636920420101", "0636920420101")</f>
        <v>0</v>
      </c>
      <c r="B912" t="s">
        <v>173</v>
      </c>
      <c r="C912" t="s">
        <v>2500</v>
      </c>
      <c r="D912" t="s">
        <v>2501</v>
      </c>
      <c r="E912" t="s">
        <v>2502</v>
      </c>
      <c r="F912" t="s">
        <v>488</v>
      </c>
    </row>
    <row r="913" spans="1:6">
      <c r="A913">
        <f>HYPERLINK("https://learning.oreilly.com/live-events/pytest-tricks-and-tips/0636920431930/0636920470335", "0636920470335")</f>
        <v>0</v>
      </c>
      <c r="B913" t="s">
        <v>1791</v>
      </c>
      <c r="C913" t="s">
        <v>2503</v>
      </c>
      <c r="D913" t="s">
        <v>2504</v>
      </c>
      <c r="E913" t="s">
        <v>2505</v>
      </c>
      <c r="F913" t="s">
        <v>2506</v>
      </c>
    </row>
    <row r="914" spans="1:6">
      <c r="A914">
        <f>HYPERLINK("https://learning.oreilly.com/live-events/building-micro-frontends/0636920243588/0636920479222", "0636920479222")</f>
        <v>0</v>
      </c>
      <c r="B914" t="s">
        <v>1261</v>
      </c>
      <c r="C914" t="s">
        <v>2507</v>
      </c>
      <c r="D914" t="s">
        <v>2508</v>
      </c>
      <c r="E914" t="s">
        <v>2509</v>
      </c>
      <c r="F914" t="s">
        <v>2510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2025-01-28T02:46:56Z</dcterms:created>
  <dcterms:modified xsi:type="dcterms:W3CDTF">2025-01-28T02:46:56Z</dcterms:modified>
</cp:coreProperties>
</file>