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1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2.xml" ContentType="application/vnd.openxmlformats-officedocument.themeOverrid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3.xml" ContentType="application/vnd.openxmlformats-officedocument.themeOverrid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4.xml" ContentType="application/vnd.openxmlformats-officedocument.themeOverrid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5.xml" ContentType="application/vnd.openxmlformats-officedocument.themeOverrid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6.xml" ContentType="application/vnd.openxmlformats-officedocument.themeOverrid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7.xml" ContentType="application/vnd.openxmlformats-officedocument.themeOverrid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8.xml" ContentType="application/vnd.openxmlformats-officedocument.themeOverrid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okkolios\Desktop\"/>
    </mc:Choice>
  </mc:AlternateContent>
  <xr:revisionPtr revIDLastSave="0" documentId="13_ncr:1_{DA042A0D-563D-47AD-B1E4-C330F40D6341}" xr6:coauthVersionLast="47" xr6:coauthVersionMax="47" xr10:uidLastSave="{00000000-0000-0000-0000-000000000000}"/>
  <bookViews>
    <workbookView xWindow="-80" yWindow="-80" windowWidth="19360" windowHeight="10360" tabRatio="820" firstSheet="1" activeTab="1" xr2:uid="{12B2FA9D-38F7-40AC-9915-9D9F1DE0DFA6}"/>
  </bookViews>
  <sheets>
    <sheet name="Οικιακοί καταναλωτές" sheetId="18" r:id="rId1"/>
    <sheet name="Υπολογισμός δανείου" sheetId="16" r:id="rId2"/>
    <sheet name="Εύρεση kWh βάσει €" sheetId="12" r:id="rId3"/>
    <sheet name="Εταιρικοί Καταναλωτές Χ.Τ" sheetId="5" r:id="rId4"/>
    <sheet name="Καταναλωτές Μ.Τ" sheetId="6" r:id="rId5"/>
    <sheet name="Οικονομική αξιολόγηση_5-22" sheetId="17" r:id="rId6"/>
    <sheet name="NetMetering_vs_6kW" sheetId="11" r:id="rId7"/>
    <sheet name="Ένα Ηλε.Όχημα" sheetId="7" state="hidden" r:id="rId8"/>
    <sheet name="ΕξοικονόμησηΚόστουςΜετακίνησης" sheetId="8" r:id="rId9"/>
    <sheet name="Οικονομική αξιολόγηση" sheetId="13" r:id="rId10"/>
    <sheet name="Οικονομική αξιολόγηση PPA" sheetId="15" r:id="rId11"/>
    <sheet name="Δεδομένα για Λίστες" sheetId="3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6" l="1"/>
  <c r="H3" i="16"/>
  <c r="L8" i="6"/>
  <c r="L8" i="18"/>
  <c r="Q32" i="18"/>
  <c r="P32" i="18"/>
  <c r="Q31" i="18"/>
  <c r="P31" i="18"/>
  <c r="Q30" i="18"/>
  <c r="P30" i="18"/>
  <c r="Q29" i="18"/>
  <c r="P29" i="18"/>
  <c r="Q28" i="18"/>
  <c r="P28" i="18"/>
  <c r="Q27" i="18"/>
  <c r="P27" i="18"/>
  <c r="Q26" i="18"/>
  <c r="P26" i="18"/>
  <c r="Q25" i="18"/>
  <c r="P25" i="18"/>
  <c r="L17" i="18"/>
  <c r="L16" i="18"/>
  <c r="O10" i="18" s="1"/>
  <c r="L15" i="18"/>
  <c r="I13" i="18"/>
  <c r="L10" i="18" s="1"/>
  <c r="I11" i="18"/>
  <c r="I10" i="18"/>
  <c r="I9" i="18"/>
  <c r="U8" i="18"/>
  <c r="I8" i="18"/>
  <c r="O7" i="18"/>
  <c r="I7" i="18"/>
  <c r="L15" i="6"/>
  <c r="L17" i="6"/>
  <c r="O15" i="6" s="1"/>
  <c r="O10" i="5"/>
  <c r="R43" i="17"/>
  <c r="AB41" i="17"/>
  <c r="AA41" i="17"/>
  <c r="Z41" i="17"/>
  <c r="Y41" i="17"/>
  <c r="X41" i="17"/>
  <c r="W41" i="17"/>
  <c r="V41" i="17"/>
  <c r="U41" i="17"/>
  <c r="T41" i="17"/>
  <c r="S41" i="17"/>
  <c r="AB40" i="17"/>
  <c r="AA40" i="17"/>
  <c r="Z40" i="17"/>
  <c r="Y40" i="17"/>
  <c r="X40" i="17"/>
  <c r="W40" i="17"/>
  <c r="V40" i="17"/>
  <c r="U40" i="17"/>
  <c r="T40" i="17"/>
  <c r="S40" i="17"/>
  <c r="B37" i="17"/>
  <c r="B35" i="17"/>
  <c r="B33" i="17"/>
  <c r="AQ28" i="17"/>
  <c r="AP28" i="17"/>
  <c r="AO28" i="17"/>
  <c r="AN28" i="17"/>
  <c r="AM28" i="17"/>
  <c r="AL28" i="17"/>
  <c r="AK28" i="17"/>
  <c r="AJ28" i="17"/>
  <c r="AI28" i="17"/>
  <c r="AH28" i="17"/>
  <c r="AG28" i="17"/>
  <c r="AF28" i="17"/>
  <c r="AE28" i="17"/>
  <c r="AD28" i="17"/>
  <c r="AC28" i="17"/>
  <c r="AB28" i="17"/>
  <c r="AA28" i="17"/>
  <c r="Z28" i="17"/>
  <c r="Y28" i="17"/>
  <c r="X28" i="17"/>
  <c r="W28" i="17"/>
  <c r="V28" i="17"/>
  <c r="U28" i="17"/>
  <c r="T28" i="17"/>
  <c r="S28" i="17"/>
  <c r="S27" i="17"/>
  <c r="T27" i="17" s="1"/>
  <c r="U27" i="17" s="1"/>
  <c r="V27" i="17" s="1"/>
  <c r="W27" i="17" s="1"/>
  <c r="X27" i="17" s="1"/>
  <c r="Y27" i="17" s="1"/>
  <c r="Z27" i="17" s="1"/>
  <c r="AA27" i="17" s="1"/>
  <c r="AB27" i="17" s="1"/>
  <c r="AC27" i="17" s="1"/>
  <c r="AD27" i="17" s="1"/>
  <c r="AE27" i="17" s="1"/>
  <c r="AF27" i="17" s="1"/>
  <c r="AG27" i="17" s="1"/>
  <c r="AH27" i="17" s="1"/>
  <c r="AI27" i="17" s="1"/>
  <c r="AJ27" i="17" s="1"/>
  <c r="AK27" i="17" s="1"/>
  <c r="AL27" i="17" s="1"/>
  <c r="AM27" i="17" s="1"/>
  <c r="AN27" i="17" s="1"/>
  <c r="AO27" i="17" s="1"/>
  <c r="AP27" i="17" s="1"/>
  <c r="AQ27" i="17" s="1"/>
  <c r="B21" i="17"/>
  <c r="E18" i="17"/>
  <c r="B18" i="17"/>
  <c r="AQ17" i="17"/>
  <c r="AP17" i="17"/>
  <c r="AO17" i="17"/>
  <c r="AN17" i="17"/>
  <c r="AM17" i="17"/>
  <c r="AL17" i="17"/>
  <c r="AK17" i="17"/>
  <c r="AJ17" i="17"/>
  <c r="AI17" i="17"/>
  <c r="AH17" i="17"/>
  <c r="AG17" i="17"/>
  <c r="AF17" i="17"/>
  <c r="AE17" i="17"/>
  <c r="AD17" i="17"/>
  <c r="AC17" i="17"/>
  <c r="AB17" i="17"/>
  <c r="AA17" i="17"/>
  <c r="Z17" i="17"/>
  <c r="Y17" i="17"/>
  <c r="X17" i="17"/>
  <c r="W17" i="17"/>
  <c r="V17" i="17"/>
  <c r="U17" i="17"/>
  <c r="T17" i="17"/>
  <c r="S17" i="17"/>
  <c r="S15" i="17"/>
  <c r="S16" i="17" s="1"/>
  <c r="A12" i="17"/>
  <c r="I11" i="17"/>
  <c r="A9" i="17"/>
  <c r="B9" i="17" s="1"/>
  <c r="Y8" i="17"/>
  <c r="X8" i="17"/>
  <c r="Q8" i="17"/>
  <c r="AQ26" i="17" s="1"/>
  <c r="P8" i="17"/>
  <c r="S24" i="17" s="1"/>
  <c r="N8" i="17"/>
  <c r="N9" i="17" s="1"/>
  <c r="M8" i="17"/>
  <c r="L8" i="17" s="1"/>
  <c r="D8" i="17"/>
  <c r="D9" i="17" s="1"/>
  <c r="D10" i="17" s="1"/>
  <c r="D11" i="17" s="1"/>
  <c r="T6" i="17"/>
  <c r="T8" i="17" s="1"/>
  <c r="S25" i="17" s="1"/>
  <c r="R6" i="17"/>
  <c r="R8" i="17" s="1"/>
  <c r="L16" i="5"/>
  <c r="L15" i="5"/>
  <c r="L14" i="5"/>
  <c r="L17" i="5"/>
  <c r="Q32" i="6"/>
  <c r="P32" i="6"/>
  <c r="Q31" i="6"/>
  <c r="P31" i="6"/>
  <c r="Q30" i="6"/>
  <c r="P30" i="6"/>
  <c r="Q29" i="6"/>
  <c r="P29" i="6"/>
  <c r="Q28" i="6"/>
  <c r="P28" i="6"/>
  <c r="Q27" i="6"/>
  <c r="P27" i="6"/>
  <c r="Q26" i="6"/>
  <c r="P26" i="6"/>
  <c r="Q25" i="6"/>
  <c r="P25" i="6"/>
  <c r="B6" i="16"/>
  <c r="F12" i="12"/>
  <c r="B13" i="12"/>
  <c r="I12" i="18" l="1"/>
  <c r="L9" i="18" s="1"/>
  <c r="L11" i="18" s="1"/>
  <c r="O15" i="18"/>
  <c r="AM36" i="17"/>
  <c r="AF36" i="17"/>
  <c r="AI26" i="17"/>
  <c r="AP26" i="17"/>
  <c r="Q17" i="17"/>
  <c r="Q28" i="17"/>
  <c r="T25" i="17"/>
  <c r="U25" i="17" s="1"/>
  <c r="V25" i="17" s="1"/>
  <c r="W25" i="17" s="1"/>
  <c r="X25" i="17" s="1"/>
  <c r="Y25" i="17" s="1"/>
  <c r="Z25" i="17" s="1"/>
  <c r="AA25" i="17" s="1"/>
  <c r="AB25" i="17" s="1"/>
  <c r="AC25" i="17" s="1"/>
  <c r="AD25" i="17" s="1"/>
  <c r="AE25" i="17" s="1"/>
  <c r="AF25" i="17" s="1"/>
  <c r="AG25" i="17" s="1"/>
  <c r="AH25" i="17" s="1"/>
  <c r="AI25" i="17" s="1"/>
  <c r="AJ25" i="17" s="1"/>
  <c r="AK25" i="17" s="1"/>
  <c r="AL25" i="17" s="1"/>
  <c r="AM25" i="17" s="1"/>
  <c r="AN25" i="17" s="1"/>
  <c r="AO25" i="17" s="1"/>
  <c r="AP25" i="17" s="1"/>
  <c r="AQ25" i="17" s="1"/>
  <c r="N17" i="17"/>
  <c r="Y35" i="17"/>
  <c r="X35" i="17"/>
  <c r="W35" i="17"/>
  <c r="B34" i="17"/>
  <c r="V35" i="17"/>
  <c r="U35" i="17"/>
  <c r="R62" i="17"/>
  <c r="AB35" i="17"/>
  <c r="T35" i="17"/>
  <c r="Z35" i="17"/>
  <c r="S35" i="17"/>
  <c r="R52" i="17"/>
  <c r="AA35" i="17"/>
  <c r="S26" i="17"/>
  <c r="S29" i="17" s="1"/>
  <c r="T24" i="17"/>
  <c r="AL36" i="17"/>
  <c r="AD36" i="17"/>
  <c r="V36" i="17"/>
  <c r="AK36" i="17"/>
  <c r="AC36" i="17"/>
  <c r="U36" i="17"/>
  <c r="AJ36" i="17"/>
  <c r="AB36" i="17"/>
  <c r="T36" i="17"/>
  <c r="AQ36" i="17"/>
  <c r="AI36" i="17"/>
  <c r="AA36" i="17"/>
  <c r="S36" i="17"/>
  <c r="AP36" i="17"/>
  <c r="AH36" i="17"/>
  <c r="Z36" i="17"/>
  <c r="B36" i="17"/>
  <c r="AO36" i="17"/>
  <c r="AG36" i="17"/>
  <c r="Y36" i="17"/>
  <c r="Z26" i="17"/>
  <c r="W36" i="17"/>
  <c r="AA26" i="17"/>
  <c r="X36" i="17"/>
  <c r="S14" i="17"/>
  <c r="AH26" i="17"/>
  <c r="AE36" i="17"/>
  <c r="B19" i="17"/>
  <c r="B20" i="17" s="1"/>
  <c r="B22" i="17" s="1"/>
  <c r="AN36" i="17"/>
  <c r="AO26" i="17"/>
  <c r="AG26" i="17"/>
  <c r="Y26" i="17"/>
  <c r="AN26" i="17"/>
  <c r="AF26" i="17"/>
  <c r="X26" i="17"/>
  <c r="AM26" i="17"/>
  <c r="AE26" i="17"/>
  <c r="W26" i="17"/>
  <c r="AL26" i="17"/>
  <c r="AD26" i="17"/>
  <c r="V26" i="17"/>
  <c r="AK26" i="17"/>
  <c r="AC26" i="17"/>
  <c r="U26" i="17"/>
  <c r="AJ26" i="17"/>
  <c r="AB26" i="17"/>
  <c r="T26" i="17"/>
  <c r="T15" i="17"/>
  <c r="D33" i="17"/>
  <c r="Q27" i="17"/>
  <c r="Q32" i="5"/>
  <c r="P32" i="5"/>
  <c r="Q31" i="5"/>
  <c r="P31" i="5"/>
  <c r="Q30" i="5"/>
  <c r="P30" i="5"/>
  <c r="Q29" i="5"/>
  <c r="P29" i="5"/>
  <c r="Q28" i="5"/>
  <c r="P28" i="5"/>
  <c r="Q27" i="5"/>
  <c r="P27" i="5"/>
  <c r="Q26" i="5"/>
  <c r="P26" i="5"/>
  <c r="Q25" i="5"/>
  <c r="P25" i="5"/>
  <c r="H6" i="16"/>
  <c r="H5" i="16"/>
  <c r="H7" i="16" l="1"/>
  <c r="H8" i="16" s="1"/>
  <c r="L7" i="18"/>
  <c r="L13" i="18"/>
  <c r="L12" i="18"/>
  <c r="D34" i="17"/>
  <c r="U15" i="17"/>
  <c r="T16" i="17"/>
  <c r="R53" i="17"/>
  <c r="Q25" i="17"/>
  <c r="E34" i="17"/>
  <c r="U24" i="17"/>
  <c r="T29" i="17"/>
  <c r="S18" i="17"/>
  <c r="T14" i="17"/>
  <c r="Q26" i="17"/>
  <c r="B23" i="17"/>
  <c r="S26" i="15"/>
  <c r="R41" i="15"/>
  <c r="AB39" i="15"/>
  <c r="AA39" i="15"/>
  <c r="Z39" i="15"/>
  <c r="Y39" i="15"/>
  <c r="X39" i="15"/>
  <c r="W39" i="15"/>
  <c r="V39" i="15"/>
  <c r="U39" i="15"/>
  <c r="T39" i="15"/>
  <c r="S39" i="15"/>
  <c r="AB38" i="15"/>
  <c r="AA38" i="15"/>
  <c r="Z38" i="15"/>
  <c r="Y38" i="15"/>
  <c r="X38" i="15"/>
  <c r="W38" i="15"/>
  <c r="V38" i="15"/>
  <c r="U38" i="15"/>
  <c r="T38" i="15"/>
  <c r="S38" i="15"/>
  <c r="B35" i="15"/>
  <c r="B33" i="15"/>
  <c r="B31" i="15"/>
  <c r="AQ26" i="15"/>
  <c r="AP26" i="15"/>
  <c r="AO26" i="15"/>
  <c r="AN26" i="15"/>
  <c r="AM26" i="15"/>
  <c r="AL26" i="15"/>
  <c r="AK26" i="15"/>
  <c r="AJ26" i="15"/>
  <c r="AI26" i="15"/>
  <c r="AH26" i="15"/>
  <c r="AG26" i="15"/>
  <c r="AF26" i="15"/>
  <c r="AE26" i="15"/>
  <c r="AD26" i="15"/>
  <c r="AC26" i="15"/>
  <c r="AB26" i="15"/>
  <c r="AA26" i="15"/>
  <c r="Z26" i="15"/>
  <c r="Y26" i="15"/>
  <c r="X26" i="15"/>
  <c r="W26" i="15"/>
  <c r="V26" i="15"/>
  <c r="U26" i="15"/>
  <c r="T26" i="15"/>
  <c r="W25" i="15"/>
  <c r="X25" i="15" s="1"/>
  <c r="Y25" i="15" s="1"/>
  <c r="Z25" i="15" s="1"/>
  <c r="AA25" i="15" s="1"/>
  <c r="AB25" i="15" s="1"/>
  <c r="AC25" i="15" s="1"/>
  <c r="AD25" i="15" s="1"/>
  <c r="AE25" i="15" s="1"/>
  <c r="AF25" i="15" s="1"/>
  <c r="AG25" i="15" s="1"/>
  <c r="AH25" i="15" s="1"/>
  <c r="AI25" i="15" s="1"/>
  <c r="AJ25" i="15" s="1"/>
  <c r="AK25" i="15" s="1"/>
  <c r="AL25" i="15" s="1"/>
  <c r="AM25" i="15" s="1"/>
  <c r="AN25" i="15" s="1"/>
  <c r="AO25" i="15" s="1"/>
  <c r="AP25" i="15" s="1"/>
  <c r="AQ25" i="15" s="1"/>
  <c r="T25" i="15"/>
  <c r="U25" i="15" s="1"/>
  <c r="V25" i="15" s="1"/>
  <c r="S25" i="15"/>
  <c r="AO24" i="15"/>
  <c r="AA24" i="15"/>
  <c r="AR21" i="15"/>
  <c r="B19" i="15"/>
  <c r="E16" i="15"/>
  <c r="B16" i="15"/>
  <c r="B17" i="15" s="1"/>
  <c r="B18" i="15" s="1"/>
  <c r="B20" i="15" s="1"/>
  <c r="B21" i="15" s="1"/>
  <c r="AQ15" i="15"/>
  <c r="AP15" i="15"/>
  <c r="AO15" i="15"/>
  <c r="AN15" i="15"/>
  <c r="AM15" i="15"/>
  <c r="AL15" i="15"/>
  <c r="AK15" i="15"/>
  <c r="AJ15" i="15"/>
  <c r="AI15" i="15"/>
  <c r="AH15" i="15"/>
  <c r="AG15" i="15"/>
  <c r="AF15" i="15"/>
  <c r="AE15" i="15"/>
  <c r="AD15" i="15"/>
  <c r="AC15" i="15"/>
  <c r="AB15" i="15"/>
  <c r="AA15" i="15"/>
  <c r="Z15" i="15"/>
  <c r="Y15" i="15"/>
  <c r="X15" i="15"/>
  <c r="W15" i="15"/>
  <c r="V15" i="15"/>
  <c r="U15" i="15"/>
  <c r="T15" i="15"/>
  <c r="AR15" i="15" s="1"/>
  <c r="S15" i="15"/>
  <c r="S13" i="15"/>
  <c r="S14" i="15" s="1"/>
  <c r="A10" i="15"/>
  <c r="I9" i="15"/>
  <c r="D7" i="15"/>
  <c r="D8" i="15" s="1"/>
  <c r="D9" i="15" s="1"/>
  <c r="A7" i="15"/>
  <c r="B7" i="15" s="1"/>
  <c r="Y6" i="15"/>
  <c r="X6" i="15"/>
  <c r="Q6" i="15"/>
  <c r="P6" i="15"/>
  <c r="S22" i="15" s="1"/>
  <c r="N6" i="15"/>
  <c r="S12" i="15" s="1"/>
  <c r="S20" i="15" s="1"/>
  <c r="M6" i="15"/>
  <c r="L6" i="15" s="1"/>
  <c r="D6" i="15"/>
  <c r="T4" i="15"/>
  <c r="T6" i="15" s="1"/>
  <c r="S23" i="15" s="1"/>
  <c r="R4" i="15"/>
  <c r="R6" i="15" s="1"/>
  <c r="Y6" i="13"/>
  <c r="P6" i="13"/>
  <c r="S22" i="13" s="1"/>
  <c r="AR20" i="13"/>
  <c r="AR21" i="13"/>
  <c r="AR24" i="13"/>
  <c r="AR25" i="13"/>
  <c r="AR26" i="13"/>
  <c r="R4" i="13"/>
  <c r="R6" i="13" s="1"/>
  <c r="B32" i="13" s="1"/>
  <c r="T4" i="13"/>
  <c r="T6" i="13" s="1"/>
  <c r="S23" i="13" s="1"/>
  <c r="T23" i="13" s="1"/>
  <c r="U23" i="13" s="1"/>
  <c r="V23" i="13" s="1"/>
  <c r="W23" i="13" s="1"/>
  <c r="X23" i="13" s="1"/>
  <c r="Y23" i="13" s="1"/>
  <c r="Z23" i="13" s="1"/>
  <c r="AA23" i="13" s="1"/>
  <c r="AB23" i="13" s="1"/>
  <c r="AC23" i="13" s="1"/>
  <c r="AD23" i="13" s="1"/>
  <c r="AE23" i="13" s="1"/>
  <c r="AF23" i="13" s="1"/>
  <c r="AG23" i="13" s="1"/>
  <c r="AH23" i="13" s="1"/>
  <c r="AI23" i="13" s="1"/>
  <c r="AJ23" i="13" s="1"/>
  <c r="AK23" i="13" s="1"/>
  <c r="AL23" i="13" s="1"/>
  <c r="AM23" i="13" s="1"/>
  <c r="AN23" i="13" s="1"/>
  <c r="AO23" i="13" s="1"/>
  <c r="AP23" i="13" s="1"/>
  <c r="AQ23" i="13" s="1"/>
  <c r="A10" i="13"/>
  <c r="R41" i="13"/>
  <c r="B35" i="13"/>
  <c r="AQ26" i="13"/>
  <c r="AP26" i="13"/>
  <c r="AO26" i="13"/>
  <c r="AN26" i="13"/>
  <c r="AM26" i="13"/>
  <c r="AL26" i="13"/>
  <c r="AK26" i="13"/>
  <c r="AJ26" i="13"/>
  <c r="AI26" i="13"/>
  <c r="AH26" i="13"/>
  <c r="AG26" i="13"/>
  <c r="AF26" i="13"/>
  <c r="AE26" i="13"/>
  <c r="AD26" i="13"/>
  <c r="AC26" i="13"/>
  <c r="AB26" i="13"/>
  <c r="AA26" i="13"/>
  <c r="Z26" i="13"/>
  <c r="Y26" i="13"/>
  <c r="X26" i="13"/>
  <c r="W26" i="13"/>
  <c r="V26" i="13"/>
  <c r="U26" i="13"/>
  <c r="T26" i="13"/>
  <c r="S26" i="13"/>
  <c r="S25" i="13"/>
  <c r="T25" i="13" s="1"/>
  <c r="U25" i="13" s="1"/>
  <c r="V25" i="13" s="1"/>
  <c r="W25" i="13" s="1"/>
  <c r="X25" i="13" s="1"/>
  <c r="Y25" i="13" s="1"/>
  <c r="Z25" i="13" s="1"/>
  <c r="AA25" i="13" s="1"/>
  <c r="AB25" i="13" s="1"/>
  <c r="AC25" i="13" s="1"/>
  <c r="AD25" i="13" s="1"/>
  <c r="AE25" i="13" s="1"/>
  <c r="AF25" i="13" s="1"/>
  <c r="AG25" i="13" s="1"/>
  <c r="AH25" i="13" s="1"/>
  <c r="AI25" i="13" s="1"/>
  <c r="AJ25" i="13" s="1"/>
  <c r="AK25" i="13" s="1"/>
  <c r="AL25" i="13" s="1"/>
  <c r="AM25" i="13" s="1"/>
  <c r="AN25" i="13" s="1"/>
  <c r="AO25" i="13" s="1"/>
  <c r="AP25" i="13" s="1"/>
  <c r="AQ25" i="13" s="1"/>
  <c r="B19" i="13"/>
  <c r="E16" i="13"/>
  <c r="AO15" i="13"/>
  <c r="AN15" i="13"/>
  <c r="AM15" i="13"/>
  <c r="AL15" i="13"/>
  <c r="AK15" i="13"/>
  <c r="AJ15" i="13"/>
  <c r="AG15" i="13"/>
  <c r="AF15" i="13"/>
  <c r="AE15" i="13"/>
  <c r="AD15" i="13"/>
  <c r="AC15" i="13"/>
  <c r="AB15" i="13"/>
  <c r="Y15" i="13"/>
  <c r="X15" i="13"/>
  <c r="W15" i="13"/>
  <c r="V15" i="13"/>
  <c r="U15" i="13"/>
  <c r="T15" i="13"/>
  <c r="S13" i="13"/>
  <c r="S14" i="13" s="1"/>
  <c r="I9" i="13"/>
  <c r="X6" i="13"/>
  <c r="B33" i="13"/>
  <c r="Q6" i="13"/>
  <c r="AK24" i="13" s="1"/>
  <c r="N6" i="13"/>
  <c r="S12" i="13" s="1"/>
  <c r="M6" i="13"/>
  <c r="L6" i="13" s="1"/>
  <c r="AQ15" i="13"/>
  <c r="B16" i="13"/>
  <c r="W39" i="13"/>
  <c r="R5" i="8"/>
  <c r="R9" i="8" s="1"/>
  <c r="F13" i="12"/>
  <c r="B12" i="12"/>
  <c r="H6" i="11"/>
  <c r="H7" i="11"/>
  <c r="L7" i="5"/>
  <c r="O7" i="6"/>
  <c r="L10" i="6"/>
  <c r="O7" i="5"/>
  <c r="O9" i="5" s="1"/>
  <c r="L10" i="5"/>
  <c r="L8" i="5"/>
  <c r="O15" i="5"/>
  <c r="O9" i="18" l="1"/>
  <c r="L14" i="18"/>
  <c r="U7" i="18"/>
  <c r="U16" i="17"/>
  <c r="V15" i="17"/>
  <c r="AP19" i="17"/>
  <c r="AH19" i="17"/>
  <c r="Z19" i="17"/>
  <c r="AO19" i="17"/>
  <c r="AG19" i="17"/>
  <c r="Y19" i="17"/>
  <c r="AN19" i="17"/>
  <c r="AF19" i="17"/>
  <c r="X19" i="17"/>
  <c r="B24" i="17"/>
  <c r="AM19" i="17"/>
  <c r="AE19" i="17"/>
  <c r="W19" i="17"/>
  <c r="AK19" i="17"/>
  <c r="AC19" i="17"/>
  <c r="U19" i="17"/>
  <c r="AI19" i="17"/>
  <c r="AB19" i="17"/>
  <c r="AA19" i="17"/>
  <c r="AD19" i="17"/>
  <c r="V19" i="17"/>
  <c r="S19" i="17"/>
  <c r="S20" i="17" s="1"/>
  <c r="AJ19" i="17"/>
  <c r="AQ19" i="17"/>
  <c r="T19" i="17"/>
  <c r="AL19" i="17"/>
  <c r="T18" i="17"/>
  <c r="T20" i="17" s="1"/>
  <c r="T33" i="17" s="1"/>
  <c r="U14" i="17"/>
  <c r="V24" i="17"/>
  <c r="U29" i="17"/>
  <c r="N7" i="13"/>
  <c r="AE34" i="15"/>
  <c r="N7" i="15"/>
  <c r="AL34" i="15"/>
  <c r="AQ34" i="15"/>
  <c r="N15" i="15"/>
  <c r="X33" i="15"/>
  <c r="W33" i="15"/>
  <c r="B32" i="15"/>
  <c r="U33" i="15"/>
  <c r="AA33" i="15"/>
  <c r="Z33" i="15"/>
  <c r="R60" i="15"/>
  <c r="Y33" i="15"/>
  <c r="AB33" i="15"/>
  <c r="V33" i="15"/>
  <c r="R50" i="15"/>
  <c r="T33" i="15"/>
  <c r="S33" i="15"/>
  <c r="T23" i="15"/>
  <c r="U23" i="15" s="1"/>
  <c r="V23" i="15" s="1"/>
  <c r="W23" i="15" s="1"/>
  <c r="X23" i="15" s="1"/>
  <c r="Y23" i="15" s="1"/>
  <c r="Z23" i="15" s="1"/>
  <c r="AA23" i="15" s="1"/>
  <c r="AB23" i="15" s="1"/>
  <c r="AC23" i="15" s="1"/>
  <c r="AD23" i="15" s="1"/>
  <c r="AE23" i="15" s="1"/>
  <c r="AF23" i="15" s="1"/>
  <c r="AG23" i="15" s="1"/>
  <c r="AH23" i="15" s="1"/>
  <c r="AI23" i="15" s="1"/>
  <c r="AJ23" i="15" s="1"/>
  <c r="AK23" i="15" s="1"/>
  <c r="AL23" i="15" s="1"/>
  <c r="AM23" i="15" s="1"/>
  <c r="AN23" i="15" s="1"/>
  <c r="AO23" i="15" s="1"/>
  <c r="AP23" i="15" s="1"/>
  <c r="AQ23" i="15" s="1"/>
  <c r="AO17" i="15"/>
  <c r="AG17" i="15"/>
  <c r="Y17" i="15"/>
  <c r="AN17" i="15"/>
  <c r="AF17" i="15"/>
  <c r="X17" i="15"/>
  <c r="AL17" i="15"/>
  <c r="AD17" i="15"/>
  <c r="V17" i="15"/>
  <c r="AK17" i="15"/>
  <c r="Z17" i="15"/>
  <c r="AJ17" i="15"/>
  <c r="AM17" i="15"/>
  <c r="W17" i="15"/>
  <c r="AI17" i="15"/>
  <c r="U17" i="15"/>
  <c r="AH17" i="15"/>
  <c r="T17" i="15"/>
  <c r="AE17" i="15"/>
  <c r="S17" i="15"/>
  <c r="AC17" i="15"/>
  <c r="B22" i="15"/>
  <c r="AQ17" i="15"/>
  <c r="AP17" i="15"/>
  <c r="AB17" i="15"/>
  <c r="AA17" i="15"/>
  <c r="AN24" i="15"/>
  <c r="AF24" i="15"/>
  <c r="X24" i="15"/>
  <c r="AM24" i="15"/>
  <c r="AE24" i="15"/>
  <c r="W24" i="15"/>
  <c r="AK24" i="15"/>
  <c r="AC24" i="15"/>
  <c r="U24" i="15"/>
  <c r="T13" i="15"/>
  <c r="AB24" i="15"/>
  <c r="AP24" i="15"/>
  <c r="S34" i="15"/>
  <c r="AF34" i="15"/>
  <c r="AD24" i="15"/>
  <c r="AQ24" i="15"/>
  <c r="V34" i="15"/>
  <c r="AG34" i="15"/>
  <c r="S24" i="15"/>
  <c r="AG24" i="15"/>
  <c r="W34" i="15"/>
  <c r="AI34" i="15"/>
  <c r="T24" i="15"/>
  <c r="AH24" i="15"/>
  <c r="AR25" i="15"/>
  <c r="T22" i="15"/>
  <c r="AK34" i="15"/>
  <c r="AC34" i="15"/>
  <c r="U34" i="15"/>
  <c r="AJ34" i="15"/>
  <c r="AB34" i="15"/>
  <c r="T34" i="15"/>
  <c r="AP34" i="15"/>
  <c r="AH34" i="15"/>
  <c r="Z34" i="15"/>
  <c r="B34" i="15"/>
  <c r="X34" i="15"/>
  <c r="V24" i="15"/>
  <c r="AI24" i="15"/>
  <c r="AR26" i="15"/>
  <c r="Y34" i="15"/>
  <c r="AM34" i="15"/>
  <c r="Y24" i="15"/>
  <c r="AJ24" i="15"/>
  <c r="AN34" i="15"/>
  <c r="S16" i="15"/>
  <c r="AA34" i="15"/>
  <c r="T12" i="15"/>
  <c r="T20" i="15" s="1"/>
  <c r="Z24" i="15"/>
  <c r="AL24" i="15"/>
  <c r="AD34" i="15"/>
  <c r="AO34" i="15"/>
  <c r="T22" i="13"/>
  <c r="AR23" i="13"/>
  <c r="S24" i="13"/>
  <c r="S27" i="13" s="1"/>
  <c r="AA24" i="13"/>
  <c r="AQ24" i="13"/>
  <c r="S16" i="13"/>
  <c r="T12" i="13"/>
  <c r="B17" i="13"/>
  <c r="AL34" i="13"/>
  <c r="Y38" i="13"/>
  <c r="D6" i="13"/>
  <c r="D7" i="13" s="1"/>
  <c r="D8" i="13" s="1"/>
  <c r="D9" i="13" s="1"/>
  <c r="Z15" i="13"/>
  <c r="AH15" i="13"/>
  <c r="AP15" i="13"/>
  <c r="AI24" i="13"/>
  <c r="Y33" i="13"/>
  <c r="AA38" i="13"/>
  <c r="S38" i="13"/>
  <c r="AC24" i="13"/>
  <c r="W33" i="13"/>
  <c r="B34" i="13"/>
  <c r="S15" i="13"/>
  <c r="N15" i="13" s="1"/>
  <c r="AA15" i="13"/>
  <c r="AI15" i="13"/>
  <c r="T34" i="13"/>
  <c r="X39" i="13"/>
  <c r="Z38" i="13"/>
  <c r="AK34" i="13"/>
  <c r="AC34" i="13"/>
  <c r="U34" i="13"/>
  <c r="X33" i="13"/>
  <c r="V39" i="13"/>
  <c r="X38" i="13"/>
  <c r="AQ34" i="13"/>
  <c r="AI34" i="13"/>
  <c r="AA34" i="13"/>
  <c r="S34" i="13"/>
  <c r="V33" i="13"/>
  <c r="U39" i="13"/>
  <c r="W38" i="13"/>
  <c r="AP34" i="13"/>
  <c r="AH34" i="13"/>
  <c r="Z34" i="13"/>
  <c r="U33" i="13"/>
  <c r="R60" i="13"/>
  <c r="AB39" i="13"/>
  <c r="T39" i="13"/>
  <c r="V38" i="13"/>
  <c r="AO34" i="13"/>
  <c r="AG34" i="13"/>
  <c r="Y34" i="13"/>
  <c r="AB33" i="13"/>
  <c r="T33" i="13"/>
  <c r="B31" i="13"/>
  <c r="R50" i="13"/>
  <c r="AA39" i="13"/>
  <c r="S39" i="13"/>
  <c r="U38" i="13"/>
  <c r="AN34" i="13"/>
  <c r="AF34" i="13"/>
  <c r="X34" i="13"/>
  <c r="AA33" i="13"/>
  <c r="S33" i="13"/>
  <c r="Z39" i="13"/>
  <c r="AB38" i="13"/>
  <c r="T38" i="13"/>
  <c r="AM34" i="13"/>
  <c r="AE34" i="13"/>
  <c r="W34" i="13"/>
  <c r="Z33" i="13"/>
  <c r="V34" i="13"/>
  <c r="Y39" i="13"/>
  <c r="A7" i="13"/>
  <c r="B7" i="13" s="1"/>
  <c r="AB34" i="13"/>
  <c r="AD34" i="13"/>
  <c r="AJ24" i="13"/>
  <c r="AB24" i="13"/>
  <c r="T24" i="13"/>
  <c r="AP24" i="13"/>
  <c r="AH24" i="13"/>
  <c r="Z24" i="13"/>
  <c r="AO24" i="13"/>
  <c r="AG24" i="13"/>
  <c r="Y24" i="13"/>
  <c r="AN24" i="13"/>
  <c r="AF24" i="13"/>
  <c r="X24" i="13"/>
  <c r="AM24" i="13"/>
  <c r="AE24" i="13"/>
  <c r="W24" i="13"/>
  <c r="AL24" i="13"/>
  <c r="AD24" i="13"/>
  <c r="V24" i="13"/>
  <c r="T13" i="13"/>
  <c r="U24" i="13"/>
  <c r="AJ34" i="13"/>
  <c r="N7" i="11"/>
  <c r="O7" i="11"/>
  <c r="O8" i="11" s="1"/>
  <c r="F6" i="11"/>
  <c r="F9" i="11" s="1"/>
  <c r="F10" i="11" s="1"/>
  <c r="F12" i="11" s="1"/>
  <c r="O11" i="18" l="1"/>
  <c r="O17" i="18" s="1"/>
  <c r="N24" i="18" s="1"/>
  <c r="O16" i="18"/>
  <c r="T38" i="17"/>
  <c r="T43" i="17" s="1"/>
  <c r="T45" i="17" s="1"/>
  <c r="S33" i="17"/>
  <c r="S21" i="17"/>
  <c r="T21" i="17"/>
  <c r="T31" i="17" s="1"/>
  <c r="T42" i="17" s="1"/>
  <c r="Q19" i="17"/>
  <c r="V16" i="17"/>
  <c r="W15" i="17"/>
  <c r="V29" i="17"/>
  <c r="W24" i="17"/>
  <c r="U18" i="17"/>
  <c r="U20" i="17" s="1"/>
  <c r="U33" i="17" s="1"/>
  <c r="V14" i="17"/>
  <c r="D31" i="15"/>
  <c r="D32" i="15"/>
  <c r="AR24" i="15"/>
  <c r="T16" i="15"/>
  <c r="T18" i="15" s="1"/>
  <c r="U12" i="15"/>
  <c r="U20" i="15" s="1"/>
  <c r="T27" i="15"/>
  <c r="U22" i="15"/>
  <c r="T14" i="15"/>
  <c r="U13" i="15"/>
  <c r="AR17" i="15"/>
  <c r="R51" i="15"/>
  <c r="S18" i="15"/>
  <c r="S27" i="15"/>
  <c r="AR23" i="15"/>
  <c r="T27" i="13"/>
  <c r="U22" i="13"/>
  <c r="U27" i="13" s="1"/>
  <c r="R51" i="13"/>
  <c r="B18" i="13"/>
  <c r="B20" i="13" s="1"/>
  <c r="B21" i="13" s="1"/>
  <c r="U13" i="13"/>
  <c r="T14" i="13"/>
  <c r="D32" i="13"/>
  <c r="D31" i="13"/>
  <c r="AR15" i="13"/>
  <c r="U12" i="13"/>
  <c r="T16" i="13"/>
  <c r="F8" i="11"/>
  <c r="F13" i="11"/>
  <c r="N5" i="11" s="1"/>
  <c r="U21" i="17" l="1"/>
  <c r="U31" i="17" s="1"/>
  <c r="U42" i="17" s="1"/>
  <c r="W14" i="17"/>
  <c r="V18" i="17"/>
  <c r="U38" i="17"/>
  <c r="U43" i="17" s="1"/>
  <c r="U45" i="17" s="1"/>
  <c r="S31" i="17"/>
  <c r="S42" i="17" s="1"/>
  <c r="W29" i="17"/>
  <c r="X24" i="17"/>
  <c r="S38" i="17"/>
  <c r="S43" i="17" s="1"/>
  <c r="S45" i="17" s="1"/>
  <c r="W16" i="17"/>
  <c r="X15" i="17"/>
  <c r="T46" i="17"/>
  <c r="V22" i="13"/>
  <c r="E32" i="15"/>
  <c r="T19" i="15"/>
  <c r="T29" i="15" s="1"/>
  <c r="T40" i="15" s="1"/>
  <c r="S31" i="15"/>
  <c r="S19" i="15"/>
  <c r="U14" i="15"/>
  <c r="V13" i="15"/>
  <c r="U27" i="15"/>
  <c r="V22" i="15"/>
  <c r="T31" i="15"/>
  <c r="U16" i="15"/>
  <c r="V12" i="15"/>
  <c r="V20" i="15" s="1"/>
  <c r="E32" i="13"/>
  <c r="AO17" i="13"/>
  <c r="AG17" i="13"/>
  <c r="Y17" i="13"/>
  <c r="AL17" i="13"/>
  <c r="AD17" i="13"/>
  <c r="V17" i="13"/>
  <c r="B22" i="13"/>
  <c r="AK17" i="13"/>
  <c r="AC17" i="13"/>
  <c r="U17" i="13"/>
  <c r="AJ17" i="13"/>
  <c r="AB17" i="13"/>
  <c r="T17" i="13"/>
  <c r="T18" i="13" s="1"/>
  <c r="AQ17" i="13"/>
  <c r="AI17" i="13"/>
  <c r="AA17" i="13"/>
  <c r="S17" i="13"/>
  <c r="AH17" i="13"/>
  <c r="AF17" i="13"/>
  <c r="AE17" i="13"/>
  <c r="Z17" i="13"/>
  <c r="X17" i="13"/>
  <c r="AP17" i="13"/>
  <c r="W17" i="13"/>
  <c r="AN17" i="13"/>
  <c r="AM17" i="13"/>
  <c r="V12" i="13"/>
  <c r="U16" i="13"/>
  <c r="V13" i="13"/>
  <c r="U14" i="13"/>
  <c r="V27" i="13"/>
  <c r="W22" i="13"/>
  <c r="M5" i="11"/>
  <c r="M6" i="11"/>
  <c r="N6" i="11"/>
  <c r="N8" i="11" s="1"/>
  <c r="M7" i="11"/>
  <c r="K5" i="11"/>
  <c r="K6" i="11"/>
  <c r="F14" i="11"/>
  <c r="L6" i="11"/>
  <c r="R7" i="8"/>
  <c r="O5" i="8"/>
  <c r="R6" i="8" s="1"/>
  <c r="L4" i="7"/>
  <c r="L3" i="7"/>
  <c r="V20" i="17" l="1"/>
  <c r="Y15" i="17"/>
  <c r="X16" i="17"/>
  <c r="U46" i="17"/>
  <c r="U47" i="17" s="1"/>
  <c r="S46" i="17"/>
  <c r="T47" i="17" s="1"/>
  <c r="X29" i="17"/>
  <c r="Y24" i="17"/>
  <c r="X14" i="17"/>
  <c r="W18" i="17"/>
  <c r="W20" i="17" s="1"/>
  <c r="W33" i="17" s="1"/>
  <c r="S29" i="15"/>
  <c r="S40" i="15" s="1"/>
  <c r="V14" i="15"/>
  <c r="W13" i="15"/>
  <c r="U18" i="15"/>
  <c r="S36" i="15"/>
  <c r="S41" i="15" s="1"/>
  <c r="S43" i="15" s="1"/>
  <c r="V16" i="15"/>
  <c r="V18" i="15" s="1"/>
  <c r="W12" i="15"/>
  <c r="W20" i="15" s="1"/>
  <c r="T36" i="15"/>
  <c r="T41" i="15" s="1"/>
  <c r="T43" i="15" s="1"/>
  <c r="W22" i="15"/>
  <c r="V27" i="15"/>
  <c r="T31" i="13"/>
  <c r="T19" i="13"/>
  <c r="T29" i="13" s="1"/>
  <c r="T40" i="13" s="1"/>
  <c r="U18" i="13"/>
  <c r="U31" i="13" s="1"/>
  <c r="V16" i="13"/>
  <c r="V18" i="13" s="1"/>
  <c r="V31" i="13" s="1"/>
  <c r="W12" i="13"/>
  <c r="W13" i="13"/>
  <c r="V14" i="13"/>
  <c r="W27" i="13"/>
  <c r="X22" i="13"/>
  <c r="AR17" i="13"/>
  <c r="S18" i="13"/>
  <c r="K8" i="11"/>
  <c r="M8" i="11"/>
  <c r="L5" i="11"/>
  <c r="L8" i="11" s="1"/>
  <c r="I3" i="7"/>
  <c r="S47" i="17" l="1"/>
  <c r="S62" i="17" s="1"/>
  <c r="T62" i="17"/>
  <c r="T52" i="17"/>
  <c r="U52" i="17"/>
  <c r="U62" i="17"/>
  <c r="X18" i="17"/>
  <c r="X20" i="17" s="1"/>
  <c r="X33" i="17" s="1"/>
  <c r="Y14" i="17"/>
  <c r="W21" i="17"/>
  <c r="W31" i="17" s="1"/>
  <c r="W42" i="17" s="1"/>
  <c r="W38" i="17"/>
  <c r="W43" i="17" s="1"/>
  <c r="W45" i="17" s="1"/>
  <c r="Y29" i="17"/>
  <c r="Z24" i="17"/>
  <c r="Y16" i="17"/>
  <c r="Z15" i="17"/>
  <c r="V33" i="17"/>
  <c r="V21" i="17"/>
  <c r="V31" i="15"/>
  <c r="V36" i="15" s="1"/>
  <c r="V41" i="15" s="1"/>
  <c r="V43" i="15" s="1"/>
  <c r="U31" i="15"/>
  <c r="W14" i="15"/>
  <c r="X13" i="15"/>
  <c r="W16" i="15"/>
  <c r="X12" i="15"/>
  <c r="X20" i="15" s="1"/>
  <c r="V19" i="15"/>
  <c r="V29" i="15" s="1"/>
  <c r="V40" i="15" s="1"/>
  <c r="T44" i="15"/>
  <c r="U19" i="15"/>
  <c r="W27" i="15"/>
  <c r="X22" i="15"/>
  <c r="S44" i="15"/>
  <c r="S45" i="15" s="1"/>
  <c r="U19" i="13"/>
  <c r="U29" i="13" s="1"/>
  <c r="U40" i="13" s="1"/>
  <c r="W14" i="13"/>
  <c r="X13" i="13"/>
  <c r="V19" i="13"/>
  <c r="V29" i="13" s="1"/>
  <c r="V40" i="13" s="1"/>
  <c r="W16" i="13"/>
  <c r="W18" i="13" s="1"/>
  <c r="W31" i="13" s="1"/>
  <c r="X12" i="13"/>
  <c r="V36" i="13"/>
  <c r="V41" i="13" s="1"/>
  <c r="V43" i="13" s="1"/>
  <c r="S31" i="13"/>
  <c r="S19" i="13"/>
  <c r="T36" i="13"/>
  <c r="T41" i="13" s="1"/>
  <c r="T43" i="13" s="1"/>
  <c r="Y22" i="13"/>
  <c r="X27" i="13"/>
  <c r="U36" i="13"/>
  <c r="U41" i="13" s="1"/>
  <c r="U43" i="13" s="1"/>
  <c r="I11" i="6"/>
  <c r="I10" i="6"/>
  <c r="I11" i="5"/>
  <c r="S52" i="17" l="1"/>
  <c r="S53" i="17" s="1"/>
  <c r="X21" i="17"/>
  <c r="X31" i="17" s="1"/>
  <c r="X42" i="17" s="1"/>
  <c r="Z29" i="17"/>
  <c r="AA24" i="17"/>
  <c r="Z16" i="17"/>
  <c r="AA15" i="17"/>
  <c r="V31" i="17"/>
  <c r="V42" i="17" s="1"/>
  <c r="Y18" i="17"/>
  <c r="Y20" i="17" s="1"/>
  <c r="Y21" i="17" s="1"/>
  <c r="Y31" i="17" s="1"/>
  <c r="Y42" i="17" s="1"/>
  <c r="Z14" i="17"/>
  <c r="V38" i="17"/>
  <c r="V43" i="17" s="1"/>
  <c r="V45" i="17" s="1"/>
  <c r="X38" i="17"/>
  <c r="X43" i="17" s="1"/>
  <c r="X45" i="17" s="1"/>
  <c r="U66" i="17"/>
  <c r="U67" i="17" s="1"/>
  <c r="T66" i="17"/>
  <c r="T67" i="17" s="1"/>
  <c r="S66" i="17"/>
  <c r="S67" i="17" s="1"/>
  <c r="W46" i="17"/>
  <c r="T45" i="15"/>
  <c r="T50" i="15" s="1"/>
  <c r="U36" i="15"/>
  <c r="U41" i="15" s="1"/>
  <c r="U43" i="15" s="1"/>
  <c r="U29" i="15"/>
  <c r="U40" i="15" s="1"/>
  <c r="X16" i="15"/>
  <c r="X18" i="15" s="1"/>
  <c r="Y12" i="15"/>
  <c r="Y20" i="15" s="1"/>
  <c r="W18" i="15"/>
  <c r="S60" i="15"/>
  <c r="S50" i="15"/>
  <c r="Y22" i="15"/>
  <c r="X27" i="15"/>
  <c r="X14" i="15"/>
  <c r="Y13" i="15"/>
  <c r="V44" i="15"/>
  <c r="W19" i="13"/>
  <c r="W29" i="13" s="1"/>
  <c r="W40" i="13" s="1"/>
  <c r="X16" i="13"/>
  <c r="Y12" i="13"/>
  <c r="V44" i="13"/>
  <c r="W36" i="13"/>
  <c r="W41" i="13" s="1"/>
  <c r="W43" i="13" s="1"/>
  <c r="T44" i="13"/>
  <c r="S29" i="13"/>
  <c r="S40" i="13" s="1"/>
  <c r="S36" i="13"/>
  <c r="S41" i="13" s="1"/>
  <c r="S43" i="13" s="1"/>
  <c r="U44" i="13"/>
  <c r="Y27" i="13"/>
  <c r="Z22" i="13"/>
  <c r="X14" i="13"/>
  <c r="Y13" i="13"/>
  <c r="I12" i="6"/>
  <c r="S8" i="5"/>
  <c r="I9" i="6"/>
  <c r="S8" i="6"/>
  <c r="I7" i="6"/>
  <c r="I8" i="6" s="1"/>
  <c r="S56" i="17" l="1"/>
  <c r="S57" i="17" s="1"/>
  <c r="T56" i="17"/>
  <c r="T57" i="17" s="1"/>
  <c r="U56" i="17"/>
  <c r="U57" i="17" s="1"/>
  <c r="T53" i="17"/>
  <c r="U53" i="17"/>
  <c r="X46" i="17"/>
  <c r="X47" i="17" s="1"/>
  <c r="AA16" i="17"/>
  <c r="AB15" i="17"/>
  <c r="V46" i="17"/>
  <c r="W47" i="17" s="1"/>
  <c r="Z18" i="17"/>
  <c r="Z20" i="17" s="1"/>
  <c r="Z33" i="17" s="1"/>
  <c r="AA14" i="17"/>
  <c r="AA29" i="17"/>
  <c r="AB24" i="17"/>
  <c r="Y33" i="17"/>
  <c r="X31" i="15"/>
  <c r="X36" i="15" s="1"/>
  <c r="X41" i="15" s="1"/>
  <c r="X43" i="15" s="1"/>
  <c r="T60" i="15"/>
  <c r="T64" i="15" s="1"/>
  <c r="T65" i="15" s="1"/>
  <c r="X19" i="15"/>
  <c r="X29" i="15" s="1"/>
  <c r="X40" i="15" s="1"/>
  <c r="Z13" i="15"/>
  <c r="Y14" i="15"/>
  <c r="Y27" i="15"/>
  <c r="Z22" i="15"/>
  <c r="T54" i="15"/>
  <c r="T55" i="15" s="1"/>
  <c r="S51" i="15"/>
  <c r="T51" i="15"/>
  <c r="S54" i="15"/>
  <c r="S55" i="15" s="1"/>
  <c r="S64" i="15"/>
  <c r="S65" i="15" s="1"/>
  <c r="W31" i="15"/>
  <c r="Y16" i="15"/>
  <c r="Y18" i="15" s="1"/>
  <c r="Z12" i="15"/>
  <c r="Z20" i="15" s="1"/>
  <c r="W19" i="15"/>
  <c r="U44" i="15"/>
  <c r="V45" i="15" s="1"/>
  <c r="U45" i="13"/>
  <c r="U60" i="13" s="1"/>
  <c r="V45" i="13"/>
  <c r="V50" i="13" s="1"/>
  <c r="Y14" i="13"/>
  <c r="Z13" i="13"/>
  <c r="S44" i="13"/>
  <c r="T45" i="13" s="1"/>
  <c r="Y16" i="13"/>
  <c r="Y18" i="13" s="1"/>
  <c r="Y31" i="13" s="1"/>
  <c r="Z12" i="13"/>
  <c r="W44" i="13"/>
  <c r="W45" i="13" s="1"/>
  <c r="AA22" i="13"/>
  <c r="Z27" i="13"/>
  <c r="X18" i="13"/>
  <c r="X19" i="13" s="1"/>
  <c r="L9" i="6"/>
  <c r="L11" i="6" s="1"/>
  <c r="L12" i="6" s="1"/>
  <c r="L7" i="6"/>
  <c r="S7" i="6"/>
  <c r="I10" i="5"/>
  <c r="I9" i="5"/>
  <c r="I7" i="5"/>
  <c r="I8" i="5" s="1"/>
  <c r="O9" i="6" l="1"/>
  <c r="O16" i="6" s="1"/>
  <c r="L14" i="6"/>
  <c r="L16" i="6" s="1"/>
  <c r="V47" i="17"/>
  <c r="X52" i="17"/>
  <c r="X62" i="17"/>
  <c r="Z38" i="17"/>
  <c r="Z43" i="17" s="1"/>
  <c r="Z45" i="17" s="1"/>
  <c r="W52" i="17"/>
  <c r="W62" i="17"/>
  <c r="Y38" i="17"/>
  <c r="Y43" i="17" s="1"/>
  <c r="Y45" i="17" s="1"/>
  <c r="AC15" i="17"/>
  <c r="AB16" i="17"/>
  <c r="Z21" i="17"/>
  <c r="AC24" i="17"/>
  <c r="AB29" i="17"/>
  <c r="AA18" i="17"/>
  <c r="AA20" i="17" s="1"/>
  <c r="AA21" i="17" s="1"/>
  <c r="AA31" i="17" s="1"/>
  <c r="AA42" i="17" s="1"/>
  <c r="AB14" i="17"/>
  <c r="V50" i="15"/>
  <c r="V60" i="15"/>
  <c r="W36" i="15"/>
  <c r="W41" i="15" s="1"/>
  <c r="W43" i="15" s="1"/>
  <c r="U45" i="15"/>
  <c r="W29" i="15"/>
  <c r="W40" i="15" s="1"/>
  <c r="X44" i="15"/>
  <c r="Y19" i="15"/>
  <c r="Y29" i="15" s="1"/>
  <c r="Y40" i="15" s="1"/>
  <c r="Z27" i="15"/>
  <c r="AA22" i="15"/>
  <c r="Z16" i="15"/>
  <c r="AA12" i="15"/>
  <c r="AA20" i="15" s="1"/>
  <c r="Y31" i="15"/>
  <c r="AA13" i="15"/>
  <c r="Z14" i="15"/>
  <c r="V60" i="13"/>
  <c r="U50" i="13"/>
  <c r="X29" i="13"/>
  <c r="X40" i="13" s="1"/>
  <c r="W60" i="13"/>
  <c r="W50" i="13"/>
  <c r="S45" i="13"/>
  <c r="Z14" i="13"/>
  <c r="AA13" i="13"/>
  <c r="AB22" i="13"/>
  <c r="AA27" i="13"/>
  <c r="Y19" i="13"/>
  <c r="Y29" i="13" s="1"/>
  <c r="Y40" i="13" s="1"/>
  <c r="T60" i="13"/>
  <c r="T50" i="13"/>
  <c r="Z16" i="13"/>
  <c r="AA12" i="13"/>
  <c r="X31" i="13"/>
  <c r="Y36" i="13"/>
  <c r="Y41" i="13" s="1"/>
  <c r="Y43" i="13" s="1"/>
  <c r="L13" i="6"/>
  <c r="O10" i="6"/>
  <c r="I12" i="5"/>
  <c r="L9" i="5" s="1"/>
  <c r="L11" i="5" s="1"/>
  <c r="O11" i="6" l="1"/>
  <c r="O17" i="6" s="1"/>
  <c r="N24" i="6" s="1"/>
  <c r="AD24" i="17"/>
  <c r="AC29" i="17"/>
  <c r="Y46" i="17"/>
  <c r="Y47" i="17" s="1"/>
  <c r="AD15" i="17"/>
  <c r="AC16" i="17"/>
  <c r="Z31" i="17"/>
  <c r="Z42" i="17" s="1"/>
  <c r="Z46" i="17"/>
  <c r="AA33" i="17"/>
  <c r="AB18" i="17"/>
  <c r="AB20" i="17" s="1"/>
  <c r="AB33" i="17" s="1"/>
  <c r="AC14" i="17"/>
  <c r="V62" i="17"/>
  <c r="V52" i="17"/>
  <c r="AB22" i="15"/>
  <c r="AA27" i="15"/>
  <c r="U60" i="15"/>
  <c r="U50" i="15"/>
  <c r="W44" i="15"/>
  <c r="X45" i="15" s="1"/>
  <c r="AA14" i="15"/>
  <c r="AB13" i="15"/>
  <c r="Y36" i="15"/>
  <c r="Y41" i="15" s="1"/>
  <c r="Y43" i="15" s="1"/>
  <c r="AA16" i="15"/>
  <c r="AA18" i="15" s="1"/>
  <c r="AB12" i="15"/>
  <c r="AB20" i="15" s="1"/>
  <c r="Z18" i="15"/>
  <c r="Z19" i="15" s="1"/>
  <c r="X36" i="13"/>
  <c r="X41" i="13" s="1"/>
  <c r="X43" i="13" s="1"/>
  <c r="AB13" i="13"/>
  <c r="AA14" i="13"/>
  <c r="Z18" i="13"/>
  <c r="Z19" i="13" s="1"/>
  <c r="Z29" i="13" s="1"/>
  <c r="Z40" i="13" s="1"/>
  <c r="S60" i="13"/>
  <c r="S50" i="13"/>
  <c r="AB27" i="13"/>
  <c r="AC22" i="13"/>
  <c r="AA16" i="13"/>
  <c r="AA18" i="13" s="1"/>
  <c r="AA31" i="13" s="1"/>
  <c r="AB12" i="13"/>
  <c r="Y44" i="13"/>
  <c r="L13" i="5"/>
  <c r="L12" i="5"/>
  <c r="Z47" i="17" l="1"/>
  <c r="Z52" i="17" s="1"/>
  <c r="Y62" i="17"/>
  <c r="Y52" i="17"/>
  <c r="Y53" i="17" s="1"/>
  <c r="AC18" i="17"/>
  <c r="AC20" i="17" s="1"/>
  <c r="AC33" i="17" s="1"/>
  <c r="AD14" i="17"/>
  <c r="AB21" i="17"/>
  <c r="AB38" i="17"/>
  <c r="AB43" i="17" s="1"/>
  <c r="AB45" i="17" s="1"/>
  <c r="V66" i="17"/>
  <c r="V67" i="17" s="1"/>
  <c r="X66" i="17"/>
  <c r="X67" i="17" s="1"/>
  <c r="W66" i="17"/>
  <c r="W67" i="17" s="1"/>
  <c r="AD16" i="17"/>
  <c r="AE15" i="17"/>
  <c r="AA38" i="17"/>
  <c r="AA43" i="17" s="1"/>
  <c r="AA45" i="17" s="1"/>
  <c r="V53" i="17"/>
  <c r="X53" i="17"/>
  <c r="W53" i="17"/>
  <c r="X56" i="17"/>
  <c r="X57" i="17" s="1"/>
  <c r="W56" i="17"/>
  <c r="W57" i="17" s="1"/>
  <c r="V56" i="17"/>
  <c r="V57" i="17" s="1"/>
  <c r="AD29" i="17"/>
  <c r="AE24" i="17"/>
  <c r="AA31" i="15"/>
  <c r="AA36" i="15" s="1"/>
  <c r="AA41" i="15" s="1"/>
  <c r="AA43" i="15" s="1"/>
  <c r="AA19" i="15"/>
  <c r="AA29" i="15" s="1"/>
  <c r="AA40" i="15" s="1"/>
  <c r="W45" i="15"/>
  <c r="W50" i="15" s="1"/>
  <c r="Z29" i="15"/>
  <c r="Z40" i="15" s="1"/>
  <c r="X50" i="15"/>
  <c r="X60" i="15"/>
  <c r="AB16" i="15"/>
  <c r="AB18" i="15" s="1"/>
  <c r="AC12" i="15"/>
  <c r="AC20" i="15" s="1"/>
  <c r="V51" i="15"/>
  <c r="V54" i="15"/>
  <c r="V55" i="15" s="1"/>
  <c r="U54" i="15"/>
  <c r="U55" i="15" s="1"/>
  <c r="U51" i="15"/>
  <c r="Z31" i="15"/>
  <c r="Y44" i="15"/>
  <c r="Y45" i="15" s="1"/>
  <c r="U64" i="15"/>
  <c r="U65" i="15" s="1"/>
  <c r="V64" i="15"/>
  <c r="V65" i="15" s="1"/>
  <c r="AB14" i="15"/>
  <c r="AC13" i="15"/>
  <c r="AB27" i="15"/>
  <c r="AC22" i="15"/>
  <c r="Z31" i="13"/>
  <c r="T64" i="13"/>
  <c r="T65" i="13" s="1"/>
  <c r="S64" i="13"/>
  <c r="S65" i="13" s="1"/>
  <c r="V64" i="13"/>
  <c r="V65" i="13" s="1"/>
  <c r="U64" i="13"/>
  <c r="U65" i="13" s="1"/>
  <c r="W64" i="13"/>
  <c r="W65" i="13" s="1"/>
  <c r="AA19" i="13"/>
  <c r="AA29" i="13" s="1"/>
  <c r="AA40" i="13" s="1"/>
  <c r="AA36" i="13"/>
  <c r="AA41" i="13" s="1"/>
  <c r="AA43" i="13" s="1"/>
  <c r="AC13" i="13"/>
  <c r="AB14" i="13"/>
  <c r="AD22" i="13"/>
  <c r="AC27" i="13"/>
  <c r="AB16" i="13"/>
  <c r="AB18" i="13" s="1"/>
  <c r="AB31" i="13" s="1"/>
  <c r="AC12" i="13"/>
  <c r="V51" i="13"/>
  <c r="T54" i="13"/>
  <c r="T55" i="13" s="1"/>
  <c r="S51" i="13"/>
  <c r="S54" i="13"/>
  <c r="S55" i="13" s="1"/>
  <c r="T51" i="13"/>
  <c r="U54" i="13"/>
  <c r="U55" i="13" s="1"/>
  <c r="W54" i="13"/>
  <c r="W55" i="13" s="1"/>
  <c r="U51" i="13"/>
  <c r="V54" i="13"/>
  <c r="V55" i="13" s="1"/>
  <c r="W51" i="13"/>
  <c r="X44" i="13"/>
  <c r="Y45" i="13" s="1"/>
  <c r="O11" i="5"/>
  <c r="Y56" i="17" l="1"/>
  <c r="Y57" i="17" s="1"/>
  <c r="Z62" i="17"/>
  <c r="Z66" i="17" s="1"/>
  <c r="Z67" i="17" s="1"/>
  <c r="Z53" i="17"/>
  <c r="Z56" i="17"/>
  <c r="Z57" i="17" s="1"/>
  <c r="Y66" i="17"/>
  <c r="Y67" i="17" s="1"/>
  <c r="AB46" i="17"/>
  <c r="AA46" i="17"/>
  <c r="AA47" i="17" s="1"/>
  <c r="AB31" i="17"/>
  <c r="AB42" i="17" s="1"/>
  <c r="AE16" i="17"/>
  <c r="AF15" i="17"/>
  <c r="AE14" i="17"/>
  <c r="AD18" i="17"/>
  <c r="AD20" i="17" s="1"/>
  <c r="AD33" i="17" s="1"/>
  <c r="AC38" i="17"/>
  <c r="AC43" i="17" s="1"/>
  <c r="AC45" i="17" s="1"/>
  <c r="AC21" i="17"/>
  <c r="AC31" i="17" s="1"/>
  <c r="AC42" i="17" s="1"/>
  <c r="AE29" i="17"/>
  <c r="AF24" i="17"/>
  <c r="O17" i="5"/>
  <c r="N24" i="5" s="1"/>
  <c r="O16" i="5"/>
  <c r="AB19" i="15"/>
  <c r="AB29" i="15" s="1"/>
  <c r="AB40" i="15" s="1"/>
  <c r="X54" i="15"/>
  <c r="X55" i="15" s="1"/>
  <c r="W51" i="15"/>
  <c r="W60" i="15"/>
  <c r="W64" i="15" s="1"/>
  <c r="W65" i="15" s="1"/>
  <c r="Y60" i="15"/>
  <c r="Y50" i="15"/>
  <c r="Y51" i="15" s="1"/>
  <c r="AC16" i="15"/>
  <c r="AC18" i="15" s="1"/>
  <c r="AD12" i="15"/>
  <c r="AD20" i="15" s="1"/>
  <c r="AB31" i="15"/>
  <c r="AA44" i="15"/>
  <c r="AC27" i="15"/>
  <c r="AD22" i="15"/>
  <c r="W54" i="15"/>
  <c r="W55" i="15" s="1"/>
  <c r="X51" i="15"/>
  <c r="AC14" i="15"/>
  <c r="AD13" i="15"/>
  <c r="Z36" i="15"/>
  <c r="Z41" i="15" s="1"/>
  <c r="Z43" i="15" s="1"/>
  <c r="X45" i="13"/>
  <c r="X60" i="13" s="1"/>
  <c r="AB36" i="13"/>
  <c r="AB41" i="13" s="1"/>
  <c r="AB43" i="13" s="1"/>
  <c r="AD12" i="13"/>
  <c r="AC16" i="13"/>
  <c r="AC18" i="13" s="1"/>
  <c r="AC31" i="13" s="1"/>
  <c r="AD27" i="13"/>
  <c r="AE22" i="13"/>
  <c r="Y60" i="13"/>
  <c r="Y50" i="13"/>
  <c r="AB19" i="13"/>
  <c r="AA44" i="13"/>
  <c r="AD13" i="13"/>
  <c r="AC14" i="13"/>
  <c r="Z36" i="13"/>
  <c r="Z41" i="13" s="1"/>
  <c r="Z43" i="13" s="1"/>
  <c r="V7" i="5"/>
  <c r="S7" i="5"/>
  <c r="U7" i="5" s="1"/>
  <c r="AB47" i="17" l="1"/>
  <c r="AB52" i="17" s="1"/>
  <c r="AA52" i="17"/>
  <c r="AD21" i="17"/>
  <c r="AD31" i="17" s="1"/>
  <c r="AD42" i="17" s="1"/>
  <c r="AD38" i="17"/>
  <c r="AD43" i="17" s="1"/>
  <c r="AD45" i="17" s="1"/>
  <c r="AF29" i="17"/>
  <c r="AG24" i="17"/>
  <c r="AF14" i="17"/>
  <c r="AE18" i="17"/>
  <c r="AE20" i="17" s="1"/>
  <c r="AE33" i="17" s="1"/>
  <c r="AF16" i="17"/>
  <c r="AG15" i="17"/>
  <c r="AC46" i="17"/>
  <c r="AC47" i="17" s="1"/>
  <c r="Y54" i="15"/>
  <c r="Y55" i="15" s="1"/>
  <c r="X64" i="15"/>
  <c r="X65" i="15" s="1"/>
  <c r="Y64" i="15"/>
  <c r="Y65" i="15" s="1"/>
  <c r="AC19" i="15"/>
  <c r="AC29" i="15" s="1"/>
  <c r="AC40" i="15" s="1"/>
  <c r="AB36" i="15"/>
  <c r="AB41" i="15" s="1"/>
  <c r="AB43" i="15" s="1"/>
  <c r="AE12" i="15"/>
  <c r="AE20" i="15" s="1"/>
  <c r="AD16" i="15"/>
  <c r="AD18" i="15" s="1"/>
  <c r="AC31" i="15"/>
  <c r="AD14" i="15"/>
  <c r="AE13" i="15"/>
  <c r="Z44" i="15"/>
  <c r="AA45" i="15" s="1"/>
  <c r="AD27" i="15"/>
  <c r="AE22" i="15"/>
  <c r="AC19" i="13"/>
  <c r="AC29" i="13" s="1"/>
  <c r="AC40" i="13" s="1"/>
  <c r="X50" i="13"/>
  <c r="AE13" i="13"/>
  <c r="AD14" i="13"/>
  <c r="AE27" i="13"/>
  <c r="AF22" i="13"/>
  <c r="AB29" i="13"/>
  <c r="AB40" i="13" s="1"/>
  <c r="Z44" i="13"/>
  <c r="AA45" i="13" s="1"/>
  <c r="AC36" i="13"/>
  <c r="AC41" i="13" s="1"/>
  <c r="AC43" i="13" s="1"/>
  <c r="Y64" i="13"/>
  <c r="Y65" i="13" s="1"/>
  <c r="X64" i="13"/>
  <c r="X65" i="13" s="1"/>
  <c r="AD16" i="13"/>
  <c r="AD18" i="13" s="1"/>
  <c r="AD31" i="13" s="1"/>
  <c r="AE12" i="13"/>
  <c r="AB44" i="13"/>
  <c r="AB45" i="13" s="1"/>
  <c r="AB62" i="17" l="1"/>
  <c r="AE21" i="17"/>
  <c r="AE31" i="17" s="1"/>
  <c r="AE42" i="17" s="1"/>
  <c r="AA62" i="17"/>
  <c r="AC62" i="17"/>
  <c r="AC52" i="17"/>
  <c r="AC56" i="17" s="1"/>
  <c r="AC57" i="17" s="1"/>
  <c r="AG16" i="17"/>
  <c r="AH15" i="17"/>
  <c r="AA56" i="17"/>
  <c r="AA57" i="17" s="1"/>
  <c r="AA53" i="17"/>
  <c r="AB53" i="17"/>
  <c r="AB56" i="17"/>
  <c r="AB57" i="17" s="1"/>
  <c r="AD46" i="17"/>
  <c r="AD47" i="17" s="1"/>
  <c r="AF18" i="17"/>
  <c r="AF20" i="17" s="1"/>
  <c r="AF33" i="17" s="1"/>
  <c r="AG14" i="17"/>
  <c r="AE38" i="17"/>
  <c r="AE43" i="17" s="1"/>
  <c r="AE45" i="17" s="1"/>
  <c r="AG29" i="17"/>
  <c r="AH24" i="17"/>
  <c r="AD19" i="15"/>
  <c r="AD29" i="15" s="1"/>
  <c r="AD40" i="15" s="1"/>
  <c r="AA60" i="15"/>
  <c r="AA50" i="15"/>
  <c r="AD31" i="15"/>
  <c r="AF12" i="15"/>
  <c r="AF20" i="15" s="1"/>
  <c r="AE16" i="15"/>
  <c r="AE18" i="15" s="1"/>
  <c r="AC36" i="15"/>
  <c r="AC41" i="15" s="1"/>
  <c r="AC43" i="15" s="1"/>
  <c r="AE27" i="15"/>
  <c r="AF22" i="15"/>
  <c r="AB44" i="15"/>
  <c r="AB45" i="15" s="1"/>
  <c r="Z45" i="15"/>
  <c r="AE14" i="15"/>
  <c r="AF13" i="15"/>
  <c r="X54" i="13"/>
  <c r="X55" i="13" s="1"/>
  <c r="Y51" i="13"/>
  <c r="X51" i="13"/>
  <c r="Y54" i="13"/>
  <c r="Y55" i="13" s="1"/>
  <c r="Z45" i="13"/>
  <c r="Z50" i="13" s="1"/>
  <c r="AB60" i="13"/>
  <c r="AB50" i="13"/>
  <c r="AA50" i="13"/>
  <c r="AA60" i="13"/>
  <c r="AG22" i="13"/>
  <c r="AF27" i="13"/>
  <c r="AF12" i="13"/>
  <c r="AE16" i="13"/>
  <c r="AE18" i="13" s="1"/>
  <c r="AE31" i="13" s="1"/>
  <c r="AD19" i="13"/>
  <c r="AD29" i="13" s="1"/>
  <c r="AD40" i="13" s="1"/>
  <c r="AC44" i="13"/>
  <c r="AC45" i="13" s="1"/>
  <c r="AD36" i="13"/>
  <c r="AD41" i="13" s="1"/>
  <c r="AD43" i="13" s="1"/>
  <c r="AE14" i="13"/>
  <c r="AF13" i="13"/>
  <c r="AC66" i="17" l="1"/>
  <c r="AC67" i="17" s="1"/>
  <c r="AA66" i="17"/>
  <c r="AA67" i="17" s="1"/>
  <c r="AB66" i="17"/>
  <c r="AB67" i="17" s="1"/>
  <c r="AC53" i="17"/>
  <c r="AD62" i="17"/>
  <c r="AD52" i="17"/>
  <c r="AH14" i="17"/>
  <c r="AG18" i="17"/>
  <c r="AG20" i="17" s="1"/>
  <c r="AG33" i="17" s="1"/>
  <c r="AI15" i="17"/>
  <c r="AH16" i="17"/>
  <c r="AE46" i="17"/>
  <c r="AE47" i="17" s="1"/>
  <c r="AH29" i="17"/>
  <c r="AI24" i="17"/>
  <c r="AF38" i="17"/>
  <c r="AF43" i="17" s="1"/>
  <c r="AF45" i="17" s="1"/>
  <c r="AF21" i="17"/>
  <c r="AF31" i="17" s="1"/>
  <c r="AF42" i="17" s="1"/>
  <c r="AE31" i="15"/>
  <c r="AE36" i="15" s="1"/>
  <c r="AE41" i="15" s="1"/>
  <c r="AE43" i="15" s="1"/>
  <c r="AE19" i="15"/>
  <c r="AE29" i="15" s="1"/>
  <c r="AE40" i="15" s="1"/>
  <c r="AB50" i="15"/>
  <c r="AB60" i="15"/>
  <c r="AF14" i="15"/>
  <c r="AG13" i="15"/>
  <c r="AG12" i="15"/>
  <c r="AG20" i="15" s="1"/>
  <c r="AF16" i="15"/>
  <c r="AF18" i="15" s="1"/>
  <c r="AC44" i="15"/>
  <c r="AC45" i="15" s="1"/>
  <c r="Z60" i="15"/>
  <c r="Z50" i="15"/>
  <c r="AD36" i="15"/>
  <c r="AD41" i="15" s="1"/>
  <c r="AD43" i="15" s="1"/>
  <c r="AG22" i="15"/>
  <c r="AF27" i="15"/>
  <c r="Z60" i="13"/>
  <c r="AB64" i="13" s="1"/>
  <c r="AB65" i="13" s="1"/>
  <c r="AE19" i="13"/>
  <c r="AE29" i="13" s="1"/>
  <c r="AE40" i="13" s="1"/>
  <c r="AC50" i="13"/>
  <c r="AC51" i="13" s="1"/>
  <c r="AC60" i="13"/>
  <c r="AD44" i="13"/>
  <c r="AD45" i="13" s="1"/>
  <c r="AF14" i="13"/>
  <c r="AG13" i="13"/>
  <c r="AG27" i="13"/>
  <c r="AH22" i="13"/>
  <c r="AE36" i="13"/>
  <c r="AE41" i="13" s="1"/>
  <c r="AE43" i="13" s="1"/>
  <c r="Z54" i="13"/>
  <c r="Z55" i="13" s="1"/>
  <c r="AB51" i="13"/>
  <c r="AB54" i="13"/>
  <c r="AB55" i="13" s="1"/>
  <c r="AA54" i="13"/>
  <c r="AA55" i="13" s="1"/>
  <c r="Z51" i="13"/>
  <c r="AA51" i="13"/>
  <c r="AF16" i="13"/>
  <c r="AF18" i="13" s="1"/>
  <c r="AF31" i="13" s="1"/>
  <c r="AG12" i="13"/>
  <c r="AG21" i="17" l="1"/>
  <c r="AG31" i="17" s="1"/>
  <c r="AG42" i="17" s="1"/>
  <c r="AE62" i="17"/>
  <c r="AE66" i="17" s="1"/>
  <c r="AE67" i="17" s="1"/>
  <c r="AE52" i="17"/>
  <c r="AE56" i="17" s="1"/>
  <c r="AE57" i="17" s="1"/>
  <c r="AI16" i="17"/>
  <c r="AJ15" i="17"/>
  <c r="AG38" i="17"/>
  <c r="AG43" i="17" s="1"/>
  <c r="AG45" i="17" s="1"/>
  <c r="AF46" i="17"/>
  <c r="AF47" i="17" s="1"/>
  <c r="AH18" i="17"/>
  <c r="AH20" i="17" s="1"/>
  <c r="AH33" i="17" s="1"/>
  <c r="AI14" i="17"/>
  <c r="AD53" i="17"/>
  <c r="AD56" i="17"/>
  <c r="AD57" i="17" s="1"/>
  <c r="AI29" i="17"/>
  <c r="AJ24" i="17"/>
  <c r="AD66" i="17"/>
  <c r="AD67" i="17" s="1"/>
  <c r="AF31" i="15"/>
  <c r="AF36" i="15" s="1"/>
  <c r="AF41" i="15" s="1"/>
  <c r="AF43" i="15" s="1"/>
  <c r="AC50" i="15"/>
  <c r="AC51" i="15" s="1"/>
  <c r="AC60" i="15"/>
  <c r="AC64" i="15" s="1"/>
  <c r="AC65" i="15" s="1"/>
  <c r="AE44" i="15"/>
  <c r="AD44" i="15"/>
  <c r="AG16" i="15"/>
  <c r="AG18" i="15" s="1"/>
  <c r="AH12" i="15"/>
  <c r="AH20" i="15" s="1"/>
  <c r="AH13" i="15"/>
  <c r="AG14" i="15"/>
  <c r="AF19" i="15"/>
  <c r="AF29" i="15" s="1"/>
  <c r="AF40" i="15" s="1"/>
  <c r="AB51" i="15"/>
  <c r="AA51" i="15"/>
  <c r="Z54" i="15"/>
  <c r="Z55" i="15" s="1"/>
  <c r="AA54" i="15"/>
  <c r="AA55" i="15" s="1"/>
  <c r="AB54" i="15"/>
  <c r="AB55" i="15" s="1"/>
  <c r="Z51" i="15"/>
  <c r="AG27" i="15"/>
  <c r="AH22" i="15"/>
  <c r="AA64" i="15"/>
  <c r="AA65" i="15" s="1"/>
  <c r="AB64" i="15"/>
  <c r="AB65" i="15" s="1"/>
  <c r="Z64" i="15"/>
  <c r="Z65" i="15" s="1"/>
  <c r="AC54" i="13"/>
  <c r="AC55" i="13" s="1"/>
  <c r="AC64" i="13"/>
  <c r="AC65" i="13" s="1"/>
  <c r="Z64" i="13"/>
  <c r="Z65" i="13" s="1"/>
  <c r="AA64" i="13"/>
  <c r="AA65" i="13" s="1"/>
  <c r="AD50" i="13"/>
  <c r="AD60" i="13"/>
  <c r="AG14" i="13"/>
  <c r="AH13" i="13"/>
  <c r="AI22" i="13"/>
  <c r="AH27" i="13"/>
  <c r="AF19" i="13"/>
  <c r="AF29" i="13" s="1"/>
  <c r="AF40" i="13" s="1"/>
  <c r="AF36" i="13"/>
  <c r="AF41" i="13" s="1"/>
  <c r="AF43" i="13" s="1"/>
  <c r="AE44" i="13"/>
  <c r="AE45" i="13" s="1"/>
  <c r="AG16" i="13"/>
  <c r="AG18" i="13" s="1"/>
  <c r="AG31" i="13" s="1"/>
  <c r="AH12" i="13"/>
  <c r="AE53" i="17" l="1"/>
  <c r="AF52" i="17"/>
  <c r="AF62" i="17"/>
  <c r="AF66" i="17" s="1"/>
  <c r="AF67" i="17" s="1"/>
  <c r="AG46" i="17"/>
  <c r="AG47" i="17" s="1"/>
  <c r="AK15" i="17"/>
  <c r="AJ16" i="17"/>
  <c r="AI18" i="17"/>
  <c r="AI20" i="17" s="1"/>
  <c r="AI33" i="17" s="1"/>
  <c r="AJ14" i="17"/>
  <c r="AK24" i="17"/>
  <c r="AJ29" i="17"/>
  <c r="AH38" i="17"/>
  <c r="AH43" i="17" s="1"/>
  <c r="AH45" i="17" s="1"/>
  <c r="AH21" i="17"/>
  <c r="AH31" i="17" s="1"/>
  <c r="AH42" i="17" s="1"/>
  <c r="AE45" i="15"/>
  <c r="AE50" i="15" s="1"/>
  <c r="AC54" i="15"/>
  <c r="AC55" i="15" s="1"/>
  <c r="AI12" i="15"/>
  <c r="AI20" i="15" s="1"/>
  <c r="AH16" i="15"/>
  <c r="AH18" i="15" s="1"/>
  <c r="AF44" i="15"/>
  <c r="AF45" i="15" s="1"/>
  <c r="AG31" i="15"/>
  <c r="AD45" i="15"/>
  <c r="AH27" i="15"/>
  <c r="AI22" i="15"/>
  <c r="AG19" i="15"/>
  <c r="AG29" i="15" s="1"/>
  <c r="AG40" i="15" s="1"/>
  <c r="AI13" i="15"/>
  <c r="AH14" i="15"/>
  <c r="AE50" i="13"/>
  <c r="AE51" i="13" s="1"/>
  <c r="AE60" i="13"/>
  <c r="AE64" i="13" s="1"/>
  <c r="AE65" i="13" s="1"/>
  <c r="AG36" i="13"/>
  <c r="AG41" i="13" s="1"/>
  <c r="AG43" i="13" s="1"/>
  <c r="AI12" i="13"/>
  <c r="AH16" i="13"/>
  <c r="AH18" i="13" s="1"/>
  <c r="AH31" i="13" s="1"/>
  <c r="AH14" i="13"/>
  <c r="AI13" i="13"/>
  <c r="AJ22" i="13"/>
  <c r="AI27" i="13"/>
  <c r="AG19" i="13"/>
  <c r="AG29" i="13" s="1"/>
  <c r="AG40" i="13" s="1"/>
  <c r="AD64" i="13"/>
  <c r="AD65" i="13" s="1"/>
  <c r="AF44" i="13"/>
  <c r="AF45" i="13" s="1"/>
  <c r="AD54" i="13"/>
  <c r="AD55" i="13" s="1"/>
  <c r="AD51" i="13"/>
  <c r="AG52" i="17" l="1"/>
  <c r="AG62" i="17"/>
  <c r="AG66" i="17" s="1"/>
  <c r="AG67" i="17" s="1"/>
  <c r="AJ18" i="17"/>
  <c r="AJ20" i="17" s="1"/>
  <c r="AJ33" i="17" s="1"/>
  <c r="AK14" i="17"/>
  <c r="AK16" i="17"/>
  <c r="AL15" i="17"/>
  <c r="AH46" i="17"/>
  <c r="AH47" i="17" s="1"/>
  <c r="AI38" i="17"/>
  <c r="AI43" i="17" s="1"/>
  <c r="AI45" i="17" s="1"/>
  <c r="AL24" i="17"/>
  <c r="AK29" i="17"/>
  <c r="AI21" i="17"/>
  <c r="AI31" i="17" s="1"/>
  <c r="AI42" i="17" s="1"/>
  <c r="AF53" i="17"/>
  <c r="AF56" i="17"/>
  <c r="AF57" i="17" s="1"/>
  <c r="AH31" i="15"/>
  <c r="AH36" i="15" s="1"/>
  <c r="AH41" i="15" s="1"/>
  <c r="AH43" i="15" s="1"/>
  <c r="AE60" i="15"/>
  <c r="AH19" i="15"/>
  <c r="AH29" i="15" s="1"/>
  <c r="AH40" i="15" s="1"/>
  <c r="AF50" i="15"/>
  <c r="AF60" i="15"/>
  <c r="AG36" i="15"/>
  <c r="AG41" i="15" s="1"/>
  <c r="AG43" i="15" s="1"/>
  <c r="AI14" i="15"/>
  <c r="AJ13" i="15"/>
  <c r="AI16" i="15"/>
  <c r="AI18" i="15" s="1"/>
  <c r="AJ12" i="15"/>
  <c r="AJ20" i="15" s="1"/>
  <c r="AJ22" i="15"/>
  <c r="AI27" i="15"/>
  <c r="AD60" i="15"/>
  <c r="AD64" i="15" s="1"/>
  <c r="AD65" i="15" s="1"/>
  <c r="AD50" i="15"/>
  <c r="AE51" i="15" s="1"/>
  <c r="AH19" i="13"/>
  <c r="AH29" i="13" s="1"/>
  <c r="AH40" i="13" s="1"/>
  <c r="AE54" i="13"/>
  <c r="AE55" i="13" s="1"/>
  <c r="AH36" i="13"/>
  <c r="AH41" i="13" s="1"/>
  <c r="AH43" i="13" s="1"/>
  <c r="AF60" i="13"/>
  <c r="AF64" i="13" s="1"/>
  <c r="AF65" i="13" s="1"/>
  <c r="AF50" i="13"/>
  <c r="AJ12" i="13"/>
  <c r="AI16" i="13"/>
  <c r="AI18" i="13" s="1"/>
  <c r="AI31" i="13" s="1"/>
  <c r="AG44" i="13"/>
  <c r="AG45" i="13" s="1"/>
  <c r="AJ27" i="13"/>
  <c r="AK22" i="13"/>
  <c r="AJ13" i="13"/>
  <c r="AI14" i="13"/>
  <c r="AJ21" i="17" l="1"/>
  <c r="AJ31" i="17" s="1"/>
  <c r="AJ42" i="17" s="1"/>
  <c r="AH62" i="17"/>
  <c r="AH66" i="17" s="1"/>
  <c r="AH67" i="17" s="1"/>
  <c r="AH52" i="17"/>
  <c r="AL16" i="17"/>
  <c r="AM15" i="17"/>
  <c r="AK18" i="17"/>
  <c r="AK20" i="17" s="1"/>
  <c r="AK33" i="17" s="1"/>
  <c r="AL14" i="17"/>
  <c r="AJ38" i="17"/>
  <c r="AJ43" i="17" s="1"/>
  <c r="AJ45" i="17" s="1"/>
  <c r="AI46" i="17"/>
  <c r="AI47" i="17" s="1"/>
  <c r="AL29" i="17"/>
  <c r="AM24" i="17"/>
  <c r="AG53" i="17"/>
  <c r="AG56" i="17"/>
  <c r="AG57" i="17" s="1"/>
  <c r="AI19" i="15"/>
  <c r="AI29" i="15" s="1"/>
  <c r="AI40" i="15" s="1"/>
  <c r="AF64" i="15"/>
  <c r="AF65" i="15" s="1"/>
  <c r="AF54" i="15"/>
  <c r="AF55" i="15" s="1"/>
  <c r="AF51" i="15"/>
  <c r="AH44" i="15"/>
  <c r="AK22" i="15"/>
  <c r="AJ27" i="15"/>
  <c r="AG44" i="15"/>
  <c r="AJ14" i="15"/>
  <c r="AK13" i="15"/>
  <c r="AD51" i="15"/>
  <c r="AD54" i="15"/>
  <c r="AD55" i="15" s="1"/>
  <c r="AE64" i="15"/>
  <c r="AE65" i="15" s="1"/>
  <c r="AJ16" i="15"/>
  <c r="AJ18" i="15" s="1"/>
  <c r="AK12" i="15"/>
  <c r="AK20" i="15" s="1"/>
  <c r="AE54" i="15"/>
  <c r="AE55" i="15" s="1"/>
  <c r="AI31" i="15"/>
  <c r="AG60" i="13"/>
  <c r="AG64" i="13" s="1"/>
  <c r="AG65" i="13" s="1"/>
  <c r="AG50" i="13"/>
  <c r="AI36" i="13"/>
  <c r="AI41" i="13" s="1"/>
  <c r="AI43" i="13" s="1"/>
  <c r="AK12" i="13"/>
  <c r="AJ16" i="13"/>
  <c r="AJ18" i="13" s="1"/>
  <c r="AJ31" i="13" s="1"/>
  <c r="AI19" i="13"/>
  <c r="AI29" i="13" s="1"/>
  <c r="AI40" i="13" s="1"/>
  <c r="AF51" i="13"/>
  <c r="AF54" i="13"/>
  <c r="AF55" i="13" s="1"/>
  <c r="AK13" i="13"/>
  <c r="AJ14" i="13"/>
  <c r="AL22" i="13"/>
  <c r="AK27" i="13"/>
  <c r="AH44" i="13"/>
  <c r="AH45" i="13" s="1"/>
  <c r="AJ46" i="17" l="1"/>
  <c r="AJ47" i="17" s="1"/>
  <c r="AK38" i="17"/>
  <c r="AK43" i="17" s="1"/>
  <c r="AK45" i="17" s="1"/>
  <c r="AM16" i="17"/>
  <c r="AN15" i="17"/>
  <c r="AM29" i="17"/>
  <c r="AN24" i="17"/>
  <c r="AM14" i="17"/>
  <c r="AL18" i="17"/>
  <c r="AL20" i="17" s="1"/>
  <c r="AL33" i="17" s="1"/>
  <c r="AK21" i="17"/>
  <c r="AK31" i="17" s="1"/>
  <c r="AK42" i="17" s="1"/>
  <c r="AH53" i="17"/>
  <c r="AH56" i="17"/>
  <c r="AH57" i="17" s="1"/>
  <c r="AI62" i="17"/>
  <c r="AI66" i="17" s="1"/>
  <c r="AI67" i="17" s="1"/>
  <c r="AI52" i="17"/>
  <c r="AJ31" i="15"/>
  <c r="AJ36" i="15" s="1"/>
  <c r="AJ41" i="15" s="1"/>
  <c r="AJ43" i="15" s="1"/>
  <c r="AH45" i="15"/>
  <c r="AH50" i="15" s="1"/>
  <c r="AL22" i="15"/>
  <c r="AK27" i="15"/>
  <c r="AG45" i="15"/>
  <c r="AK16" i="15"/>
  <c r="AK18" i="15" s="1"/>
  <c r="AL12" i="15"/>
  <c r="AL20" i="15" s="1"/>
  <c r="AK14" i="15"/>
  <c r="AL13" i="15"/>
  <c r="AI36" i="15"/>
  <c r="AI41" i="15" s="1"/>
  <c r="AI43" i="15" s="1"/>
  <c r="AJ19" i="15"/>
  <c r="AJ29" i="15" s="1"/>
  <c r="AJ40" i="15" s="1"/>
  <c r="AL12" i="13"/>
  <c r="AK16" i="13"/>
  <c r="AK18" i="13" s="1"/>
  <c r="AK31" i="13" s="1"/>
  <c r="AH60" i="13"/>
  <c r="AH64" i="13" s="1"/>
  <c r="AH65" i="13" s="1"/>
  <c r="AH50" i="13"/>
  <c r="AJ19" i="13"/>
  <c r="AJ29" i="13" s="1"/>
  <c r="AJ40" i="13" s="1"/>
  <c r="AL27" i="13"/>
  <c r="AM22" i="13"/>
  <c r="AL13" i="13"/>
  <c r="AK14" i="13"/>
  <c r="AI44" i="13"/>
  <c r="AI45" i="13" s="1"/>
  <c r="AJ36" i="13"/>
  <c r="AJ41" i="13" s="1"/>
  <c r="AJ43" i="13" s="1"/>
  <c r="AG54" i="13"/>
  <c r="AG55" i="13" s="1"/>
  <c r="AG51" i="13"/>
  <c r="AK46" i="17" l="1"/>
  <c r="AK47" i="17" s="1"/>
  <c r="AM18" i="17"/>
  <c r="AM20" i="17" s="1"/>
  <c r="AM33" i="17" s="1"/>
  <c r="AN14" i="17"/>
  <c r="AL21" i="17"/>
  <c r="AL31" i="17" s="1"/>
  <c r="AL42" i="17" s="1"/>
  <c r="AJ62" i="17"/>
  <c r="AJ66" i="17" s="1"/>
  <c r="AJ67" i="17" s="1"/>
  <c r="AJ52" i="17"/>
  <c r="AN16" i="17"/>
  <c r="AO15" i="17"/>
  <c r="AL38" i="17"/>
  <c r="AL43" i="17" s="1"/>
  <c r="AL45" i="17" s="1"/>
  <c r="AI56" i="17"/>
  <c r="AI57" i="17" s="1"/>
  <c r="AI53" i="17"/>
  <c r="AN29" i="17"/>
  <c r="AO24" i="17"/>
  <c r="AH60" i="15"/>
  <c r="AK19" i="15"/>
  <c r="AK29" i="15" s="1"/>
  <c r="AK40" i="15" s="1"/>
  <c r="AI44" i="15"/>
  <c r="AI45" i="15" s="1"/>
  <c r="AJ44" i="15"/>
  <c r="AG60" i="15"/>
  <c r="AG64" i="15" s="1"/>
  <c r="AG65" i="15" s="1"/>
  <c r="AG50" i="15"/>
  <c r="AH54" i="15" s="1"/>
  <c r="AH55" i="15" s="1"/>
  <c r="AM22" i="15"/>
  <c r="AL27" i="15"/>
  <c r="AL16" i="15"/>
  <c r="AL18" i="15" s="1"/>
  <c r="AM12" i="15"/>
  <c r="AM20" i="15" s="1"/>
  <c r="AL14" i="15"/>
  <c r="AM13" i="15"/>
  <c r="AK31" i="15"/>
  <c r="AK19" i="13"/>
  <c r="AK29" i="13" s="1"/>
  <c r="AK40" i="13" s="1"/>
  <c r="AI50" i="13"/>
  <c r="AI60" i="13"/>
  <c r="AI64" i="13" s="1"/>
  <c r="AI65" i="13" s="1"/>
  <c r="AM27" i="13"/>
  <c r="AN22" i="13"/>
  <c r="AL16" i="13"/>
  <c r="AL18" i="13" s="1"/>
  <c r="AL31" i="13" s="1"/>
  <c r="AM12" i="13"/>
  <c r="AJ44" i="13"/>
  <c r="AJ45" i="13" s="1"/>
  <c r="AH51" i="13"/>
  <c r="AH54" i="13"/>
  <c r="AH55" i="13" s="1"/>
  <c r="AM13" i="13"/>
  <c r="AL14" i="13"/>
  <c r="AK36" i="13"/>
  <c r="AK41" i="13" s="1"/>
  <c r="AK43" i="13" s="1"/>
  <c r="AK62" i="17" l="1"/>
  <c r="AK66" i="17" s="1"/>
  <c r="AK67" i="17" s="1"/>
  <c r="AK52" i="17"/>
  <c r="AJ53" i="17"/>
  <c r="AJ56" i="17"/>
  <c r="AJ57" i="17" s="1"/>
  <c r="AN18" i="17"/>
  <c r="AN20" i="17" s="1"/>
  <c r="AN33" i="17" s="1"/>
  <c r="AO14" i="17"/>
  <c r="AM38" i="17"/>
  <c r="AM43" i="17" s="1"/>
  <c r="AM45" i="17" s="1"/>
  <c r="AL46" i="17"/>
  <c r="AL47" i="17" s="1"/>
  <c r="AO16" i="17"/>
  <c r="AP15" i="17"/>
  <c r="AO29" i="17"/>
  <c r="AP24" i="17"/>
  <c r="AM21" i="17"/>
  <c r="AM31" i="17" s="1"/>
  <c r="AM42" i="17" s="1"/>
  <c r="AL31" i="15"/>
  <c r="AL36" i="15" s="1"/>
  <c r="AL41" i="15" s="1"/>
  <c r="AL43" i="15" s="1"/>
  <c r="AJ45" i="15"/>
  <c r="AJ50" i="15" s="1"/>
  <c r="AH51" i="15"/>
  <c r="AH64" i="15"/>
  <c r="AH65" i="15" s="1"/>
  <c r="AI50" i="15"/>
  <c r="AI60" i="15"/>
  <c r="AI64" i="15" s="1"/>
  <c r="AI65" i="15" s="1"/>
  <c r="AK36" i="15"/>
  <c r="AK41" i="15" s="1"/>
  <c r="AK43" i="15" s="1"/>
  <c r="AG54" i="15"/>
  <c r="AG55" i="15" s="1"/>
  <c r="AG51" i="15"/>
  <c r="AM27" i="15"/>
  <c r="AN22" i="15"/>
  <c r="AM14" i="15"/>
  <c r="AN13" i="15"/>
  <c r="AL19" i="15"/>
  <c r="AL29" i="15" s="1"/>
  <c r="AL40" i="15" s="1"/>
  <c r="AM16" i="15"/>
  <c r="AM18" i="15" s="1"/>
  <c r="AN12" i="15"/>
  <c r="AN20" i="15" s="1"/>
  <c r="AJ50" i="13"/>
  <c r="AJ60" i="13"/>
  <c r="AJ64" i="13" s="1"/>
  <c r="AJ65" i="13" s="1"/>
  <c r="AM16" i="13"/>
  <c r="AM18" i="13" s="1"/>
  <c r="AM31" i="13" s="1"/>
  <c r="AN12" i="13"/>
  <c r="AI54" i="13"/>
  <c r="AI55" i="13" s="1"/>
  <c r="AI51" i="13"/>
  <c r="AL19" i="13"/>
  <c r="AL29" i="13" s="1"/>
  <c r="AL40" i="13" s="1"/>
  <c r="AO22" i="13"/>
  <c r="AN27" i="13"/>
  <c r="AK44" i="13"/>
  <c r="AK45" i="13" s="1"/>
  <c r="AL36" i="13"/>
  <c r="AL41" i="13" s="1"/>
  <c r="AL43" i="13" s="1"/>
  <c r="AM14" i="13"/>
  <c r="AN13" i="13"/>
  <c r="AN21" i="17" l="1"/>
  <c r="AN31" i="17" s="1"/>
  <c r="AN42" i="17" s="1"/>
  <c r="AL52" i="17"/>
  <c r="AL62" i="17"/>
  <c r="AL66" i="17" s="1"/>
  <c r="AL67" i="17" s="1"/>
  <c r="AP14" i="17"/>
  <c r="AO18" i="17"/>
  <c r="AO20" i="17" s="1"/>
  <c r="AO33" i="17" s="1"/>
  <c r="AN38" i="17"/>
  <c r="AN43" i="17" s="1"/>
  <c r="AN45" i="17" s="1"/>
  <c r="AP29" i="17"/>
  <c r="AQ24" i="17"/>
  <c r="AP16" i="17"/>
  <c r="AQ15" i="17"/>
  <c r="AK53" i="17"/>
  <c r="AK56" i="17"/>
  <c r="AK57" i="17" s="1"/>
  <c r="AM46" i="17"/>
  <c r="AM47" i="17" s="1"/>
  <c r="AM31" i="15"/>
  <c r="AM36" i="15" s="1"/>
  <c r="AM41" i="15" s="1"/>
  <c r="AM43" i="15" s="1"/>
  <c r="AJ60" i="15"/>
  <c r="AJ64" i="15" s="1"/>
  <c r="AJ65" i="15" s="1"/>
  <c r="AL44" i="15"/>
  <c r="AK44" i="15"/>
  <c r="AO22" i="15"/>
  <c r="AN27" i="15"/>
  <c r="AN14" i="15"/>
  <c r="AO13" i="15"/>
  <c r="AM19" i="15"/>
  <c r="AM29" i="15" s="1"/>
  <c r="AM40" i="15" s="1"/>
  <c r="AJ54" i="15"/>
  <c r="AJ55" i="15" s="1"/>
  <c r="AJ51" i="15"/>
  <c r="AO12" i="15"/>
  <c r="AO20" i="15" s="1"/>
  <c r="AN16" i="15"/>
  <c r="AN18" i="15" s="1"/>
  <c r="AI54" i="15"/>
  <c r="AI55" i="15" s="1"/>
  <c r="AI51" i="15"/>
  <c r="AM19" i="13"/>
  <c r="AM29" i="13" s="1"/>
  <c r="AM40" i="13" s="1"/>
  <c r="AN14" i="13"/>
  <c r="AO13" i="13"/>
  <c r="AJ54" i="13"/>
  <c r="AJ55" i="13" s="1"/>
  <c r="AJ51" i="13"/>
  <c r="AN16" i="13"/>
  <c r="AN18" i="13" s="1"/>
  <c r="AN31" i="13" s="1"/>
  <c r="AO12" i="13"/>
  <c r="AM36" i="13"/>
  <c r="AM41" i="13" s="1"/>
  <c r="AM43" i="13" s="1"/>
  <c r="AO27" i="13"/>
  <c r="AP22" i="13"/>
  <c r="AL44" i="13"/>
  <c r="AL45" i="13" s="1"/>
  <c r="AK60" i="13"/>
  <c r="AK64" i="13" s="1"/>
  <c r="AK65" i="13" s="1"/>
  <c r="AK50" i="13"/>
  <c r="AO21" i="17" l="1"/>
  <c r="AO31" i="17" s="1"/>
  <c r="AO42" i="17" s="1"/>
  <c r="AM62" i="17"/>
  <c r="AM66" i="17" s="1"/>
  <c r="AM67" i="17" s="1"/>
  <c r="AM52" i="17"/>
  <c r="AN46" i="17"/>
  <c r="AN47" i="17" s="1"/>
  <c r="AO38" i="17"/>
  <c r="AO43" i="17" s="1"/>
  <c r="AO45" i="17" s="1"/>
  <c r="AQ16" i="17"/>
  <c r="Q15" i="17"/>
  <c r="AP18" i="17"/>
  <c r="AP20" i="17" s="1"/>
  <c r="AP33" i="17" s="1"/>
  <c r="AQ14" i="17"/>
  <c r="AQ29" i="17"/>
  <c r="Q29" i="17" s="1"/>
  <c r="Q24" i="17"/>
  <c r="AL53" i="17"/>
  <c r="AL56" i="17"/>
  <c r="AL57" i="17" s="1"/>
  <c r="AN31" i="15"/>
  <c r="AN36" i="15" s="1"/>
  <c r="AN41" i="15" s="1"/>
  <c r="AN43" i="15" s="1"/>
  <c r="AL45" i="15"/>
  <c r="AL60" i="15" s="1"/>
  <c r="AO27" i="15"/>
  <c r="AP22" i="15"/>
  <c r="AP13" i="15"/>
  <c r="AO14" i="15"/>
  <c r="AK45" i="15"/>
  <c r="AO16" i="15"/>
  <c r="AO18" i="15" s="1"/>
  <c r="AP12" i="15"/>
  <c r="AP20" i="15" s="1"/>
  <c r="AN19" i="15"/>
  <c r="AN29" i="15" s="1"/>
  <c r="AN40" i="15" s="1"/>
  <c r="AM44" i="15"/>
  <c r="AM45" i="15" s="1"/>
  <c r="AL60" i="13"/>
  <c r="AL64" i="13" s="1"/>
  <c r="AL65" i="13" s="1"/>
  <c r="AL50" i="13"/>
  <c r="AK51" i="13"/>
  <c r="AK54" i="13"/>
  <c r="AK55" i="13" s="1"/>
  <c r="AO16" i="13"/>
  <c r="AO18" i="13" s="1"/>
  <c r="AO31" i="13" s="1"/>
  <c r="AP12" i="13"/>
  <c r="AO14" i="13"/>
  <c r="AP13" i="13"/>
  <c r="AM44" i="13"/>
  <c r="AM45" i="13" s="1"/>
  <c r="AN36" i="13"/>
  <c r="AN41" i="13" s="1"/>
  <c r="AN43" i="13" s="1"/>
  <c r="AQ22" i="13"/>
  <c r="AP27" i="13"/>
  <c r="AN19" i="13"/>
  <c r="AN29" i="13" s="1"/>
  <c r="AN40" i="13" s="1"/>
  <c r="AP21" i="17" l="1"/>
  <c r="AP31" i="17" s="1"/>
  <c r="AP42" i="17" s="1"/>
  <c r="AN62" i="17"/>
  <c r="AN66" i="17" s="1"/>
  <c r="AN67" i="17" s="1"/>
  <c r="AN52" i="17"/>
  <c r="Q16" i="17"/>
  <c r="AO46" i="17"/>
  <c r="AO47" i="17" s="1"/>
  <c r="AQ18" i="17"/>
  <c r="Q14" i="17"/>
  <c r="AP38" i="17"/>
  <c r="AP43" i="17" s="1"/>
  <c r="AP45" i="17" s="1"/>
  <c r="AM56" i="17"/>
  <c r="AM57" i="17" s="1"/>
  <c r="AM53" i="17"/>
  <c r="AL50" i="15"/>
  <c r="AO19" i="15"/>
  <c r="AO29" i="15" s="1"/>
  <c r="AO40" i="15" s="1"/>
  <c r="AP27" i="15"/>
  <c r="AQ22" i="15"/>
  <c r="AP14" i="15"/>
  <c r="AQ13" i="15"/>
  <c r="AM50" i="15"/>
  <c r="AM60" i="15"/>
  <c r="AQ12" i="15"/>
  <c r="AQ20" i="15" s="1"/>
  <c r="AR20" i="15" s="1"/>
  <c r="AP16" i="15"/>
  <c r="AP18" i="15" s="1"/>
  <c r="AN44" i="15"/>
  <c r="AN45" i="15" s="1"/>
  <c r="AO31" i="15"/>
  <c r="AK60" i="15"/>
  <c r="AK64" i="15" s="1"/>
  <c r="AK65" i="15" s="1"/>
  <c r="AK50" i="15"/>
  <c r="AQ27" i="13"/>
  <c r="AR27" i="13" s="1"/>
  <c r="AR22" i="13"/>
  <c r="AO19" i="13"/>
  <c r="AO29" i="13" s="1"/>
  <c r="AO40" i="13" s="1"/>
  <c r="AP16" i="13"/>
  <c r="AP18" i="13" s="1"/>
  <c r="AP31" i="13" s="1"/>
  <c r="AQ12" i="13"/>
  <c r="AN44" i="13"/>
  <c r="AN45" i="13" s="1"/>
  <c r="AP14" i="13"/>
  <c r="AQ13" i="13"/>
  <c r="AO36" i="13"/>
  <c r="AO41" i="13" s="1"/>
  <c r="AO43" i="13" s="1"/>
  <c r="AL51" i="13"/>
  <c r="AL54" i="13"/>
  <c r="AL55" i="13" s="1"/>
  <c r="AM60" i="13"/>
  <c r="AM64" i="13" s="1"/>
  <c r="AM65" i="13" s="1"/>
  <c r="AM50" i="13"/>
  <c r="AO62" i="17" l="1"/>
  <c r="AO66" i="17" s="1"/>
  <c r="AO67" i="17" s="1"/>
  <c r="AO52" i="17"/>
  <c r="AQ20" i="17"/>
  <c r="Q18" i="17"/>
  <c r="AN53" i="17"/>
  <c r="AN56" i="17"/>
  <c r="AN57" i="17" s="1"/>
  <c r="AP46" i="17"/>
  <c r="AP47" i="17" s="1"/>
  <c r="AP31" i="15"/>
  <c r="AP36" i="15" s="1"/>
  <c r="AP41" i="15" s="1"/>
  <c r="AP43" i="15" s="1"/>
  <c r="AL51" i="15"/>
  <c r="AP19" i="15"/>
  <c r="AP29" i="15" s="1"/>
  <c r="AP40" i="15" s="1"/>
  <c r="AM64" i="15"/>
  <c r="AM65" i="15" s="1"/>
  <c r="AL54" i="15"/>
  <c r="AL55" i="15" s="1"/>
  <c r="AN60" i="15"/>
  <c r="AN64" i="15" s="1"/>
  <c r="AN65" i="15" s="1"/>
  <c r="AN50" i="15"/>
  <c r="AQ16" i="15"/>
  <c r="AR12" i="15"/>
  <c r="AK51" i="15"/>
  <c r="AK54" i="15"/>
  <c r="AK55" i="15" s="1"/>
  <c r="AM51" i="15"/>
  <c r="AM54" i="15"/>
  <c r="AM55" i="15" s="1"/>
  <c r="AQ27" i="15"/>
  <c r="AR27" i="15" s="1"/>
  <c r="AR22" i="15"/>
  <c r="AQ14" i="15"/>
  <c r="AR13" i="15"/>
  <c r="AO36" i="15"/>
  <c r="AO41" i="15" s="1"/>
  <c r="AO43" i="15" s="1"/>
  <c r="AL64" i="15"/>
  <c r="AL65" i="15" s="1"/>
  <c r="AP19" i="13"/>
  <c r="AP29" i="13" s="1"/>
  <c r="AP40" i="13" s="1"/>
  <c r="AQ14" i="13"/>
  <c r="AR13" i="13"/>
  <c r="AN50" i="13"/>
  <c r="AN60" i="13"/>
  <c r="AN64" i="13" s="1"/>
  <c r="AN65" i="13" s="1"/>
  <c r="AO44" i="13"/>
  <c r="AO45" i="13" s="1"/>
  <c r="AM51" i="13"/>
  <c r="AM54" i="13"/>
  <c r="AM55" i="13" s="1"/>
  <c r="AQ16" i="13"/>
  <c r="AR12" i="13"/>
  <c r="AP36" i="13"/>
  <c r="AP41" i="13" s="1"/>
  <c r="AP43" i="13" s="1"/>
  <c r="AP62" i="17" l="1"/>
  <c r="AP66" i="17" s="1"/>
  <c r="AP67" i="17" s="1"/>
  <c r="AP52" i="17"/>
  <c r="AQ33" i="17"/>
  <c r="Q20" i="17"/>
  <c r="O126" i="17" s="1"/>
  <c r="AQ21" i="17"/>
  <c r="AO56" i="17"/>
  <c r="AO57" i="17" s="1"/>
  <c r="AO53" i="17"/>
  <c r="AO44" i="15"/>
  <c r="AO45" i="15" s="1"/>
  <c r="AP44" i="15"/>
  <c r="AR14" i="15"/>
  <c r="AQ18" i="15"/>
  <c r="AR16" i="15"/>
  <c r="AN54" i="15"/>
  <c r="AN55" i="15" s="1"/>
  <c r="AN51" i="15"/>
  <c r="AO50" i="13"/>
  <c r="AO60" i="13"/>
  <c r="AO64" i="13" s="1"/>
  <c r="AO65" i="13" s="1"/>
  <c r="AN54" i="13"/>
  <c r="AN55" i="13" s="1"/>
  <c r="AN51" i="13"/>
  <c r="AP44" i="13"/>
  <c r="AP45" i="13" s="1"/>
  <c r="AQ18" i="13"/>
  <c r="AR16" i="13"/>
  <c r="AR14" i="13"/>
  <c r="AQ38" i="17" l="1"/>
  <c r="AQ43" i="17" s="1"/>
  <c r="AQ45" i="17" s="1"/>
  <c r="AP53" i="17"/>
  <c r="AP56" i="17"/>
  <c r="AP57" i="17" s="1"/>
  <c r="AQ31" i="17"/>
  <c r="AQ42" i="17" s="1"/>
  <c r="Q21" i="17"/>
  <c r="AP45" i="15"/>
  <c r="AP60" i="15" s="1"/>
  <c r="AO60" i="15"/>
  <c r="AO64" i="15" s="1"/>
  <c r="AO65" i="15" s="1"/>
  <c r="AO50" i="15"/>
  <c r="AQ31" i="15"/>
  <c r="AR18" i="15"/>
  <c r="O124" i="15" s="1"/>
  <c r="AQ19" i="15"/>
  <c r="AP60" i="13"/>
  <c r="AP64" i="13" s="1"/>
  <c r="AP65" i="13" s="1"/>
  <c r="AP50" i="13"/>
  <c r="AQ31" i="13"/>
  <c r="AR18" i="13"/>
  <c r="O124" i="13" s="1"/>
  <c r="AQ19" i="13"/>
  <c r="AO54" i="13"/>
  <c r="AO55" i="13" s="1"/>
  <c r="AO51" i="13"/>
  <c r="AQ46" i="17" l="1"/>
  <c r="AQ47" i="17" s="1"/>
  <c r="AP50" i="15"/>
  <c r="AP51" i="15" s="1"/>
  <c r="AQ36" i="15"/>
  <c r="AQ41" i="15" s="1"/>
  <c r="AQ43" i="15" s="1"/>
  <c r="AP64" i="15"/>
  <c r="AP65" i="15" s="1"/>
  <c r="AQ29" i="15"/>
  <c r="AQ40" i="15" s="1"/>
  <c r="AR19" i="15"/>
  <c r="AO54" i="15"/>
  <c r="AO55" i="15" s="1"/>
  <c r="AO51" i="15"/>
  <c r="AQ29" i="13"/>
  <c r="AQ40" i="13" s="1"/>
  <c r="AR19" i="13"/>
  <c r="AQ36" i="13"/>
  <c r="AQ41" i="13" s="1"/>
  <c r="AQ43" i="13" s="1"/>
  <c r="AP54" i="13"/>
  <c r="AP55" i="13" s="1"/>
  <c r="AP51" i="13"/>
  <c r="AQ62" i="17" l="1"/>
  <c r="AQ52" i="17"/>
  <c r="AP54" i="15"/>
  <c r="AP55" i="15" s="1"/>
  <c r="AQ44" i="15"/>
  <c r="AQ45" i="15" s="1"/>
  <c r="AQ44" i="13"/>
  <c r="AQ45" i="13" s="1"/>
  <c r="P58" i="17" l="1"/>
  <c r="P54" i="17"/>
  <c r="AQ56" i="17"/>
  <c r="AQ57" i="17" s="1"/>
  <c r="P56" i="17" s="1"/>
  <c r="AQ53" i="17"/>
  <c r="P64" i="17"/>
  <c r="AQ66" i="17"/>
  <c r="AQ67" i="17" s="1"/>
  <c r="P66" i="17" s="1"/>
  <c r="T72" i="17" s="1"/>
  <c r="P68" i="17"/>
  <c r="AE72" i="17" s="1"/>
  <c r="AQ60" i="15"/>
  <c r="AQ50" i="15"/>
  <c r="AQ60" i="13"/>
  <c r="AQ50" i="13"/>
  <c r="O103" i="17" l="1"/>
  <c r="P72" i="17"/>
  <c r="AB103" i="17"/>
  <c r="Z72" i="17"/>
  <c r="P56" i="15"/>
  <c r="AQ54" i="15"/>
  <c r="AQ55" i="15" s="1"/>
  <c r="P54" i="15" s="1"/>
  <c r="O101" i="15" s="1"/>
  <c r="AQ51" i="15"/>
  <c r="P52" i="15"/>
  <c r="P62" i="15"/>
  <c r="P66" i="15"/>
  <c r="AE70" i="15" s="1"/>
  <c r="AQ64" i="15"/>
  <c r="AQ65" i="15" s="1"/>
  <c r="P64" i="15" s="1"/>
  <c r="T70" i="15" s="1"/>
  <c r="P56" i="13"/>
  <c r="Z70" i="13" s="1"/>
  <c r="P52" i="13"/>
  <c r="AQ54" i="13"/>
  <c r="AQ55" i="13" s="1"/>
  <c r="P54" i="13" s="1"/>
  <c r="P70" i="13" s="1"/>
  <c r="AQ51" i="13"/>
  <c r="AQ64" i="13"/>
  <c r="AQ65" i="13" s="1"/>
  <c r="P64" i="13" s="1"/>
  <c r="T70" i="13" s="1"/>
  <c r="P62" i="13"/>
  <c r="P66" i="13"/>
  <c r="AE70" i="13" s="1"/>
  <c r="P70" i="15" l="1"/>
  <c r="AB101" i="15"/>
  <c r="Z70" i="15"/>
  <c r="AB101" i="13"/>
  <c r="O101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tc={0B84F07E-7A7B-47A0-850E-2CD189A7930A}</author>
  </authors>
  <commentList>
    <comment ref="A11" authorId="0" shapeId="0" xr:uid="{0B84F07E-7A7B-47A0-850E-2CD189A7930A}">
      <text>
        <t>[Threaded comment]
Your version of Excel allows you to read this threaded comment; however, any edits to it will get removed if the file is opened in a newer version of Excel. Learn more: https://go.microsoft.com/fwlink/?linkid=870924
Comment:
    Πλέον πολλοί πάροχοι έχουν ενοποιήσει τις ζώνες χρέωσης οπότε δεν συναντάμε συχνά διαφοροποιημένη νυχτερινή χρέωση</t>
      </text>
    </comment>
  </commentList>
</comments>
</file>

<file path=xl/sharedStrings.xml><?xml version="1.0" encoding="utf-8"?>
<sst xmlns="http://schemas.openxmlformats.org/spreadsheetml/2006/main" count="789" uniqueCount="358">
  <si>
    <t>Με αυτό το χρώμα ορίζονται τα κελιά εισόδου δεδομένων με ελεύθερη τιμή</t>
  </si>
  <si>
    <t>Με αυτό το χρώμα ορίζονται τα κελιά εισόδου δεδομένων με τιμή που επιλέγεται από λίστα</t>
  </si>
  <si>
    <t>Τα αποτελέσματα αυτά εμφανίζονται στον χρήστη (Χρησιμέυουν για το online εργαλείο)</t>
  </si>
  <si>
    <t>Τα λευκά κελιά δεν τα πειράζουμε</t>
  </si>
  <si>
    <t>Δεδομένα που ζητούνται από τον χρήστη</t>
  </si>
  <si>
    <t>Δεδομένα που θεωρούμε</t>
  </si>
  <si>
    <t>Υπολογισμοί που πραγματοποιούνται</t>
  </si>
  <si>
    <t>Αποτελέσματα</t>
  </si>
  <si>
    <t>Τι κερδίζεις</t>
  </si>
  <si>
    <t>Ετήσια κατανάλωση (kWh)</t>
  </si>
  <si>
    <t>Μπορείτε να την υπολογίσετε αθροίζοντας τρεις συνεχόμενους εκκαθαριστικούς λογαριασμούς</t>
  </si>
  <si>
    <t>Ο χρήστης συμπληρώνει μόνος του την τιμή</t>
  </si>
  <si>
    <t>Ποσοστό κατανάλωσης στη ζώνη κανονικής χρέωσης</t>
  </si>
  <si>
    <t>Απαιτούμενη ισχύς φ/β για πλήρη συμψηφισμό</t>
  </si>
  <si>
    <t>Μέσο κόστος  προμήθειας</t>
  </si>
  <si>
    <t>Με το συνολικό σύστημα Aftonomo της EEG εξοικονομείτε περίπου</t>
  </si>
  <si>
    <t>€/έτος</t>
  </si>
  <si>
    <t>θεωρείται ότι εξοικονομείται το σύνολο του κόστους προμήθειας και το μεγαλύτερο μέρος των ρυθμιζόμενων χρεώσεων (70%)</t>
  </si>
  <si>
    <t>Συμφωνημένη ισχύς παροχής (kVA)</t>
  </si>
  <si>
    <t>Συνηθέστερες τιμές τα 8kVA για μονοφασικούς και τα 25kVA για τριφασικούς καταναλωτές</t>
  </si>
  <si>
    <t>Ο χρήστης επιλέγει την κατάλληλη τιμή από τη λίστα τιμών που αναγράφονται</t>
  </si>
  <si>
    <t>Ποσοστό κατανάλωσης στη ζώνη μειωμένης χρέωσης</t>
  </si>
  <si>
    <t>Ανώτατο όριο επιτρεπόμενης εγκατεστημένης ισχύος φ/β (kW)</t>
  </si>
  <si>
    <t>Ανηγμένο κόστος ρυθμιζόμενων</t>
  </si>
  <si>
    <t xml:space="preserve">και συμβάλλετε στη μείωση των εκπομπών διοξειδίου του άνθρακα (CO2) κατά </t>
  </si>
  <si>
    <t>τόνους/έτος</t>
  </si>
  <si>
    <t>Κατηγορία τιμολογίου</t>
  </si>
  <si>
    <t>Γ1</t>
  </si>
  <si>
    <t>Γ1 οικιακό, Γ1Ν οικιακό νυχτερινό</t>
  </si>
  <si>
    <t>Ο χρήστης επιλέγει μία από τις τρεις επιλογές. Εάν διαθέτει κοινωνικό τιμολόγιο τότε τον παραπέμπουμε να επικοινωνήσει απευθείας μαζί μας στα στοιχεία επικοινωνίας.</t>
  </si>
  <si>
    <t>Ταυτοχρονισμός φωτοβολταϊκής παραγωγής με την ζήτηση ενέργειας</t>
  </si>
  <si>
    <t>Προτεινομένη εγκατεστημένη ισχύς φ/β (kW)</t>
  </si>
  <si>
    <t>Αναμενόμενη εξοικονόμηση με ΦΠΑ λόγω φ/β</t>
  </si>
  <si>
    <t>Βασικό ποσό εξοικονόμησης</t>
  </si>
  <si>
    <t>Μήνυμα που θα εμφανίζεται στο τέλος</t>
  </si>
  <si>
    <t>Μπορείτε να εισάγετε το mail σας ώστε να λάβετε περισσότερες πληροφορίες καθώς την αναλυτική περιγραφή του εξοπλισμού Aftonomo που καλύπτει 100% τις ανάγκες σας!</t>
  </si>
  <si>
    <t>εισαγωγή mail</t>
  </si>
  <si>
    <t>εδώ επίσης θα εμφανίζονται 2 check box στα οποία θα αναγράφεται</t>
  </si>
  <si>
    <t>Επιθυμώ να λάβω mail με την περιγραφή του εξοπλισμού που χρειάζεται για την εγκατάστασή μου</t>
  </si>
  <si>
    <t>Τιμή προμήθειας ηλεκτρικής ενέργειας κανονικής χρέωσης (€/kWh)</t>
  </si>
  <si>
    <t>Για τις διαστασιολογήσεις βάζουμε μόνοι μας την τιμή, όπως αυτή προκύπτει από τον λογαριασμό ρεύματος, έπειτα και από τον υπολογισμό των ρητρών.</t>
  </si>
  <si>
    <t>Συντελεστής παραγωγής</t>
  </si>
  <si>
    <t>Χωρητικότητα επιφάνειας (kW)</t>
  </si>
  <si>
    <t>Πρόσθετη αναμενόμενη εξοικονόμηση με ΦΠΑ λόγω μπαταρίας</t>
  </si>
  <si>
    <t>Πρόσθετο ποσό εξοικονόμησης</t>
  </si>
  <si>
    <t>Επίσης, εφόσον επιθυμείτε μπορείτε να εισάγετε το όνομά σας και το τηλέφωνό σας</t>
  </si>
  <si>
    <t>Ονοματεπώνυμο</t>
  </si>
  <si>
    <t>Επιθυμώ να λαμβάνω ενημερωτικά mail σχετικά με τα προϊόντα του ομίλου Eunice Energy Group</t>
  </si>
  <si>
    <t>Τιμή προμήθειας ηλεκτρικής ενέργειας νυχτερινής χρέωσης (€/kWh)</t>
  </si>
  <si>
    <t>το πεδίο αυτό ενεργοποιείται μόνο εφόσον επιλέξει Γ21Ν</t>
  </si>
  <si>
    <t>Ετήσια παραγωγή φ/β στην περιοχή kWh/kWp</t>
  </si>
  <si>
    <t>Τελική επιλεγμένη ικανότητα φ/β (kW)</t>
  </si>
  <si>
    <t>Συνολική αναμενόμενη εξοικονόμηση
(με ΦΠΑ)</t>
  </si>
  <si>
    <t>Αν η λειτουργία της αποθήκευσης δεν προορίζεται μόνο για backup, τότε χρησιμοποιούμε αυτό το νούμερο για την εξοικονόμηση. Διαφορετικά χρησιμοποιούμε το βασικό ποσό εξοικονόμησης</t>
  </si>
  <si>
    <t>Τηλέφωνο</t>
  </si>
  <si>
    <t>Πότε καταναλώνετε την περισσότερη ενέργεια;</t>
  </si>
  <si>
    <t>Απόγευμα-Βράδυ</t>
  </si>
  <si>
    <t>Πρωί-Μεσημέρι, Απόγευμα-Βράδυ</t>
  </si>
  <si>
    <t>Ο χρήστης επιλέγει μία από τις 2 επιλογές</t>
  </si>
  <si>
    <t>Ετήσια παραγωγή φ/β στην περιοχή λόγω προσανατολισμού kWh/kWp</t>
  </si>
  <si>
    <t>Η ετήσια παραγωγή του φωτοβολταϊκού σας συστήματος είναι (kWh)</t>
  </si>
  <si>
    <t>Σε ποια περιφέρεια βρίσκεται το ακίνητό σας;</t>
  </si>
  <si>
    <t>Δυτική Ελλάδα</t>
  </si>
  <si>
    <t>τ.μ/kW</t>
  </si>
  <si>
    <t>Και για να το εγκαταστήσετε χρειάζεστε λιγότερο από τ.μ</t>
  </si>
  <si>
    <t>Διαθέτει στέγη ή ταράτσα;</t>
  </si>
  <si>
    <t>Στέγη</t>
  </si>
  <si>
    <t>Να ληφθεί υπόψιν η προτεινόμενη αποθηκευτική ικανότητα?</t>
  </si>
  <si>
    <t>Όχι</t>
  </si>
  <si>
    <t>Συντελεστής μετατροπής σε πρωτογενή ενέργεια (PEF)</t>
  </si>
  <si>
    <t>Προτεινομένη χωρητικότητα αποθηκευτικού συστήματος (kWh)</t>
  </si>
  <si>
    <t>Τιμές για διαγράμματα</t>
  </si>
  <si>
    <t>Ποιος είναι ο προσανατολισμός της στέγης;</t>
  </si>
  <si>
    <t>ΝΔ</t>
  </si>
  <si>
    <t>Εάν όχι, τότε πόσες kWh αποθήκευση θα επιλεγούν?</t>
  </si>
  <si>
    <t>CO2 emmisions factor</t>
  </si>
  <si>
    <t>Επιλεγμένη χωρητικότητα αποθηκευτικού συστήματος (kWh)</t>
  </si>
  <si>
    <t>Κόστος χωρίς το Aftonomo</t>
  </si>
  <si>
    <t>Διαθέσιμα τετραγωνικά μέτρα</t>
  </si>
  <si>
    <t xml:space="preserve">Να ληφθεί υπόψιν η εξοικονόμηση που επιτυγχάνει η μπαταρία? </t>
  </si>
  <si>
    <t>Ναι</t>
  </si>
  <si>
    <t>Τελική χωρητικότητα αποθηκευτικού συστήματος (kWh)</t>
  </si>
  <si>
    <t>Κόστος με το Aftonomo</t>
  </si>
  <si>
    <t>Για ηλεκτρική ενέργεια πληρώνατε περίπου €/έτος</t>
  </si>
  <si>
    <t>Εξοικονόμηση</t>
  </si>
  <si>
    <t>λαμβάνεται υπόψη μόνο το σκέλος του λογαριασμού στο οποίο μπορούμε να πετύχουμε εξοικονομηση</t>
  </si>
  <si>
    <t>Ανάλυση Ευσαισθησίας</t>
  </si>
  <si>
    <t>Πίνακας Ανάλυσης Ευαισθησίας</t>
  </si>
  <si>
    <t>Κόστος Προμήθειας €/kWh</t>
  </si>
  <si>
    <t>Εκτιμώμενη Ετήσια Εξοικονόμηση</t>
  </si>
  <si>
    <t>Αυτόν τον πίνακα δεν τον πειράζουμε</t>
  </si>
  <si>
    <t>Αυτόν τον πίνακα χρησιμοποιούμε</t>
  </si>
  <si>
    <r>
      <t xml:space="preserve">ως δεδομένα εισόδου από </t>
    </r>
    <r>
      <rPr>
        <b/>
        <i/>
        <sz val="11"/>
        <color theme="1"/>
        <rFont val="Calibri"/>
        <family val="2"/>
        <charset val="161"/>
        <scheme val="minor"/>
      </rPr>
      <t>προηγούμενους υπολογισμούς</t>
    </r>
    <r>
      <rPr>
        <i/>
        <sz val="11"/>
        <color theme="1"/>
        <rFont val="Calibri"/>
        <family val="2"/>
        <charset val="161"/>
        <scheme val="minor"/>
      </rPr>
      <t xml:space="preserve"> χρειαζόμαστε:
- την ισχύ (kW) του φ/β προς εγκατάσταση
- την χωρητικότητα (kWh) της αποθήκευσης 
- την εξοικόνομη σε € που πετυχαίνουμε</t>
    </r>
  </si>
  <si>
    <t>Νέα δεδομένα εισόδου από χρήστη</t>
  </si>
  <si>
    <t>Υπολογισμοί που εκτελούνται και αποτελέσματα</t>
  </si>
  <si>
    <t>Ισχύς (kW) φ/β</t>
  </si>
  <si>
    <t>Επιτόκιο δανείου</t>
  </si>
  <si>
    <t>Κόστος €/kW</t>
  </si>
  <si>
    <t>kWh Αποθήκευση</t>
  </si>
  <si>
    <t>Έτη αποπληρωμής δανείου</t>
  </si>
  <si>
    <t>Κόστος   €/KWh</t>
  </si>
  <si>
    <t>Έξοικονόμηση €/έτος</t>
  </si>
  <si>
    <t>Προκαταβολή</t>
  </si>
  <si>
    <t>Κόστος φ/β (€)</t>
  </si>
  <si>
    <t>Εξοικόνομη €/μήνα</t>
  </si>
  <si>
    <t>Κόστος μπαταρίας (€)</t>
  </si>
  <si>
    <t>Εκτιμώμενο ύψος δανείου (€)</t>
  </si>
  <si>
    <t>συγκεκριμένο ύψος δανείου</t>
  </si>
  <si>
    <t>0 ή 1</t>
  </si>
  <si>
    <t>Ποσό δόσης (€/μήνα)</t>
  </si>
  <si>
    <t>ύψος  δανείου</t>
  </si>
  <si>
    <t>εισάγουμε το ποσό</t>
  </si>
  <si>
    <t>Τα αποτελέσματα αυτά εμφανίζονται στον χρήστη</t>
  </si>
  <si>
    <t>Για γνωστή τιμή προμήθειας</t>
  </si>
  <si>
    <t>Για άγνωστη τιμή προμήθειας</t>
  </si>
  <si>
    <t>Δεδομένα</t>
  </si>
  <si>
    <t>Κόστος ρεύματος/έτος</t>
  </si>
  <si>
    <t>Κόστος ρεύματος</t>
  </si>
  <si>
    <t>Τιμή προμήθειας (€/kWh)</t>
  </si>
  <si>
    <t>Κατηγορία καταναλωτή</t>
  </si>
  <si>
    <t>Κατοικία</t>
  </si>
  <si>
    <t>Μέση τάση</t>
  </si>
  <si>
    <t>Εκτιμώμενη ανηγμένη τιμή ηλεκτρισμού(€/kWh)</t>
  </si>
  <si>
    <t>Εκτιμώμενη ετήσια κατανάλωση (kWh)</t>
  </si>
  <si>
    <t>Απαιτούμενη ισχύς φ/β για συμψηφισμό</t>
  </si>
  <si>
    <t>Συμφωνημένη ισχύς παροχής  (kVA)</t>
  </si>
  <si>
    <t>8, 12, 15, 25, 35, 55, 85, 135, 250</t>
  </si>
  <si>
    <t>Γ22</t>
  </si>
  <si>
    <t>Γ21 , Γ22, Γ23</t>
  </si>
  <si>
    <t>Αναμενόμενη εξοικονόμηση χωρίς ΦΠΑ λόγω φ/β</t>
  </si>
  <si>
    <t>Αναμενόμενη εξοικονόμηση χωρίς ΦΠΑ λόγω μπαταρίας</t>
  </si>
  <si>
    <t>το πεδίο αυτό ενεργοποιείται μόνο εφόσον επιλέξει Γ23</t>
  </si>
  <si>
    <t>Συνολική εξοικονόμηση</t>
  </si>
  <si>
    <t>Πρωί-Μεσημέρι</t>
  </si>
  <si>
    <t>Πρωί-Μεσημέρι, Απόγευμα-Βράδυ,</t>
  </si>
  <si>
    <t>Πελοπόννησος</t>
  </si>
  <si>
    <t>Ταράτσα</t>
  </si>
  <si>
    <t>Ν</t>
  </si>
  <si>
    <t>Κόστος χωρίς Aftonomo by Eunice</t>
  </si>
  <si>
    <t>Κόστος με Aftonomo by Eunice</t>
  </si>
  <si>
    <t>Με το Aftonomo της EEG εξοικονομείτε περίπου</t>
  </si>
  <si>
    <t>Συμφωνημένη ισχύς παροχής σε περίπτωση μέσης τάσης (kVA)</t>
  </si>
  <si>
    <t>Βιομηχανικό</t>
  </si>
  <si>
    <t>Εμπορικό ή Βιομηχανικό</t>
  </si>
  <si>
    <t>Αναμενόμενη εξοικονόμηση λόγω φ/β</t>
  </si>
  <si>
    <t>Αναμενόμενη εξοικονόμηση λόγω μπαταρίας</t>
  </si>
  <si>
    <t>Όλη την ημέρα</t>
  </si>
  <si>
    <t>Πρωί-Μεσημέρι, Απόγευμα-Βράδυ, Όλη την ημέρα</t>
  </si>
  <si>
    <t>Στερεά Ελλάδα</t>
  </si>
  <si>
    <t>Physical or Virtual Net Metering</t>
  </si>
  <si>
    <t>Τιμές αναφοράς</t>
  </si>
  <si>
    <t>&lt;100</t>
  </si>
  <si>
    <t>&lt;500</t>
  </si>
  <si>
    <t>&lt;1000</t>
  </si>
  <si>
    <t>P Installed (kWp)</t>
  </si>
  <si>
    <t>Unit Cost (€/kWp)</t>
  </si>
  <si>
    <t>Specific Yield (kWh/kWp)</t>
  </si>
  <si>
    <t>Monthly Consumption (kWh)</t>
  </si>
  <si>
    <t>Annual Consumption (kWh)</t>
  </si>
  <si>
    <t xml:space="preserve">Equity </t>
  </si>
  <si>
    <t>Years</t>
  </si>
  <si>
    <t>interest rate</t>
  </si>
  <si>
    <t>Energy Cost (€/MWh)</t>
  </si>
  <si>
    <t>Energy Cost Regulated (€/MWh)</t>
  </si>
  <si>
    <t>Loan Interest</t>
  </si>
  <si>
    <t>Interest rate project</t>
  </si>
  <si>
    <t xml:space="preserve">Loan </t>
  </si>
  <si>
    <t>Annual Production (kWh)</t>
  </si>
  <si>
    <t>Annual Degradation</t>
  </si>
  <si>
    <t>O&amp;M (€/kWp/year)</t>
  </si>
  <si>
    <t>Land Lease (€/year)</t>
  </si>
  <si>
    <t>Development Costs EUNILAB (€)</t>
  </si>
  <si>
    <t>Connection Cost HEDNO (€)</t>
  </si>
  <si>
    <t>insurance €/year</t>
  </si>
  <si>
    <t>Adm Expenses (€/year)</t>
  </si>
  <si>
    <t>OPEX other (€/year)</t>
  </si>
  <si>
    <t xml:space="preserve">Annual Expenses escalation </t>
  </si>
  <si>
    <t>Bank expenses (€)</t>
  </si>
  <si>
    <t>Contigency (€)</t>
  </si>
  <si>
    <t>Taxes (%)</t>
  </si>
  <si>
    <t>Advance payment of taxes (%)</t>
  </si>
  <si>
    <t>Cost annual decrease (%)</t>
  </si>
  <si>
    <t>Min marginal price (€/MWh)</t>
  </si>
  <si>
    <t>Battery energy capacity (kWh)</t>
  </si>
  <si>
    <t>Unit Cost (€/kWh)</t>
  </si>
  <si>
    <t>synchronization (%)</t>
  </si>
  <si>
    <t>taxes</t>
  </si>
  <si>
    <t>0 or 1</t>
  </si>
  <si>
    <t>physical</t>
  </si>
  <si>
    <t>25 years Average</t>
  </si>
  <si>
    <t>Averages</t>
  </si>
  <si>
    <t>Assumptions</t>
  </si>
  <si>
    <t>virtual</t>
  </si>
  <si>
    <t>Production (kWh)</t>
  </si>
  <si>
    <t>Energy Cost Annual (€/MWh)</t>
  </si>
  <si>
    <t>Energy Cost without net metering(€)</t>
  </si>
  <si>
    <t>Battery Calculations</t>
  </si>
  <si>
    <t>roundtrip efficiency (%)</t>
  </si>
  <si>
    <t>daily consumption (kWh)</t>
  </si>
  <si>
    <t>Regulated Costs without net metering (€/year)</t>
  </si>
  <si>
    <t>PV production (kWh/day)</t>
  </si>
  <si>
    <t>Energy Cost savings (€/year)</t>
  </si>
  <si>
    <t>Selfconsumption without bess (kWh/day)</t>
  </si>
  <si>
    <t>Regulated Costs savings (€/year)</t>
  </si>
  <si>
    <t>Injected energy to grid (kWh/day)</t>
  </si>
  <si>
    <t>Energy Savings / Gross Revenue (€)</t>
  </si>
  <si>
    <t>Battery capacity (kWh)</t>
  </si>
  <si>
    <t>Energy Cost after actions applied (€)</t>
  </si>
  <si>
    <t>Stored Energy (kWh)</t>
  </si>
  <si>
    <t>Selfconsumption with battery (kWh/day)</t>
  </si>
  <si>
    <t>Synchronization with battery</t>
  </si>
  <si>
    <t>O&amp;M services (€)</t>
  </si>
  <si>
    <t>Insurance</t>
  </si>
  <si>
    <t>Land Lease</t>
  </si>
  <si>
    <t>Adm Expenses</t>
  </si>
  <si>
    <t>OPEX other</t>
  </si>
  <si>
    <t>OPEX total</t>
  </si>
  <si>
    <t xml:space="preserve">Sources and Uses </t>
  </si>
  <si>
    <t>OPEX + Actual Energy Cost</t>
  </si>
  <si>
    <t>Construction Cost</t>
  </si>
  <si>
    <t>Equity</t>
  </si>
  <si>
    <t>EBITDA</t>
  </si>
  <si>
    <t>Development Cost</t>
  </si>
  <si>
    <t>Loan</t>
  </si>
  <si>
    <t>Connection Cost</t>
  </si>
  <si>
    <t>Depreciation I</t>
  </si>
  <si>
    <t>Bank expenses &amp; Contigency</t>
  </si>
  <si>
    <t>Depreciation II</t>
  </si>
  <si>
    <t>Equity percentage</t>
  </si>
  <si>
    <t>EBIT</t>
  </si>
  <si>
    <t>Interest</t>
  </si>
  <si>
    <t>Principal</t>
  </si>
  <si>
    <t>OPEX + Act. Energy Costs + Principal + Interest</t>
  </si>
  <si>
    <t>EBT</t>
  </si>
  <si>
    <t>Taxes</t>
  </si>
  <si>
    <t>in advance</t>
  </si>
  <si>
    <t>taxes paid</t>
  </si>
  <si>
    <t>Target Reserve</t>
  </si>
  <si>
    <t>Reserve Filling</t>
  </si>
  <si>
    <t>Net Cash Flow</t>
  </si>
  <si>
    <t>NPV</t>
  </si>
  <si>
    <t>Repayment Year</t>
  </si>
  <si>
    <t>Equity IRR</t>
  </si>
  <si>
    <t>Project</t>
  </si>
  <si>
    <t>Project IRR</t>
  </si>
  <si>
    <t>Sensitivity Analysis Repayment Year (Equity)</t>
  </si>
  <si>
    <t>Sensitivity Analysis Repayment Year (Project)</t>
  </si>
  <si>
    <t>Sensitivity Analysis Equity IRR</t>
  </si>
  <si>
    <t>Sensitivity Analysis Project IRR</t>
  </si>
  <si>
    <t>Equity Payback Period</t>
  </si>
  <si>
    <t>Annual cost Decrease (%)</t>
  </si>
  <si>
    <t>Annual Savings</t>
  </si>
  <si>
    <t>Με αυτό το χρώμα ορίζονται τα κελιά εισόδου δεδομένων με σταθερή τιμή</t>
  </si>
  <si>
    <t>Εισαγωγή Δεδομένων</t>
  </si>
  <si>
    <t>Net metering</t>
  </si>
  <si>
    <t>Net metering + BESS</t>
  </si>
  <si>
    <t>Νέο
Net metering</t>
  </si>
  <si>
    <t>Νέο
Net metering + BESS</t>
  </si>
  <si>
    <t>Πώληση ενέργειας
(φ/β στέγες)</t>
  </si>
  <si>
    <t>Ετήσια Κατανάλωση</t>
  </si>
  <si>
    <t>φ/β παραγωγή (kWh/kWp)</t>
  </si>
  <si>
    <t>φ/β για πώληση (kWp)</t>
  </si>
  <si>
    <t>Ετήσια εξοικονόμηση προμήθειας</t>
  </si>
  <si>
    <t>Συμφωνημένη Ισχύς παροχής</t>
  </si>
  <si>
    <t>Απαιτούμενο φ/β για net metering (kWp)</t>
  </si>
  <si>
    <t>Ετήσια Παραγωγή φ/β</t>
  </si>
  <si>
    <t>Ετήσια εξοικονόμηση ρυθμιζόμενων</t>
  </si>
  <si>
    <t>Διαθέσιμα τετραγωνικά</t>
  </si>
  <si>
    <t>Tαυτοχρονισμός</t>
  </si>
  <si>
    <t>Έσοδο από πώληση</t>
  </si>
  <si>
    <t>Κόστος προμήθειας</t>
  </si>
  <si>
    <t>Συνολικό ετήσιο οικονομικό όφελος</t>
  </si>
  <si>
    <t>Κόστος ρυθμιζόμενων χρεώσεων</t>
  </si>
  <si>
    <t>Ημερήσια παραγωγή (kWh)</t>
  </si>
  <si>
    <t>Τιμή πώλησης ενέργειας (φ/β στέγες)</t>
  </si>
  <si>
    <t>Ημερήσια περίσσεια (kWh)</t>
  </si>
  <si>
    <t>Τιμή πώλησης ενέργειας (νέο Net Metering)</t>
  </si>
  <si>
    <t>Μπαταρία (kWh)</t>
  </si>
  <si>
    <t>Αποθηκευμένη ενέργεια (ημερησίως)</t>
  </si>
  <si>
    <t>Τελική ιδιοκατανάλωση (ημερησίως)</t>
  </si>
  <si>
    <t>Τελικός ταυτοχρονισμός</t>
  </si>
  <si>
    <t>Έχετε σκεφτεί να αντικαταστήσετε το παλιό αυτοκίνητό σας με ένα ηλεκτρικό;Μάθετε πώς μπορείτε να μηδενίσετε τα έξοδα μετακίνησή σας, φορτίζοντας δωρεάν και με πράσινη ενέργεια το ηλεκτρικό σας όχημα χάρη στο Αυτονομω!</t>
  </si>
  <si>
    <t>Τιμή καυσίμου €/λίτρο</t>
  </si>
  <si>
    <t>Κόστος μετακίνησης χωρίς ηλεκτρικό όχημα (€/έτος)</t>
  </si>
  <si>
    <t xml:space="preserve">Με τον έξυπνο φορτιστή που παρέχει το σύστημα Aftonomo </t>
  </si>
  <si>
    <t>Πόσα χλμ. περίπου διανύετε ετησίως;</t>
  </si>
  <si>
    <t>Το κελί αυτό θα εμφανιζέται εφόσον έχει επιλεγεί το ΝΑΙ στο κελί Β16 ή Β18</t>
  </si>
  <si>
    <t>min 5000, max 40000, default 15000</t>
  </si>
  <si>
    <t>Κατανάλωση ηλεκτρικού οχήματος kwh/100km</t>
  </si>
  <si>
    <t>Απαιτούμενες kWh φόρτισης</t>
  </si>
  <si>
    <t>Τι καύσιμο χρησιμοποιεί το έως τώρα όχημά σας;</t>
  </si>
  <si>
    <t>Βενζίνη</t>
  </si>
  <si>
    <t>Το κελί αυτό θα εμφανιζέται εφόσον σε μία από τις δύο προηγούμενες επιλογές έχει επιλεγεί το ΝΑΙ</t>
  </si>
  <si>
    <t>Ποια είναι η μέση κατανάλωσή του (λίτρα/100km);</t>
  </si>
  <si>
    <t>Αυτά εμφανίζονται στον χρήστη</t>
  </si>
  <si>
    <t xml:space="preserve">Έχετε σκεφτεί να αντικαταστήσετε το παλιό αυτοκίνητό σας με ένα ηλεκτρικό;Μάθετε πώς μπορείτε χάρη στο Aftonomo, να μηδενίσετε τα έξοδα μετακίνησή σας, φορτίζοντας δωρεάν και με πράσινη ενέργεια το ηλεκτρικό σας όχημα! </t>
  </si>
  <si>
    <t>Τιμή Βενζίνης</t>
  </si>
  <si>
    <t>Για την φόρτιση του ηλεκτρικού σας οχήματος χρειάζεστε περίπου (kWh)</t>
  </si>
  <si>
    <t>Πόσα βενζινοκίνητα οχήματα ενδιαφέρεστε να αντικαταστήσετε;</t>
  </si>
  <si>
    <t>Πόσα πετρελαιοκίνητα οχήματα ενδιαφέρεστε να αντικαταστήσετε;</t>
  </si>
  <si>
    <t>Πόσα υγραεριοκίνητα οχήματα ενδιαφέρεστε να αντικαταστήσετε;</t>
  </si>
  <si>
    <t>default 0</t>
  </si>
  <si>
    <t>Μπορεί να υπάρχει μία μπάρα οριζόντια που να έχει ένα αμάξι για δείκτη και να σέρνεται από το 0 έως το 50 για παράδειγμα, ώστε να επιλέγει ο χρήστης τον αριθμό των αυτοκινήτων</t>
  </si>
  <si>
    <t>Τα πεδία αυτά πρέπει να είναι υποχρεωτικά</t>
  </si>
  <si>
    <t>Τιμή πετρελαίου κίνησης</t>
  </si>
  <si>
    <t>Με Aftonomo της EGG και τον έξυπνο φορτιστή ηλεκτρικών οχημάτων που σας παρέχει, φορτίζετε δωρεάν τα ηλεκτρικά οχήματα στον χώρο σας με καθαρή, πράσινη ενέργεια που παράγετε ο ίδιος και εξοικονομείτε ετησίως περίπου</t>
  </si>
  <si>
    <t>από τα έξοδα μετακίνησης σας</t>
  </si>
  <si>
    <t>Πόσα χλμ. περίπου διανύει ετησίως κάθε όχημα;</t>
  </si>
  <si>
    <t>min 5000, max 60000, default 15000</t>
  </si>
  <si>
    <t>Τιμή υγραερίου</t>
  </si>
  <si>
    <t xml:space="preserve">Επίσης συμβάλλετε ακόμα περισσότερο στην μείωση των εκπομπών CO2 στις μεταφορές κατά </t>
  </si>
  <si>
    <t>Ποια είναι η μέση κατανάλωση βενζίνης (λίτρα/100km);</t>
  </si>
  <si>
    <t>Ποια είναι η μέση κατανάλωση πετρελαιου (λίτρα/100km);</t>
  </si>
  <si>
    <t>default 7,6,9</t>
  </si>
  <si>
    <t>CO2 emmisions γρ/χλμ</t>
  </si>
  <si>
    <t>Φ/Β για φόρτιση (kW)</t>
  </si>
  <si>
    <t>Στην περίπτωση αυτή το energy cost είναι η τιμή που έχει συμφωνηθεί στο PPA</t>
  </si>
  <si>
    <t>PPA price (€/MWh)</t>
  </si>
  <si>
    <t>energy cost PPA</t>
  </si>
  <si>
    <t>PV installed (kW)</t>
  </si>
  <si>
    <t>Λίστες Δεδομένων</t>
  </si>
  <si>
    <t>Συμφωνημένη Ισχύς</t>
  </si>
  <si>
    <t>Τιμολόγια Οικιακά</t>
  </si>
  <si>
    <t>Περίοδος Κατανάλωσης</t>
  </si>
  <si>
    <t>Επίπεδο τάσης</t>
  </si>
  <si>
    <t>Τιμολόγια Εμπορικά</t>
  </si>
  <si>
    <t>Περίοδος Κατανάλωσης Εμπορικά και μέση τάση</t>
  </si>
  <si>
    <t>Τιμολόγια Μέσης Τάσης</t>
  </si>
  <si>
    <t>Είδος οροφής</t>
  </si>
  <si>
    <t>Προσανατολισμός</t>
  </si>
  <si>
    <t>Επιλογές απάντησης</t>
  </si>
  <si>
    <t>Καύσιμο</t>
  </si>
  <si>
    <t>Έτη αποπληρωμής</t>
  </si>
  <si>
    <t>Χαμηλή Τάση</t>
  </si>
  <si>
    <t>Γ21</t>
  </si>
  <si>
    <t>Εμπορικό</t>
  </si>
  <si>
    <t>Α</t>
  </si>
  <si>
    <t>Γ1Ν</t>
  </si>
  <si>
    <t>Μέση Tάση</t>
  </si>
  <si>
    <t>ΝΑ</t>
  </si>
  <si>
    <t>Πετρέλαιο</t>
  </si>
  <si>
    <t>Γ23</t>
  </si>
  <si>
    <t>Υγραέριο</t>
  </si>
  <si>
    <t>Δ</t>
  </si>
  <si>
    <t>Περιφέρεια</t>
  </si>
  <si>
    <t>παραγωγή φ/β</t>
  </si>
  <si>
    <t>Κατηγορία καταναλωτών</t>
  </si>
  <si>
    <t>Ανατολική Μακεδονία και Θράκη</t>
  </si>
  <si>
    <t>Κεντρική Μακεδονία</t>
  </si>
  <si>
    <t>Επιχείρηση χαμηλής τάσης</t>
  </si>
  <si>
    <t>Δυτική Μακεδονία</t>
  </si>
  <si>
    <t>Ήπειρος</t>
  </si>
  <si>
    <t>Θεσσαλία</t>
  </si>
  <si>
    <t>Ιόνιοι Νήσοι</t>
  </si>
  <si>
    <t>Αττική</t>
  </si>
  <si>
    <t>Βόρειο Αιγαίο</t>
  </si>
  <si>
    <t>Νότιο Αιγαίο</t>
  </si>
  <si>
    <t>Κρήτη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</si>
</sst>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,##0\ &quot;€&quot;;[Red]\-#,##0\ &quot;€&quot;"/>
    <numFmt numFmtId="165" formatCode="_-* #,##0.00\ &quot;€&quot;_-;\-* #,##0.00\ &quot;€&quot;_-;_-* &quot;-&quot;??\ &quot;€&quot;_-;_-@_-"/>
    <numFmt numFmtId="166" formatCode="0.0"/>
    <numFmt numFmtId="167" formatCode="_-* #,##0\ &quot;€&quot;_-;\-* #,##0\ &quot;€&quot;_-;_-* &quot;-&quot;??\ &quot;€&quot;_-;_-@_-"/>
    <numFmt numFmtId="168" formatCode="_-* #,##0.000\ &quot;€&quot;_-;\-* #,##0.000\ &quot;€&quot;_-;_-* &quot;-&quot;??\ &quot;€&quot;_-;_-@_-"/>
    <numFmt numFmtId="169" formatCode="_-* #,##0.0\ &quot;€&quot;_-;\-* #,##0.0\ &quot;€&quot;_-;_-* &quot;-&quot;??\ &quot;€&quot;_-;_-@_-"/>
    <numFmt numFmtId="170" formatCode="#,##0.00\ &quot;€&quot;"/>
    <numFmt numFmtId="171" formatCode="0.0%"/>
    <numFmt numFmtId="172" formatCode="#,##0\ &quot;€&quot;"/>
    <numFmt numFmtId="173" formatCode="_-* #,##0\ [$€-408]_-;\-* #,##0\ [$€-408]_-;_-* &quot;-&quot;??\ [$€-408]_-;_-@_-"/>
  </numFmts>
  <fonts count="29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4"/>
      <name val="Calibri"/>
      <family val="2"/>
      <charset val="161"/>
      <scheme val="minor"/>
    </font>
    <font>
      <b/>
      <i/>
      <sz val="11"/>
      <color theme="1"/>
      <name val="Calibri"/>
      <family val="2"/>
      <charset val="161"/>
      <scheme val="minor"/>
    </font>
    <font>
      <sz val="11"/>
      <color rgb="FF00B050"/>
      <name val="Calibri"/>
      <family val="2"/>
      <charset val="161"/>
      <scheme val="minor"/>
    </font>
    <font>
      <i/>
      <sz val="11"/>
      <color rgb="FFFF0000"/>
      <name val="Calibri"/>
      <family val="2"/>
      <charset val="161"/>
      <scheme val="minor"/>
    </font>
    <font>
      <i/>
      <sz val="11"/>
      <color theme="1"/>
      <name val="Calibri"/>
      <family val="2"/>
      <charset val="161"/>
      <scheme val="minor"/>
    </font>
    <font>
      <b/>
      <i/>
      <sz val="11"/>
      <color rgb="FFFF0000"/>
      <name val="Calibri"/>
      <family val="2"/>
      <charset val="161"/>
      <scheme val="minor"/>
    </font>
    <font>
      <b/>
      <i/>
      <sz val="16"/>
      <color theme="1"/>
      <name val="Calibri"/>
      <family val="2"/>
      <charset val="161"/>
      <scheme val="minor"/>
    </font>
    <font>
      <b/>
      <sz val="16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  <font>
      <b/>
      <sz val="14"/>
      <color theme="1"/>
      <name val="Calibri"/>
      <family val="2"/>
      <scheme val="minor"/>
    </font>
    <font>
      <b/>
      <sz val="11"/>
      <color rgb="FF002060"/>
      <name val="Calibri"/>
      <family val="2"/>
      <charset val="161"/>
      <scheme val="minor"/>
    </font>
    <font>
      <b/>
      <sz val="14"/>
      <color rgb="FF002060"/>
      <name val="Calibri"/>
      <family val="2"/>
      <charset val="161"/>
      <scheme val="minor"/>
    </font>
    <font>
      <sz val="11"/>
      <color theme="4" tint="-0.249977111117893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b/>
      <sz val="14"/>
      <color theme="4" tint="-0.249977111117893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charset val="161"/>
      <scheme val="minor"/>
    </font>
    <font>
      <b/>
      <sz val="14"/>
      <color theme="1"/>
      <name val="Calibri"/>
      <family val="2"/>
      <charset val="161"/>
      <scheme val="minor"/>
    </font>
    <font>
      <b/>
      <i/>
      <sz val="14"/>
      <color theme="1"/>
      <name val="Calibri"/>
      <family val="2"/>
      <charset val="161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charset val="161"/>
      <scheme val="minor"/>
    </font>
    <font>
      <i/>
      <sz val="12"/>
      <color rgb="FFFF0000"/>
      <name val="Calibri"/>
      <family val="2"/>
      <charset val="161"/>
      <scheme val="minor"/>
    </font>
    <font>
      <sz val="10"/>
      <color rgb="FFFF0000"/>
      <name val="Calibri"/>
      <family val="2"/>
      <charset val="161"/>
      <scheme val="minor"/>
    </font>
    <font>
      <b/>
      <i/>
      <sz val="12"/>
      <color rgb="FFFF0000"/>
      <name val="Calibri"/>
      <family val="2"/>
      <charset val="161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343">
    <xf numFmtId="0" fontId="0" fillId="0" borderId="0" xfId="0"/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5" fillId="0" borderId="3" xfId="0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0" fontId="0" fillId="0" borderId="0" xfId="0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5" fillId="0" borderId="11" xfId="0" applyFont="1" applyBorder="1" applyAlignment="1">
      <alignment horizontal="right" vertical="center" wrapText="1"/>
    </xf>
    <xf numFmtId="9" fontId="0" fillId="0" borderId="12" xfId="1" applyFont="1" applyBorder="1" applyAlignment="1">
      <alignment horizontal="center" vertical="center"/>
    </xf>
    <xf numFmtId="0" fontId="5" fillId="0" borderId="13" xfId="0" applyFont="1" applyBorder="1" applyAlignment="1">
      <alignment horizontal="right" vertical="center" wrapText="1"/>
    </xf>
    <xf numFmtId="0" fontId="0" fillId="0" borderId="14" xfId="0" applyBorder="1" applyAlignment="1">
      <alignment horizontal="center" vertical="center"/>
    </xf>
    <xf numFmtId="0" fontId="5" fillId="0" borderId="9" xfId="0" applyFont="1" applyBorder="1" applyAlignment="1">
      <alignment horizontal="right" vertical="center" wrapText="1"/>
    </xf>
    <xf numFmtId="0" fontId="0" fillId="0" borderId="12" xfId="1" applyNumberFormat="1" applyFont="1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9" fontId="0" fillId="0" borderId="10" xfId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7" borderId="11" xfId="0" applyFont="1" applyFill="1" applyBorder="1" applyAlignment="1">
      <alignment horizontal="right" vertical="center" wrapText="1"/>
    </xf>
    <xf numFmtId="1" fontId="0" fillId="7" borderId="12" xfId="0" applyNumberForma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right" vertical="center" wrapText="1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1" fontId="0" fillId="0" borderId="14" xfId="0" applyNumberFormat="1" applyBorder="1" applyAlignment="1">
      <alignment horizontal="center" vertical="center"/>
    </xf>
    <xf numFmtId="3" fontId="0" fillId="0" borderId="0" xfId="0" applyNumberFormat="1"/>
    <xf numFmtId="166" fontId="0" fillId="0" borderId="12" xfId="0" applyNumberFormat="1" applyBorder="1" applyAlignment="1">
      <alignment horizontal="center" vertical="center"/>
    </xf>
    <xf numFmtId="0" fontId="0" fillId="9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7" borderId="20" xfId="0" applyFill="1" applyBorder="1" applyAlignment="1">
      <alignment horizontal="center" vertical="center"/>
    </xf>
    <xf numFmtId="0" fontId="0" fillId="7" borderId="10" xfId="0" applyFill="1" applyBorder="1" applyAlignment="1">
      <alignment vertical="center"/>
    </xf>
    <xf numFmtId="0" fontId="5" fillId="7" borderId="15" xfId="0" applyFont="1" applyFill="1" applyBorder="1" applyAlignment="1">
      <alignment horizontal="right" vertical="center" wrapText="1"/>
    </xf>
    <xf numFmtId="0" fontId="8" fillId="7" borderId="20" xfId="0" applyFont="1" applyFill="1" applyBorder="1" applyAlignment="1">
      <alignment horizontal="left" vertical="center" wrapText="1"/>
    </xf>
    <xf numFmtId="0" fontId="0" fillId="0" borderId="18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7" borderId="10" xfId="0" applyFill="1" applyBorder="1" applyAlignment="1">
      <alignment vertical="center" wrapText="1"/>
    </xf>
    <xf numFmtId="0" fontId="0" fillId="7" borderId="12" xfId="0" applyFill="1" applyBorder="1" applyAlignment="1">
      <alignment vertical="center" wrapText="1"/>
    </xf>
    <xf numFmtId="0" fontId="0" fillId="4" borderId="6" xfId="0" applyFill="1" applyBorder="1" applyAlignment="1">
      <alignment horizontal="center" vertical="center" wrapText="1"/>
    </xf>
    <xf numFmtId="0" fontId="3" fillId="0" borderId="0" xfId="0" applyFont="1"/>
    <xf numFmtId="0" fontId="8" fillId="0" borderId="20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" fontId="0" fillId="0" borderId="12" xfId="1" applyNumberFormat="1" applyFont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6" xfId="0" applyFill="1" applyBorder="1" applyAlignment="1">
      <alignment vertical="center"/>
    </xf>
    <xf numFmtId="0" fontId="5" fillId="0" borderId="23" xfId="0" applyFont="1" applyBorder="1" applyAlignment="1">
      <alignment horizontal="right" vertical="center" wrapText="1"/>
    </xf>
    <xf numFmtId="0" fontId="0" fillId="2" borderId="24" xfId="0" applyFill="1" applyBorder="1" applyAlignment="1">
      <alignment horizontal="center" vertical="center"/>
    </xf>
    <xf numFmtId="0" fontId="5" fillId="0" borderId="0" xfId="0" applyFont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5" fillId="0" borderId="25" xfId="0" applyFont="1" applyBorder="1" applyAlignment="1">
      <alignment horizontal="right" vertical="center" wrapText="1"/>
    </xf>
    <xf numFmtId="0" fontId="0" fillId="2" borderId="8" xfId="0" applyFill="1" applyBorder="1" applyAlignment="1">
      <alignment horizontal="center" vertical="center"/>
    </xf>
    <xf numFmtId="0" fontId="3" fillId="0" borderId="15" xfId="0" applyFont="1" applyBorder="1" applyAlignment="1">
      <alignment horizontal="right" vertical="center" wrapText="1"/>
    </xf>
    <xf numFmtId="0" fontId="0" fillId="0" borderId="16" xfId="0" applyBorder="1" applyAlignment="1">
      <alignment horizontal="center" vertical="center"/>
    </xf>
    <xf numFmtId="1" fontId="0" fillId="0" borderId="0" xfId="0" applyNumberFormat="1" applyAlignment="1">
      <alignment vertical="center"/>
    </xf>
    <xf numFmtId="9" fontId="0" fillId="12" borderId="12" xfId="1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167" fontId="0" fillId="0" borderId="0" xfId="2" applyNumberFormat="1" applyFont="1" applyBorder="1" applyAlignment="1">
      <alignment horizontal="center" vertical="center"/>
    </xf>
    <xf numFmtId="167" fontId="0" fillId="0" borderId="12" xfId="2" applyNumberFormat="1" applyFont="1" applyBorder="1" applyAlignment="1">
      <alignment horizontal="center" vertical="center"/>
    </xf>
    <xf numFmtId="167" fontId="3" fillId="0" borderId="18" xfId="2" applyNumberFormat="1" applyFont="1" applyBorder="1" applyAlignment="1">
      <alignment horizontal="center" vertical="center"/>
    </xf>
    <xf numFmtId="167" fontId="3" fillId="0" borderId="14" xfId="2" applyNumberFormat="1" applyFont="1" applyBorder="1" applyAlignment="1">
      <alignment horizontal="center" vertical="center"/>
    </xf>
    <xf numFmtId="0" fontId="0" fillId="0" borderId="26" xfId="0" applyBorder="1"/>
    <xf numFmtId="0" fontId="8" fillId="0" borderId="27" xfId="0" applyFont="1" applyBorder="1" applyAlignment="1">
      <alignment horizontal="right" vertical="center" wrapText="1"/>
    </xf>
    <xf numFmtId="0" fontId="8" fillId="0" borderId="28" xfId="0" applyFont="1" applyBorder="1" applyAlignment="1">
      <alignment horizontal="right" vertical="center" wrapText="1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8" fillId="0" borderId="26" xfId="0" applyFont="1" applyBorder="1" applyAlignment="1">
      <alignment horizontal="right" vertical="center" wrapText="1"/>
    </xf>
    <xf numFmtId="0" fontId="5" fillId="0" borderId="15" xfId="0" applyFont="1" applyBorder="1" applyAlignment="1">
      <alignment horizontal="right" vertical="center" wrapText="1"/>
    </xf>
    <xf numFmtId="168" fontId="0" fillId="0" borderId="16" xfId="2" applyNumberFormat="1" applyFont="1" applyBorder="1" applyAlignment="1">
      <alignment horizontal="center" vertical="center"/>
    </xf>
    <xf numFmtId="169" fontId="0" fillId="0" borderId="16" xfId="2" applyNumberFormat="1" applyFont="1" applyBorder="1" applyAlignment="1">
      <alignment horizontal="center" vertical="center"/>
    </xf>
    <xf numFmtId="169" fontId="0" fillId="0" borderId="14" xfId="2" applyNumberFormat="1" applyFont="1" applyBorder="1" applyAlignment="1">
      <alignment horizontal="center" vertical="center"/>
    </xf>
    <xf numFmtId="0" fontId="10" fillId="0" borderId="13" xfId="0" applyFont="1" applyBorder="1" applyAlignment="1">
      <alignment horizontal="right" vertical="center" wrapText="1"/>
    </xf>
    <xf numFmtId="169" fontId="11" fillId="13" borderId="14" xfId="2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5" fillId="14" borderId="13" xfId="0" applyFont="1" applyFill="1" applyBorder="1" applyAlignment="1">
      <alignment horizontal="right" vertical="center" wrapText="1"/>
    </xf>
    <xf numFmtId="0" fontId="0" fillId="14" borderId="18" xfId="0" applyFill="1" applyBorder="1" applyAlignment="1">
      <alignment horizontal="center" vertical="center"/>
    </xf>
    <xf numFmtId="0" fontId="5" fillId="14" borderId="14" xfId="0" applyFont="1" applyFill="1" applyBorder="1" applyAlignment="1">
      <alignment horizontal="center" vertical="center" wrapText="1"/>
    </xf>
    <xf numFmtId="1" fontId="0" fillId="0" borderId="10" xfId="0" applyNumberFormat="1" applyBorder="1" applyAlignment="1">
      <alignment horizontal="center" vertical="center"/>
    </xf>
    <xf numFmtId="167" fontId="11" fillId="13" borderId="14" xfId="2" applyNumberFormat="1" applyFont="1" applyFill="1" applyBorder="1" applyAlignment="1">
      <alignment horizontal="center" vertical="center"/>
    </xf>
    <xf numFmtId="9" fontId="2" fillId="0" borderId="2" xfId="0" applyNumberFormat="1" applyFont="1" applyBorder="1" applyAlignment="1">
      <alignment vertical="center" wrapText="1"/>
    </xf>
    <xf numFmtId="0" fontId="8" fillId="0" borderId="11" xfId="0" applyFont="1" applyBorder="1" applyAlignment="1">
      <alignment horizontal="right" vertical="center" wrapText="1"/>
    </xf>
    <xf numFmtId="0" fontId="0" fillId="2" borderId="0" xfId="0" applyFill="1" applyAlignment="1">
      <alignment horizontal="center" vertical="center"/>
    </xf>
    <xf numFmtId="0" fontId="8" fillId="0" borderId="0" xfId="0" applyFont="1" applyAlignment="1">
      <alignment horizontal="right" vertical="center" wrapText="1"/>
    </xf>
    <xf numFmtId="0" fontId="0" fillId="2" borderId="12" xfId="0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12" xfId="0" applyBorder="1"/>
    <xf numFmtId="9" fontId="0" fillId="2" borderId="0" xfId="0" applyNumberFormat="1" applyFill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/>
    </xf>
    <xf numFmtId="0" fontId="8" fillId="0" borderId="13" xfId="0" applyFont="1" applyBorder="1" applyAlignment="1">
      <alignment horizontal="right" vertical="center" wrapText="1"/>
    </xf>
    <xf numFmtId="9" fontId="0" fillId="0" borderId="18" xfId="1" applyFont="1" applyBorder="1" applyAlignment="1">
      <alignment horizontal="center"/>
    </xf>
    <xf numFmtId="0" fontId="0" fillId="0" borderId="18" xfId="0" applyBorder="1"/>
    <xf numFmtId="0" fontId="0" fillId="0" borderId="14" xfId="0" applyBorder="1"/>
    <xf numFmtId="0" fontId="0" fillId="15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8" fillId="0" borderId="11" xfId="0" applyFont="1" applyBorder="1" applyAlignment="1">
      <alignment horizontal="right" vertical="center"/>
    </xf>
    <xf numFmtId="170" fontId="0" fillId="2" borderId="12" xfId="2" applyNumberFormat="1" applyFont="1" applyFill="1" applyBorder="1" applyAlignment="1">
      <alignment horizontal="center" vertical="center"/>
    </xf>
    <xf numFmtId="170" fontId="0" fillId="4" borderId="12" xfId="2" applyNumberFormat="1" applyFont="1" applyFill="1" applyBorder="1" applyAlignment="1">
      <alignment horizontal="center" vertical="center"/>
    </xf>
    <xf numFmtId="0" fontId="0" fillId="16" borderId="12" xfId="0" applyFill="1" applyBorder="1" applyAlignment="1">
      <alignment horizontal="center" vertical="center"/>
    </xf>
    <xf numFmtId="3" fontId="0" fillId="16" borderId="14" xfId="0" applyNumberFormat="1" applyFill="1" applyBorder="1" applyAlignment="1">
      <alignment horizontal="center" vertical="center"/>
    </xf>
    <xf numFmtId="0" fontId="8" fillId="0" borderId="13" xfId="0" applyFont="1" applyBorder="1" applyAlignment="1">
      <alignment horizontal="right" vertical="center"/>
    </xf>
    <xf numFmtId="170" fontId="0" fillId="4" borderId="14" xfId="2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11" borderId="11" xfId="0" applyFill="1" applyBorder="1" applyAlignment="1">
      <alignment horizontal="right" vertical="center" wrapText="1"/>
    </xf>
    <xf numFmtId="0" fontId="0" fillId="11" borderId="1" xfId="0" applyFill="1" applyBorder="1" applyAlignment="1">
      <alignment horizontal="right" vertical="center" wrapText="1"/>
    </xf>
    <xf numFmtId="0" fontId="3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horizontal="left" vertical="center"/>
    </xf>
    <xf numFmtId="0" fontId="0" fillId="11" borderId="15" xfId="0" applyFill="1" applyBorder="1" applyAlignment="1">
      <alignment horizontal="right" vertical="center" wrapText="1"/>
    </xf>
    <xf numFmtId="38" fontId="3" fillId="11" borderId="12" xfId="0" applyNumberFormat="1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17" borderId="0" xfId="0" applyFill="1" applyAlignment="1">
      <alignment vertical="center"/>
    </xf>
    <xf numFmtId="0" fontId="14" fillId="18" borderId="3" xfId="0" applyFont="1" applyFill="1" applyBorder="1" applyAlignment="1">
      <alignment horizontal="center" vertical="center" wrapText="1"/>
    </xf>
    <xf numFmtId="0" fontId="14" fillId="18" borderId="4" xfId="0" applyFont="1" applyFill="1" applyBorder="1" applyAlignment="1">
      <alignment horizontal="center" vertical="center" wrapText="1"/>
    </xf>
    <xf numFmtId="0" fontId="14" fillId="18" borderId="2" xfId="0" applyFont="1" applyFill="1" applyBorder="1" applyAlignment="1">
      <alignment horizontal="center" vertical="center" wrapText="1"/>
    </xf>
    <xf numFmtId="0" fontId="14" fillId="18" borderId="1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/>
    </xf>
    <xf numFmtId="10" fontId="16" fillId="2" borderId="1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9" fontId="16" fillId="2" borderId="1" xfId="1" applyFont="1" applyFill="1" applyBorder="1" applyAlignment="1">
      <alignment horizontal="center" vertical="center"/>
    </xf>
    <xf numFmtId="10" fontId="16" fillId="19" borderId="1" xfId="0" applyNumberFormat="1" applyFont="1" applyFill="1" applyBorder="1" applyAlignment="1">
      <alignment horizontal="center" vertical="center"/>
    </xf>
    <xf numFmtId="3" fontId="16" fillId="2" borderId="1" xfId="0" applyNumberFormat="1" applyFont="1" applyFill="1" applyBorder="1" applyAlignment="1">
      <alignment horizontal="center" vertical="center"/>
    </xf>
    <xf numFmtId="9" fontId="16" fillId="2" borderId="1" xfId="0" applyNumberFormat="1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9" fontId="0" fillId="0" borderId="0" xfId="1" applyFont="1" applyAlignment="1">
      <alignment vertical="center"/>
    </xf>
    <xf numFmtId="0" fontId="14" fillId="18" borderId="5" xfId="0" applyFont="1" applyFill="1" applyBorder="1" applyAlignment="1">
      <alignment horizontal="center" vertical="center" wrapText="1"/>
    </xf>
    <xf numFmtId="0" fontId="14" fillId="18" borderId="6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9" fillId="0" borderId="18" xfId="0" applyFont="1" applyBorder="1" applyAlignment="1">
      <alignment horizontal="center" vertical="center"/>
    </xf>
    <xf numFmtId="0" fontId="19" fillId="0" borderId="18" xfId="0" applyFont="1" applyBorder="1" applyAlignment="1">
      <alignment vertical="center"/>
    </xf>
    <xf numFmtId="0" fontId="20" fillId="0" borderId="0" xfId="0" applyFont="1" applyAlignment="1">
      <alignment vertical="center"/>
    </xf>
    <xf numFmtId="2" fontId="0" fillId="0" borderId="0" xfId="0" applyNumberFormat="1" applyAlignment="1">
      <alignment vertical="center"/>
    </xf>
    <xf numFmtId="0" fontId="21" fillId="0" borderId="0" xfId="0" applyFont="1" applyAlignment="1">
      <alignment horizontal="center" vertical="center"/>
    </xf>
    <xf numFmtId="2" fontId="0" fillId="0" borderId="18" xfId="0" applyNumberFormat="1" applyBorder="1" applyAlignment="1">
      <alignment vertical="center"/>
    </xf>
    <xf numFmtId="10" fontId="0" fillId="0" borderId="0" xfId="1" applyNumberFormat="1" applyFont="1" applyAlignment="1">
      <alignment vertical="center"/>
    </xf>
    <xf numFmtId="0" fontId="0" fillId="20" borderId="0" xfId="0" applyFill="1" applyAlignment="1">
      <alignment vertical="center"/>
    </xf>
    <xf numFmtId="0" fontId="0" fillId="20" borderId="29" xfId="0" applyFill="1" applyBorder="1" applyAlignment="1">
      <alignment vertical="center"/>
    </xf>
    <xf numFmtId="0" fontId="0" fillId="20" borderId="0" xfId="1" applyNumberFormat="1" applyFont="1" applyFill="1" applyAlignment="1">
      <alignment vertical="center"/>
    </xf>
    <xf numFmtId="0" fontId="0" fillId="20" borderId="0" xfId="0" applyFill="1" applyAlignment="1">
      <alignment vertical="center" wrapText="1"/>
    </xf>
    <xf numFmtId="9" fontId="0" fillId="20" borderId="0" xfId="0" applyNumberFormat="1" applyFill="1" applyAlignment="1">
      <alignment vertical="center"/>
    </xf>
    <xf numFmtId="0" fontId="0" fillId="0" borderId="20" xfId="0" applyBorder="1" applyAlignment="1">
      <alignment vertical="center"/>
    </xf>
    <xf numFmtId="0" fontId="0" fillId="0" borderId="10" xfId="0" applyBorder="1" applyAlignment="1">
      <alignment vertical="center"/>
    </xf>
    <xf numFmtId="2" fontId="0" fillId="0" borderId="1" xfId="0" applyNumberFormat="1" applyBorder="1" applyAlignment="1">
      <alignment vertical="center"/>
    </xf>
    <xf numFmtId="10" fontId="0" fillId="0" borderId="1" xfId="0" applyNumberFormat="1" applyBorder="1" applyAlignment="1">
      <alignment vertical="center"/>
    </xf>
    <xf numFmtId="9" fontId="19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3" fontId="16" fillId="19" borderId="1" xfId="0" applyNumberFormat="1" applyFont="1" applyFill="1" applyBorder="1" applyAlignment="1">
      <alignment horizontal="center" vertical="center"/>
    </xf>
    <xf numFmtId="167" fontId="0" fillId="0" borderId="0" xfId="2" applyNumberFormat="1" applyFont="1" applyAlignment="1">
      <alignment vertical="center"/>
    </xf>
    <xf numFmtId="171" fontId="0" fillId="0" borderId="0" xfId="1" applyNumberFormat="1" applyFont="1" applyAlignment="1">
      <alignment vertical="center"/>
    </xf>
    <xf numFmtId="167" fontId="0" fillId="0" borderId="18" xfId="2" applyNumberFormat="1" applyFont="1" applyBorder="1" applyAlignment="1">
      <alignment vertical="center"/>
    </xf>
    <xf numFmtId="0" fontId="5" fillId="0" borderId="0" xfId="0" applyFont="1" applyAlignment="1">
      <alignment horizontal="right" vertical="center"/>
    </xf>
    <xf numFmtId="167" fontId="3" fillId="0" borderId="12" xfId="2" applyNumberFormat="1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23" fillId="0" borderId="0" xfId="0" applyFont="1" applyAlignment="1">
      <alignment horizontal="right" vertical="center"/>
    </xf>
    <xf numFmtId="166" fontId="22" fillId="0" borderId="12" xfId="0" applyNumberFormat="1" applyFont="1" applyBorder="1" applyAlignment="1">
      <alignment vertical="center"/>
    </xf>
    <xf numFmtId="0" fontId="23" fillId="0" borderId="18" xfId="0" applyFont="1" applyBorder="1" applyAlignment="1">
      <alignment horizontal="right" vertical="center"/>
    </xf>
    <xf numFmtId="171" fontId="22" fillId="0" borderId="14" xfId="0" applyNumberFormat="1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0" fontId="24" fillId="17" borderId="0" xfId="0" applyFont="1" applyFill="1" applyAlignment="1">
      <alignment vertical="center"/>
    </xf>
    <xf numFmtId="0" fontId="19" fillId="0" borderId="9" xfId="0" applyFont="1" applyBorder="1" applyAlignment="1">
      <alignment vertical="center"/>
    </xf>
    <xf numFmtId="0" fontId="19" fillId="0" borderId="20" xfId="0" applyFont="1" applyBorder="1" applyAlignment="1">
      <alignment vertical="center"/>
    </xf>
    <xf numFmtId="0" fontId="19" fillId="0" borderId="10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19" fillId="0" borderId="14" xfId="0" applyFont="1" applyBorder="1" applyAlignment="1">
      <alignment vertical="center"/>
    </xf>
    <xf numFmtId="2" fontId="0" fillId="0" borderId="12" xfId="0" applyNumberFormat="1" applyBorder="1" applyAlignment="1">
      <alignment vertical="center"/>
    </xf>
    <xf numFmtId="167" fontId="0" fillId="0" borderId="0" xfId="2" applyNumberFormat="1" applyFont="1" applyBorder="1" applyAlignment="1">
      <alignment vertical="center"/>
    </xf>
    <xf numFmtId="167" fontId="0" fillId="0" borderId="12" xfId="2" applyNumberFormat="1" applyFont="1" applyBorder="1" applyAlignment="1">
      <alignment vertical="center"/>
    </xf>
    <xf numFmtId="0" fontId="0" fillId="0" borderId="13" xfId="0" applyBorder="1" applyAlignment="1">
      <alignment vertical="center"/>
    </xf>
    <xf numFmtId="167" fontId="0" fillId="0" borderId="14" xfId="2" applyNumberFormat="1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2" fontId="3" fillId="0" borderId="15" xfId="0" applyNumberFormat="1" applyFont="1" applyBorder="1" applyAlignment="1">
      <alignment vertical="center"/>
    </xf>
    <xf numFmtId="167" fontId="3" fillId="0" borderId="17" xfId="2" applyNumberFormat="1" applyFont="1" applyBorder="1" applyAlignment="1">
      <alignment vertical="center"/>
    </xf>
    <xf numFmtId="167" fontId="3" fillId="0" borderId="16" xfId="2" applyNumberFormat="1" applyFont="1" applyBorder="1" applyAlignment="1">
      <alignment vertical="center"/>
    </xf>
    <xf numFmtId="0" fontId="3" fillId="0" borderId="15" xfId="0" applyFont="1" applyBorder="1" applyAlignment="1">
      <alignment vertical="center" wrapText="1"/>
    </xf>
    <xf numFmtId="0" fontId="0" fillId="0" borderId="9" xfId="0" applyBorder="1" applyAlignment="1">
      <alignment vertical="center"/>
    </xf>
    <xf numFmtId="0" fontId="3" fillId="0" borderId="16" xfId="0" applyFont="1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166" fontId="0" fillId="0" borderId="1" xfId="0" applyNumberFormat="1" applyBorder="1" applyAlignment="1">
      <alignment vertical="center"/>
    </xf>
    <xf numFmtId="1" fontId="22" fillId="0" borderId="12" xfId="0" applyNumberFormat="1" applyFont="1" applyBorder="1" applyAlignment="1">
      <alignment vertical="center"/>
    </xf>
    <xf numFmtId="171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vertical="center"/>
    </xf>
    <xf numFmtId="172" fontId="0" fillId="0" borderId="1" xfId="0" applyNumberFormat="1" applyBorder="1" applyAlignment="1">
      <alignment horizontal="center" vertical="center"/>
    </xf>
    <xf numFmtId="172" fontId="0" fillId="0" borderId="0" xfId="0" applyNumberFormat="1" applyAlignment="1">
      <alignment vertical="center"/>
    </xf>
    <xf numFmtId="9" fontId="0" fillId="0" borderId="0" xfId="0" applyNumberFormat="1"/>
    <xf numFmtId="3" fontId="0" fillId="0" borderId="0" xfId="0" applyNumberFormat="1" applyAlignment="1">
      <alignment vertical="center"/>
    </xf>
    <xf numFmtId="3" fontId="0" fillId="0" borderId="12" xfId="0" applyNumberFormat="1" applyBorder="1" applyAlignment="1">
      <alignment vertical="center"/>
    </xf>
    <xf numFmtId="172" fontId="0" fillId="0" borderId="0" xfId="2" applyNumberFormat="1" applyFont="1" applyBorder="1" applyAlignment="1">
      <alignment vertical="center"/>
    </xf>
    <xf numFmtId="172" fontId="0" fillId="0" borderId="12" xfId="0" applyNumberFormat="1" applyBorder="1" applyAlignment="1">
      <alignment vertical="center"/>
    </xf>
    <xf numFmtId="0" fontId="0" fillId="14" borderId="1" xfId="0" applyFill="1" applyBorder="1" applyAlignment="1">
      <alignment vertical="center" wrapText="1"/>
    </xf>
    <xf numFmtId="0" fontId="19" fillId="14" borderId="1" xfId="0" applyFont="1" applyFill="1" applyBorder="1" applyAlignment="1">
      <alignment vertical="center"/>
    </xf>
    <xf numFmtId="1" fontId="0" fillId="14" borderId="1" xfId="0" applyNumberFormat="1" applyFill="1" applyBorder="1" applyAlignment="1">
      <alignment horizontal="center" vertical="center"/>
    </xf>
    <xf numFmtId="0" fontId="0" fillId="14" borderId="33" xfId="0" applyFill="1" applyBorder="1" applyAlignment="1">
      <alignment vertical="center" wrapText="1"/>
    </xf>
    <xf numFmtId="9" fontId="0" fillId="14" borderId="1" xfId="1" applyFont="1" applyFill="1" applyBorder="1" applyAlignment="1">
      <alignment horizontal="center" vertical="center"/>
    </xf>
    <xf numFmtId="172" fontId="0" fillId="14" borderId="1" xfId="0" applyNumberFormat="1" applyFill="1" applyBorder="1" applyAlignment="1">
      <alignment horizontal="center" vertical="center"/>
    </xf>
    <xf numFmtId="10" fontId="0" fillId="0" borderId="0" xfId="0" applyNumberFormat="1"/>
    <xf numFmtId="0" fontId="25" fillId="0" borderId="0" xfId="0" applyFont="1" applyAlignment="1">
      <alignment horizontal="left" vertical="center" wrapText="1"/>
    </xf>
    <xf numFmtId="0" fontId="0" fillId="9" borderId="9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7" borderId="11" xfId="0" applyFill="1" applyBorder="1" applyAlignment="1">
      <alignment vertical="center"/>
    </xf>
    <xf numFmtId="0" fontId="0" fillId="19" borderId="13" xfId="0" applyFill="1" applyBorder="1" applyAlignment="1">
      <alignment vertical="center"/>
    </xf>
    <xf numFmtId="0" fontId="0" fillId="0" borderId="9" xfId="0" applyBorder="1"/>
    <xf numFmtId="169" fontId="0" fillId="0" borderId="10" xfId="0" applyNumberFormat="1" applyBorder="1" applyAlignment="1">
      <alignment vertical="center"/>
    </xf>
    <xf numFmtId="0" fontId="0" fillId="0" borderId="11" xfId="0" applyBorder="1"/>
    <xf numFmtId="173" fontId="0" fillId="0" borderId="12" xfId="0" applyNumberFormat="1" applyBorder="1" applyAlignment="1">
      <alignment horizontal="center"/>
    </xf>
    <xf numFmtId="173" fontId="0" fillId="0" borderId="14" xfId="0" applyNumberFormat="1" applyBorder="1" applyAlignment="1">
      <alignment horizont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2" fontId="0" fillId="0" borderId="13" xfId="0" applyNumberFormat="1" applyBorder="1"/>
    <xf numFmtId="2" fontId="0" fillId="0" borderId="13" xfId="0" applyNumberFormat="1" applyBorder="1" applyAlignment="1">
      <alignment vertical="center"/>
    </xf>
    <xf numFmtId="0" fontId="26" fillId="0" borderId="0" xfId="0" applyFont="1"/>
    <xf numFmtId="0" fontId="5" fillId="0" borderId="34" xfId="0" applyFont="1" applyBorder="1" applyAlignment="1">
      <alignment horizontal="right" vertical="center" wrapText="1"/>
    </xf>
    <xf numFmtId="0" fontId="8" fillId="0" borderId="13" xfId="0" applyFont="1" applyBorder="1" applyAlignment="1">
      <alignment horizontal="right"/>
    </xf>
    <xf numFmtId="0" fontId="0" fillId="15" borderId="0" xfId="0" applyFill="1"/>
    <xf numFmtId="0" fontId="27" fillId="0" borderId="0" xfId="0" applyFont="1" applyAlignment="1">
      <alignment horizontal="center" vertical="center" wrapText="1"/>
    </xf>
    <xf numFmtId="0" fontId="5" fillId="11" borderId="11" xfId="0" applyFont="1" applyFill="1" applyBorder="1" applyAlignment="1">
      <alignment horizontal="right" vertical="center" wrapText="1"/>
    </xf>
    <xf numFmtId="166" fontId="0" fillId="11" borderId="12" xfId="0" applyNumberForma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28" fillId="0" borderId="0" xfId="0" applyFont="1"/>
    <xf numFmtId="172" fontId="0" fillId="0" borderId="12" xfId="0" applyNumberFormat="1" applyBorder="1" applyAlignment="1">
      <alignment horizontal="center" vertical="center"/>
    </xf>
    <xf numFmtId="172" fontId="0" fillId="0" borderId="14" xfId="0" applyNumberFormat="1" applyBorder="1" applyAlignment="1">
      <alignment horizontal="center" vertical="center"/>
    </xf>
    <xf numFmtId="170" fontId="0" fillId="0" borderId="12" xfId="0" applyNumberFormat="1" applyBorder="1" applyAlignment="1">
      <alignment horizontal="center"/>
    </xf>
    <xf numFmtId="170" fontId="0" fillId="0" borderId="14" xfId="0" applyNumberFormat="1" applyBorder="1" applyAlignment="1">
      <alignment horizontal="center"/>
    </xf>
    <xf numFmtId="170" fontId="0" fillId="0" borderId="12" xfId="0" applyNumberFormat="1" applyBorder="1"/>
    <xf numFmtId="170" fontId="0" fillId="0" borderId="14" xfId="0" applyNumberFormat="1" applyBorder="1"/>
    <xf numFmtId="0" fontId="3" fillId="0" borderId="18" xfId="0" applyFont="1" applyBorder="1" applyAlignment="1">
      <alignment vertical="center"/>
    </xf>
    <xf numFmtId="172" fontId="0" fillId="0" borderId="14" xfId="0" applyNumberFormat="1" applyBorder="1"/>
    <xf numFmtId="172" fontId="0" fillId="0" borderId="14" xfId="0" applyNumberFormat="1" applyBorder="1" applyAlignment="1">
      <alignment horizontal="center"/>
    </xf>
    <xf numFmtId="172" fontId="0" fillId="0" borderId="12" xfId="0" applyNumberFormat="1" applyBorder="1" applyAlignment="1">
      <alignment horizontal="center"/>
    </xf>
    <xf numFmtId="172" fontId="0" fillId="0" borderId="12" xfId="0" applyNumberFormat="1" applyBorder="1"/>
    <xf numFmtId="0" fontId="0" fillId="0" borderId="0" xfId="0" applyAlignment="1">
      <alignment horizontal="right" vertical="center"/>
    </xf>
    <xf numFmtId="1" fontId="3" fillId="0" borderId="0" xfId="0" applyNumberFormat="1" applyFont="1" applyAlignment="1">
      <alignment vertical="center"/>
    </xf>
    <xf numFmtId="1" fontId="3" fillId="0" borderId="17" xfId="0" applyNumberFormat="1" applyFont="1" applyBorder="1" applyAlignment="1">
      <alignment vertical="center"/>
    </xf>
    <xf numFmtId="1" fontId="0" fillId="0" borderId="18" xfId="0" applyNumberFormat="1" applyBorder="1" applyAlignment="1">
      <alignment vertical="center"/>
    </xf>
    <xf numFmtId="0" fontId="21" fillId="0" borderId="12" xfId="0" applyFont="1" applyBorder="1" applyAlignment="1">
      <alignment vertical="center"/>
    </xf>
    <xf numFmtId="0" fontId="8" fillId="0" borderId="11" xfId="0" applyFont="1" applyBorder="1" applyAlignment="1">
      <alignment horizontal="right"/>
    </xf>
    <xf numFmtId="0" fontId="0" fillId="13" borderId="0" xfId="0" applyFill="1" applyAlignment="1">
      <alignment vertical="center"/>
    </xf>
    <xf numFmtId="0" fontId="10" fillId="11" borderId="11" xfId="0" applyFont="1" applyFill="1" applyBorder="1" applyAlignment="1">
      <alignment horizontal="right" vertical="center" wrapText="1"/>
    </xf>
    <xf numFmtId="166" fontId="11" fillId="11" borderId="12" xfId="0" applyNumberFormat="1" applyFont="1" applyFill="1" applyBorder="1" applyAlignment="1">
      <alignment horizontal="center" vertical="center"/>
    </xf>
    <xf numFmtId="0" fontId="0" fillId="0" borderId="13" xfId="0" applyBorder="1"/>
    <xf numFmtId="0" fontId="8" fillId="7" borderId="11" xfId="0" applyFont="1" applyFill="1" applyBorder="1" applyAlignment="1">
      <alignment horizontal="right" vertical="center" wrapText="1"/>
    </xf>
    <xf numFmtId="0" fontId="8" fillId="7" borderId="13" xfId="0" applyFont="1" applyFill="1" applyBorder="1" applyAlignment="1">
      <alignment horizontal="right" vertical="center"/>
    </xf>
    <xf numFmtId="164" fontId="0" fillId="0" borderId="14" xfId="0" applyNumberFormat="1" applyBorder="1" applyAlignment="1">
      <alignment horizontal="center" vertical="center"/>
    </xf>
    <xf numFmtId="9" fontId="0" fillId="2" borderId="12" xfId="1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7" fillId="0" borderId="0" xfId="0" applyFont="1" applyAlignment="1">
      <alignment horizontal="left"/>
    </xf>
    <xf numFmtId="0" fontId="8" fillId="0" borderId="9" xfId="0" applyFont="1" applyBorder="1" applyAlignment="1">
      <alignment horizontal="right" vertical="center" wrapText="1"/>
    </xf>
    <xf numFmtId="0" fontId="3" fillId="21" borderId="10" xfId="0" applyFont="1" applyFill="1" applyBorder="1" applyAlignment="1">
      <alignment horizontal="center"/>
    </xf>
    <xf numFmtId="167" fontId="3" fillId="21" borderId="14" xfId="2" applyNumberFormat="1" applyFont="1" applyFill="1" applyBorder="1"/>
    <xf numFmtId="167" fontId="0" fillId="0" borderId="0" xfId="0" applyNumberFormat="1"/>
    <xf numFmtId="0" fontId="4" fillId="0" borderId="1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12" borderId="15" xfId="0" applyFont="1" applyFill="1" applyBorder="1" applyAlignment="1">
      <alignment horizontal="center"/>
    </xf>
    <xf numFmtId="0" fontId="3" fillId="12" borderId="16" xfId="0" applyFont="1" applyFill="1" applyBorder="1" applyAlignment="1">
      <alignment horizontal="center"/>
    </xf>
    <xf numFmtId="0" fontId="3" fillId="8" borderId="15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5" fillId="7" borderId="18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5" fillId="7" borderId="13" xfId="0" applyFont="1" applyFill="1" applyBorder="1" applyAlignment="1">
      <alignment horizontal="center" vertical="center" wrapText="1"/>
    </xf>
    <xf numFmtId="0" fontId="25" fillId="0" borderId="11" xfId="0" applyFont="1" applyBorder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 textRotation="90" wrapText="1"/>
    </xf>
    <xf numFmtId="0" fontId="12" fillId="0" borderId="27" xfId="0" applyFont="1" applyBorder="1" applyAlignment="1">
      <alignment horizontal="center" vertical="center" textRotation="90" wrapText="1"/>
    </xf>
    <xf numFmtId="0" fontId="12" fillId="0" borderId="28" xfId="0" applyFont="1" applyBorder="1" applyAlignment="1">
      <alignment horizontal="center" vertical="center" textRotation="90" wrapText="1"/>
    </xf>
    <xf numFmtId="0" fontId="7" fillId="0" borderId="2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13" borderId="9" xfId="0" applyFont="1" applyFill="1" applyBorder="1" applyAlignment="1">
      <alignment horizontal="center" vertical="center"/>
    </xf>
    <xf numFmtId="0" fontId="3" fillId="13" borderId="10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wrapText="1"/>
    </xf>
    <xf numFmtId="0" fontId="8" fillId="5" borderId="10" xfId="0" applyFont="1" applyFill="1" applyBorder="1" applyAlignment="1">
      <alignment horizontal="center" wrapText="1"/>
    </xf>
    <xf numFmtId="0" fontId="12" fillId="0" borderId="15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3" fillId="12" borderId="18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13" fillId="20" borderId="0" xfId="0" applyFont="1" applyFill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5" fillId="10" borderId="11" xfId="0" applyFont="1" applyFill="1" applyBorder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</cellXfs>
  <cellStyles count="3">
    <cellStyle name="Κανονικό" xfId="0" builtinId="0"/>
    <cellStyle name="Νομισματική μονάδα" xfId="2" builtinId="4"/>
    <cellStyle name="Ποσοστό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l-GR" sz="1600" b="1"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Εκτιμώμενο Ετήσιο </a:t>
            </a:r>
            <a:r>
              <a:rPr lang="el-GR" sz="1600" b="1" baseline="0"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Κόστος </a:t>
            </a:r>
          </a:p>
          <a:p>
            <a:pPr>
              <a:defRPr>
                <a:solidFill>
                  <a:schemeClr val="bg1"/>
                </a:solidFill>
              </a:defRPr>
            </a:pPr>
            <a:r>
              <a:rPr lang="el-GR" sz="1600" b="1" baseline="0"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Ηλεκτρικής Ενέργειας</a:t>
            </a:r>
            <a:endParaRPr lang="el-GR" sz="16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>
        <c:manualLayout>
          <c:layoutTarget val="inner"/>
          <c:xMode val="edge"/>
          <c:yMode val="edge"/>
          <c:x val="0.2378914195537897"/>
          <c:y val="0.11450092295278812"/>
          <c:w val="0.49357039624491866"/>
          <c:h val="0.84876280554349481"/>
        </c:manualLayout>
      </c:layout>
      <c:barChart>
        <c:barDir val="col"/>
        <c:grouping val="clustered"/>
        <c:varyColors val="0"/>
        <c:ser>
          <c:idx val="0"/>
          <c:order val="0"/>
          <c:tx>
            <c:v>Χωρίς το Aftonomo</c:v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'Οικιακοί καταναλωτές'!$O$15</c:f>
              <c:numCache>
                <c:formatCode>#,##0\ "€"</c:formatCode>
                <c:ptCount val="1"/>
                <c:pt idx="0">
                  <c:v>4230.9433599999993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FA-41D5-B1B1-9070E861F3A2}"/>
            </c:ext>
          </c:extLst>
        </c:ser>
        <c:ser>
          <c:idx val="1"/>
          <c:order val="1"/>
          <c:tx>
            <c:v>Με το Aftonomo</c:v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val>
            <c:numRef>
              <c:f>'Οικιακοί καταναλωτές'!$O$16</c:f>
              <c:numCache>
                <c:formatCode>#,##0\ "€"</c:formatCode>
                <c:ptCount val="1"/>
                <c:pt idx="0">
                  <c:v>393.74675199999911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FA-41D5-B1B1-9070E861F3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1069040"/>
        <c:axId val="1481065712"/>
      </c:barChart>
      <c:catAx>
        <c:axId val="1481069040"/>
        <c:scaling>
          <c:orientation val="minMax"/>
        </c:scaling>
        <c:delete val="1"/>
        <c:axPos val="b"/>
        <c:majorTickMark val="none"/>
        <c:minorTickMark val="none"/>
        <c:tickLblPos val="nextTo"/>
        <c:crossAx val="1481065712"/>
        <c:crosses val="autoZero"/>
        <c:auto val="1"/>
        <c:lblAlgn val="ctr"/>
        <c:lblOffset val="100"/>
        <c:noMultiLvlLbl val="0"/>
      </c:catAx>
      <c:valAx>
        <c:axId val="1481065712"/>
        <c:scaling>
          <c:orientation val="minMax"/>
        </c:scaling>
        <c:delete val="0"/>
        <c:axPos val="l"/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bg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l-GR"/>
          </a:p>
        </c:txPr>
        <c:crossAx val="1481069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9327513934667031"/>
          <c:y val="0.32173627327880588"/>
          <c:w val="0.37343857769752109"/>
          <c:h val="0.375556255468066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206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l-GR" sz="1600" b="1" i="0" u="none" strike="noStrike" kern="1200" spc="0" baseline="0">
                <a:solidFill>
                  <a:schemeClr val="bg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el-GR" sz="1600" b="1" i="0" u="none" strike="noStrike" kern="1200" spc="0" baseline="0">
                <a:solidFill>
                  <a:schemeClr val="bg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rPr>
              <a:t>Εκτιμώμενη Ετήσια Εξοικονόμηση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l-GR" sz="1600" b="1" i="0" u="none" strike="noStrike" kern="1200" spc="0" baseline="0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bg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bg1"/>
                </a:solidFill>
              </a:ln>
              <a:effectLst/>
            </c:spPr>
          </c:marker>
          <c:cat>
            <c:numRef>
              <c:f>'Οικιακοί καταναλωτές'!$P$25:$P$32</c:f>
              <c:numCache>
                <c:formatCode>General</c:formatCode>
                <c:ptCount val="8"/>
                <c:pt idx="0">
                  <c:v>0.09</c:v>
                </c:pt>
                <c:pt idx="1">
                  <c:v>0.12</c:v>
                </c:pt>
                <c:pt idx="2">
                  <c:v>0.15</c:v>
                </c:pt>
                <c:pt idx="3">
                  <c:v>0.18</c:v>
                </c:pt>
                <c:pt idx="4">
                  <c:v>0.21</c:v>
                </c:pt>
                <c:pt idx="5">
                  <c:v>0.24</c:v>
                </c:pt>
                <c:pt idx="6">
                  <c:v>0.27</c:v>
                </c:pt>
                <c:pt idx="7" formatCode="0.00">
                  <c:v>0.3</c:v>
                </c:pt>
              </c:numCache>
            </c:numRef>
          </c:cat>
          <c:val>
            <c:numRef>
              <c:f>'Οικιακοί καταναλωτές'!$Q$25:$Q$32</c:f>
              <c:numCache>
                <c:formatCode>_-* #,##0\ [$€-408]_-;\-* #,##0\ [$€-408]_-;_-* "-"??\ [$€-408]_-;_-@_-</c:formatCode>
                <c:ptCount val="8"/>
                <c:pt idx="0">
                  <c:v>1482.8518080000001</c:v>
                </c:pt>
                <c:pt idx="1">
                  <c:v>1849.696608</c:v>
                </c:pt>
                <c:pt idx="2">
                  <c:v>2216.541408</c:v>
                </c:pt>
                <c:pt idx="3">
                  <c:v>2583.3862080000004</c:v>
                </c:pt>
                <c:pt idx="4">
                  <c:v>2950.2310080000002</c:v>
                </c:pt>
                <c:pt idx="5">
                  <c:v>3317.0758080000001</c:v>
                </c:pt>
                <c:pt idx="6">
                  <c:v>3683.9206080000008</c:v>
                </c:pt>
                <c:pt idx="7">
                  <c:v>4050.7654080000002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93D-48A5-9F59-9F419201D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0093712"/>
        <c:axId val="1950101616"/>
      </c:lineChart>
      <c:catAx>
        <c:axId val="1950093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>
                    <a:solidFill>
                      <a:schemeClr val="bg1"/>
                    </a:solidFill>
                  </a:rPr>
                  <a:t>Κόστος</a:t>
                </a:r>
                <a:r>
                  <a:rPr lang="el-GR" baseline="0">
                    <a:solidFill>
                      <a:schemeClr val="bg1"/>
                    </a:solidFill>
                  </a:rPr>
                  <a:t> Προμήθειας Ηλεκτρικής Ενέργειας (€/</a:t>
                </a:r>
                <a:r>
                  <a:rPr lang="en-US" baseline="0">
                    <a:solidFill>
                      <a:schemeClr val="bg1"/>
                    </a:solidFill>
                  </a:rPr>
                  <a:t>kWh)</a:t>
                </a:r>
                <a:endParaRPr lang="el-GR">
                  <a:solidFill>
                    <a:schemeClr val="bg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l-GR"/>
          </a:p>
        </c:txPr>
        <c:crossAx val="1950101616"/>
        <c:crosses val="autoZero"/>
        <c:auto val="1"/>
        <c:lblAlgn val="ctr"/>
        <c:lblOffset val="100"/>
        <c:noMultiLvlLbl val="0"/>
      </c:catAx>
      <c:valAx>
        <c:axId val="1950101616"/>
        <c:scaling>
          <c:orientation val="minMax"/>
        </c:scaling>
        <c:delete val="0"/>
        <c:axPos val="l"/>
        <c:numFmt formatCode="_-* #,##0\ [$€-408]_-;\-* #,##0\ [$€-408]_-;_-* &quot;-&quot;??\ [$€-408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l-GR"/>
          </a:p>
        </c:txPr>
        <c:crossAx val="195009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206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el-GR" sz="1600" b="1"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Εκτιμώμενο Ετήσιο </a:t>
            </a:r>
            <a:r>
              <a:rPr lang="el-GR" sz="1600" b="1" baseline="0"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Κόστος </a:t>
            </a:r>
          </a:p>
          <a:p>
            <a:pPr>
              <a:defRPr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defRPr>
            </a:pPr>
            <a:r>
              <a:rPr lang="el-GR" sz="1600" b="1" baseline="0"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Ηλεκτρικής Ενέργειας</a:t>
            </a:r>
            <a:endParaRPr lang="el-GR" sz="16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el-GR"/>
        </a:p>
      </c:txPr>
    </c:title>
    <c:autoTitleDeleted val="0"/>
    <c:plotArea>
      <c:layout>
        <c:manualLayout>
          <c:layoutTarget val="inner"/>
          <c:xMode val="edge"/>
          <c:yMode val="edge"/>
          <c:x val="0.2111840549957715"/>
          <c:y val="0.11450085505462547"/>
          <c:w val="0.49357039624491866"/>
          <c:h val="0.84876280554349481"/>
        </c:manualLayout>
      </c:layout>
      <c:barChart>
        <c:barDir val="col"/>
        <c:grouping val="clustered"/>
        <c:varyColors val="0"/>
        <c:ser>
          <c:idx val="0"/>
          <c:order val="0"/>
          <c:tx>
            <c:v>Χωρίς το Aftonomo</c:v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'Οικιακοί καταναλωτές'!$O$15</c:f>
              <c:numCache>
                <c:formatCode>#,##0\ "€"</c:formatCode>
                <c:ptCount val="1"/>
                <c:pt idx="0">
                  <c:v>4230.9433599999993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61-4508-9689-02D51F6AA15D}"/>
            </c:ext>
          </c:extLst>
        </c:ser>
        <c:ser>
          <c:idx val="1"/>
          <c:order val="1"/>
          <c:tx>
            <c:v>Με το Aftonomo</c:v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'Οικιακοί καταναλωτές'!$O$16</c:f>
              <c:numCache>
                <c:formatCode>#,##0\ "€"</c:formatCode>
                <c:ptCount val="1"/>
                <c:pt idx="0">
                  <c:v>393.74675199999911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61-4508-9689-02D51F6AA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1069040"/>
        <c:axId val="1481065712"/>
      </c:barChart>
      <c:catAx>
        <c:axId val="1481069040"/>
        <c:scaling>
          <c:orientation val="minMax"/>
        </c:scaling>
        <c:delete val="1"/>
        <c:axPos val="b"/>
        <c:majorTickMark val="none"/>
        <c:minorTickMark val="none"/>
        <c:tickLblPos val="nextTo"/>
        <c:crossAx val="1481065712"/>
        <c:crosses val="autoZero"/>
        <c:auto val="1"/>
        <c:lblAlgn val="ctr"/>
        <c:lblOffset val="100"/>
        <c:noMultiLvlLbl val="0"/>
      </c:catAx>
      <c:valAx>
        <c:axId val="1481065712"/>
        <c:scaling>
          <c:orientation val="minMax"/>
          <c:min val="0"/>
        </c:scaling>
        <c:delete val="0"/>
        <c:axPos val="l"/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bg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l-GR"/>
          </a:p>
        </c:txPr>
        <c:crossAx val="1481069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9327513934667031"/>
          <c:y val="0.32173627327880588"/>
          <c:w val="0.37343857769752109"/>
          <c:h val="0.375556255468066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bg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el-GR" sz="1600" b="1"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Εκτιμώμενη Ετήσια Εξοικονόμηση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bg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bg1"/>
                </a:solidFill>
              </a:ln>
              <a:effectLst/>
            </c:spPr>
          </c:marker>
          <c:cat>
            <c:numRef>
              <c:f>'Οικιακοί καταναλωτές'!$P$25:$P$32</c:f>
              <c:numCache>
                <c:formatCode>General</c:formatCode>
                <c:ptCount val="8"/>
                <c:pt idx="0">
                  <c:v>0.09</c:v>
                </c:pt>
                <c:pt idx="1">
                  <c:v>0.12</c:v>
                </c:pt>
                <c:pt idx="2">
                  <c:v>0.15</c:v>
                </c:pt>
                <c:pt idx="3">
                  <c:v>0.18</c:v>
                </c:pt>
                <c:pt idx="4">
                  <c:v>0.21</c:v>
                </c:pt>
                <c:pt idx="5">
                  <c:v>0.24</c:v>
                </c:pt>
                <c:pt idx="6">
                  <c:v>0.27</c:v>
                </c:pt>
                <c:pt idx="7" formatCode="0.00">
                  <c:v>0.3</c:v>
                </c:pt>
              </c:numCache>
            </c:numRef>
          </c:cat>
          <c:val>
            <c:numRef>
              <c:f>'Οικιακοί καταναλωτές'!$Q$25:$Q$32</c:f>
              <c:numCache>
                <c:formatCode>_-* #,##0\ [$€-408]_-;\-* #,##0\ [$€-408]_-;_-* "-"??\ [$€-408]_-;_-@_-</c:formatCode>
                <c:ptCount val="8"/>
                <c:pt idx="0">
                  <c:v>1482.8518080000001</c:v>
                </c:pt>
                <c:pt idx="1">
                  <c:v>1849.696608</c:v>
                </c:pt>
                <c:pt idx="2">
                  <c:v>2216.541408</c:v>
                </c:pt>
                <c:pt idx="3">
                  <c:v>2583.3862080000004</c:v>
                </c:pt>
                <c:pt idx="4">
                  <c:v>2950.2310080000002</c:v>
                </c:pt>
                <c:pt idx="5">
                  <c:v>3317.0758080000001</c:v>
                </c:pt>
                <c:pt idx="6">
                  <c:v>3683.9206080000008</c:v>
                </c:pt>
                <c:pt idx="7">
                  <c:v>4050.7654080000002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8D1-45A9-BBA9-C0094525EB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0093712"/>
        <c:axId val="1950101616"/>
      </c:lineChart>
      <c:catAx>
        <c:axId val="1950093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>
                    <a:solidFill>
                      <a:schemeClr val="bg1"/>
                    </a:solidFill>
                  </a:rPr>
                  <a:t>Κόστος</a:t>
                </a:r>
                <a:r>
                  <a:rPr lang="el-GR" baseline="0">
                    <a:solidFill>
                      <a:schemeClr val="bg1"/>
                    </a:solidFill>
                  </a:rPr>
                  <a:t> Προμήθειας Ηλεκτρικής Ενέργειας (€/</a:t>
                </a:r>
                <a:r>
                  <a:rPr lang="en-US" baseline="0">
                    <a:solidFill>
                      <a:schemeClr val="bg1"/>
                    </a:solidFill>
                  </a:rPr>
                  <a:t>kWh)</a:t>
                </a:r>
                <a:endParaRPr lang="el-GR">
                  <a:solidFill>
                    <a:schemeClr val="bg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l-GR"/>
          </a:p>
        </c:txPr>
        <c:crossAx val="1950101616"/>
        <c:crosses val="autoZero"/>
        <c:auto val="1"/>
        <c:lblAlgn val="ctr"/>
        <c:lblOffset val="100"/>
        <c:noMultiLvlLbl val="0"/>
      </c:catAx>
      <c:valAx>
        <c:axId val="1950101616"/>
        <c:scaling>
          <c:orientation val="minMax"/>
        </c:scaling>
        <c:delete val="0"/>
        <c:axPos val="l"/>
        <c:numFmt formatCode="_-* #,##0\ [$€-408]_-;\-* #,##0\ [$€-408]_-;_-* &quot;-&quot;??\ [$€-408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l-GR"/>
          </a:p>
        </c:txPr>
        <c:crossAx val="195009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l-GR" sz="1600" b="1"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Εκτιμώμενο Ετήσιο </a:t>
            </a:r>
            <a:r>
              <a:rPr lang="el-GR" sz="1600" b="1" baseline="0"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Κόστος </a:t>
            </a:r>
          </a:p>
          <a:p>
            <a:pPr>
              <a:defRPr>
                <a:solidFill>
                  <a:schemeClr val="bg1"/>
                </a:solidFill>
              </a:defRPr>
            </a:pPr>
            <a:r>
              <a:rPr lang="el-GR" sz="1600" b="1" baseline="0"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Ηλεκτρικής Ενέργειας</a:t>
            </a:r>
            <a:endParaRPr lang="el-GR" sz="16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>
        <c:manualLayout>
          <c:layoutTarget val="inner"/>
          <c:xMode val="edge"/>
          <c:yMode val="edge"/>
          <c:x val="0.17648428505517155"/>
          <c:y val="0.11450086250396048"/>
          <c:w val="0.49357039624491866"/>
          <c:h val="0.84876280554349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'Εταιρικοί Καταναλωτές Χ.Τ'!$N$15</c:f>
              <c:strCache>
                <c:ptCount val="1"/>
                <c:pt idx="0">
                  <c:v>Κόστος χωρίς Aftonomo by Eunice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'Εταιρικοί Καταναλωτές Χ.Τ'!$O$15</c:f>
              <c:numCache>
                <c:formatCode>#,##0\ "€"</c:formatCode>
                <c:ptCount val="1"/>
                <c:pt idx="0">
                  <c:v>31553.580000000005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C6-4D7E-A90A-CDB5B844DE56}"/>
            </c:ext>
          </c:extLst>
        </c:ser>
        <c:ser>
          <c:idx val="1"/>
          <c:order val="1"/>
          <c:tx>
            <c:strRef>
              <c:f>'Εταιρικοί Καταναλωτές Χ.Τ'!$N$16</c:f>
              <c:strCache>
                <c:ptCount val="1"/>
                <c:pt idx="0">
                  <c:v>Κόστος με Aftonomo by Eunice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val>
            <c:numRef>
              <c:f>'Εταιρικοί Καταναλωτές Χ.Τ'!$O$16</c:f>
              <c:numCache>
                <c:formatCode>#,##0\ "€"</c:formatCode>
                <c:ptCount val="1"/>
                <c:pt idx="0">
                  <c:v>16403.580000000005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C6-4D7E-A90A-CDB5B844D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1069040"/>
        <c:axId val="1481065712"/>
      </c:barChart>
      <c:catAx>
        <c:axId val="1481069040"/>
        <c:scaling>
          <c:orientation val="minMax"/>
        </c:scaling>
        <c:delete val="1"/>
        <c:axPos val="b"/>
        <c:majorTickMark val="none"/>
        <c:minorTickMark val="none"/>
        <c:tickLblPos val="nextTo"/>
        <c:crossAx val="1481065712"/>
        <c:crosses val="autoZero"/>
        <c:auto val="1"/>
        <c:lblAlgn val="ctr"/>
        <c:lblOffset val="100"/>
        <c:noMultiLvlLbl val="0"/>
      </c:catAx>
      <c:valAx>
        <c:axId val="1481065712"/>
        <c:scaling>
          <c:orientation val="minMax"/>
          <c:min val="0"/>
        </c:scaling>
        <c:delete val="0"/>
        <c:axPos val="l"/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481069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9327513934667031"/>
          <c:y val="0.32173627327880588"/>
          <c:w val="0.37343857769752109"/>
          <c:h val="0.375556255468066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206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bg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el-GR" sz="1800"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Εκτιμώμενη Ετήσια Εξοικονόμηση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bg1"/>
                </a:solidFill>
              </a:ln>
              <a:effectLst/>
            </c:spPr>
          </c:marker>
          <c:cat>
            <c:numRef>
              <c:f>'Εταιρικοί Καταναλωτές Χ.Τ'!$P$25:$P$32</c:f>
              <c:numCache>
                <c:formatCode>General</c:formatCode>
                <c:ptCount val="8"/>
                <c:pt idx="0">
                  <c:v>0.09</c:v>
                </c:pt>
                <c:pt idx="1">
                  <c:v>0.12</c:v>
                </c:pt>
                <c:pt idx="2">
                  <c:v>0.15</c:v>
                </c:pt>
                <c:pt idx="3">
                  <c:v>0.18</c:v>
                </c:pt>
                <c:pt idx="4">
                  <c:v>0.21</c:v>
                </c:pt>
                <c:pt idx="5">
                  <c:v>0.24</c:v>
                </c:pt>
                <c:pt idx="6">
                  <c:v>0.27</c:v>
                </c:pt>
                <c:pt idx="7" formatCode="0.00">
                  <c:v>0.3</c:v>
                </c:pt>
              </c:numCache>
            </c:numRef>
          </c:cat>
          <c:val>
            <c:numRef>
              <c:f>'Εταιρικοί Καταναλωτές Χ.Τ'!$P$25:$P$32</c:f>
              <c:numCache>
                <c:formatCode>General</c:formatCode>
                <c:ptCount val="8"/>
                <c:pt idx="0">
                  <c:v>0.09</c:v>
                </c:pt>
                <c:pt idx="1">
                  <c:v>0.12</c:v>
                </c:pt>
                <c:pt idx="2">
                  <c:v>0.15</c:v>
                </c:pt>
                <c:pt idx="3">
                  <c:v>0.18</c:v>
                </c:pt>
                <c:pt idx="4">
                  <c:v>0.21</c:v>
                </c:pt>
                <c:pt idx="5">
                  <c:v>0.24</c:v>
                </c:pt>
                <c:pt idx="6">
                  <c:v>0.27</c:v>
                </c:pt>
                <c:pt idx="7" formatCode="0.00">
                  <c:v>0.3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6AC-4D6F-B2C9-F4DD07A8ACDF}"/>
            </c:ext>
          </c:extLst>
        </c:ser>
        <c:ser>
          <c:idx val="1"/>
          <c:order val="1"/>
          <c:spPr>
            <a:ln w="31750" cap="rnd">
              <a:solidFill>
                <a:schemeClr val="bg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bg1"/>
                </a:solidFill>
              </a:ln>
              <a:effectLst/>
            </c:spPr>
          </c:marker>
          <c:cat>
            <c:numRef>
              <c:f>'Εταιρικοί Καταναλωτές Χ.Τ'!$P$25:$P$32</c:f>
              <c:numCache>
                <c:formatCode>General</c:formatCode>
                <c:ptCount val="8"/>
                <c:pt idx="0">
                  <c:v>0.09</c:v>
                </c:pt>
                <c:pt idx="1">
                  <c:v>0.12</c:v>
                </c:pt>
                <c:pt idx="2">
                  <c:v>0.15</c:v>
                </c:pt>
                <c:pt idx="3">
                  <c:v>0.18</c:v>
                </c:pt>
                <c:pt idx="4">
                  <c:v>0.21</c:v>
                </c:pt>
                <c:pt idx="5">
                  <c:v>0.24</c:v>
                </c:pt>
                <c:pt idx="6">
                  <c:v>0.27</c:v>
                </c:pt>
                <c:pt idx="7" formatCode="0.00">
                  <c:v>0.3</c:v>
                </c:pt>
              </c:numCache>
            </c:numRef>
          </c:cat>
          <c:val>
            <c:numRef>
              <c:f>'Εταιρικοί Καταναλωτές Χ.Τ'!$Q$25:$Q$32</c:f>
              <c:numCache>
                <c:formatCode>#,##0\ "€"</c:formatCode>
                <c:ptCount val="8"/>
                <c:pt idx="0">
                  <c:v>21000</c:v>
                </c:pt>
                <c:pt idx="1">
                  <c:v>25500</c:v>
                </c:pt>
                <c:pt idx="2">
                  <c:v>30000</c:v>
                </c:pt>
                <c:pt idx="3">
                  <c:v>34500</c:v>
                </c:pt>
                <c:pt idx="4">
                  <c:v>39000</c:v>
                </c:pt>
                <c:pt idx="5">
                  <c:v>43500</c:v>
                </c:pt>
                <c:pt idx="6">
                  <c:v>48000</c:v>
                </c:pt>
                <c:pt idx="7">
                  <c:v>52500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AC-4D6F-B2C9-F4DD07A8A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0093712"/>
        <c:axId val="1950101616"/>
      </c:lineChart>
      <c:catAx>
        <c:axId val="1950093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>
                    <a:solidFill>
                      <a:schemeClr val="bg1"/>
                    </a:solidFill>
                  </a:rPr>
                  <a:t>Κόστος</a:t>
                </a:r>
                <a:r>
                  <a:rPr lang="el-GR" baseline="0">
                    <a:solidFill>
                      <a:schemeClr val="bg1"/>
                    </a:solidFill>
                  </a:rPr>
                  <a:t> Προμήθειας (€/</a:t>
                </a:r>
                <a:r>
                  <a:rPr lang="en-US" baseline="0">
                    <a:solidFill>
                      <a:schemeClr val="bg1"/>
                    </a:solidFill>
                  </a:rPr>
                  <a:t>kWh)</a:t>
                </a:r>
                <a:endParaRPr lang="el-GR">
                  <a:solidFill>
                    <a:schemeClr val="bg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l-GR"/>
          </a:p>
        </c:txPr>
        <c:crossAx val="1950101616"/>
        <c:crosses val="autoZero"/>
        <c:auto val="1"/>
        <c:lblAlgn val="ctr"/>
        <c:lblOffset val="100"/>
        <c:noMultiLvlLbl val="0"/>
      </c:catAx>
      <c:valAx>
        <c:axId val="1950101616"/>
        <c:scaling>
          <c:orientation val="minMax"/>
        </c:scaling>
        <c:delete val="0"/>
        <c:axPos val="l"/>
        <c:numFmt formatCode="#,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l-GR"/>
          </a:p>
        </c:txPr>
        <c:crossAx val="195009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206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el-GR" sz="1600" b="1"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Εκτιμώμενο Ετήσιο </a:t>
            </a:r>
            <a:r>
              <a:rPr lang="el-GR" sz="1600" b="1" baseline="0"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Κόστος </a:t>
            </a:r>
          </a:p>
          <a:p>
            <a:pPr>
              <a:defRPr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defRPr>
            </a:pPr>
            <a:r>
              <a:rPr lang="el-GR" sz="1600" b="1" baseline="0"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Ηλεκτρικής Ενέργειας</a:t>
            </a:r>
            <a:endParaRPr lang="el-GR" sz="16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el-GR"/>
        </a:p>
      </c:txPr>
    </c:title>
    <c:autoTitleDeleted val="0"/>
    <c:plotArea>
      <c:layout>
        <c:manualLayout>
          <c:layoutTarget val="inner"/>
          <c:xMode val="edge"/>
          <c:yMode val="edge"/>
          <c:x val="0.17648428505517155"/>
          <c:y val="0.11450086250396048"/>
          <c:w val="0.49357039624491866"/>
          <c:h val="0.84876280554349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'Εταιρικοί Καταναλωτές Χ.Τ'!$N$15</c:f>
              <c:strCache>
                <c:ptCount val="1"/>
                <c:pt idx="0">
                  <c:v>Κόστος χωρίς Aftonomo by Eunice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'Εταιρικοί Καταναλωτές Χ.Τ'!$O$15</c:f>
              <c:numCache>
                <c:formatCode>#,##0\ "€"</c:formatCode>
                <c:ptCount val="1"/>
                <c:pt idx="0">
                  <c:v>31553.580000000005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32-4002-8FA3-7176DD216468}"/>
            </c:ext>
          </c:extLst>
        </c:ser>
        <c:ser>
          <c:idx val="1"/>
          <c:order val="1"/>
          <c:tx>
            <c:strRef>
              <c:f>'Εταιρικοί Καταναλωτές Χ.Τ'!$N$16</c:f>
              <c:strCache>
                <c:ptCount val="1"/>
                <c:pt idx="0">
                  <c:v>Κόστος με Aftonomo by Eunice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'Εταιρικοί Καταναλωτές Χ.Τ'!$O$16</c:f>
              <c:numCache>
                <c:formatCode>#,##0\ "€"</c:formatCode>
                <c:ptCount val="1"/>
                <c:pt idx="0">
                  <c:v>16403.580000000005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32-4002-8FA3-7176DD2164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1069040"/>
        <c:axId val="1481065712"/>
      </c:barChart>
      <c:catAx>
        <c:axId val="1481069040"/>
        <c:scaling>
          <c:orientation val="minMax"/>
        </c:scaling>
        <c:delete val="1"/>
        <c:axPos val="b"/>
        <c:majorTickMark val="none"/>
        <c:minorTickMark val="none"/>
        <c:tickLblPos val="nextTo"/>
        <c:crossAx val="1481065712"/>
        <c:crosses val="autoZero"/>
        <c:auto val="1"/>
        <c:lblAlgn val="ctr"/>
        <c:lblOffset val="100"/>
        <c:noMultiLvlLbl val="0"/>
      </c:catAx>
      <c:valAx>
        <c:axId val="1481065712"/>
        <c:scaling>
          <c:orientation val="minMax"/>
          <c:min val="0"/>
        </c:scaling>
        <c:delete val="0"/>
        <c:axPos val="l"/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bg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l-GR"/>
          </a:p>
        </c:txPr>
        <c:crossAx val="1481069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9327513934667031"/>
          <c:y val="0.32173627327880588"/>
          <c:w val="0.37343857769752109"/>
          <c:h val="0.375556255468066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bg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el-GR" sz="1800"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Εκτιμώμενη Ετήσια Εξοικονόμηση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bg1"/>
                </a:solidFill>
              </a:ln>
              <a:effectLst/>
            </c:spPr>
          </c:marker>
          <c:cat>
            <c:numRef>
              <c:f>'Εταιρικοί Καταναλωτές Χ.Τ'!$P$25:$P$32</c:f>
              <c:numCache>
                <c:formatCode>General</c:formatCode>
                <c:ptCount val="8"/>
                <c:pt idx="0">
                  <c:v>0.09</c:v>
                </c:pt>
                <c:pt idx="1">
                  <c:v>0.12</c:v>
                </c:pt>
                <c:pt idx="2">
                  <c:v>0.15</c:v>
                </c:pt>
                <c:pt idx="3">
                  <c:v>0.18</c:v>
                </c:pt>
                <c:pt idx="4">
                  <c:v>0.21</c:v>
                </c:pt>
                <c:pt idx="5">
                  <c:v>0.24</c:v>
                </c:pt>
                <c:pt idx="6">
                  <c:v>0.27</c:v>
                </c:pt>
                <c:pt idx="7" formatCode="0.00">
                  <c:v>0.3</c:v>
                </c:pt>
              </c:numCache>
            </c:numRef>
          </c:cat>
          <c:val>
            <c:numRef>
              <c:f>'Εταιρικοί Καταναλωτές Χ.Τ'!$P$25:$P$32</c:f>
              <c:numCache>
                <c:formatCode>General</c:formatCode>
                <c:ptCount val="8"/>
                <c:pt idx="0">
                  <c:v>0.09</c:v>
                </c:pt>
                <c:pt idx="1">
                  <c:v>0.12</c:v>
                </c:pt>
                <c:pt idx="2">
                  <c:v>0.15</c:v>
                </c:pt>
                <c:pt idx="3">
                  <c:v>0.18</c:v>
                </c:pt>
                <c:pt idx="4">
                  <c:v>0.21</c:v>
                </c:pt>
                <c:pt idx="5">
                  <c:v>0.24</c:v>
                </c:pt>
                <c:pt idx="6">
                  <c:v>0.27</c:v>
                </c:pt>
                <c:pt idx="7" formatCode="0.00">
                  <c:v>0.3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ECA5-4B27-A9CF-A5DC2C5AEB2D}"/>
            </c:ext>
          </c:extLst>
        </c:ser>
        <c:ser>
          <c:idx val="1"/>
          <c:order val="1"/>
          <c:spPr>
            <a:ln w="31750" cap="rnd">
              <a:solidFill>
                <a:schemeClr val="bg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bg1"/>
                </a:solidFill>
              </a:ln>
              <a:effectLst/>
            </c:spPr>
          </c:marker>
          <c:cat>
            <c:numRef>
              <c:f>'Εταιρικοί Καταναλωτές Χ.Τ'!$P$25:$P$32</c:f>
              <c:numCache>
                <c:formatCode>General</c:formatCode>
                <c:ptCount val="8"/>
                <c:pt idx="0">
                  <c:v>0.09</c:v>
                </c:pt>
                <c:pt idx="1">
                  <c:v>0.12</c:v>
                </c:pt>
                <c:pt idx="2">
                  <c:v>0.15</c:v>
                </c:pt>
                <c:pt idx="3">
                  <c:v>0.18</c:v>
                </c:pt>
                <c:pt idx="4">
                  <c:v>0.21</c:v>
                </c:pt>
                <c:pt idx="5">
                  <c:v>0.24</c:v>
                </c:pt>
                <c:pt idx="6">
                  <c:v>0.27</c:v>
                </c:pt>
                <c:pt idx="7" formatCode="0.00">
                  <c:v>0.3</c:v>
                </c:pt>
              </c:numCache>
            </c:numRef>
          </c:cat>
          <c:val>
            <c:numRef>
              <c:f>'Εταιρικοί Καταναλωτές Χ.Τ'!$Q$25:$Q$32</c:f>
              <c:numCache>
                <c:formatCode>#,##0\ "€"</c:formatCode>
                <c:ptCount val="8"/>
                <c:pt idx="0">
                  <c:v>21000</c:v>
                </c:pt>
                <c:pt idx="1">
                  <c:v>25500</c:v>
                </c:pt>
                <c:pt idx="2">
                  <c:v>30000</c:v>
                </c:pt>
                <c:pt idx="3">
                  <c:v>34500</c:v>
                </c:pt>
                <c:pt idx="4">
                  <c:v>39000</c:v>
                </c:pt>
                <c:pt idx="5">
                  <c:v>43500</c:v>
                </c:pt>
                <c:pt idx="6">
                  <c:v>48000</c:v>
                </c:pt>
                <c:pt idx="7">
                  <c:v>52500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A5-4B27-A9CF-A5DC2C5AEB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0093712"/>
        <c:axId val="1950101616"/>
      </c:lineChart>
      <c:catAx>
        <c:axId val="1950093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>
                    <a:solidFill>
                      <a:schemeClr val="bg1"/>
                    </a:solidFill>
                  </a:rPr>
                  <a:t>Κόστος</a:t>
                </a:r>
                <a:r>
                  <a:rPr lang="el-GR" baseline="0">
                    <a:solidFill>
                      <a:schemeClr val="bg1"/>
                    </a:solidFill>
                  </a:rPr>
                  <a:t> Προμήθειας (€/</a:t>
                </a:r>
                <a:r>
                  <a:rPr lang="en-US" baseline="0">
                    <a:solidFill>
                      <a:schemeClr val="bg1"/>
                    </a:solidFill>
                  </a:rPr>
                  <a:t>kWh)</a:t>
                </a:r>
                <a:endParaRPr lang="el-GR">
                  <a:solidFill>
                    <a:schemeClr val="bg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l-GR"/>
          </a:p>
        </c:txPr>
        <c:crossAx val="1950101616"/>
        <c:crosses val="autoZero"/>
        <c:auto val="1"/>
        <c:lblAlgn val="ctr"/>
        <c:lblOffset val="100"/>
        <c:noMultiLvlLbl val="0"/>
      </c:catAx>
      <c:valAx>
        <c:axId val="1950101616"/>
        <c:scaling>
          <c:orientation val="minMax"/>
        </c:scaling>
        <c:delete val="0"/>
        <c:axPos val="l"/>
        <c:numFmt formatCode="#,##0\ 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l-GR"/>
          </a:p>
        </c:txPr>
        <c:crossAx val="195009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l-GR" sz="1600" b="1"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Εκτιμώμενο Ετήσιο </a:t>
            </a:r>
            <a:r>
              <a:rPr lang="el-GR" sz="1600" b="1" baseline="0"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Κόστος </a:t>
            </a:r>
          </a:p>
          <a:p>
            <a:pPr>
              <a:defRPr>
                <a:solidFill>
                  <a:schemeClr val="bg1"/>
                </a:solidFill>
              </a:defRPr>
            </a:pPr>
            <a:r>
              <a:rPr lang="el-GR" sz="1600" b="1" baseline="0"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Ηλεκτρικής Ενέργειας</a:t>
            </a:r>
            <a:endParaRPr lang="el-GR" sz="16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>
        <c:manualLayout>
          <c:layoutTarget val="inner"/>
          <c:xMode val="edge"/>
          <c:yMode val="edge"/>
          <c:x val="0.17648428505517155"/>
          <c:y val="0.11450086250396048"/>
          <c:w val="0.49357039624491866"/>
          <c:h val="0.84876280554349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'Καταναλωτές Μ.Τ'!$N$15</c:f>
              <c:strCache>
                <c:ptCount val="1"/>
                <c:pt idx="0">
                  <c:v>Κόστος χωρίς Aftonomo by Eunice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'Καταναλωτές Μ.Τ'!$O$15</c:f>
              <c:numCache>
                <c:formatCode>#,##0\ "€"</c:formatCode>
                <c:ptCount val="1"/>
                <c:pt idx="0">
                  <c:v>97232.493333333347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FA-47AD-B1CC-348063D3E624}"/>
            </c:ext>
          </c:extLst>
        </c:ser>
        <c:ser>
          <c:idx val="1"/>
          <c:order val="1"/>
          <c:tx>
            <c:strRef>
              <c:f>'Καταναλωτές Μ.Τ'!$N$16</c:f>
              <c:strCache>
                <c:ptCount val="1"/>
                <c:pt idx="0">
                  <c:v>Κόστος με Aftonomo by Eunice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val>
            <c:numRef>
              <c:f>'Καταναλωτές Μ.Τ'!$O$16</c:f>
              <c:numCache>
                <c:formatCode>#,##0\ "€"</c:formatCode>
                <c:ptCount val="1"/>
                <c:pt idx="0">
                  <c:v>55907.493333333347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FA-47AD-B1CC-348063D3E6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1069040"/>
        <c:axId val="1481065712"/>
      </c:barChart>
      <c:catAx>
        <c:axId val="1481069040"/>
        <c:scaling>
          <c:orientation val="minMax"/>
        </c:scaling>
        <c:delete val="1"/>
        <c:axPos val="b"/>
        <c:majorTickMark val="none"/>
        <c:minorTickMark val="none"/>
        <c:tickLblPos val="nextTo"/>
        <c:crossAx val="1481065712"/>
        <c:crosses val="autoZero"/>
        <c:auto val="1"/>
        <c:lblAlgn val="ctr"/>
        <c:lblOffset val="100"/>
        <c:noMultiLvlLbl val="0"/>
      </c:catAx>
      <c:valAx>
        <c:axId val="1481065712"/>
        <c:scaling>
          <c:orientation val="minMax"/>
          <c:min val="0"/>
        </c:scaling>
        <c:delete val="0"/>
        <c:axPos val="l"/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481069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9327513934667031"/>
          <c:y val="0.32173627327880588"/>
          <c:w val="0.37343857769752109"/>
          <c:h val="0.375556255468066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206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bg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el-GR" sz="1800"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Εκτιμώμενη Ετήσια Εξοικονόμηση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bg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bg1"/>
                </a:solidFill>
              </a:ln>
              <a:effectLst/>
            </c:spPr>
          </c:marker>
          <c:val>
            <c:numRef>
              <c:f>'Καταναλωτές Μ.Τ'!$Q$25:$Q$32</c:f>
              <c:numCache>
                <c:formatCode>#,##0.00\ "€"</c:formatCode>
                <c:ptCount val="8"/>
                <c:pt idx="0">
                  <c:v>20580</c:v>
                </c:pt>
                <c:pt idx="1">
                  <c:v>25080</c:v>
                </c:pt>
                <c:pt idx="2">
                  <c:v>29580</c:v>
                </c:pt>
                <c:pt idx="3">
                  <c:v>34080</c:v>
                </c:pt>
                <c:pt idx="4">
                  <c:v>38580</c:v>
                </c:pt>
                <c:pt idx="5">
                  <c:v>43080</c:v>
                </c:pt>
                <c:pt idx="6">
                  <c:v>47580</c:v>
                </c:pt>
                <c:pt idx="7">
                  <c:v>52080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AE4-461F-8185-5B795A538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0093712"/>
        <c:axId val="1950101616"/>
      </c:lineChart>
      <c:catAx>
        <c:axId val="1950093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>
                    <a:solidFill>
                      <a:schemeClr val="bg1"/>
                    </a:solidFill>
                  </a:rPr>
                  <a:t>Κόστος</a:t>
                </a:r>
                <a:r>
                  <a:rPr lang="el-GR" baseline="0">
                    <a:solidFill>
                      <a:schemeClr val="bg1"/>
                    </a:solidFill>
                  </a:rPr>
                  <a:t> Προμήθειας (€/</a:t>
                </a:r>
                <a:r>
                  <a:rPr lang="en-US" baseline="0">
                    <a:solidFill>
                      <a:schemeClr val="bg1"/>
                    </a:solidFill>
                  </a:rPr>
                  <a:t>kWh)</a:t>
                </a:r>
                <a:endParaRPr lang="el-GR">
                  <a:solidFill>
                    <a:schemeClr val="bg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l-GR"/>
          </a:p>
        </c:txPr>
        <c:crossAx val="1950101616"/>
        <c:crosses val="autoZero"/>
        <c:auto val="1"/>
        <c:lblAlgn val="ctr"/>
        <c:lblOffset val="100"/>
        <c:noMultiLvlLbl val="0"/>
      </c:catAx>
      <c:valAx>
        <c:axId val="1950101616"/>
        <c:scaling>
          <c:orientation val="minMax"/>
        </c:scaling>
        <c:delete val="0"/>
        <c:axPos val="l"/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l-GR"/>
          </a:p>
        </c:txPr>
        <c:crossAx val="195009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206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el-GR" sz="1600" b="1"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Εκτιμώμενο Ετήσιο </a:t>
            </a:r>
            <a:r>
              <a:rPr lang="el-GR" sz="1600" b="1" baseline="0"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Κόστος </a:t>
            </a:r>
          </a:p>
          <a:p>
            <a:pPr>
              <a:defRPr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defRPr>
            </a:pPr>
            <a:r>
              <a:rPr lang="el-GR" sz="1600" b="1" baseline="0"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Ηλεκτρικής Ενέργειας</a:t>
            </a:r>
            <a:endParaRPr lang="el-GR" sz="16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el-GR"/>
        </a:p>
      </c:txPr>
    </c:title>
    <c:autoTitleDeleted val="0"/>
    <c:plotArea>
      <c:layout>
        <c:manualLayout>
          <c:layoutTarget val="inner"/>
          <c:xMode val="edge"/>
          <c:yMode val="edge"/>
          <c:x val="0.17648428505517155"/>
          <c:y val="0.11450086250396048"/>
          <c:w val="0.49357039624491866"/>
          <c:h val="0.84876280554349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'Καταναλωτές Μ.Τ'!$N$15</c:f>
              <c:strCache>
                <c:ptCount val="1"/>
                <c:pt idx="0">
                  <c:v>Κόστος χωρίς Aftonomo by Eunice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'Καταναλωτές Μ.Τ'!$O$15</c:f>
              <c:numCache>
                <c:formatCode>#,##0\ "€"</c:formatCode>
                <c:ptCount val="1"/>
                <c:pt idx="0">
                  <c:v>97232.493333333347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EB-4D84-B276-550DF945006E}"/>
            </c:ext>
          </c:extLst>
        </c:ser>
        <c:ser>
          <c:idx val="1"/>
          <c:order val="1"/>
          <c:tx>
            <c:strRef>
              <c:f>'Καταναλωτές Μ.Τ'!$N$16</c:f>
              <c:strCache>
                <c:ptCount val="1"/>
                <c:pt idx="0">
                  <c:v>Κόστος με Aftonomo by Eunice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'Καταναλωτές Μ.Τ'!$O$16</c:f>
              <c:numCache>
                <c:formatCode>#,##0\ "€"</c:formatCode>
                <c:ptCount val="1"/>
                <c:pt idx="0">
                  <c:v>55907.493333333347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EB-4D84-B276-550DF94500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1069040"/>
        <c:axId val="1481065712"/>
      </c:barChart>
      <c:catAx>
        <c:axId val="1481069040"/>
        <c:scaling>
          <c:orientation val="minMax"/>
        </c:scaling>
        <c:delete val="1"/>
        <c:axPos val="b"/>
        <c:majorTickMark val="none"/>
        <c:minorTickMark val="none"/>
        <c:tickLblPos val="nextTo"/>
        <c:crossAx val="1481065712"/>
        <c:crosses val="autoZero"/>
        <c:auto val="1"/>
        <c:lblAlgn val="ctr"/>
        <c:lblOffset val="100"/>
        <c:noMultiLvlLbl val="0"/>
      </c:catAx>
      <c:valAx>
        <c:axId val="1481065712"/>
        <c:scaling>
          <c:orientation val="minMax"/>
          <c:min val="0"/>
        </c:scaling>
        <c:delete val="0"/>
        <c:axPos val="l"/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bg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l-GR"/>
          </a:p>
        </c:txPr>
        <c:crossAx val="1481069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9327513934667031"/>
          <c:y val="0.32173627327880588"/>
          <c:w val="0.37343857769752109"/>
          <c:h val="0.375556255468066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bg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el-GR" sz="1800"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Εκτιμώμενη Ετήσια Εξοικονόμηση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bg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bg1"/>
                </a:solidFill>
              </a:ln>
              <a:effectLst/>
            </c:spPr>
          </c:marker>
          <c:val>
            <c:numRef>
              <c:f>'Καταναλωτές Μ.Τ'!$Q$25:$Q$32</c:f>
              <c:numCache>
                <c:formatCode>#,##0.00\ "€"</c:formatCode>
                <c:ptCount val="8"/>
                <c:pt idx="0">
                  <c:v>20580</c:v>
                </c:pt>
                <c:pt idx="1">
                  <c:v>25080</c:v>
                </c:pt>
                <c:pt idx="2">
                  <c:v>29580</c:v>
                </c:pt>
                <c:pt idx="3">
                  <c:v>34080</c:v>
                </c:pt>
                <c:pt idx="4">
                  <c:v>38580</c:v>
                </c:pt>
                <c:pt idx="5">
                  <c:v>43080</c:v>
                </c:pt>
                <c:pt idx="6">
                  <c:v>47580</c:v>
                </c:pt>
                <c:pt idx="7">
                  <c:v>52080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3D0-4660-9CDB-949542DDB7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0093712"/>
        <c:axId val="1950101616"/>
      </c:lineChart>
      <c:catAx>
        <c:axId val="1950093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>
                    <a:solidFill>
                      <a:schemeClr val="bg1"/>
                    </a:solidFill>
                  </a:rPr>
                  <a:t>Κόστος</a:t>
                </a:r>
                <a:r>
                  <a:rPr lang="el-GR" baseline="0">
                    <a:solidFill>
                      <a:schemeClr val="bg1"/>
                    </a:solidFill>
                  </a:rPr>
                  <a:t> Προμήθειας (€/</a:t>
                </a:r>
                <a:r>
                  <a:rPr lang="en-US" baseline="0">
                    <a:solidFill>
                      <a:schemeClr val="bg1"/>
                    </a:solidFill>
                  </a:rPr>
                  <a:t>kWh)</a:t>
                </a:r>
                <a:endParaRPr lang="el-GR">
                  <a:solidFill>
                    <a:schemeClr val="bg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l-GR"/>
          </a:p>
        </c:txPr>
        <c:crossAx val="1950101616"/>
        <c:crosses val="autoZero"/>
        <c:auto val="1"/>
        <c:lblAlgn val="ctr"/>
        <c:lblOffset val="100"/>
        <c:noMultiLvlLbl val="0"/>
      </c:catAx>
      <c:valAx>
        <c:axId val="1950101616"/>
        <c:scaling>
          <c:orientation val="minMax"/>
        </c:scaling>
        <c:delete val="0"/>
        <c:axPos val="l"/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el-GR"/>
          </a:p>
        </c:txPr>
        <c:crossAx val="195009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Πορεία Επένδυσης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bg1"/>
              </a:solidFill>
              <a:round/>
            </a:ln>
            <a:effectLst/>
          </c:spPr>
          <c:marker>
            <c:symbol val="none"/>
          </c:marker>
          <c:cat>
            <c:numRef>
              <c:f>'Οικονομική αξιολόγηση_5-22'!$R$13:$AQ$13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'Οικονομική αξιολόγηση_5-22'!$R$53:$AQ$53</c:f>
              <c:numCache>
                <c:formatCode>_-* #,##0\ "€"_-;\-* #,##0\ "€"_-;_-* "-"??\ "€"_-;_-@_-</c:formatCode>
                <c:ptCount val="26"/>
                <c:pt idx="0">
                  <c:v>-713000</c:v>
                </c:pt>
                <c:pt idx="1">
                  <c:v>-529800</c:v>
                </c:pt>
                <c:pt idx="2">
                  <c:v>-357946.75</c:v>
                </c:pt>
                <c:pt idx="3">
                  <c:v>-196823.45161250001</c:v>
                </c:pt>
                <c:pt idx="4">
                  <c:v>-45849.027928651922</c:v>
                </c:pt>
                <c:pt idx="5">
                  <c:v>95523.876708006137</c:v>
                </c:pt>
                <c:pt idx="6">
                  <c:v>227810.78291313254</c:v>
                </c:pt>
                <c:pt idx="7">
                  <c:v>351497.15489635756</c:v>
                </c:pt>
                <c:pt idx="8">
                  <c:v>467040.07759179047</c:v>
                </c:pt>
                <c:pt idx="9">
                  <c:v>574869.83801213652</c:v>
                </c:pt>
                <c:pt idx="10">
                  <c:v>675391.41622914758</c:v>
                </c:pt>
                <c:pt idx="11">
                  <c:v>768985.89107637689</c:v>
                </c:pt>
                <c:pt idx="12">
                  <c:v>856011.76538080897</c:v>
                </c:pt>
                <c:pt idx="13">
                  <c:v>936806.21525691228</c:v>
                </c:pt>
                <c:pt idx="14">
                  <c:v>1011686.2677390821</c:v>
                </c:pt>
                <c:pt idx="15">
                  <c:v>1080949.9107854313</c:v>
                </c:pt>
                <c:pt idx="16">
                  <c:v>1144877.1394566176</c:v>
                </c:pt>
                <c:pt idx="17">
                  <c:v>1203730.9418570967</c:v>
                </c:pt>
                <c:pt idx="18">
                  <c:v>1257758.2282221096</c:v>
                </c:pt>
                <c:pt idx="19">
                  <c:v>1307190.7063411812</c:v>
                </c:pt>
                <c:pt idx="20">
                  <c:v>1352245.7063272428</c:v>
                </c:pt>
                <c:pt idx="21">
                  <c:v>1393126.9575691028</c:v>
                </c:pt>
                <c:pt idx="22">
                  <c:v>1430966.2413401559</c:v>
                </c:pt>
                <c:pt idx="23">
                  <c:v>1467839.7411332792</c:v>
                </c:pt>
                <c:pt idx="24">
                  <c:v>1503733.5681665721</c:v>
                </c:pt>
                <c:pt idx="25">
                  <c:v>1538633.3114015153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3A-4707-A183-E876B138F5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9052607"/>
        <c:axId val="549063007"/>
      </c:lineChart>
      <c:catAx>
        <c:axId val="549052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49063007"/>
        <c:crosses val="autoZero"/>
        <c:auto val="1"/>
        <c:lblAlgn val="ctr"/>
        <c:lblOffset val="100"/>
        <c:noMultiLvlLbl val="0"/>
      </c:catAx>
      <c:valAx>
        <c:axId val="54906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&quot;€&quot;_-;\-* #,##0\ &quot;€&quot;_-;_-* &quot;-&quot;??\ &quot;€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49052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808592</xdr:colOff>
      <xdr:row>11</xdr:row>
      <xdr:rowOff>202457</xdr:rowOff>
    </xdr:from>
    <xdr:to>
      <xdr:col>20</xdr:col>
      <xdr:colOff>1174750</xdr:colOff>
      <xdr:row>22</xdr:row>
      <xdr:rowOff>127000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F5C84C14-5C19-4E31-8D71-E265470284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236970</xdr:colOff>
      <xdr:row>23</xdr:row>
      <xdr:rowOff>92797</xdr:rowOff>
    </xdr:from>
    <xdr:to>
      <xdr:col>21</xdr:col>
      <xdr:colOff>390526</xdr:colOff>
      <xdr:row>39</xdr:row>
      <xdr:rowOff>149658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C79EC51F-29D5-435F-8A1E-1C83B9C7A9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11958</xdr:colOff>
      <xdr:row>11</xdr:row>
      <xdr:rowOff>211116</xdr:rowOff>
    </xdr:from>
    <xdr:to>
      <xdr:col>24</xdr:col>
      <xdr:colOff>502227</xdr:colOff>
      <xdr:row>22</xdr:row>
      <xdr:rowOff>125557</xdr:rowOff>
    </xdr:to>
    <xdr:graphicFrame macro="">
      <xdr:nvGraphicFramePr>
        <xdr:cNvPr id="4" name="Γράφημα 3">
          <a:extLst>
            <a:ext uri="{FF2B5EF4-FFF2-40B4-BE49-F238E27FC236}">
              <a16:creationId xmlns:a16="http://schemas.microsoft.com/office/drawing/2014/main" id="{46C34B03-1647-464F-A2D1-62FF2DDA67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895782</xdr:colOff>
      <xdr:row>23</xdr:row>
      <xdr:rowOff>322262</xdr:rowOff>
    </xdr:from>
    <xdr:to>
      <xdr:col>25</xdr:col>
      <xdr:colOff>343623</xdr:colOff>
      <xdr:row>40</xdr:row>
      <xdr:rowOff>188623</xdr:rowOff>
    </xdr:to>
    <xdr:graphicFrame macro="">
      <xdr:nvGraphicFramePr>
        <xdr:cNvPr id="5" name="Γράφημα 5">
          <a:extLst>
            <a:ext uri="{FF2B5EF4-FFF2-40B4-BE49-F238E27FC236}">
              <a16:creationId xmlns:a16="http://schemas.microsoft.com/office/drawing/2014/main" id="{707375FA-6FC8-4188-BAA9-2F9A256382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12</xdr:row>
      <xdr:rowOff>0</xdr:rowOff>
    </xdr:from>
    <xdr:to>
      <xdr:col>20</xdr:col>
      <xdr:colOff>1470192</xdr:colOff>
      <xdr:row>22</xdr:row>
      <xdr:rowOff>123702</xdr:rowOff>
    </xdr:to>
    <xdr:graphicFrame macro="">
      <xdr:nvGraphicFramePr>
        <xdr:cNvPr id="7" name="Γράφημα 6">
          <a:extLst>
            <a:ext uri="{FF2B5EF4-FFF2-40B4-BE49-F238E27FC236}">
              <a16:creationId xmlns:a16="http://schemas.microsoft.com/office/drawing/2014/main" id="{E2DD9661-776D-430E-AF00-81F9EABF42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857128</xdr:colOff>
      <xdr:row>23</xdr:row>
      <xdr:rowOff>88056</xdr:rowOff>
    </xdr:from>
    <xdr:to>
      <xdr:col>21</xdr:col>
      <xdr:colOff>1035218</xdr:colOff>
      <xdr:row>38</xdr:row>
      <xdr:rowOff>140588</xdr:rowOff>
    </xdr:to>
    <xdr:graphicFrame macro="">
      <xdr:nvGraphicFramePr>
        <xdr:cNvPr id="8" name="Γράφημα 7">
          <a:extLst>
            <a:ext uri="{FF2B5EF4-FFF2-40B4-BE49-F238E27FC236}">
              <a16:creationId xmlns:a16="http://schemas.microsoft.com/office/drawing/2014/main" id="{7D70E800-5B01-4C42-9D4B-0AD1D4B8F0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151536</xdr:colOff>
      <xdr:row>12</xdr:row>
      <xdr:rowOff>25977</xdr:rowOff>
    </xdr:from>
    <xdr:to>
      <xdr:col>26</xdr:col>
      <xdr:colOff>195863</xdr:colOff>
      <xdr:row>22</xdr:row>
      <xdr:rowOff>139577</xdr:rowOff>
    </xdr:to>
    <xdr:graphicFrame macro="">
      <xdr:nvGraphicFramePr>
        <xdr:cNvPr id="9" name="Γράφημα 8">
          <a:extLst>
            <a:ext uri="{FF2B5EF4-FFF2-40B4-BE49-F238E27FC236}">
              <a16:creationId xmlns:a16="http://schemas.microsoft.com/office/drawing/2014/main" id="{9974C53B-7C48-45F1-8B59-E48F04A574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1540474</xdr:colOff>
      <xdr:row>23</xdr:row>
      <xdr:rowOff>317521</xdr:rowOff>
    </xdr:from>
    <xdr:to>
      <xdr:col>28</xdr:col>
      <xdr:colOff>409599</xdr:colOff>
      <xdr:row>39</xdr:row>
      <xdr:rowOff>179553</xdr:rowOff>
    </xdr:to>
    <xdr:graphicFrame macro="">
      <xdr:nvGraphicFramePr>
        <xdr:cNvPr id="10" name="Γράφημα 9">
          <a:extLst>
            <a:ext uri="{FF2B5EF4-FFF2-40B4-BE49-F238E27FC236}">
              <a16:creationId xmlns:a16="http://schemas.microsoft.com/office/drawing/2014/main" id="{53267068-9087-4ED6-8267-0010C7B4D3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12</xdr:row>
      <xdr:rowOff>0</xdr:rowOff>
    </xdr:from>
    <xdr:to>
      <xdr:col>20</xdr:col>
      <xdr:colOff>1470192</xdr:colOff>
      <xdr:row>23</xdr:row>
      <xdr:rowOff>296884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ED23A45C-96F9-4A50-BDBA-14C7730D9F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857128</xdr:colOff>
      <xdr:row>23</xdr:row>
      <xdr:rowOff>469056</xdr:rowOff>
    </xdr:from>
    <xdr:to>
      <xdr:col>21</xdr:col>
      <xdr:colOff>844718</xdr:colOff>
      <xdr:row>39</xdr:row>
      <xdr:rowOff>140587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EF58A40C-D67A-4146-BE30-54314402AE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1675536</xdr:colOff>
      <xdr:row>12</xdr:row>
      <xdr:rowOff>25977</xdr:rowOff>
    </xdr:from>
    <xdr:to>
      <xdr:col>27</xdr:col>
      <xdr:colOff>91954</xdr:colOff>
      <xdr:row>23</xdr:row>
      <xdr:rowOff>312759</xdr:rowOff>
    </xdr:to>
    <xdr:graphicFrame macro="">
      <xdr:nvGraphicFramePr>
        <xdr:cNvPr id="4" name="Γράφημα 3">
          <a:extLst>
            <a:ext uri="{FF2B5EF4-FFF2-40B4-BE49-F238E27FC236}">
              <a16:creationId xmlns:a16="http://schemas.microsoft.com/office/drawing/2014/main" id="{B8D38ED3-303D-4632-A0E2-DC505DDBEF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1349974</xdr:colOff>
      <xdr:row>23</xdr:row>
      <xdr:rowOff>698521</xdr:rowOff>
    </xdr:from>
    <xdr:to>
      <xdr:col>29</xdr:col>
      <xdr:colOff>305690</xdr:colOff>
      <xdr:row>40</xdr:row>
      <xdr:rowOff>179552</xdr:rowOff>
    </xdr:to>
    <xdr:graphicFrame macro="">
      <xdr:nvGraphicFramePr>
        <xdr:cNvPr id="5" name="Γράφημα 4">
          <a:extLst>
            <a:ext uri="{FF2B5EF4-FFF2-40B4-BE49-F238E27FC236}">
              <a16:creationId xmlns:a16="http://schemas.microsoft.com/office/drawing/2014/main" id="{0B09850C-AABC-4539-998A-96BB7629BC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253404</xdr:colOff>
      <xdr:row>47</xdr:row>
      <xdr:rowOff>156883</xdr:rowOff>
    </xdr:from>
    <xdr:to>
      <xdr:col>11</xdr:col>
      <xdr:colOff>571499</xdr:colOff>
      <xdr:row>65</xdr:row>
      <xdr:rowOff>18235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87F336-0891-FAFA-4C48-23546C8223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piros Kokkolios" id="{C3FE32F6-2B36-4221-AD4D-DDC1FA26DE7E}" userId="S::skokkolios@eunice-group.com::6a861a03-b7ab-42c2-9526-cfb11145873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1" dT="2023-08-22T07:05:52.81" personId="{C3FE32F6-2B36-4221-AD4D-DDC1FA26DE7E}" id="{0B84F07E-7A7B-47A0-850E-2CD189A7930A}">
    <text>Πλέον πολλοί πάροχοι έχουν ενοποιήσει τις ζώνες χρέωσης οπότε δεν συναντάμε συχνά διαφοροποιημένη νυχτερινή χρέωση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890C-5526-4206-8499-7E1C8D34E03E}">
  <dimension ref="A1:X33"/>
  <sheetViews>
    <sheetView topLeftCell="A8" zoomScale="70" zoomScaleNormal="70" workbookViewId="0">
      <selection activeCell="B11" sqref="B11"/>
    </sheetView>
  </sheetViews>
  <sheetFormatPr defaultColWidth="8.7109375" defaultRowHeight="15"/>
  <cols>
    <col min="1" max="1" width="25.5703125" style="1" customWidth="1"/>
    <col min="2" max="2" width="17.28515625" style="1" customWidth="1"/>
    <col min="3" max="3" width="20" style="1" customWidth="1"/>
    <col min="4" max="4" width="22.5703125" style="1" customWidth="1"/>
    <col min="5" max="5" width="18.5703125" style="1" customWidth="1"/>
    <col min="6" max="7" width="8.7109375" style="1"/>
    <col min="8" max="8" width="26.42578125" style="1" customWidth="1"/>
    <col min="9" max="9" width="10.5703125" style="1" bestFit="1" customWidth="1"/>
    <col min="10" max="10" width="8.7109375" style="1"/>
    <col min="11" max="11" width="31.42578125" style="1" customWidth="1"/>
    <col min="12" max="12" width="12.5703125" style="1" customWidth="1"/>
    <col min="13" max="13" width="12.5703125" customWidth="1"/>
    <col min="14" max="14" width="25.28515625" customWidth="1"/>
    <col min="15" max="15" width="21.5703125" customWidth="1"/>
    <col min="16" max="16" width="17.5703125" customWidth="1"/>
    <col min="17" max="17" width="14.5703125" customWidth="1"/>
    <col min="18" max="18" width="21.42578125" customWidth="1"/>
    <col min="19" max="19" width="18.28515625" style="1" customWidth="1"/>
    <col min="20" max="20" width="18" style="1" customWidth="1"/>
    <col min="21" max="21" width="28" style="1" customWidth="1"/>
    <col min="22" max="22" width="18" style="1" customWidth="1"/>
    <col min="23" max="23" width="14.140625" style="1" customWidth="1"/>
    <col min="24" max="24" width="34.42578125" style="1" customWidth="1"/>
    <col min="25" max="16384" width="8.7109375" style="1"/>
  </cols>
  <sheetData>
    <row r="1" spans="1:24">
      <c r="A1" s="222"/>
      <c r="B1" s="161" t="s">
        <v>0</v>
      </c>
      <c r="C1" s="161"/>
      <c r="D1" s="161"/>
      <c r="E1" s="162"/>
    </row>
    <row r="2" spans="1:24">
      <c r="A2" s="223"/>
      <c r="B2" s="1" t="s">
        <v>1</v>
      </c>
      <c r="E2" s="140"/>
    </row>
    <row r="3" spans="1:24">
      <c r="A3" s="224"/>
      <c r="B3" s="1" t="s">
        <v>2</v>
      </c>
      <c r="E3" s="140"/>
    </row>
    <row r="4" spans="1:24" ht="15.75" thickBot="1">
      <c r="A4" s="225"/>
      <c r="B4" s="250" t="s">
        <v>3</v>
      </c>
      <c r="C4" s="42"/>
      <c r="D4" s="42"/>
      <c r="E4" s="43"/>
    </row>
    <row r="5" spans="1:24" ht="15.75" thickBot="1"/>
    <row r="6" spans="1:24" ht="15.75" thickBot="1">
      <c r="A6" s="278" t="s">
        <v>4</v>
      </c>
      <c r="B6" s="278"/>
      <c r="C6" s="278"/>
      <c r="D6" s="278"/>
      <c r="E6" s="278"/>
      <c r="F6" s="261"/>
      <c r="H6" s="279" t="s">
        <v>5</v>
      </c>
      <c r="I6" s="280"/>
      <c r="K6" s="281" t="s">
        <v>6</v>
      </c>
      <c r="L6" s="282"/>
      <c r="N6" s="283" t="s">
        <v>7</v>
      </c>
      <c r="O6" s="284"/>
      <c r="T6" s="285" t="s">
        <v>8</v>
      </c>
      <c r="U6" s="286"/>
      <c r="V6" s="287"/>
    </row>
    <row r="7" spans="1:24" ht="111.75" customHeight="1" thickBot="1">
      <c r="A7" s="8" t="s">
        <v>9</v>
      </c>
      <c r="B7" s="6">
        <v>11536</v>
      </c>
      <c r="C7" s="14" t="s">
        <v>10</v>
      </c>
      <c r="D7" s="276" t="s">
        <v>11</v>
      </c>
      <c r="E7" s="277"/>
      <c r="F7" s="261"/>
      <c r="H7" s="20" t="s">
        <v>12</v>
      </c>
      <c r="I7" s="23">
        <f>IF(B12="Πρωί-Μεσημέρι",70%,50%)</f>
        <v>0.5</v>
      </c>
      <c r="K7" s="20" t="s">
        <v>13</v>
      </c>
      <c r="L7" s="22">
        <f>B7/I12</f>
        <v>8.0027748872702045</v>
      </c>
      <c r="N7" s="81" t="s">
        <v>14</v>
      </c>
      <c r="O7" s="82">
        <f>IF(B9="Γ1Ν",(B10*I7+B11*I8),B10)</f>
        <v>0.3</v>
      </c>
      <c r="T7" s="88" t="s">
        <v>15</v>
      </c>
      <c r="U7" s="89">
        <f>L17-(0.046*(1-I9)*30%*L12)</f>
        <v>4119.5055999999995</v>
      </c>
      <c r="V7" s="90" t="s">
        <v>16</v>
      </c>
      <c r="W7" s="67" t="s">
        <v>17</v>
      </c>
    </row>
    <row r="8" spans="1:24" ht="90.75" thickBot="1">
      <c r="A8" s="9" t="s">
        <v>18</v>
      </c>
      <c r="B8" s="12">
        <v>35</v>
      </c>
      <c r="C8" s="14" t="s">
        <v>19</v>
      </c>
      <c r="D8" s="304" t="s">
        <v>20</v>
      </c>
      <c r="E8" s="305"/>
      <c r="F8" s="261"/>
      <c r="H8" s="16" t="s">
        <v>21</v>
      </c>
      <c r="I8" s="17">
        <f>1-I7</f>
        <v>0.5</v>
      </c>
      <c r="K8" s="20" t="s">
        <v>22</v>
      </c>
      <c r="L8" s="22">
        <f>IF(B8&lt;=12,5,10.8)</f>
        <v>10.8</v>
      </c>
      <c r="N8" s="81" t="s">
        <v>23</v>
      </c>
      <c r="O8" s="82">
        <v>4.5999999999999999E-2</v>
      </c>
      <c r="T8" s="25" t="s">
        <v>24</v>
      </c>
      <c r="U8" s="38">
        <f>80%*B7*I14*I15/1000</f>
        <v>22.818208000000002</v>
      </c>
      <c r="V8" s="39" t="s">
        <v>25</v>
      </c>
    </row>
    <row r="9" spans="1:24" ht="66.75" customHeight="1" thickBot="1">
      <c r="A9" s="9" t="s">
        <v>26</v>
      </c>
      <c r="B9" s="12" t="s">
        <v>27</v>
      </c>
      <c r="C9" s="15" t="s">
        <v>28</v>
      </c>
      <c r="D9" s="304" t="s">
        <v>29</v>
      </c>
      <c r="E9" s="305"/>
      <c r="F9" s="261"/>
      <c r="H9" s="16" t="s">
        <v>30</v>
      </c>
      <c r="I9" s="17">
        <f>IF(B12="Πρωί-Μεσημέρι",70%,30%)</f>
        <v>0.3</v>
      </c>
      <c r="K9" s="20" t="s">
        <v>31</v>
      </c>
      <c r="L9" s="22">
        <f>MIN(B7/I12,L8)</f>
        <v>8.0027748872702045</v>
      </c>
      <c r="N9" s="81" t="s">
        <v>32</v>
      </c>
      <c r="O9" s="83">
        <f>(L12*O7+O8*L12*I9)*1.06</f>
        <v>3837.1966080000002</v>
      </c>
      <c r="P9" s="221" t="s">
        <v>33</v>
      </c>
      <c r="T9" s="40" t="s">
        <v>34</v>
      </c>
      <c r="U9" s="41" t="s">
        <v>35</v>
      </c>
      <c r="V9" s="48" t="s">
        <v>36</v>
      </c>
      <c r="W9" s="288" t="s">
        <v>37</v>
      </c>
      <c r="X9" s="44" t="s">
        <v>38</v>
      </c>
    </row>
    <row r="10" spans="1:24" ht="72.75" customHeight="1" thickBot="1">
      <c r="A10" s="9" t="s">
        <v>39</v>
      </c>
      <c r="B10" s="7">
        <v>0.3</v>
      </c>
      <c r="C10" s="87" t="s">
        <v>11</v>
      </c>
      <c r="D10" s="291" t="s">
        <v>40</v>
      </c>
      <c r="E10" s="292"/>
      <c r="F10" s="261"/>
      <c r="H10" s="16" t="s">
        <v>41</v>
      </c>
      <c r="I10" s="17">
        <f>IF(B14="Στέγη",IF(OR(B15="Α",B15="Δ"),85%,IF(OR(B15="ΝΑ",B15="ΝΔ"),93%,95%)),100%)</f>
        <v>0.93</v>
      </c>
      <c r="K10" s="16" t="s">
        <v>42</v>
      </c>
      <c r="L10" s="34">
        <f>B16/I13</f>
        <v>15</v>
      </c>
      <c r="N10" s="18" t="s">
        <v>43</v>
      </c>
      <c r="O10" s="84">
        <f>L16*365*O8*1.06</f>
        <v>213.56880000000001</v>
      </c>
      <c r="P10" s="221" t="s">
        <v>44</v>
      </c>
      <c r="S10"/>
      <c r="T10" s="293" t="s">
        <v>45</v>
      </c>
      <c r="U10" s="1" t="s">
        <v>46</v>
      </c>
      <c r="W10" s="289"/>
      <c r="X10" s="45" t="s">
        <v>47</v>
      </c>
    </row>
    <row r="11" spans="1:24" ht="135.75" customHeight="1" thickBot="1">
      <c r="A11" s="9" t="s">
        <v>48</v>
      </c>
      <c r="B11" s="7">
        <v>0.08</v>
      </c>
      <c r="C11" s="4" t="s">
        <v>49</v>
      </c>
      <c r="D11" s="276" t="s">
        <v>11</v>
      </c>
      <c r="E11" s="277"/>
      <c r="F11" s="261"/>
      <c r="H11" s="16" t="s">
        <v>50</v>
      </c>
      <c r="I11" s="21">
        <f>IF(OR(B13="Νότιο Αιγαίο",B13="Κρήτη"),1600,IF(OR(B13="Αττική",B13="Δυτική Ελλάδα",B13="Ιόνιοι Νήσοι"),1550,IF(B13="Πελοπόννησος",1500,IF(OR(B13="Ήπειρος",B13="Θεσσαλία",B13="Στερεά Ελλάδα"),1450,1400))))</f>
        <v>1550</v>
      </c>
      <c r="K11" s="262" t="s">
        <v>51</v>
      </c>
      <c r="L11" s="263">
        <f>MIN(L9,L10)</f>
        <v>8.0027748872702045</v>
      </c>
      <c r="N11" s="85" t="s">
        <v>52</v>
      </c>
      <c r="O11" s="86">
        <f>IF(E16="Ναι",(O9+O10),O9)</f>
        <v>4050.7654080000002</v>
      </c>
      <c r="P11" s="295" t="s">
        <v>53</v>
      </c>
      <c r="Q11" s="296"/>
      <c r="T11" s="294"/>
      <c r="U11" s="42" t="s">
        <v>54</v>
      </c>
      <c r="V11" s="42"/>
      <c r="W11" s="290"/>
      <c r="X11" s="43"/>
    </row>
    <row r="12" spans="1:24" ht="60.75" thickBot="1">
      <c r="A12" s="10" t="s">
        <v>55</v>
      </c>
      <c r="B12" s="13" t="s">
        <v>56</v>
      </c>
      <c r="C12" s="4" t="s">
        <v>57</v>
      </c>
      <c r="D12" s="276" t="s">
        <v>58</v>
      </c>
      <c r="E12" s="277"/>
      <c r="F12" s="261"/>
      <c r="H12" s="16" t="s">
        <v>59</v>
      </c>
      <c r="I12" s="51">
        <f>I11*I10</f>
        <v>1441.5</v>
      </c>
      <c r="K12" s="25" t="s">
        <v>60</v>
      </c>
      <c r="L12" s="26">
        <f>L11*I12</f>
        <v>11536</v>
      </c>
      <c r="T12" s="28"/>
    </row>
    <row r="13" spans="1:24" ht="30.75" thickBot="1">
      <c r="A13" s="10" t="s">
        <v>61</v>
      </c>
      <c r="B13" s="46" t="s">
        <v>62</v>
      </c>
      <c r="C13" s="261"/>
      <c r="D13" s="261"/>
      <c r="E13" s="261"/>
      <c r="F13" s="261"/>
      <c r="H13" s="16" t="s">
        <v>63</v>
      </c>
      <c r="I13" s="21">
        <f>IF(B14="Ταράτσα",7,5)</f>
        <v>5</v>
      </c>
      <c r="K13" s="25" t="s">
        <v>64</v>
      </c>
      <c r="L13" s="26">
        <f>L11*I13</f>
        <v>40.013874436351024</v>
      </c>
    </row>
    <row r="14" spans="1:24" ht="60.75" thickBot="1">
      <c r="A14" s="10" t="s">
        <v>65</v>
      </c>
      <c r="B14" s="46" t="s">
        <v>66</v>
      </c>
      <c r="C14" s="261"/>
      <c r="D14" s="236" t="s">
        <v>67</v>
      </c>
      <c r="E14" s="242" t="s">
        <v>68</v>
      </c>
      <c r="F14" s="261"/>
      <c r="H14" s="16" t="s">
        <v>69</v>
      </c>
      <c r="I14" s="24">
        <v>2.5</v>
      </c>
      <c r="K14" s="16" t="s">
        <v>70</v>
      </c>
      <c r="L14" s="34">
        <f>L12*(1-I9)/365</f>
        <v>22.123835616438356</v>
      </c>
      <c r="N14" s="297" t="s">
        <v>71</v>
      </c>
      <c r="O14" s="298"/>
      <c r="U14" s="65"/>
    </row>
    <row r="15" spans="1:24" ht="45.75" thickBot="1">
      <c r="A15" s="10" t="s">
        <v>72</v>
      </c>
      <c r="B15" s="46" t="s">
        <v>73</v>
      </c>
      <c r="C15" s="261"/>
      <c r="D15" s="236" t="s">
        <v>74</v>
      </c>
      <c r="E15" s="242">
        <v>12</v>
      </c>
      <c r="F15" s="261"/>
      <c r="H15" s="18" t="s">
        <v>75</v>
      </c>
      <c r="I15" s="19">
        <v>0.98899999999999999</v>
      </c>
      <c r="K15" s="16" t="s">
        <v>76</v>
      </c>
      <c r="L15" s="34">
        <f>E15</f>
        <v>12</v>
      </c>
      <c r="N15" s="110" t="s">
        <v>77</v>
      </c>
      <c r="O15" s="244">
        <f>L17</f>
        <v>4230.9433599999993</v>
      </c>
    </row>
    <row r="16" spans="1:24" ht="63.75" thickBot="1">
      <c r="A16" s="10" t="s">
        <v>78</v>
      </c>
      <c r="B16" s="46">
        <v>75</v>
      </c>
      <c r="C16" s="261"/>
      <c r="D16" s="236" t="s">
        <v>79</v>
      </c>
      <c r="E16" s="242" t="s">
        <v>80</v>
      </c>
      <c r="F16" s="261"/>
      <c r="K16" s="262" t="s">
        <v>81</v>
      </c>
      <c r="L16" s="263">
        <f>IF(E14="Όχι",L15,L14)</f>
        <v>12</v>
      </c>
      <c r="N16" s="110" t="s">
        <v>82</v>
      </c>
      <c r="O16" s="244">
        <f>O15-O9</f>
        <v>393.74675199999911</v>
      </c>
    </row>
    <row r="17" spans="1:18" ht="30.75" thickBot="1">
      <c r="A17" s="261"/>
      <c r="B17" s="261"/>
      <c r="C17" s="261"/>
      <c r="D17" s="261"/>
      <c r="E17" s="261"/>
      <c r="F17" s="261"/>
      <c r="K17" s="18" t="s">
        <v>83</v>
      </c>
      <c r="L17" s="32">
        <f>IF(B9="Γ1",(B10+0.046)*1.06*B7,IF(B9="Γ1Ν",((B10+0.046)*I7+(B11+0.01707)*I8)*1.06*B7,))</f>
        <v>4230.9433599999993</v>
      </c>
      <c r="N17" s="115" t="s">
        <v>84</v>
      </c>
      <c r="O17" s="245">
        <f>O11</f>
        <v>4050.7654080000002</v>
      </c>
    </row>
    <row r="18" spans="1:18" ht="15" customHeight="1">
      <c r="K18" s="302" t="s">
        <v>85</v>
      </c>
      <c r="L18" s="302"/>
    </row>
    <row r="19" spans="1:18">
      <c r="K19" s="303"/>
      <c r="L19" s="303"/>
    </row>
    <row r="20" spans="1:18">
      <c r="K20" s="303"/>
      <c r="L20" s="303"/>
    </row>
    <row r="21" spans="1:18">
      <c r="M21" s="1"/>
      <c r="N21" s="1"/>
      <c r="O21" s="1"/>
      <c r="P21" s="1"/>
      <c r="Q21" s="1"/>
      <c r="R21" s="1"/>
    </row>
    <row r="22" spans="1:18">
      <c r="L22" s="1" t="s">
        <v>86</v>
      </c>
      <c r="M22" s="1"/>
      <c r="N22" s="1"/>
      <c r="O22" s="1"/>
      <c r="P22" s="1"/>
      <c r="Q22" s="1"/>
      <c r="R22" s="1"/>
    </row>
    <row r="23" spans="1:18" ht="15.75" thickBot="1">
      <c r="M23" s="1"/>
      <c r="N23" s="1"/>
      <c r="O23" s="1"/>
      <c r="P23" s="1"/>
      <c r="Q23" s="1"/>
      <c r="R23" s="1"/>
    </row>
    <row r="24" spans="1:18" ht="45.75" thickBot="1">
      <c r="L24" s="299" t="s">
        <v>87</v>
      </c>
      <c r="M24" s="226"/>
      <c r="N24" s="227">
        <f>O17</f>
        <v>4050.7654080000002</v>
      </c>
      <c r="P24" s="231" t="s">
        <v>88</v>
      </c>
      <c r="Q24" s="232" t="s">
        <v>89</v>
      </c>
      <c r="R24" s="1"/>
    </row>
    <row r="25" spans="1:18">
      <c r="L25" s="300"/>
      <c r="M25" s="139">
        <v>0.09</v>
      </c>
      <c r="N25" s="99">
        <f t="dataTable" ref="N25:N32" dt2D="0" dtr="0" r1="B10"/>
        <v>1482.8518080000001</v>
      </c>
      <c r="P25" s="228">
        <f>M25</f>
        <v>0.09</v>
      </c>
      <c r="Q25" s="229">
        <f>N25</f>
        <v>1482.8518080000001</v>
      </c>
      <c r="R25" s="1"/>
    </row>
    <row r="26" spans="1:18">
      <c r="L26" s="300"/>
      <c r="M26" s="139">
        <v>0.12</v>
      </c>
      <c r="N26" s="99">
        <v>1849.696608</v>
      </c>
      <c r="P26" s="228">
        <f t="shared" ref="P26:Q32" si="0">M26</f>
        <v>0.12</v>
      </c>
      <c r="Q26" s="229">
        <f t="shared" si="0"/>
        <v>1849.696608</v>
      </c>
      <c r="R26" s="1"/>
    </row>
    <row r="27" spans="1:18">
      <c r="L27" s="300"/>
      <c r="M27" s="139">
        <v>0.15</v>
      </c>
      <c r="N27" s="99">
        <v>2216.541408</v>
      </c>
      <c r="P27" s="228">
        <f t="shared" si="0"/>
        <v>0.15</v>
      </c>
      <c r="Q27" s="229">
        <f t="shared" si="0"/>
        <v>2216.541408</v>
      </c>
      <c r="R27" s="1"/>
    </row>
    <row r="28" spans="1:18">
      <c r="L28" s="300"/>
      <c r="M28" s="139">
        <v>0.18</v>
      </c>
      <c r="N28" s="99">
        <v>2583.3862080000004</v>
      </c>
      <c r="P28" s="228">
        <f t="shared" si="0"/>
        <v>0.18</v>
      </c>
      <c r="Q28" s="229">
        <f t="shared" si="0"/>
        <v>2583.3862080000004</v>
      </c>
      <c r="R28" s="1"/>
    </row>
    <row r="29" spans="1:18">
      <c r="L29" s="300"/>
      <c r="M29" s="139">
        <v>0.21</v>
      </c>
      <c r="N29" s="99">
        <v>2950.2310080000002</v>
      </c>
      <c r="P29" s="228">
        <f t="shared" si="0"/>
        <v>0.21</v>
      </c>
      <c r="Q29" s="229">
        <f t="shared" si="0"/>
        <v>2950.2310080000002</v>
      </c>
      <c r="R29" s="1"/>
    </row>
    <row r="30" spans="1:18">
      <c r="L30" s="300"/>
      <c r="M30" s="139">
        <v>0.24</v>
      </c>
      <c r="N30" s="99">
        <v>3317.0758080000001</v>
      </c>
      <c r="P30" s="228">
        <f t="shared" si="0"/>
        <v>0.24</v>
      </c>
      <c r="Q30" s="229">
        <f t="shared" si="0"/>
        <v>3317.0758080000001</v>
      </c>
      <c r="R30" s="1"/>
    </row>
    <row r="31" spans="1:18">
      <c r="L31" s="300"/>
      <c r="M31" s="139">
        <v>0.27</v>
      </c>
      <c r="N31" s="99">
        <v>3683.9206080000008</v>
      </c>
      <c r="P31" s="228">
        <f t="shared" si="0"/>
        <v>0.27</v>
      </c>
      <c r="Q31" s="229">
        <f t="shared" si="0"/>
        <v>3683.9206080000008</v>
      </c>
      <c r="R31" s="1"/>
    </row>
    <row r="32" spans="1:18" ht="15.75" thickBot="1">
      <c r="L32" s="301"/>
      <c r="M32" s="234">
        <v>0.3</v>
      </c>
      <c r="N32" s="107">
        <v>4050.7654080000002</v>
      </c>
      <c r="P32" s="233">
        <f t="shared" si="0"/>
        <v>0.3</v>
      </c>
      <c r="Q32" s="230">
        <f t="shared" si="0"/>
        <v>4050.7654080000002</v>
      </c>
      <c r="R32" s="1"/>
    </row>
    <row r="33" spans="12:18" ht="15.75">
      <c r="L33" s="243" t="s">
        <v>90</v>
      </c>
      <c r="P33" s="243" t="s">
        <v>91</v>
      </c>
      <c r="Q33" s="1"/>
      <c r="R33" s="1"/>
    </row>
  </sheetData>
  <mergeCells count="17">
    <mergeCell ref="D12:E12"/>
    <mergeCell ref="N14:O14"/>
    <mergeCell ref="L24:L32"/>
    <mergeCell ref="K18:L20"/>
    <mergeCell ref="D8:E8"/>
    <mergeCell ref="D9:E9"/>
    <mergeCell ref="T6:V6"/>
    <mergeCell ref="W9:W11"/>
    <mergeCell ref="D10:E10"/>
    <mergeCell ref="T10:T11"/>
    <mergeCell ref="D11:E11"/>
    <mergeCell ref="P11:Q11"/>
    <mergeCell ref="D7:E7"/>
    <mergeCell ref="A6:E6"/>
    <mergeCell ref="H6:I6"/>
    <mergeCell ref="K6:L6"/>
    <mergeCell ref="N6:O6"/>
  </mergeCells>
  <conditionalFormatting sqref="Q25:Q3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5C2E6E49-EE7B-45FA-9AD2-A874B00D0AB9}">
          <x14:formula1>
            <xm:f>'Δεδομένα για Λίστες'!$J$3:$J$4</xm:f>
          </x14:formula1>
          <xm:sqref>E14 E16</xm:sqref>
        </x14:dataValidation>
        <x14:dataValidation type="list" allowBlank="1" showInputMessage="1" showErrorMessage="1" xr:uid="{97E02537-A952-419B-AAA3-781AD9B36826}">
          <x14:formula1>
            <xm:f>'Δεδομένα για Λίστες'!$I$3:$I$7</xm:f>
          </x14:formula1>
          <xm:sqref>B15</xm:sqref>
        </x14:dataValidation>
        <x14:dataValidation type="list" allowBlank="1" showInputMessage="1" showErrorMessage="1" xr:uid="{9E20A731-6AEF-4E45-A175-F6A51D1345BA}">
          <x14:formula1>
            <xm:f>'Δεδομένα για Λίστες'!$H$3:$H$6</xm:f>
          </x14:formula1>
          <xm:sqref>B14</xm:sqref>
        </x14:dataValidation>
        <x14:dataValidation type="list" allowBlank="1" showInputMessage="1" showErrorMessage="1" xr:uid="{7224F10E-65F2-4516-99B2-02CFC1E7C523}">
          <x14:formula1>
            <xm:f>'Δεδομένα για Λίστες'!$B$13:$B$25</xm:f>
          </x14:formula1>
          <xm:sqref>B13</xm:sqref>
        </x14:dataValidation>
        <x14:dataValidation type="list" allowBlank="1" showInputMessage="1" showErrorMessage="1" xr:uid="{F2A5A410-79AE-4133-B447-9993525A1AF0}">
          <x14:formula1>
            <xm:f>'Δεδομένα για Λίστες'!$C$3:$C$5</xm:f>
          </x14:formula1>
          <xm:sqref>B12</xm:sqref>
        </x14:dataValidation>
        <x14:dataValidation type="list" allowBlank="1" showInputMessage="1" showErrorMessage="1" xr:uid="{DE4DA01C-6BE5-4F4C-BD2C-135891D7DFC0}">
          <x14:formula1>
            <xm:f>'Δεδομένα για Λίστες'!$B$3:$B$5</xm:f>
          </x14:formula1>
          <xm:sqref>B9</xm:sqref>
        </x14:dataValidation>
        <x14:dataValidation type="list" allowBlank="1" showInputMessage="1" showErrorMessage="1" xr:uid="{10C598D9-BF9F-4604-8D46-45832A1E6040}">
          <x14:formula1>
            <xm:f>'Δεδομένα για Λίστες'!$A$3:$A$11</xm:f>
          </x14:formula1>
          <xm:sqref>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A7C79-7E25-4EE7-AED7-E534ADC3DA46}">
  <dimension ref="A1:I11"/>
  <sheetViews>
    <sheetView tabSelected="1" workbookViewId="0">
      <selection activeCell="F18" sqref="F18"/>
    </sheetView>
  </sheetViews>
  <sheetFormatPr defaultRowHeight="15"/>
  <cols>
    <col min="1" max="1" width="33.7109375" customWidth="1"/>
    <col min="2" max="2" width="20.28515625" customWidth="1"/>
    <col min="3" max="3" width="10.85546875" customWidth="1"/>
    <col min="4" max="4" width="26.85546875" customWidth="1"/>
    <col min="7" max="7" width="20.140625" customWidth="1"/>
    <col min="8" max="8" width="19.5703125" customWidth="1"/>
    <col min="9" max="9" width="18.5703125" customWidth="1"/>
  </cols>
  <sheetData>
    <row r="1" spans="1:9" ht="15.75" thickBot="1"/>
    <row r="2" spans="1:9" ht="75" customHeight="1">
      <c r="A2" s="310" t="s">
        <v>92</v>
      </c>
      <c r="B2" s="311"/>
      <c r="D2" s="306" t="s">
        <v>93</v>
      </c>
      <c r="E2" s="307"/>
      <c r="G2" s="308" t="s">
        <v>94</v>
      </c>
      <c r="H2" s="309"/>
    </row>
    <row r="3" spans="1:9">
      <c r="A3" s="260" t="s">
        <v>95</v>
      </c>
      <c r="B3" s="269">
        <v>8</v>
      </c>
      <c r="D3" s="260" t="s">
        <v>96</v>
      </c>
      <c r="E3" s="268">
        <v>0.06</v>
      </c>
      <c r="G3" s="260" t="s">
        <v>97</v>
      </c>
      <c r="H3" s="24">
        <f>IF(B3&lt;=5,2000,IF(B3&lt;=10,1500,IF(B3&lt;=20,1200,IF(B3&lt;=50,1000,IF(B3&lt;=100,850,750)))))</f>
        <v>1500</v>
      </c>
    </row>
    <row r="4" spans="1:9">
      <c r="A4" s="260" t="s">
        <v>98</v>
      </c>
      <c r="B4" s="269">
        <v>12</v>
      </c>
      <c r="D4" s="260" t="s">
        <v>99</v>
      </c>
      <c r="E4" s="97">
        <v>5</v>
      </c>
      <c r="G4" s="260" t="s">
        <v>100</v>
      </c>
      <c r="H4" s="24">
        <v>800</v>
      </c>
    </row>
    <row r="5" spans="1:9">
      <c r="A5" s="260" t="s">
        <v>101</v>
      </c>
      <c r="B5" s="269">
        <v>656</v>
      </c>
      <c r="D5" s="260" t="s">
        <v>102</v>
      </c>
      <c r="E5" s="268">
        <v>0.5</v>
      </c>
      <c r="G5" s="260" t="s">
        <v>103</v>
      </c>
      <c r="H5" s="24">
        <f>B3*H3</f>
        <v>12000</v>
      </c>
    </row>
    <row r="6" spans="1:9" ht="15.75" thickBot="1">
      <c r="A6" s="237" t="s">
        <v>104</v>
      </c>
      <c r="B6" s="270">
        <f>B5/12</f>
        <v>54.666666666666664</v>
      </c>
      <c r="D6" s="264"/>
      <c r="E6" s="107"/>
      <c r="G6" s="260" t="s">
        <v>105</v>
      </c>
      <c r="H6" s="24">
        <f>H4*B4</f>
        <v>9600</v>
      </c>
    </row>
    <row r="7" spans="1:9" ht="30.75" thickBot="1">
      <c r="G7" s="265" t="s">
        <v>106</v>
      </c>
      <c r="H7" s="24">
        <f>IF(C8,C9,H5+H6)</f>
        <v>11656</v>
      </c>
      <c r="I7" s="1"/>
    </row>
    <row r="8" spans="1:9" ht="30.75" thickBot="1">
      <c r="B8" s="272" t="s">
        <v>107</v>
      </c>
      <c r="C8" s="273">
        <v>1</v>
      </c>
      <c r="D8" s="271" t="s">
        <v>108</v>
      </c>
      <c r="G8" s="266" t="s">
        <v>109</v>
      </c>
      <c r="H8" s="267">
        <f>PMT(E3/12,E4*12,H7-E5*H7)</f>
        <v>-112.67156731350588</v>
      </c>
      <c r="I8" s="239"/>
    </row>
    <row r="9" spans="1:9" ht="15.75" thickBot="1">
      <c r="B9" s="104" t="s">
        <v>110</v>
      </c>
      <c r="C9" s="274">
        <v>11656</v>
      </c>
      <c r="D9" t="s">
        <v>111</v>
      </c>
    </row>
    <row r="11" spans="1:9">
      <c r="C11" s="275">
        <f>C9/2</f>
        <v>5828</v>
      </c>
    </row>
  </sheetData>
  <mergeCells count="3">
    <mergeCell ref="D2:E2"/>
    <mergeCell ref="G2:H2"/>
    <mergeCell ref="A2:B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644C56A-B595-42B9-8669-EC5C35428D05}">
          <x14:formula1>
            <xm:f>'Δεδομένα για Λίστες'!$L$3:$L$10</xm:f>
          </x14:formula1>
          <xm:sqref>E3</xm:sqref>
        </x14:dataValidation>
        <x14:dataValidation type="list" allowBlank="1" showInputMessage="1" showErrorMessage="1" xr:uid="{0F45C406-3551-4FBD-A7D5-BDEC4221B4FC}">
          <x14:formula1>
            <xm:f>'Δεδομένα για Λίστες'!$M$3:$M$9</xm:f>
          </x14:formula1>
          <xm:sqref>E4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9B884-AB88-4C26-9544-9DF45B1CBFA1}">
  <dimension ref="A1:F13"/>
  <sheetViews>
    <sheetView workbookViewId="0">
      <selection activeCell="J32" sqref="J32"/>
    </sheetView>
  </sheetViews>
  <sheetFormatPr defaultRowHeight="15"/>
  <cols>
    <col min="1" max="1" width="24.7109375" customWidth="1"/>
    <col min="2" max="2" width="15.28515625" customWidth="1"/>
    <col min="5" max="5" width="23.7109375" customWidth="1"/>
    <col min="6" max="6" width="24.5703125" customWidth="1"/>
  </cols>
  <sheetData>
    <row r="1" spans="1:6">
      <c r="A1" s="35"/>
      <c r="B1" s="1" t="s">
        <v>0</v>
      </c>
    </row>
    <row r="2" spans="1:6">
      <c r="A2" s="36"/>
      <c r="B2" s="1" t="s">
        <v>1</v>
      </c>
    </row>
    <row r="3" spans="1:6">
      <c r="A3" s="37"/>
      <c r="B3" s="1" t="s">
        <v>112</v>
      </c>
    </row>
    <row r="5" spans="1:6" ht="15.75" thickBot="1"/>
    <row r="6" spans="1:6" ht="16.5" thickBot="1">
      <c r="A6" s="312" t="s">
        <v>113</v>
      </c>
      <c r="B6" s="313"/>
      <c r="E6" s="312" t="s">
        <v>114</v>
      </c>
      <c r="F6" s="313"/>
    </row>
    <row r="7" spans="1:6" ht="15.75" thickBot="1">
      <c r="A7" s="314" t="s">
        <v>115</v>
      </c>
      <c r="B7" s="315"/>
      <c r="E7" s="314" t="s">
        <v>115</v>
      </c>
      <c r="F7" s="315"/>
    </row>
    <row r="8" spans="1:6">
      <c r="A8" s="110" t="s">
        <v>116</v>
      </c>
      <c r="B8" s="111">
        <v>900</v>
      </c>
      <c r="E8" s="110" t="s">
        <v>117</v>
      </c>
      <c r="F8" s="111">
        <v>900</v>
      </c>
    </row>
    <row r="9" spans="1:6" ht="15.75" thickBot="1">
      <c r="A9" s="110" t="s">
        <v>118</v>
      </c>
      <c r="B9" s="111">
        <v>7.0000000000000007E-2</v>
      </c>
      <c r="E9" s="115" t="s">
        <v>119</v>
      </c>
      <c r="F9" s="116" t="s">
        <v>120</v>
      </c>
    </row>
    <row r="10" spans="1:6" ht="15.75" thickBot="1">
      <c r="A10" s="110" t="s">
        <v>119</v>
      </c>
      <c r="B10" s="112" t="s">
        <v>121</v>
      </c>
    </row>
    <row r="11" spans="1:6" ht="15.75" thickBot="1">
      <c r="A11" s="314" t="s">
        <v>7</v>
      </c>
      <c r="B11" s="315"/>
      <c r="E11" s="314" t="s">
        <v>7</v>
      </c>
      <c r="F11" s="315"/>
    </row>
    <row r="12" spans="1:6" ht="31.5" customHeight="1">
      <c r="A12" s="94" t="s">
        <v>122</v>
      </c>
      <c r="B12" s="113">
        <f>IF(B10="Κατοικία",B9+0.05,IF(B10="Επιχείρηση χαμηλής τάσης",B9+0.04,B9+0.035))</f>
        <v>0.10500000000000001</v>
      </c>
      <c r="E12" s="94" t="s">
        <v>122</v>
      </c>
      <c r="F12" s="113">
        <f>IF(F9="Κατοικία",0.17,IF(F9="Επιχείρηση χαμηλής τάσης",0.15,0.12))</f>
        <v>0.17</v>
      </c>
    </row>
    <row r="13" spans="1:6" ht="30.75" thickBot="1">
      <c r="A13" s="104" t="s">
        <v>123</v>
      </c>
      <c r="B13" s="114">
        <f>B8/B12</f>
        <v>8571.4285714285706</v>
      </c>
      <c r="E13" s="104" t="s">
        <v>123</v>
      </c>
      <c r="F13" s="114">
        <f>F8/F12</f>
        <v>5294.1176470588234</v>
      </c>
    </row>
  </sheetData>
  <mergeCells count="6">
    <mergeCell ref="A6:B6"/>
    <mergeCell ref="A7:B7"/>
    <mergeCell ref="A11:B11"/>
    <mergeCell ref="E6:F6"/>
    <mergeCell ref="E7:F7"/>
    <mergeCell ref="E11:F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5616764-0FF6-4269-AC31-1092B6713908}">
          <x14:formula1>
            <xm:f>'Δεδομένα για Λίστες'!$F$13:$F$15</xm:f>
          </x14:formula1>
          <xm:sqref>B10 F9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64608-E1A7-4872-B729-F7872EBAE763}">
  <dimension ref="A1:V33"/>
  <sheetViews>
    <sheetView zoomScale="55" zoomScaleNormal="55" workbookViewId="0">
      <selection activeCell="I9" sqref="I9"/>
    </sheetView>
  </sheetViews>
  <sheetFormatPr defaultColWidth="8.7109375" defaultRowHeight="15"/>
  <cols>
    <col min="1" max="1" width="25.5703125" style="1" customWidth="1"/>
    <col min="2" max="2" width="14.7109375" style="1" customWidth="1"/>
    <col min="3" max="3" width="17.5703125" style="1" customWidth="1"/>
    <col min="4" max="4" width="18.140625" style="1" customWidth="1"/>
    <col min="5" max="5" width="24.28515625" style="1" customWidth="1"/>
    <col min="6" max="7" width="8.7109375" style="1"/>
    <col min="8" max="8" width="26.42578125" style="1" customWidth="1"/>
    <col min="9" max="9" width="10.5703125" style="1" bestFit="1" customWidth="1"/>
    <col min="10" max="10" width="8.7109375" style="1"/>
    <col min="11" max="11" width="24.140625" style="1" customWidth="1"/>
    <col min="12" max="12" width="24.42578125" style="1" customWidth="1"/>
    <col min="13" max="13" width="8.7109375" style="1"/>
    <col min="14" max="14" width="20.85546875" style="1" customWidth="1"/>
    <col min="15" max="15" width="19.140625" style="1" customWidth="1"/>
    <col min="16" max="16" width="8.7109375" style="1"/>
    <col min="17" max="17" width="14.7109375" style="1" customWidth="1"/>
    <col min="18" max="18" width="18" style="1" customWidth="1"/>
    <col min="19" max="19" width="28" style="1" customWidth="1"/>
    <col min="20" max="20" width="13.140625" style="1" customWidth="1"/>
    <col min="21" max="21" width="22.85546875" style="1" customWidth="1"/>
    <col min="22" max="22" width="31.140625" style="1" customWidth="1"/>
    <col min="23" max="16384" width="8.7109375" style="1"/>
  </cols>
  <sheetData>
    <row r="1" spans="1:22">
      <c r="A1" s="222"/>
      <c r="B1" s="161" t="s">
        <v>0</v>
      </c>
      <c r="C1" s="161"/>
      <c r="D1" s="161"/>
      <c r="E1" s="162"/>
    </row>
    <row r="2" spans="1:22">
      <c r="A2" s="223"/>
      <c r="B2" s="1" t="s">
        <v>1</v>
      </c>
      <c r="E2" s="140"/>
    </row>
    <row r="3" spans="1:22">
      <c r="A3" s="224"/>
      <c r="B3" s="1" t="s">
        <v>2</v>
      </c>
      <c r="E3" s="140"/>
    </row>
    <row r="4" spans="1:22" ht="15.75" thickBot="1">
      <c r="A4" s="225"/>
      <c r="B4" s="250" t="s">
        <v>3</v>
      </c>
      <c r="C4" s="42"/>
      <c r="D4" s="42"/>
      <c r="E4" s="43"/>
    </row>
    <row r="5" spans="1:22" ht="15.75" thickBot="1"/>
    <row r="6" spans="1:22" ht="15.75" thickBot="1">
      <c r="A6" s="278" t="s">
        <v>4</v>
      </c>
      <c r="B6" s="278"/>
      <c r="C6" s="278"/>
      <c r="D6" s="278"/>
      <c r="E6" s="278"/>
      <c r="H6" s="279" t="s">
        <v>5</v>
      </c>
      <c r="I6" s="280"/>
      <c r="K6" s="281" t="s">
        <v>6</v>
      </c>
      <c r="L6" s="282"/>
      <c r="N6" s="283" t="s">
        <v>7</v>
      </c>
      <c r="O6" s="284"/>
      <c r="R6" s="285" t="s">
        <v>8</v>
      </c>
      <c r="S6" s="286"/>
      <c r="T6" s="287"/>
    </row>
    <row r="7" spans="1:22" ht="90.75" thickBot="1">
      <c r="A7" s="8" t="s">
        <v>9</v>
      </c>
      <c r="B7" s="6">
        <v>240000</v>
      </c>
      <c r="C7" s="14" t="s">
        <v>10</v>
      </c>
      <c r="D7" s="2" t="s">
        <v>11</v>
      </c>
      <c r="E7" s="3"/>
      <c r="H7" s="20" t="s">
        <v>12</v>
      </c>
      <c r="I7" s="23">
        <f>IF(B12="Πρωί-Μεσημέρι",70%,IF(B12="Απόγευμα-Βράδυ",30%,60%))</f>
        <v>0.7</v>
      </c>
      <c r="K7" s="20" t="s">
        <v>124</v>
      </c>
      <c r="L7" s="91">
        <f>B7/I12</f>
        <v>160</v>
      </c>
      <c r="N7" s="81" t="s">
        <v>14</v>
      </c>
      <c r="O7" s="82">
        <f>IF(B9="Γ1Ν",(B10*I7+B11*I8),B10)</f>
        <v>6.6000000000000003E-2</v>
      </c>
      <c r="R7" s="88" t="s">
        <v>15</v>
      </c>
      <c r="S7" s="89">
        <f>L17-(L10/B7)*(0.041*(1-I9)*30%*L10)</f>
        <v>31553.564625000006</v>
      </c>
      <c r="T7" s="90" t="s">
        <v>16</v>
      </c>
      <c r="U7" s="65">
        <f>L17-S7</f>
        <v>1.5374999999039574E-2</v>
      </c>
      <c r="V7" s="1">
        <f>(L10/B7)*L17</f>
        <v>131.47325000000001</v>
      </c>
    </row>
    <row r="8" spans="1:22" ht="90.75" thickBot="1">
      <c r="A8" s="9" t="s">
        <v>125</v>
      </c>
      <c r="B8" s="12">
        <v>135</v>
      </c>
      <c r="C8" s="4" t="s">
        <v>126</v>
      </c>
      <c r="D8" s="49" t="s">
        <v>19</v>
      </c>
      <c r="E8" s="50" t="s">
        <v>20</v>
      </c>
      <c r="H8" s="16" t="s">
        <v>21</v>
      </c>
      <c r="I8" s="17">
        <f>1-I7</f>
        <v>0.30000000000000004</v>
      </c>
      <c r="K8" s="20" t="s">
        <v>22</v>
      </c>
      <c r="L8" s="22">
        <f>IF(B8&lt;=12,5,IF(B8&gt;=100,100,B8))</f>
        <v>100</v>
      </c>
      <c r="N8" s="81" t="s">
        <v>23</v>
      </c>
      <c r="O8" s="82">
        <v>0.05</v>
      </c>
      <c r="R8" s="25" t="s">
        <v>24</v>
      </c>
      <c r="S8" s="38">
        <f>80%*B7*I14*I15/1000</f>
        <v>474.72</v>
      </c>
      <c r="T8" s="39" t="s">
        <v>25</v>
      </c>
    </row>
    <row r="9" spans="1:22" ht="105.75" thickBot="1">
      <c r="A9" s="9" t="s">
        <v>26</v>
      </c>
      <c r="B9" s="12" t="s">
        <v>127</v>
      </c>
      <c r="C9" s="15" t="s">
        <v>128</v>
      </c>
      <c r="D9" s="304"/>
      <c r="E9" s="305"/>
      <c r="H9" s="16" t="s">
        <v>30</v>
      </c>
      <c r="I9" s="66">
        <f>IF(B12="Απόγευμα-Βράδυ",30%,70%)</f>
        <v>0.7</v>
      </c>
      <c r="K9" s="20" t="s">
        <v>31</v>
      </c>
      <c r="L9" s="22">
        <f>MIN(B7/I12,L8)</f>
        <v>100</v>
      </c>
      <c r="N9" s="81" t="s">
        <v>129</v>
      </c>
      <c r="O9" s="83">
        <f>L12*O7+O8*L12*I9</f>
        <v>15150</v>
      </c>
      <c r="R9" s="40" t="s">
        <v>34</v>
      </c>
      <c r="S9" s="41" t="s">
        <v>35</v>
      </c>
      <c r="T9" s="48" t="s">
        <v>36</v>
      </c>
      <c r="U9" s="288" t="s">
        <v>37</v>
      </c>
      <c r="V9" s="44" t="s">
        <v>38</v>
      </c>
    </row>
    <row r="10" spans="1:22" ht="60.75" thickBot="1">
      <c r="A10" s="9" t="s">
        <v>39</v>
      </c>
      <c r="B10" s="7">
        <v>6.6000000000000003E-2</v>
      </c>
      <c r="C10" s="5" t="s">
        <v>11</v>
      </c>
      <c r="D10" s="3"/>
      <c r="E10" s="3"/>
      <c r="H10" s="16" t="s">
        <v>41</v>
      </c>
      <c r="I10" s="17">
        <f>IF(B14="Στέγη",IF(OR(B15="Α",B15="Δ"),85%,IF(OR(B15="ΝΑ",B15="ΝΔ"),93%,95%)),100%)</f>
        <v>1</v>
      </c>
      <c r="K10" s="16" t="s">
        <v>42</v>
      </c>
      <c r="L10" s="34">
        <f>B16/I13</f>
        <v>1000</v>
      </c>
      <c r="M10"/>
      <c r="N10" s="18" t="s">
        <v>130</v>
      </c>
      <c r="O10" s="84">
        <f>L16*365*O8</f>
        <v>2250.0000000000005</v>
      </c>
      <c r="P10"/>
      <c r="Q10"/>
      <c r="R10" s="293" t="s">
        <v>45</v>
      </c>
      <c r="S10" s="1" t="s">
        <v>46</v>
      </c>
      <c r="U10" s="289"/>
      <c r="V10" s="45" t="s">
        <v>47</v>
      </c>
    </row>
    <row r="11" spans="1:22" ht="60.75" thickBot="1">
      <c r="A11" s="9" t="s">
        <v>48</v>
      </c>
      <c r="B11" s="7">
        <v>6.6000000000000003E-2</v>
      </c>
      <c r="C11" s="4" t="s">
        <v>131</v>
      </c>
      <c r="D11" s="2" t="s">
        <v>11</v>
      </c>
      <c r="E11" s="3"/>
      <c r="H11" s="16" t="s">
        <v>50</v>
      </c>
      <c r="I11" s="21">
        <f>IF(OR(B13="Νότιο Αιγαίο",B13="Κρήτη"),1600,IF(OR(B13="Αττική",B13="Δυτική Ελλάδα",B13="Ιόνιοι Νήσοι"),1550,IF(B13="Πελοπόννησος",1500,IF(OR(B13="Ήπειρος",B13="Θεσσαλία",B13="Στερεά Ελλάδα"),1450,1400))))</f>
        <v>1500</v>
      </c>
      <c r="K11" s="16" t="s">
        <v>51</v>
      </c>
      <c r="L11" s="34">
        <f>MIN(L9,L10)</f>
        <v>100</v>
      </c>
      <c r="N11" s="85" t="s">
        <v>132</v>
      </c>
      <c r="O11" s="86">
        <f>IF(E14="Ναι",(O9+O10),O9)</f>
        <v>17400</v>
      </c>
      <c r="R11" s="294"/>
      <c r="S11" s="42" t="s">
        <v>54</v>
      </c>
      <c r="T11" s="42"/>
      <c r="U11" s="290"/>
      <c r="V11" s="43"/>
    </row>
    <row r="12" spans="1:22" ht="60.75" thickBot="1">
      <c r="A12" s="10" t="s">
        <v>55</v>
      </c>
      <c r="B12" s="13" t="s">
        <v>133</v>
      </c>
      <c r="C12" s="4" t="s">
        <v>134</v>
      </c>
      <c r="D12" s="2" t="s">
        <v>58</v>
      </c>
      <c r="E12" s="3"/>
      <c r="H12" s="16" t="s">
        <v>59</v>
      </c>
      <c r="I12" s="51">
        <f>I11*I10</f>
        <v>1500</v>
      </c>
      <c r="K12" s="25" t="s">
        <v>60</v>
      </c>
      <c r="L12" s="26">
        <f>L11*I12</f>
        <v>150000</v>
      </c>
    </row>
    <row r="13" spans="1:22" ht="60.75" thickBot="1">
      <c r="A13" s="10" t="s">
        <v>61</v>
      </c>
      <c r="B13" s="46" t="s">
        <v>135</v>
      </c>
      <c r="H13" s="16" t="s">
        <v>63</v>
      </c>
      <c r="I13" s="21">
        <v>5</v>
      </c>
      <c r="K13" s="25" t="s">
        <v>64</v>
      </c>
      <c r="L13" s="26">
        <f>L11*I13</f>
        <v>500</v>
      </c>
    </row>
    <row r="14" spans="1:22" ht="75.75" thickBot="1">
      <c r="A14" s="10" t="s">
        <v>65</v>
      </c>
      <c r="B14" s="46" t="s">
        <v>136</v>
      </c>
      <c r="D14" s="236" t="s">
        <v>67</v>
      </c>
      <c r="E14" s="242" t="s">
        <v>80</v>
      </c>
      <c r="H14" s="16" t="s">
        <v>69</v>
      </c>
      <c r="I14" s="24">
        <v>2.5</v>
      </c>
      <c r="K14" s="16" t="s">
        <v>70</v>
      </c>
      <c r="L14" s="34">
        <f>L12*(1-I9)/365</f>
        <v>123.28767123287673</v>
      </c>
      <c r="N14" s="297" t="s">
        <v>71</v>
      </c>
      <c r="O14" s="298"/>
      <c r="S14" s="65"/>
    </row>
    <row r="15" spans="1:22" ht="60.75" thickBot="1">
      <c r="A15" s="10" t="s">
        <v>72</v>
      </c>
      <c r="B15" s="46" t="s">
        <v>137</v>
      </c>
      <c r="D15" s="236" t="s">
        <v>74</v>
      </c>
      <c r="E15" s="242">
        <v>12</v>
      </c>
      <c r="H15" s="18" t="s">
        <v>75</v>
      </c>
      <c r="I15" s="19">
        <v>0.98899999999999999</v>
      </c>
      <c r="K15" s="16" t="s">
        <v>76</v>
      </c>
      <c r="L15" s="34">
        <f>E15</f>
        <v>12</v>
      </c>
      <c r="N15" s="94" t="s">
        <v>138</v>
      </c>
      <c r="O15" s="244">
        <f>L17</f>
        <v>31553.580000000005</v>
      </c>
    </row>
    <row r="16" spans="1:22" ht="75.75" thickBot="1">
      <c r="A16" s="10" t="s">
        <v>78</v>
      </c>
      <c r="B16" s="46">
        <v>5000</v>
      </c>
      <c r="D16" s="236" t="s">
        <v>79</v>
      </c>
      <c r="E16" s="242" t="s">
        <v>68</v>
      </c>
      <c r="K16" s="240" t="s">
        <v>81</v>
      </c>
      <c r="L16" s="241">
        <f>IF(E14="Όχι",L15,L14)</f>
        <v>123.28767123287673</v>
      </c>
      <c r="N16" s="94" t="s">
        <v>139</v>
      </c>
      <c r="O16" s="244">
        <f>O15-O9</f>
        <v>16403.580000000005</v>
      </c>
    </row>
    <row r="17" spans="11:17" ht="45.75" thickBot="1">
      <c r="K17" s="18" t="s">
        <v>83</v>
      </c>
      <c r="L17" s="32">
        <f>IF(B9="Γ21",(B10+0.041)*B7,IF(B9="Γ22",0.8*B8*1.23*365/30+(B10+0.041)*B7+0.8*B8*3.24*365/30,(B10*I7+B11*I8+0.059*I7+0.035*I8)*B7))</f>
        <v>31553.580000000005</v>
      </c>
      <c r="N17" s="237" t="s">
        <v>84</v>
      </c>
      <c r="O17" s="245">
        <f>O11</f>
        <v>17400</v>
      </c>
    </row>
    <row r="22" spans="11:17">
      <c r="L22" s="1" t="s">
        <v>86</v>
      </c>
    </row>
    <row r="23" spans="11:17" ht="15.75" thickBot="1"/>
    <row r="24" spans="11:17" ht="60.75" thickBot="1">
      <c r="L24" s="299" t="s">
        <v>87</v>
      </c>
      <c r="M24" s="226"/>
      <c r="N24" s="227">
        <f>O17</f>
        <v>17400</v>
      </c>
      <c r="O24"/>
      <c r="P24" s="231" t="s">
        <v>88</v>
      </c>
      <c r="Q24" s="232" t="s">
        <v>89</v>
      </c>
    </row>
    <row r="25" spans="11:17">
      <c r="L25" s="300"/>
      <c r="M25" s="139">
        <v>0.09</v>
      </c>
      <c r="N25" s="254">
        <f t="dataTable" ref="N25:N32" dt2D="0" dtr="0" r1="B10"/>
        <v>21000</v>
      </c>
      <c r="O25"/>
      <c r="P25" s="228">
        <f>M25</f>
        <v>0.09</v>
      </c>
      <c r="Q25" s="253">
        <f>N25</f>
        <v>21000</v>
      </c>
    </row>
    <row r="26" spans="11:17">
      <c r="L26" s="300"/>
      <c r="M26" s="139">
        <v>0.12</v>
      </c>
      <c r="N26" s="254">
        <v>25500</v>
      </c>
      <c r="O26"/>
      <c r="P26" s="228">
        <f t="shared" ref="P26:Q32" si="0">M26</f>
        <v>0.12</v>
      </c>
      <c r="Q26" s="253">
        <f t="shared" si="0"/>
        <v>25500</v>
      </c>
    </row>
    <row r="27" spans="11:17">
      <c r="L27" s="300"/>
      <c r="M27" s="139">
        <v>0.15</v>
      </c>
      <c r="N27" s="254">
        <v>30000</v>
      </c>
      <c r="O27"/>
      <c r="P27" s="228">
        <f t="shared" si="0"/>
        <v>0.15</v>
      </c>
      <c r="Q27" s="253">
        <f t="shared" si="0"/>
        <v>30000</v>
      </c>
    </row>
    <row r="28" spans="11:17">
      <c r="L28" s="300"/>
      <c r="M28" s="139">
        <v>0.18</v>
      </c>
      <c r="N28" s="254">
        <v>34500</v>
      </c>
      <c r="O28"/>
      <c r="P28" s="228">
        <f t="shared" si="0"/>
        <v>0.18</v>
      </c>
      <c r="Q28" s="253">
        <f t="shared" si="0"/>
        <v>34500</v>
      </c>
    </row>
    <row r="29" spans="11:17">
      <c r="L29" s="300"/>
      <c r="M29" s="139">
        <v>0.21</v>
      </c>
      <c r="N29" s="254">
        <v>39000</v>
      </c>
      <c r="O29"/>
      <c r="P29" s="228">
        <f t="shared" si="0"/>
        <v>0.21</v>
      </c>
      <c r="Q29" s="253">
        <f t="shared" si="0"/>
        <v>39000</v>
      </c>
    </row>
    <row r="30" spans="11:17">
      <c r="L30" s="300"/>
      <c r="M30" s="139">
        <v>0.24</v>
      </c>
      <c r="N30" s="254">
        <v>43500</v>
      </c>
      <c r="O30"/>
      <c r="P30" s="228">
        <f t="shared" si="0"/>
        <v>0.24</v>
      </c>
      <c r="Q30" s="253">
        <f t="shared" si="0"/>
        <v>43500</v>
      </c>
    </row>
    <row r="31" spans="11:17">
      <c r="L31" s="300"/>
      <c r="M31" s="139">
        <v>0.27</v>
      </c>
      <c r="N31" s="254">
        <v>48000</v>
      </c>
      <c r="O31"/>
      <c r="P31" s="228">
        <f t="shared" si="0"/>
        <v>0.27</v>
      </c>
      <c r="Q31" s="253">
        <f t="shared" si="0"/>
        <v>48000</v>
      </c>
    </row>
    <row r="32" spans="11:17" ht="15.75" thickBot="1">
      <c r="L32" s="301"/>
      <c r="M32" s="234">
        <v>0.3</v>
      </c>
      <c r="N32" s="251">
        <v>52500</v>
      </c>
      <c r="O32"/>
      <c r="P32" s="233">
        <f t="shared" si="0"/>
        <v>0.3</v>
      </c>
      <c r="Q32" s="252">
        <f t="shared" si="0"/>
        <v>52500</v>
      </c>
    </row>
    <row r="33" spans="12:16" ht="15.75">
      <c r="L33" s="235" t="s">
        <v>90</v>
      </c>
      <c r="M33"/>
      <c r="N33"/>
      <c r="O33"/>
      <c r="P33" s="235" t="s">
        <v>91</v>
      </c>
    </row>
  </sheetData>
  <mergeCells count="10">
    <mergeCell ref="N14:O14"/>
    <mergeCell ref="L24:L32"/>
    <mergeCell ref="U9:U11"/>
    <mergeCell ref="R10:R11"/>
    <mergeCell ref="A6:E6"/>
    <mergeCell ref="H6:I6"/>
    <mergeCell ref="K6:L6"/>
    <mergeCell ref="R6:T6"/>
    <mergeCell ref="D9:E9"/>
    <mergeCell ref="N6:O6"/>
  </mergeCells>
  <conditionalFormatting sqref="Q25:Q3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disablePrompts="1" count="7">
        <x14:dataValidation type="list" allowBlank="1" showInputMessage="1" showErrorMessage="1" xr:uid="{C6A52123-F579-4902-9B40-CB3AD5BED2A7}">
          <x14:formula1>
            <xm:f>'Δεδομένα για Λίστες'!$I$3:$I$7</xm:f>
          </x14:formula1>
          <xm:sqref>B15</xm:sqref>
        </x14:dataValidation>
        <x14:dataValidation type="list" allowBlank="1" showInputMessage="1" showErrorMessage="1" xr:uid="{F3D5850C-14D6-423C-B496-73DEC1CE1476}">
          <x14:formula1>
            <xm:f>'Δεδομένα για Λίστες'!$H$3:$H$6</xm:f>
          </x14:formula1>
          <xm:sqref>B14</xm:sqref>
        </x14:dataValidation>
        <x14:dataValidation type="list" allowBlank="1" showInputMessage="1" showErrorMessage="1" xr:uid="{36E18442-1E78-4094-ACF8-C38F0DE1A07F}">
          <x14:formula1>
            <xm:f>'Δεδομένα για Λίστες'!$B$13:$B$25</xm:f>
          </x14:formula1>
          <xm:sqref>B13</xm:sqref>
        </x14:dataValidation>
        <x14:dataValidation type="list" allowBlank="1" showInputMessage="1" showErrorMessage="1" xr:uid="{80F451A4-DD82-49D9-A9FD-C2F3B23AA8C7}">
          <x14:formula1>
            <xm:f>'Δεδομένα για Λίστες'!$E$3:$E$5</xm:f>
          </x14:formula1>
          <xm:sqref>B9</xm:sqref>
        </x14:dataValidation>
        <x14:dataValidation type="list" allowBlank="1" showInputMessage="1" showErrorMessage="1" xr:uid="{A835ED5C-0AB7-48CC-B001-C26C2B442642}">
          <x14:formula1>
            <xm:f>'Δεδομένα για Λίστες'!$F$3:$F$5</xm:f>
          </x14:formula1>
          <xm:sqref>B12</xm:sqref>
        </x14:dataValidation>
        <x14:dataValidation type="list" allowBlank="1" showInputMessage="1" showErrorMessage="1" xr:uid="{BC3F57D1-6D9A-4B87-905A-73D27FA4E059}">
          <x14:formula1>
            <xm:f>'Δεδομένα για Λίστες'!$A$3:$A$11</xm:f>
          </x14:formula1>
          <xm:sqref>B8</xm:sqref>
        </x14:dataValidation>
        <x14:dataValidation type="list" allowBlank="1" showInputMessage="1" showErrorMessage="1" xr:uid="{46DD8A05-7109-4DFE-BD8A-6478F5E71169}">
          <x14:formula1>
            <xm:f>'Δεδομένα για Λίστες'!$J$3:$J$4</xm:f>
          </x14:formula1>
          <xm:sqref>E14 E16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6291-D5F5-4435-B4FB-88FA2501FAD0}">
  <dimension ref="A1:V33"/>
  <sheetViews>
    <sheetView topLeftCell="A4" zoomScale="55" zoomScaleNormal="55" workbookViewId="0">
      <selection activeCell="L8" sqref="L8"/>
    </sheetView>
  </sheetViews>
  <sheetFormatPr defaultColWidth="8.7109375" defaultRowHeight="15"/>
  <cols>
    <col min="1" max="1" width="25.5703125" style="1" customWidth="1"/>
    <col min="2" max="2" width="14.7109375" style="1" customWidth="1"/>
    <col min="3" max="3" width="17.5703125" style="1" customWidth="1"/>
    <col min="4" max="4" width="18.140625" style="1" customWidth="1"/>
    <col min="5" max="5" width="24.28515625" style="1" customWidth="1"/>
    <col min="6" max="7" width="8.7109375" style="1"/>
    <col min="8" max="8" width="26.42578125" style="1" customWidth="1"/>
    <col min="9" max="9" width="10.5703125" style="1" bestFit="1" customWidth="1"/>
    <col min="10" max="10" width="8.7109375" style="1"/>
    <col min="11" max="11" width="27.85546875" style="1" customWidth="1"/>
    <col min="12" max="12" width="17.28515625" style="1" customWidth="1"/>
    <col min="13" max="13" width="14.85546875" customWidth="1"/>
    <col min="14" max="14" width="20.28515625" customWidth="1"/>
    <col min="15" max="15" width="19" customWidth="1"/>
    <col min="16" max="16" width="12.5703125" customWidth="1"/>
    <col min="17" max="17" width="17" style="1" customWidth="1"/>
    <col min="18" max="18" width="18" style="1" customWidth="1"/>
    <col min="19" max="19" width="28" style="1" customWidth="1"/>
    <col min="20" max="20" width="13.140625" style="1" customWidth="1"/>
    <col min="21" max="21" width="25.7109375" style="1" customWidth="1"/>
    <col min="22" max="22" width="21" style="1" customWidth="1"/>
    <col min="23" max="16384" width="8.7109375" style="1"/>
  </cols>
  <sheetData>
    <row r="1" spans="1:22">
      <c r="A1" s="35"/>
      <c r="B1" s="1" t="s">
        <v>0</v>
      </c>
    </row>
    <row r="2" spans="1:22">
      <c r="A2" s="36"/>
      <c r="B2" s="1" t="s">
        <v>1</v>
      </c>
    </row>
    <row r="3" spans="1:22">
      <c r="A3" s="37"/>
      <c r="B3" s="1" t="s">
        <v>112</v>
      </c>
    </row>
    <row r="5" spans="1:22" ht="15.75" thickBot="1"/>
    <row r="6" spans="1:22" ht="15.75" thickBot="1">
      <c r="A6" s="278" t="s">
        <v>4</v>
      </c>
      <c r="B6" s="278"/>
      <c r="C6" s="278"/>
      <c r="D6" s="278"/>
      <c r="E6" s="278"/>
      <c r="H6" s="279" t="s">
        <v>5</v>
      </c>
      <c r="I6" s="280"/>
      <c r="K6" s="281" t="s">
        <v>6</v>
      </c>
      <c r="L6" s="282"/>
      <c r="N6" s="318" t="s">
        <v>7</v>
      </c>
      <c r="O6" s="318"/>
      <c r="R6" s="285" t="s">
        <v>8</v>
      </c>
      <c r="S6" s="286"/>
      <c r="T6" s="287"/>
    </row>
    <row r="7" spans="1:22" ht="90.75" thickBot="1">
      <c r="A7" s="8" t="s">
        <v>9</v>
      </c>
      <c r="B7" s="7">
        <v>300000</v>
      </c>
      <c r="C7" s="14" t="s">
        <v>10</v>
      </c>
      <c r="D7" s="2" t="s">
        <v>11</v>
      </c>
      <c r="E7" s="3"/>
      <c r="H7" s="20" t="s">
        <v>12</v>
      </c>
      <c r="I7" s="23">
        <f>IF(B12="Πρωί-Μεσημέρι",70%,IF(B12="Απόγευμα-Βράδυ",30%,60%))</f>
        <v>0.6</v>
      </c>
      <c r="K7" s="20" t="s">
        <v>124</v>
      </c>
      <c r="L7" s="91">
        <f>B7/I12</f>
        <v>206.89655172413794</v>
      </c>
      <c r="N7" s="81" t="s">
        <v>14</v>
      </c>
      <c r="O7" s="82">
        <f>IF(B9="Γ1Ν",(B10*I7+B11*I8),B10)</f>
        <v>0.25</v>
      </c>
      <c r="R7" s="88" t="s">
        <v>140</v>
      </c>
      <c r="S7" s="89">
        <f>IF(B9="Εμπορικό",L17-(0.055*(1-I9)*20%*L10),L17-(0.044*(1-I9)*20%*L10))</f>
        <v>97219.821333333341</v>
      </c>
      <c r="T7" s="90" t="s">
        <v>16</v>
      </c>
    </row>
    <row r="8" spans="1:22" ht="90.75" thickBot="1">
      <c r="A8" s="9" t="s">
        <v>141</v>
      </c>
      <c r="B8" s="7">
        <v>400</v>
      </c>
      <c r="C8" s="93">
        <v>0.67</v>
      </c>
      <c r="D8" s="316" t="s">
        <v>11</v>
      </c>
      <c r="E8" s="317"/>
      <c r="H8" s="16" t="s">
        <v>21</v>
      </c>
      <c r="I8" s="17">
        <f>1-I7</f>
        <v>0.4</v>
      </c>
      <c r="K8" s="20" t="s">
        <v>22</v>
      </c>
      <c r="L8" s="22">
        <f>MIN(B8,100)</f>
        <v>100</v>
      </c>
      <c r="N8" s="81" t="s">
        <v>23</v>
      </c>
      <c r="O8" s="82">
        <v>0.05</v>
      </c>
      <c r="R8" s="27" t="s">
        <v>24</v>
      </c>
      <c r="S8" s="52">
        <f>80%*B7*I14*I15/1000</f>
        <v>593.4</v>
      </c>
      <c r="T8" s="53" t="s">
        <v>25</v>
      </c>
    </row>
    <row r="9" spans="1:22" ht="105.75" thickBot="1">
      <c r="A9" s="9" t="s">
        <v>26</v>
      </c>
      <c r="B9" s="12" t="s">
        <v>142</v>
      </c>
      <c r="C9" s="14" t="s">
        <v>143</v>
      </c>
      <c r="D9" s="304"/>
      <c r="E9" s="305"/>
      <c r="H9" s="16" t="s">
        <v>30</v>
      </c>
      <c r="I9" s="17">
        <f>IF(B12="Απόγευμα-Βράδυ",30%,70%)</f>
        <v>0.7</v>
      </c>
      <c r="K9" s="20" t="s">
        <v>31</v>
      </c>
      <c r="L9" s="22">
        <f>MIN(B7/I12,L8)</f>
        <v>100</v>
      </c>
      <c r="N9" s="81" t="s">
        <v>144</v>
      </c>
      <c r="O9" s="83">
        <f>L12*O7+O8*L12*I9</f>
        <v>41325</v>
      </c>
      <c r="R9" s="40" t="s">
        <v>34</v>
      </c>
      <c r="S9" s="41" t="s">
        <v>35</v>
      </c>
      <c r="T9" s="48" t="s">
        <v>36</v>
      </c>
      <c r="U9" s="288" t="s">
        <v>37</v>
      </c>
      <c r="V9" s="44" t="s">
        <v>38</v>
      </c>
    </row>
    <row r="10" spans="1:22" ht="75.75" thickBot="1">
      <c r="A10" s="9" t="s">
        <v>39</v>
      </c>
      <c r="B10" s="7">
        <v>0.25</v>
      </c>
      <c r="C10" s="5" t="s">
        <v>11</v>
      </c>
      <c r="D10" s="3"/>
      <c r="E10" s="3"/>
      <c r="H10" s="16" t="s">
        <v>41</v>
      </c>
      <c r="I10" s="17">
        <f>IF(B14="Στέγη",IF(OR(B15="Α",B15="Δ"),85%,IF(OR(B15="ΝΑ",B15="ΝΔ"),93%,95%)),100%)</f>
        <v>1</v>
      </c>
      <c r="K10" s="16" t="s">
        <v>42</v>
      </c>
      <c r="L10" s="34">
        <f>B16/I13</f>
        <v>4800</v>
      </c>
      <c r="N10" s="18" t="s">
        <v>145</v>
      </c>
      <c r="O10" s="84">
        <f>L14*365*O8</f>
        <v>2175.0000000000005</v>
      </c>
      <c r="Q10"/>
      <c r="R10" s="293" t="s">
        <v>45</v>
      </c>
      <c r="S10" s="1" t="s">
        <v>46</v>
      </c>
      <c r="U10" s="289"/>
      <c r="V10" s="45" t="s">
        <v>47</v>
      </c>
    </row>
    <row r="11" spans="1:22" ht="42.75" thickBot="1">
      <c r="A11" s="54"/>
      <c r="B11" s="55"/>
      <c r="C11" s="5"/>
      <c r="D11" s="3"/>
      <c r="E11" s="3"/>
      <c r="H11" s="16" t="s">
        <v>50</v>
      </c>
      <c r="I11" s="21">
        <f>IF(OR(B13="Νότιο Αιγαίο",B13="Κρήτη"),1600,IF(OR(B13="Αττική",B13="Δυτική Ελλάδα",B13="Ιόνιοι Νήσοι"),1550,IF(B13="Πελοπόννησος",1500,IF(OR(B13="Ήπειρος",B13="Θεσσαλία",B13="Στερεά Ελλάδα"),1450,1400))))</f>
        <v>1450</v>
      </c>
      <c r="K11" s="16" t="s">
        <v>51</v>
      </c>
      <c r="L11" s="34">
        <f>MIN(L9,L10)</f>
        <v>100</v>
      </c>
      <c r="N11" s="85" t="s">
        <v>132</v>
      </c>
      <c r="O11" s="92">
        <f>IF(E14="Ναι",(O9+O10),O9)</f>
        <v>43500</v>
      </c>
      <c r="R11" s="294"/>
      <c r="S11" s="42" t="s">
        <v>54</v>
      </c>
      <c r="T11" s="42"/>
      <c r="U11" s="290"/>
      <c r="V11" s="43"/>
    </row>
    <row r="12" spans="1:22" ht="60.75" thickBot="1">
      <c r="A12" s="10" t="s">
        <v>55</v>
      </c>
      <c r="B12" s="13" t="s">
        <v>146</v>
      </c>
      <c r="C12" s="4" t="s">
        <v>147</v>
      </c>
      <c r="D12" s="2" t="s">
        <v>58</v>
      </c>
      <c r="E12" s="3"/>
      <c r="H12" s="16" t="s">
        <v>59</v>
      </c>
      <c r="I12" s="51">
        <f>I11*I10</f>
        <v>1450</v>
      </c>
      <c r="K12" s="25" t="s">
        <v>60</v>
      </c>
      <c r="L12" s="26">
        <f>L11*I12</f>
        <v>145000</v>
      </c>
    </row>
    <row r="13" spans="1:22" ht="30.75" thickBot="1">
      <c r="A13" s="10" t="s">
        <v>61</v>
      </c>
      <c r="B13" s="12" t="s">
        <v>148</v>
      </c>
      <c r="H13" s="16" t="s">
        <v>63</v>
      </c>
      <c r="I13" s="21">
        <v>5</v>
      </c>
      <c r="K13" s="25" t="s">
        <v>64</v>
      </c>
      <c r="L13" s="26">
        <f>L11*I13</f>
        <v>500</v>
      </c>
    </row>
    <row r="14" spans="1:22" ht="75.75" thickBot="1">
      <c r="A14" s="10" t="s">
        <v>65</v>
      </c>
      <c r="B14" s="46" t="s">
        <v>136</v>
      </c>
      <c r="D14" s="236" t="s">
        <v>67</v>
      </c>
      <c r="E14" s="242" t="s">
        <v>80</v>
      </c>
      <c r="H14" s="16" t="s">
        <v>69</v>
      </c>
      <c r="I14" s="24">
        <v>2.5</v>
      </c>
      <c r="K14" s="16" t="s">
        <v>70</v>
      </c>
      <c r="L14" s="34">
        <f>L12*(1-I9)/365</f>
        <v>119.17808219178085</v>
      </c>
      <c r="N14" s="297" t="s">
        <v>71</v>
      </c>
      <c r="O14" s="298"/>
    </row>
    <row r="15" spans="1:22" ht="60.75" thickBot="1">
      <c r="A15" s="10" t="s">
        <v>72</v>
      </c>
      <c r="B15" s="46" t="s">
        <v>137</v>
      </c>
      <c r="D15" s="236" t="s">
        <v>74</v>
      </c>
      <c r="E15" s="242">
        <v>12</v>
      </c>
      <c r="H15" s="18" t="s">
        <v>75</v>
      </c>
      <c r="I15" s="19">
        <v>0.98899999999999999</v>
      </c>
      <c r="K15" s="16" t="s">
        <v>76</v>
      </c>
      <c r="L15" s="34">
        <f>E15</f>
        <v>12</v>
      </c>
      <c r="N15" s="94" t="s">
        <v>138</v>
      </c>
      <c r="O15" s="244">
        <f>L17</f>
        <v>97232.493333333347</v>
      </c>
    </row>
    <row r="16" spans="1:22" ht="75.75" thickBot="1">
      <c r="A16" s="10" t="s">
        <v>78</v>
      </c>
      <c r="B16" s="46">
        <v>24000</v>
      </c>
      <c r="D16" s="236" t="s">
        <v>79</v>
      </c>
      <c r="E16" s="242" t="s">
        <v>68</v>
      </c>
      <c r="K16" s="240" t="s">
        <v>81</v>
      </c>
      <c r="L16" s="241">
        <f>IF(E14="Όχι",L15,L14)</f>
        <v>119.17808219178085</v>
      </c>
      <c r="N16" s="94" t="s">
        <v>139</v>
      </c>
      <c r="O16" s="244">
        <f>O15-O9</f>
        <v>55907.493333333347</v>
      </c>
    </row>
    <row r="17" spans="11:17" ht="30.75" thickBot="1">
      <c r="K17" s="18" t="s">
        <v>83</v>
      </c>
      <c r="L17" s="32">
        <f>IF(B9="Εμπορικό",C8*B8*0.66*260/30+(B10+0.055)*B7+C8*B8*2.3*365/30,C8*B8*0.66*260/30+(B10+0.044)*B7+C8*B8*2.3*365/30)</f>
        <v>97232.493333333347</v>
      </c>
      <c r="N17" s="237" t="s">
        <v>84</v>
      </c>
      <c r="O17" s="245">
        <f>O11</f>
        <v>43500</v>
      </c>
    </row>
    <row r="22" spans="11:17">
      <c r="L22" s="1" t="s">
        <v>86</v>
      </c>
      <c r="M22" s="1"/>
      <c r="N22" s="1"/>
      <c r="O22" s="1"/>
      <c r="P22" s="1"/>
    </row>
    <row r="23" spans="11:17" ht="15.75" thickBot="1">
      <c r="M23" s="1"/>
      <c r="N23" s="1"/>
      <c r="O23" s="1"/>
      <c r="P23" s="1"/>
    </row>
    <row r="24" spans="11:17" ht="45.75" thickBot="1">
      <c r="L24" s="299" t="s">
        <v>87</v>
      </c>
      <c r="M24" s="226"/>
      <c r="N24" s="227">
        <f>O17</f>
        <v>43500</v>
      </c>
      <c r="P24" s="231" t="s">
        <v>88</v>
      </c>
      <c r="Q24" s="232" t="s">
        <v>89</v>
      </c>
    </row>
    <row r="25" spans="11:17">
      <c r="L25" s="300"/>
      <c r="M25" s="139">
        <v>0.09</v>
      </c>
      <c r="N25" s="248">
        <v>20580</v>
      </c>
      <c r="P25" s="228">
        <f>M25</f>
        <v>0.09</v>
      </c>
      <c r="Q25" s="246">
        <f>N25</f>
        <v>20580</v>
      </c>
    </row>
    <row r="26" spans="11:17">
      <c r="L26" s="300"/>
      <c r="M26" s="139">
        <v>0.12</v>
      </c>
      <c r="N26" s="248">
        <v>25080</v>
      </c>
      <c r="P26" s="228">
        <f t="shared" ref="P26:Q32" si="0">M26</f>
        <v>0.12</v>
      </c>
      <c r="Q26" s="246">
        <f t="shared" si="0"/>
        <v>25080</v>
      </c>
    </row>
    <row r="27" spans="11:17">
      <c r="L27" s="300"/>
      <c r="M27" s="139">
        <v>0.15</v>
      </c>
      <c r="N27" s="248">
        <v>29580</v>
      </c>
      <c r="P27" s="228">
        <f t="shared" si="0"/>
        <v>0.15</v>
      </c>
      <c r="Q27" s="246">
        <f t="shared" si="0"/>
        <v>29580</v>
      </c>
    </row>
    <row r="28" spans="11:17">
      <c r="L28" s="300"/>
      <c r="M28" s="139">
        <v>0.18</v>
      </c>
      <c r="N28" s="248">
        <v>34080</v>
      </c>
      <c r="P28" s="228">
        <f t="shared" si="0"/>
        <v>0.18</v>
      </c>
      <c r="Q28" s="246">
        <f t="shared" si="0"/>
        <v>34080</v>
      </c>
    </row>
    <row r="29" spans="11:17">
      <c r="L29" s="300"/>
      <c r="M29" s="139">
        <v>0.21</v>
      </c>
      <c r="N29" s="248">
        <v>38580</v>
      </c>
      <c r="P29" s="228">
        <f t="shared" si="0"/>
        <v>0.21</v>
      </c>
      <c r="Q29" s="246">
        <f t="shared" si="0"/>
        <v>38580</v>
      </c>
    </row>
    <row r="30" spans="11:17">
      <c r="L30" s="300"/>
      <c r="M30" s="139">
        <v>0.24</v>
      </c>
      <c r="N30" s="248">
        <v>43080</v>
      </c>
      <c r="P30" s="228">
        <f t="shared" si="0"/>
        <v>0.24</v>
      </c>
      <c r="Q30" s="246">
        <f t="shared" si="0"/>
        <v>43080</v>
      </c>
    </row>
    <row r="31" spans="11:17">
      <c r="L31" s="300"/>
      <c r="M31" s="139">
        <v>0.27</v>
      </c>
      <c r="N31" s="248">
        <v>47580</v>
      </c>
      <c r="P31" s="228">
        <f t="shared" si="0"/>
        <v>0.27</v>
      </c>
      <c r="Q31" s="246">
        <f t="shared" si="0"/>
        <v>47580</v>
      </c>
    </row>
    <row r="32" spans="11:17" ht="15.75" thickBot="1">
      <c r="L32" s="301"/>
      <c r="M32" s="234">
        <v>0.3</v>
      </c>
      <c r="N32" s="249">
        <v>52080</v>
      </c>
      <c r="P32" s="233">
        <f t="shared" si="0"/>
        <v>0.3</v>
      </c>
      <c r="Q32" s="247">
        <f t="shared" si="0"/>
        <v>52080</v>
      </c>
    </row>
    <row r="33" spans="12:16" ht="15.75">
      <c r="L33" s="235" t="s">
        <v>90</v>
      </c>
      <c r="P33" s="235" t="s">
        <v>91</v>
      </c>
    </row>
  </sheetData>
  <mergeCells count="11">
    <mergeCell ref="N14:O14"/>
    <mergeCell ref="L24:L32"/>
    <mergeCell ref="U9:U11"/>
    <mergeCell ref="R10:R11"/>
    <mergeCell ref="A6:E6"/>
    <mergeCell ref="H6:I6"/>
    <mergeCell ref="K6:L6"/>
    <mergeCell ref="R6:T6"/>
    <mergeCell ref="D8:E8"/>
    <mergeCell ref="D9:E9"/>
    <mergeCell ref="N6:O6"/>
  </mergeCells>
  <conditionalFormatting sqref="Q25:Q3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6">
        <x14:dataValidation type="list" allowBlank="1" showInputMessage="1" showErrorMessage="1" xr:uid="{075D39FB-67D7-4CC8-9763-C0B34D328EE7}">
          <x14:formula1>
            <xm:f>'Δεδομένα για Λίστες'!$H$3:$H$6</xm:f>
          </x14:formula1>
          <xm:sqref>B14</xm:sqref>
        </x14:dataValidation>
        <x14:dataValidation type="list" allowBlank="1" showInputMessage="1" showErrorMessage="1" xr:uid="{9B43D98A-A520-46F4-8608-FE9EA9F8250C}">
          <x14:formula1>
            <xm:f>'Δεδομένα για Λίστες'!$I$3:$I$7</xm:f>
          </x14:formula1>
          <xm:sqref>B15</xm:sqref>
        </x14:dataValidation>
        <x14:dataValidation type="list" allowBlank="1" showInputMessage="1" showErrorMessage="1" xr:uid="{BD5FDE7C-90B0-469A-9191-D586DB25A442}">
          <x14:formula1>
            <xm:f>'Δεδομένα για Λίστες'!$G$3:$G$4</xm:f>
          </x14:formula1>
          <xm:sqref>B9</xm:sqref>
        </x14:dataValidation>
        <x14:dataValidation type="list" allowBlank="1" showInputMessage="1" showErrorMessage="1" xr:uid="{A51BAD9D-077C-423B-83A5-F9252927DDE1}">
          <x14:formula1>
            <xm:f>'Δεδομένα για Λίστες'!$F$3:$F$5</xm:f>
          </x14:formula1>
          <xm:sqref>B12</xm:sqref>
        </x14:dataValidation>
        <x14:dataValidation type="list" allowBlank="1" showInputMessage="1" showErrorMessage="1" xr:uid="{F1594F62-A771-4EF0-BBE5-47C58A11835B}">
          <x14:formula1>
            <xm:f>'Δεδομένα για Λίστες'!$B$13:$B$25</xm:f>
          </x14:formula1>
          <xm:sqref>B13</xm:sqref>
        </x14:dataValidation>
        <x14:dataValidation type="list" allowBlank="1" showInputMessage="1" showErrorMessage="1" xr:uid="{8B385E84-119D-4E1B-B0B7-F876B8AE9845}">
          <x14:formula1>
            <xm:f>'Δεδομένα για Λίστες'!$J$3:$J$4</xm:f>
          </x14:formula1>
          <xm:sqref>E14 E16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FD91-7A88-45E5-90C5-24ECE4E74554}">
  <sheetPr>
    <pageSetUpPr fitToPage="1"/>
  </sheetPr>
  <dimension ref="A1:LF144"/>
  <sheetViews>
    <sheetView topLeftCell="A10" zoomScale="55" zoomScaleNormal="55" workbookViewId="0">
      <selection activeCell="N154" sqref="N154"/>
    </sheetView>
  </sheetViews>
  <sheetFormatPr defaultColWidth="9.140625" defaultRowHeight="15"/>
  <cols>
    <col min="1" max="1" width="23.42578125" style="1" customWidth="1"/>
    <col min="2" max="2" width="9.140625" style="1"/>
    <col min="3" max="3" width="14.7109375" style="1" customWidth="1"/>
    <col min="4" max="4" width="12" style="1" customWidth="1"/>
    <col min="5" max="5" width="13.5703125" style="1" customWidth="1"/>
    <col min="6" max="8" width="9.140625" style="1"/>
    <col min="9" max="9" width="13.140625" style="1" customWidth="1"/>
    <col min="10" max="10" width="13.7109375" style="1" customWidth="1"/>
    <col min="11" max="13" width="9.140625" style="1"/>
    <col min="14" max="14" width="13.140625" style="1" customWidth="1"/>
    <col min="15" max="15" width="20" style="1" customWidth="1"/>
    <col min="16" max="16" width="14.85546875" style="1" customWidth="1"/>
    <col min="17" max="17" width="16.85546875" style="1" customWidth="1"/>
    <col min="18" max="18" width="17" style="1" bestFit="1" customWidth="1"/>
    <col min="19" max="43" width="15.28515625" style="1" bestFit="1" customWidth="1"/>
    <col min="44" max="318" width="13.28515625" style="1" bestFit="1" customWidth="1"/>
    <col min="319" max="16384" width="9.140625" style="1"/>
  </cols>
  <sheetData>
    <row r="1" spans="1:318" ht="21">
      <c r="A1" s="181" t="s">
        <v>149</v>
      </c>
      <c r="B1" s="126"/>
      <c r="C1" s="126"/>
      <c r="O1" s="255" t="s">
        <v>150</v>
      </c>
    </row>
    <row r="2" spans="1:318" ht="21">
      <c r="A2" s="181"/>
      <c r="B2" s="126"/>
      <c r="C2" s="126"/>
      <c r="O2" s="255" t="s">
        <v>151</v>
      </c>
      <c r="P2" s="1">
        <v>10</v>
      </c>
      <c r="T2" s="1">
        <v>5</v>
      </c>
    </row>
    <row r="3" spans="1:318" ht="21">
      <c r="A3" s="181"/>
      <c r="B3" s="126"/>
      <c r="C3" s="126"/>
      <c r="O3" s="255" t="s">
        <v>152</v>
      </c>
      <c r="P3" s="1">
        <v>8</v>
      </c>
      <c r="T3" s="1">
        <v>4</v>
      </c>
    </row>
    <row r="4" spans="1:318">
      <c r="O4" s="255" t="s">
        <v>153</v>
      </c>
      <c r="P4" s="1">
        <v>6</v>
      </c>
      <c r="R4" s="1">
        <v>4000</v>
      </c>
      <c r="T4" s="1">
        <v>2</v>
      </c>
    </row>
    <row r="6" spans="1:318" ht="15.75" thickBot="1">
      <c r="R6" s="1">
        <f>IF(A11&gt;0,4000+2000,4000)</f>
        <v>4000</v>
      </c>
      <c r="T6" s="1">
        <f>IF(A11&gt;0,4,2)</f>
        <v>2</v>
      </c>
      <c r="X6" s="1">
        <v>3</v>
      </c>
      <c r="Y6" s="1">
        <v>4</v>
      </c>
    </row>
    <row r="7" spans="1:318" ht="75">
      <c r="A7" s="127" t="s">
        <v>154</v>
      </c>
      <c r="B7" s="128" t="s">
        <v>155</v>
      </c>
      <c r="C7" s="129" t="s">
        <v>156</v>
      </c>
      <c r="D7" s="130" t="s">
        <v>157</v>
      </c>
      <c r="E7" s="130" t="s">
        <v>158</v>
      </c>
      <c r="F7" s="130" t="s">
        <v>159</v>
      </c>
      <c r="G7" s="130" t="s">
        <v>160</v>
      </c>
      <c r="H7" s="130" t="s">
        <v>161</v>
      </c>
      <c r="I7" s="131" t="s">
        <v>162</v>
      </c>
      <c r="J7" s="131" t="s">
        <v>163</v>
      </c>
      <c r="K7" s="130" t="s">
        <v>164</v>
      </c>
      <c r="L7" s="130" t="s">
        <v>165</v>
      </c>
      <c r="M7" s="130" t="s">
        <v>166</v>
      </c>
      <c r="N7" s="130" t="s">
        <v>167</v>
      </c>
      <c r="O7" s="130" t="s">
        <v>168</v>
      </c>
      <c r="P7" s="130" t="s">
        <v>169</v>
      </c>
      <c r="Q7" s="130" t="s">
        <v>170</v>
      </c>
      <c r="R7" s="130" t="s">
        <v>171</v>
      </c>
      <c r="S7" s="130" t="s">
        <v>172</v>
      </c>
      <c r="T7" s="130" t="s">
        <v>173</v>
      </c>
      <c r="U7" s="130" t="s">
        <v>174</v>
      </c>
      <c r="V7" s="130" t="s">
        <v>175</v>
      </c>
      <c r="W7" s="130" t="s">
        <v>176</v>
      </c>
      <c r="X7" s="130" t="s">
        <v>177</v>
      </c>
      <c r="Y7" s="130" t="s">
        <v>178</v>
      </c>
      <c r="Z7" s="130" t="s">
        <v>179</v>
      </c>
      <c r="AA7" s="130" t="s">
        <v>180</v>
      </c>
      <c r="AB7" s="130" t="s">
        <v>181</v>
      </c>
      <c r="AC7" s="131" t="s">
        <v>182</v>
      </c>
    </row>
    <row r="8" spans="1:318" ht="18.75">
      <c r="A8" s="132">
        <v>1000</v>
      </c>
      <c r="B8" s="132">
        <v>700</v>
      </c>
      <c r="C8" s="132">
        <v>1500</v>
      </c>
      <c r="D8" s="168">
        <f>E8/12</f>
        <v>122500</v>
      </c>
      <c r="E8" s="137">
        <v>1470000</v>
      </c>
      <c r="F8" s="138">
        <v>1</v>
      </c>
      <c r="G8" s="132">
        <v>10</v>
      </c>
      <c r="H8" s="133">
        <v>2.8000000000000001E-2</v>
      </c>
      <c r="I8" s="134">
        <v>130</v>
      </c>
      <c r="J8" s="134">
        <v>45</v>
      </c>
      <c r="K8" s="135">
        <v>0.03</v>
      </c>
      <c r="L8" s="136">
        <f>M8*K8*(1-Z8)+H8*F8</f>
        <v>2.8000000000000001E-2</v>
      </c>
      <c r="M8" s="136">
        <f>1-F8</f>
        <v>0</v>
      </c>
      <c r="N8" s="137">
        <f>A8*C8</f>
        <v>1500000</v>
      </c>
      <c r="O8" s="133">
        <v>7.0000000000000001E-3</v>
      </c>
      <c r="P8" s="132">
        <f>IF(A11&gt;0,8,6)</f>
        <v>6</v>
      </c>
      <c r="Q8" s="132">
        <f>IF(J11,1800,0)</f>
        <v>1800</v>
      </c>
      <c r="R8" s="132">
        <f>R6*A8/1000</f>
        <v>4000</v>
      </c>
      <c r="S8" s="132">
        <v>2000</v>
      </c>
      <c r="T8" s="132">
        <f>T6*A8</f>
        <v>2000</v>
      </c>
      <c r="U8" s="132">
        <v>2000</v>
      </c>
      <c r="V8" s="132">
        <v>0</v>
      </c>
      <c r="W8" s="138">
        <v>0.03</v>
      </c>
      <c r="X8" s="132">
        <f>X6*A8</f>
        <v>3000</v>
      </c>
      <c r="Y8" s="132">
        <f>Y6*A8 +A11*2</f>
        <v>4000</v>
      </c>
      <c r="Z8" s="135">
        <v>0.22</v>
      </c>
      <c r="AA8" s="135">
        <v>0.95</v>
      </c>
      <c r="AB8" s="135">
        <v>0.05</v>
      </c>
      <c r="AC8" s="134">
        <v>45</v>
      </c>
    </row>
    <row r="9" spans="1:318">
      <c r="A9" s="208">
        <f>A8*B8</f>
        <v>700000</v>
      </c>
      <c r="B9" s="140">
        <f>A9*0.8</f>
        <v>560000</v>
      </c>
      <c r="D9" s="1">
        <f>D8/30</f>
        <v>4083.3333333333335</v>
      </c>
      <c r="N9" s="1">
        <f>N8/365*C11</f>
        <v>2876.7123287671229</v>
      </c>
    </row>
    <row r="10" spans="1:318" ht="30">
      <c r="A10" s="142" t="s">
        <v>183</v>
      </c>
      <c r="B10" s="143" t="s">
        <v>184</v>
      </c>
      <c r="C10" s="130" t="s">
        <v>185</v>
      </c>
      <c r="D10" s="1">
        <f>D9*0.75</f>
        <v>3062.5</v>
      </c>
    </row>
    <row r="11" spans="1:318" ht="19.5" thickBot="1">
      <c r="A11" s="144">
        <v>0</v>
      </c>
      <c r="B11" s="145">
        <v>500</v>
      </c>
      <c r="C11" s="138">
        <v>0.7</v>
      </c>
      <c r="D11" s="1">
        <f>D10-250</f>
        <v>2812.5</v>
      </c>
      <c r="F11" s="146" t="s">
        <v>186</v>
      </c>
      <c r="G11" s="134">
        <v>0</v>
      </c>
      <c r="I11" s="146" t="str">
        <f>IF(J11=0,"physical","virtual")</f>
        <v>virtual</v>
      </c>
      <c r="J11" s="134">
        <v>1</v>
      </c>
    </row>
    <row r="12" spans="1:318">
      <c r="A12" s="208">
        <f>A11*B11</f>
        <v>0</v>
      </c>
      <c r="G12" s="147" t="s">
        <v>187</v>
      </c>
      <c r="O12" s="198"/>
      <c r="P12" s="161"/>
      <c r="Q12" s="162"/>
      <c r="R12" s="182" t="s">
        <v>160</v>
      </c>
      <c r="S12" s="183"/>
      <c r="T12" s="183"/>
      <c r="U12" s="183"/>
      <c r="V12" s="183"/>
      <c r="W12" s="183"/>
      <c r="X12" s="183"/>
      <c r="Y12" s="183"/>
      <c r="Z12" s="183"/>
      <c r="AA12" s="183"/>
      <c r="AB12" s="183"/>
      <c r="AC12" s="183"/>
      <c r="AD12" s="183"/>
      <c r="AE12" s="183"/>
      <c r="AF12" s="183"/>
      <c r="AG12" s="183"/>
      <c r="AH12" s="183"/>
      <c r="AI12" s="183"/>
      <c r="AJ12" s="183"/>
      <c r="AK12" s="183"/>
      <c r="AL12" s="183"/>
      <c r="AM12" s="183"/>
      <c r="AN12" s="183"/>
      <c r="AO12" s="183"/>
      <c r="AP12" s="183"/>
      <c r="AQ12" s="184"/>
      <c r="AR12" s="148"/>
      <c r="AW12" s="148"/>
      <c r="AX12" s="148"/>
      <c r="AY12" s="148"/>
      <c r="AZ12" s="148"/>
      <c r="BA12" s="148"/>
      <c r="BB12" s="148"/>
      <c r="BC12" s="148"/>
      <c r="BD12" s="148"/>
      <c r="BE12" s="148"/>
      <c r="BF12" s="148"/>
      <c r="BG12" s="148"/>
      <c r="BH12" s="148"/>
      <c r="BI12" s="148"/>
      <c r="BJ12" s="148"/>
      <c r="BK12" s="148"/>
      <c r="BL12" s="148"/>
      <c r="BM12" s="148"/>
      <c r="BN12" s="148"/>
      <c r="BO12" s="148"/>
      <c r="BP12" s="148"/>
      <c r="BQ12" s="148"/>
      <c r="BR12" s="148"/>
      <c r="BS12" s="148"/>
      <c r="BT12" s="148"/>
      <c r="BU12" s="148"/>
      <c r="BV12" s="148"/>
      <c r="BW12" s="148"/>
      <c r="BX12" s="148"/>
      <c r="BY12" s="148"/>
      <c r="BZ12" s="148"/>
      <c r="CA12" s="148"/>
      <c r="CB12" s="148"/>
      <c r="CC12" s="148"/>
      <c r="CD12" s="148"/>
      <c r="CE12" s="148"/>
      <c r="CF12" s="148"/>
      <c r="CG12" s="148"/>
      <c r="CH12" s="148"/>
      <c r="CI12" s="148"/>
      <c r="CJ12" s="148"/>
      <c r="CK12" s="148"/>
      <c r="CL12" s="148"/>
      <c r="CM12" s="148"/>
      <c r="CN12" s="148"/>
      <c r="CO12" s="148"/>
      <c r="CP12" s="148"/>
      <c r="CQ12" s="148"/>
      <c r="CR12" s="148"/>
      <c r="CS12" s="148"/>
      <c r="CT12" s="148"/>
      <c r="CU12" s="148"/>
      <c r="CV12" s="148"/>
      <c r="CW12" s="148"/>
      <c r="CX12" s="148"/>
      <c r="CY12" s="148"/>
      <c r="CZ12" s="148"/>
      <c r="DA12" s="148"/>
      <c r="DB12" s="148"/>
      <c r="DC12" s="148"/>
      <c r="DD12" s="148"/>
      <c r="DE12" s="148"/>
      <c r="DF12" s="148"/>
      <c r="DG12" s="148"/>
      <c r="DH12" s="148"/>
      <c r="DI12" s="148"/>
      <c r="DJ12" s="148"/>
      <c r="DK12" s="148"/>
      <c r="DL12" s="148"/>
      <c r="DM12" s="148"/>
      <c r="DN12" s="148"/>
      <c r="DO12" s="148"/>
      <c r="DP12" s="148"/>
      <c r="DQ12" s="148"/>
      <c r="DR12" s="148"/>
      <c r="DS12" s="148"/>
      <c r="DT12" s="148"/>
      <c r="DU12" s="148"/>
      <c r="DV12" s="148"/>
      <c r="DW12" s="148"/>
      <c r="DX12" s="148"/>
      <c r="DY12" s="148"/>
      <c r="DZ12" s="148"/>
      <c r="EA12" s="148"/>
      <c r="EB12" s="148"/>
      <c r="EC12" s="148"/>
      <c r="ED12" s="148"/>
      <c r="EE12" s="148"/>
      <c r="EF12" s="148"/>
      <c r="EG12" s="148"/>
      <c r="EH12" s="148"/>
      <c r="EI12" s="148"/>
      <c r="EJ12" s="148"/>
      <c r="EK12" s="148"/>
      <c r="EL12" s="148"/>
      <c r="EM12" s="148"/>
      <c r="EN12" s="148"/>
      <c r="EO12" s="148"/>
      <c r="EP12" s="148"/>
      <c r="EQ12" s="148"/>
      <c r="ER12" s="148"/>
      <c r="ES12" s="148"/>
      <c r="ET12" s="148"/>
      <c r="EU12" s="148"/>
      <c r="EV12" s="148"/>
      <c r="EW12" s="148"/>
      <c r="EX12" s="148"/>
      <c r="EY12" s="148"/>
      <c r="EZ12" s="148"/>
      <c r="FA12" s="148"/>
      <c r="FB12" s="148"/>
      <c r="FC12" s="148"/>
      <c r="FD12" s="148"/>
      <c r="FE12" s="148"/>
      <c r="FF12" s="148"/>
      <c r="FG12" s="148"/>
      <c r="FH12" s="148"/>
      <c r="FI12" s="148"/>
      <c r="FJ12" s="148"/>
      <c r="FK12" s="148"/>
      <c r="FL12" s="148"/>
      <c r="FM12" s="148"/>
      <c r="FN12" s="148"/>
      <c r="FO12" s="148"/>
      <c r="FP12" s="148"/>
      <c r="FQ12" s="148"/>
      <c r="FR12" s="148"/>
      <c r="FS12" s="148"/>
      <c r="FT12" s="148"/>
      <c r="FU12" s="148"/>
      <c r="FV12" s="148"/>
      <c r="FW12" s="148"/>
      <c r="FX12" s="148"/>
      <c r="FY12" s="148"/>
      <c r="FZ12" s="148"/>
      <c r="GA12" s="148"/>
      <c r="GB12" s="148"/>
      <c r="GC12" s="148"/>
      <c r="GD12" s="148"/>
      <c r="GE12" s="148"/>
      <c r="GF12" s="148"/>
      <c r="GG12" s="148"/>
      <c r="GH12" s="148"/>
      <c r="GI12" s="148"/>
      <c r="GJ12" s="148"/>
      <c r="GK12" s="148"/>
      <c r="GL12" s="148"/>
      <c r="GM12" s="148"/>
      <c r="GN12" s="148"/>
      <c r="GO12" s="148"/>
      <c r="GP12" s="148"/>
      <c r="GQ12" s="148"/>
      <c r="GR12" s="148"/>
      <c r="GS12" s="148"/>
      <c r="GT12" s="148"/>
      <c r="GU12" s="148"/>
      <c r="GV12" s="148"/>
      <c r="GW12" s="148"/>
      <c r="GX12" s="148"/>
      <c r="GY12" s="148"/>
      <c r="GZ12" s="148"/>
      <c r="HA12" s="148"/>
      <c r="HB12" s="148"/>
      <c r="HC12" s="148"/>
      <c r="HD12" s="148"/>
      <c r="HE12" s="148"/>
      <c r="HF12" s="148"/>
      <c r="HG12" s="148"/>
      <c r="HH12" s="148"/>
      <c r="HI12" s="148"/>
      <c r="HJ12" s="148"/>
      <c r="HK12" s="148"/>
      <c r="HL12" s="148"/>
      <c r="HM12" s="148"/>
      <c r="HN12" s="148"/>
      <c r="HO12" s="148"/>
      <c r="HP12" s="148"/>
      <c r="HQ12" s="148"/>
      <c r="HR12" s="148"/>
      <c r="HS12" s="148"/>
      <c r="HT12" s="148"/>
      <c r="HU12" s="148"/>
      <c r="HV12" s="148"/>
      <c r="HW12" s="148"/>
      <c r="HX12" s="148"/>
      <c r="HY12" s="148"/>
      <c r="HZ12" s="148"/>
      <c r="IA12" s="148"/>
      <c r="IB12" s="148"/>
      <c r="IC12" s="148"/>
      <c r="ID12" s="148"/>
      <c r="IE12" s="148"/>
      <c r="IF12" s="148"/>
      <c r="IG12" s="148"/>
      <c r="IH12" s="148"/>
      <c r="II12" s="148"/>
      <c r="IJ12" s="148"/>
      <c r="IK12" s="148"/>
      <c r="IL12" s="148"/>
      <c r="IM12" s="148"/>
      <c r="IN12" s="148"/>
      <c r="IO12" s="148"/>
      <c r="IP12" s="148"/>
      <c r="IQ12" s="148"/>
      <c r="IR12" s="148"/>
      <c r="IS12" s="148"/>
      <c r="IT12" s="148"/>
      <c r="IU12" s="148"/>
      <c r="IV12" s="148"/>
      <c r="IW12" s="148"/>
      <c r="IX12" s="148"/>
      <c r="IY12" s="148"/>
      <c r="IZ12" s="148"/>
      <c r="JA12" s="148"/>
      <c r="JB12" s="148"/>
      <c r="JC12" s="148"/>
      <c r="JD12" s="148"/>
      <c r="JE12" s="148"/>
      <c r="JF12" s="148"/>
      <c r="JG12" s="148"/>
      <c r="JH12" s="148"/>
      <c r="JI12" s="148"/>
      <c r="JJ12" s="148"/>
      <c r="JK12" s="148"/>
      <c r="JL12" s="148"/>
      <c r="JM12" s="148"/>
      <c r="JN12" s="148"/>
      <c r="JO12" s="148"/>
      <c r="JP12" s="148"/>
      <c r="JQ12" s="148"/>
      <c r="JR12" s="148"/>
      <c r="JS12" s="148"/>
      <c r="JT12" s="148"/>
      <c r="JU12" s="148"/>
      <c r="JV12" s="148"/>
      <c r="JW12" s="148"/>
      <c r="JX12" s="148"/>
      <c r="JY12" s="148"/>
      <c r="JZ12" s="148"/>
      <c r="KA12" s="148"/>
      <c r="KB12" s="148"/>
      <c r="KC12" s="148"/>
      <c r="KD12" s="148"/>
      <c r="KE12" s="148"/>
      <c r="KF12" s="148"/>
      <c r="KG12" s="148"/>
      <c r="KH12" s="148"/>
      <c r="KI12" s="148"/>
      <c r="KJ12" s="148"/>
      <c r="KK12" s="148"/>
      <c r="KL12" s="148"/>
      <c r="KM12" s="148"/>
      <c r="KN12" s="148"/>
      <c r="KO12" s="148"/>
      <c r="KP12" s="148"/>
      <c r="KQ12" s="148"/>
      <c r="KR12" s="148"/>
      <c r="KS12" s="148"/>
      <c r="KT12" s="148"/>
      <c r="KU12" s="148"/>
      <c r="KV12" s="148"/>
      <c r="KW12" s="148"/>
      <c r="KX12" s="148"/>
      <c r="KY12" s="148"/>
      <c r="KZ12" s="148"/>
      <c r="LA12" s="148"/>
      <c r="LB12" s="148"/>
      <c r="LC12" s="148"/>
      <c r="LD12" s="148"/>
      <c r="LE12" s="148"/>
      <c r="LF12" s="148"/>
    </row>
    <row r="13" spans="1:318" ht="15.75" thickBot="1">
      <c r="I13" s="1" t="s">
        <v>188</v>
      </c>
      <c r="J13" s="1">
        <v>800</v>
      </c>
      <c r="O13" s="139"/>
      <c r="Q13" s="259" t="s">
        <v>189</v>
      </c>
      <c r="R13" s="185">
        <v>0</v>
      </c>
      <c r="S13" s="150">
        <v>1</v>
      </c>
      <c r="T13" s="150">
        <v>2</v>
      </c>
      <c r="U13" s="150">
        <v>3</v>
      </c>
      <c r="V13" s="150">
        <v>4</v>
      </c>
      <c r="W13" s="150">
        <v>5</v>
      </c>
      <c r="X13" s="150">
        <v>6</v>
      </c>
      <c r="Y13" s="150">
        <v>7</v>
      </c>
      <c r="Z13" s="150">
        <v>8</v>
      </c>
      <c r="AA13" s="150">
        <v>9</v>
      </c>
      <c r="AB13" s="150">
        <v>10</v>
      </c>
      <c r="AC13" s="150">
        <v>11</v>
      </c>
      <c r="AD13" s="150">
        <v>12</v>
      </c>
      <c r="AE13" s="150">
        <v>13</v>
      </c>
      <c r="AF13" s="150">
        <v>14</v>
      </c>
      <c r="AG13" s="150">
        <v>15</v>
      </c>
      <c r="AH13" s="150">
        <v>16</v>
      </c>
      <c r="AI13" s="150">
        <v>17</v>
      </c>
      <c r="AJ13" s="150">
        <v>18</v>
      </c>
      <c r="AK13" s="150">
        <v>19</v>
      </c>
      <c r="AL13" s="150">
        <v>20</v>
      </c>
      <c r="AM13" s="150">
        <v>21</v>
      </c>
      <c r="AN13" s="150">
        <v>22</v>
      </c>
      <c r="AO13" s="150">
        <v>23</v>
      </c>
      <c r="AP13" s="150">
        <v>24</v>
      </c>
      <c r="AQ13" s="186">
        <v>25</v>
      </c>
      <c r="AR13" s="149" t="s">
        <v>190</v>
      </c>
      <c r="AW13" s="150"/>
      <c r="AX13" s="150"/>
      <c r="AY13" s="150"/>
      <c r="AZ13" s="150"/>
      <c r="BA13" s="150"/>
      <c r="BB13" s="150"/>
      <c r="BC13" s="150"/>
      <c r="BD13" s="150"/>
      <c r="BE13" s="150"/>
      <c r="BF13" s="150"/>
      <c r="BG13" s="150"/>
      <c r="BH13" s="150"/>
      <c r="BI13" s="150"/>
      <c r="BJ13" s="150"/>
      <c r="BK13" s="150"/>
      <c r="BL13" s="150"/>
      <c r="BM13" s="150"/>
      <c r="BN13" s="150"/>
      <c r="BO13" s="150"/>
      <c r="BP13" s="150"/>
      <c r="BQ13" s="150"/>
      <c r="BR13" s="150"/>
      <c r="BS13" s="150"/>
      <c r="BT13" s="150"/>
      <c r="BU13" s="150"/>
      <c r="BV13" s="150"/>
      <c r="BW13" s="150"/>
      <c r="BX13" s="150"/>
      <c r="BY13" s="150"/>
      <c r="BZ13" s="150"/>
      <c r="CA13" s="150"/>
      <c r="CB13" s="150"/>
      <c r="CC13" s="150"/>
      <c r="CD13" s="150"/>
      <c r="CE13" s="150"/>
      <c r="CF13" s="150"/>
      <c r="CG13" s="150"/>
      <c r="CH13" s="150"/>
      <c r="CI13" s="150"/>
      <c r="CJ13" s="150"/>
      <c r="CK13" s="150"/>
      <c r="CL13" s="150"/>
      <c r="CM13" s="150"/>
      <c r="CN13" s="150"/>
      <c r="CO13" s="150"/>
      <c r="CP13" s="150"/>
      <c r="CQ13" s="150"/>
      <c r="CR13" s="150"/>
      <c r="CS13" s="150"/>
      <c r="CT13" s="150"/>
      <c r="CU13" s="150"/>
      <c r="CV13" s="150"/>
      <c r="CW13" s="150"/>
      <c r="CX13" s="150"/>
      <c r="CY13" s="150"/>
      <c r="CZ13" s="150"/>
      <c r="DA13" s="150"/>
      <c r="DB13" s="150"/>
      <c r="DC13" s="150"/>
      <c r="DD13" s="150"/>
      <c r="DE13" s="150"/>
      <c r="DF13" s="150"/>
      <c r="DG13" s="150"/>
      <c r="DH13" s="150"/>
      <c r="DI13" s="150"/>
      <c r="DJ13" s="150"/>
      <c r="DK13" s="150"/>
      <c r="DL13" s="150"/>
      <c r="DM13" s="150"/>
      <c r="DN13" s="150"/>
      <c r="DO13" s="150"/>
      <c r="DP13" s="150"/>
      <c r="DQ13" s="150"/>
      <c r="DR13" s="150"/>
      <c r="DS13" s="150"/>
      <c r="DT13" s="150"/>
      <c r="DU13" s="150"/>
      <c r="DV13" s="150"/>
      <c r="DW13" s="150"/>
      <c r="DX13" s="150"/>
      <c r="DY13" s="150"/>
      <c r="DZ13" s="150"/>
      <c r="EA13" s="150"/>
      <c r="EB13" s="150"/>
      <c r="EC13" s="150"/>
      <c r="ED13" s="150"/>
      <c r="EE13" s="150"/>
      <c r="EF13" s="150"/>
      <c r="EG13" s="150"/>
      <c r="EH13" s="150"/>
      <c r="EI13" s="150"/>
      <c r="EJ13" s="150"/>
      <c r="EK13" s="150"/>
      <c r="EL13" s="150"/>
      <c r="EM13" s="150"/>
      <c r="EN13" s="150"/>
      <c r="EO13" s="150"/>
      <c r="EP13" s="150"/>
      <c r="EQ13" s="150"/>
      <c r="ER13" s="150"/>
      <c r="ES13" s="150"/>
      <c r="ET13" s="150"/>
      <c r="EU13" s="150"/>
      <c r="EV13" s="150"/>
      <c r="EW13" s="150"/>
      <c r="EX13" s="150"/>
      <c r="EY13" s="150"/>
      <c r="EZ13" s="150"/>
      <c r="FA13" s="150"/>
      <c r="FB13" s="150"/>
      <c r="FC13" s="150"/>
      <c r="FD13" s="150"/>
      <c r="FE13" s="150"/>
      <c r="FF13" s="150"/>
      <c r="FG13" s="150"/>
      <c r="FH13" s="150"/>
      <c r="FI13" s="150"/>
      <c r="FJ13" s="150"/>
      <c r="FK13" s="150"/>
      <c r="FL13" s="150"/>
      <c r="FM13" s="150"/>
      <c r="FN13" s="150"/>
      <c r="FO13" s="150"/>
      <c r="FP13" s="150"/>
      <c r="FQ13" s="150"/>
      <c r="FR13" s="150"/>
      <c r="FS13" s="150"/>
      <c r="FT13" s="150"/>
      <c r="FU13" s="150"/>
      <c r="FV13" s="150"/>
      <c r="FW13" s="150"/>
      <c r="FX13" s="150"/>
      <c r="FY13" s="150"/>
      <c r="FZ13" s="150"/>
      <c r="GA13" s="150"/>
      <c r="GB13" s="150"/>
      <c r="GC13" s="150"/>
      <c r="GD13" s="150"/>
      <c r="GE13" s="150"/>
      <c r="GF13" s="150"/>
      <c r="GG13" s="150"/>
      <c r="GH13" s="150"/>
      <c r="GI13" s="150"/>
      <c r="GJ13" s="150"/>
      <c r="GK13" s="150"/>
      <c r="GL13" s="150"/>
      <c r="GM13" s="150"/>
      <c r="GN13" s="150"/>
      <c r="GO13" s="150"/>
      <c r="GP13" s="150"/>
      <c r="GQ13" s="150"/>
      <c r="GR13" s="150"/>
      <c r="GS13" s="150"/>
      <c r="GT13" s="150"/>
      <c r="GU13" s="150"/>
      <c r="GV13" s="150"/>
      <c r="GW13" s="150"/>
      <c r="GX13" s="150"/>
      <c r="GY13" s="150"/>
      <c r="GZ13" s="150"/>
      <c r="HA13" s="150"/>
      <c r="HB13" s="150"/>
      <c r="HC13" s="150"/>
      <c r="HD13" s="150"/>
      <c r="HE13" s="150"/>
      <c r="HF13" s="150"/>
      <c r="HG13" s="150"/>
      <c r="HH13" s="150"/>
      <c r="HI13" s="150"/>
      <c r="HJ13" s="150"/>
      <c r="HK13" s="150"/>
      <c r="HL13" s="150"/>
      <c r="HM13" s="150"/>
      <c r="HN13" s="150"/>
      <c r="HO13" s="150"/>
      <c r="HP13" s="150"/>
      <c r="HQ13" s="150"/>
      <c r="HR13" s="150"/>
      <c r="HS13" s="150"/>
      <c r="HT13" s="150"/>
      <c r="HU13" s="150"/>
      <c r="HV13" s="150"/>
      <c r="HW13" s="150"/>
      <c r="HX13" s="150"/>
      <c r="HY13" s="150"/>
      <c r="HZ13" s="150"/>
      <c r="IA13" s="150"/>
      <c r="IB13" s="150"/>
      <c r="IC13" s="150"/>
      <c r="ID13" s="150"/>
      <c r="IE13" s="150"/>
      <c r="IF13" s="150"/>
      <c r="IG13" s="150"/>
      <c r="IH13" s="150"/>
      <c r="II13" s="150"/>
      <c r="IJ13" s="150"/>
      <c r="IK13" s="150"/>
      <c r="IL13" s="150"/>
      <c r="IM13" s="150"/>
      <c r="IN13" s="150"/>
      <c r="IO13" s="150"/>
      <c r="IP13" s="150"/>
      <c r="IQ13" s="150"/>
      <c r="IR13" s="150"/>
      <c r="IS13" s="150"/>
      <c r="IT13" s="150"/>
      <c r="IU13" s="150"/>
      <c r="IV13" s="150"/>
      <c r="IW13" s="150"/>
      <c r="IX13" s="150"/>
      <c r="IY13" s="150"/>
      <c r="IZ13" s="150"/>
      <c r="JA13" s="150"/>
      <c r="JB13" s="150"/>
      <c r="JC13" s="150"/>
      <c r="JD13" s="150"/>
      <c r="JE13" s="150"/>
      <c r="JF13" s="150"/>
      <c r="JG13" s="150"/>
      <c r="JH13" s="150"/>
      <c r="JI13" s="150"/>
      <c r="JJ13" s="150"/>
      <c r="JK13" s="150"/>
      <c r="JL13" s="150"/>
      <c r="JM13" s="150"/>
      <c r="JN13" s="150"/>
      <c r="JO13" s="150"/>
      <c r="JP13" s="150"/>
      <c r="JQ13" s="150"/>
      <c r="JR13" s="150"/>
      <c r="JS13" s="150"/>
      <c r="JT13" s="150"/>
      <c r="JU13" s="150"/>
      <c r="JV13" s="150"/>
      <c r="JW13" s="150"/>
      <c r="JX13" s="150"/>
      <c r="JY13" s="150"/>
      <c r="JZ13" s="150"/>
      <c r="KA13" s="150"/>
      <c r="KB13" s="150"/>
      <c r="KC13" s="150"/>
      <c r="KD13" s="150"/>
      <c r="KE13" s="150"/>
      <c r="KF13" s="150"/>
      <c r="KG13" s="150"/>
      <c r="KH13" s="150"/>
      <c r="KI13" s="150"/>
      <c r="KJ13" s="150"/>
      <c r="KK13" s="150"/>
      <c r="KL13" s="150"/>
      <c r="KM13" s="150"/>
      <c r="KN13" s="150"/>
      <c r="KO13" s="150"/>
      <c r="KP13" s="150"/>
      <c r="KQ13" s="150"/>
      <c r="KR13" s="150"/>
      <c r="KS13" s="150"/>
      <c r="KT13" s="150"/>
      <c r="KU13" s="150"/>
      <c r="KV13" s="150"/>
      <c r="KW13" s="150"/>
      <c r="KX13" s="150"/>
      <c r="KY13" s="150"/>
      <c r="KZ13" s="150"/>
      <c r="LA13" s="150"/>
      <c r="LB13" s="150"/>
      <c r="LC13" s="150"/>
      <c r="LD13" s="150"/>
      <c r="LE13" s="150"/>
      <c r="LF13" s="150"/>
    </row>
    <row r="14" spans="1:318">
      <c r="A14" s="151" t="s">
        <v>191</v>
      </c>
      <c r="I14" s="1" t="s">
        <v>192</v>
      </c>
      <c r="J14" s="1">
        <v>700</v>
      </c>
      <c r="O14" s="94" t="s">
        <v>193</v>
      </c>
      <c r="Q14" s="256">
        <f t="shared" ref="Q14:Q21" si="0">AVERAGE(S14:AQ14)</f>
        <v>1380509.1416571056</v>
      </c>
      <c r="R14" s="139"/>
      <c r="S14" s="152">
        <f>N8</f>
        <v>1500000</v>
      </c>
      <c r="T14" s="152">
        <f>S14*(1-$O$8)</f>
        <v>1489500</v>
      </c>
      <c r="U14" s="152">
        <f t="shared" ref="U14:AQ14" si="1">T14*(1-$O$8)</f>
        <v>1479073.5</v>
      </c>
      <c r="V14" s="152">
        <f t="shared" si="1"/>
        <v>1468719.9855</v>
      </c>
      <c r="W14" s="152">
        <f t="shared" si="1"/>
        <v>1458438.9456014999</v>
      </c>
      <c r="X14" s="152">
        <f t="shared" si="1"/>
        <v>1448229.8729822894</v>
      </c>
      <c r="Y14" s="152">
        <f t="shared" si="1"/>
        <v>1438092.2638714134</v>
      </c>
      <c r="Z14" s="152">
        <f t="shared" si="1"/>
        <v>1428025.6180243136</v>
      </c>
      <c r="AA14" s="152">
        <f t="shared" si="1"/>
        <v>1418029.4386981435</v>
      </c>
      <c r="AB14" s="152">
        <f t="shared" si="1"/>
        <v>1408103.2326272565</v>
      </c>
      <c r="AC14" s="152">
        <f t="shared" si="1"/>
        <v>1398246.5099988657</v>
      </c>
      <c r="AD14" s="152">
        <f t="shared" si="1"/>
        <v>1388458.7844288736</v>
      </c>
      <c r="AE14" s="152">
        <f t="shared" si="1"/>
        <v>1378739.5729378713</v>
      </c>
      <c r="AF14" s="152">
        <f t="shared" si="1"/>
        <v>1369088.3959273063</v>
      </c>
      <c r="AG14" s="152">
        <f t="shared" si="1"/>
        <v>1359504.7771558152</v>
      </c>
      <c r="AH14" s="152">
        <f t="shared" si="1"/>
        <v>1349988.2437157244</v>
      </c>
      <c r="AI14" s="152">
        <f t="shared" si="1"/>
        <v>1340538.3260097143</v>
      </c>
      <c r="AJ14" s="152">
        <f t="shared" si="1"/>
        <v>1331154.5577276463</v>
      </c>
      <c r="AK14" s="152">
        <f t="shared" si="1"/>
        <v>1321836.4758235528</v>
      </c>
      <c r="AL14" s="152">
        <f t="shared" si="1"/>
        <v>1312583.620492788</v>
      </c>
      <c r="AM14" s="152">
        <f t="shared" si="1"/>
        <v>1303395.5351493384</v>
      </c>
      <c r="AN14" s="152">
        <f t="shared" si="1"/>
        <v>1294271.766403293</v>
      </c>
      <c r="AO14" s="152">
        <f t="shared" si="1"/>
        <v>1285211.86403847</v>
      </c>
      <c r="AP14" s="152">
        <f t="shared" si="1"/>
        <v>1276215.3809902007</v>
      </c>
      <c r="AQ14" s="187">
        <f t="shared" si="1"/>
        <v>1267281.8733232692</v>
      </c>
      <c r="AW14" s="152"/>
      <c r="AX14" s="152"/>
      <c r="AY14" s="152"/>
      <c r="AZ14" s="152"/>
      <c r="BA14" s="152"/>
      <c r="BB14" s="152"/>
      <c r="BC14" s="152"/>
      <c r="BD14" s="152"/>
      <c r="BE14" s="152"/>
      <c r="BF14" s="152"/>
      <c r="BG14" s="152"/>
      <c r="BH14" s="152"/>
      <c r="BI14" s="152"/>
      <c r="BJ14" s="152"/>
      <c r="BK14" s="152"/>
      <c r="BL14" s="152"/>
      <c r="BM14" s="152"/>
      <c r="BN14" s="152"/>
      <c r="BO14" s="152"/>
      <c r="BP14" s="152"/>
      <c r="BQ14" s="152"/>
      <c r="BR14" s="152"/>
      <c r="BS14" s="152"/>
      <c r="BT14" s="152"/>
      <c r="BU14" s="152"/>
      <c r="BV14" s="152"/>
      <c r="BW14" s="152"/>
      <c r="BX14" s="152"/>
      <c r="BY14" s="152"/>
      <c r="BZ14" s="152"/>
      <c r="CA14" s="152"/>
      <c r="CB14" s="152"/>
      <c r="CC14" s="152"/>
      <c r="CD14" s="152"/>
      <c r="CE14" s="152"/>
      <c r="CF14" s="152"/>
      <c r="CG14" s="152"/>
      <c r="CH14" s="152"/>
      <c r="CI14" s="152"/>
      <c r="CJ14" s="152"/>
      <c r="CK14" s="152"/>
      <c r="CL14" s="152"/>
      <c r="CM14" s="152"/>
      <c r="CN14" s="152"/>
      <c r="CO14" s="152"/>
      <c r="CP14" s="152"/>
      <c r="CQ14" s="152"/>
      <c r="CR14" s="152"/>
      <c r="CS14" s="152"/>
      <c r="CT14" s="152"/>
      <c r="CU14" s="152"/>
      <c r="CV14" s="152"/>
      <c r="CW14" s="152"/>
      <c r="CX14" s="152"/>
      <c r="CY14" s="152"/>
      <c r="CZ14" s="152"/>
      <c r="DA14" s="152"/>
      <c r="DB14" s="152"/>
      <c r="DC14" s="152"/>
      <c r="DD14" s="152"/>
      <c r="DE14" s="152"/>
      <c r="DF14" s="152"/>
      <c r="DG14" s="152"/>
      <c r="DH14" s="152"/>
      <c r="DI14" s="152"/>
      <c r="DJ14" s="152"/>
      <c r="DK14" s="152"/>
      <c r="DL14" s="152"/>
      <c r="DM14" s="152"/>
      <c r="DN14" s="152"/>
      <c r="DO14" s="152"/>
      <c r="DP14" s="152"/>
      <c r="DQ14" s="152"/>
      <c r="DR14" s="152"/>
      <c r="DS14" s="152"/>
      <c r="DT14" s="152"/>
      <c r="DU14" s="152"/>
      <c r="DV14" s="152"/>
      <c r="DW14" s="152"/>
      <c r="DX14" s="152"/>
      <c r="DY14" s="152"/>
      <c r="DZ14" s="152"/>
      <c r="EA14" s="152"/>
      <c r="EB14" s="152"/>
      <c r="EC14" s="152"/>
      <c r="ED14" s="152"/>
      <c r="EE14" s="152"/>
      <c r="EF14" s="152"/>
      <c r="EG14" s="152"/>
      <c r="EH14" s="152"/>
      <c r="EI14" s="152"/>
      <c r="EJ14" s="152"/>
      <c r="EK14" s="152"/>
      <c r="EL14" s="152"/>
      <c r="EM14" s="152"/>
      <c r="EN14" s="152"/>
      <c r="EO14" s="152"/>
      <c r="EP14" s="152"/>
      <c r="EQ14" s="152"/>
      <c r="ER14" s="152"/>
      <c r="ES14" s="152"/>
      <c r="ET14" s="152"/>
      <c r="EU14" s="152"/>
      <c r="EV14" s="152"/>
      <c r="EW14" s="152"/>
      <c r="EX14" s="152"/>
      <c r="EY14" s="152"/>
      <c r="EZ14" s="152"/>
      <c r="FA14" s="152"/>
      <c r="FB14" s="152"/>
      <c r="FC14" s="152"/>
      <c r="FD14" s="152"/>
      <c r="FE14" s="152"/>
      <c r="FF14" s="152"/>
      <c r="FG14" s="152"/>
      <c r="FH14" s="152"/>
      <c r="FI14" s="152"/>
      <c r="FJ14" s="152"/>
      <c r="FK14" s="152"/>
      <c r="FL14" s="152"/>
      <c r="FM14" s="152"/>
      <c r="FN14" s="152"/>
      <c r="FO14" s="152"/>
      <c r="FP14" s="152"/>
      <c r="FQ14" s="152"/>
      <c r="FR14" s="152"/>
      <c r="FS14" s="152"/>
      <c r="FT14" s="152"/>
      <c r="FU14" s="152"/>
      <c r="FV14" s="152"/>
      <c r="FW14" s="152"/>
      <c r="FX14" s="152"/>
      <c r="FY14" s="152"/>
      <c r="FZ14" s="152"/>
      <c r="GA14" s="152"/>
      <c r="GB14" s="152"/>
      <c r="GC14" s="152"/>
      <c r="GD14" s="152"/>
      <c r="GE14" s="152"/>
      <c r="GF14" s="152"/>
      <c r="GG14" s="152"/>
      <c r="GH14" s="152"/>
      <c r="GI14" s="152"/>
      <c r="GJ14" s="152"/>
      <c r="GK14" s="152"/>
      <c r="GL14" s="152"/>
      <c r="GM14" s="152"/>
      <c r="GN14" s="152"/>
      <c r="GO14" s="152"/>
      <c r="GP14" s="152"/>
      <c r="GQ14" s="152"/>
      <c r="GR14" s="152"/>
      <c r="GS14" s="152"/>
      <c r="GT14" s="152"/>
      <c r="GU14" s="152"/>
      <c r="GV14" s="152"/>
      <c r="GW14" s="152"/>
      <c r="GX14" s="152"/>
      <c r="GY14" s="152"/>
      <c r="GZ14" s="152"/>
      <c r="HA14" s="152"/>
      <c r="HB14" s="152"/>
      <c r="HC14" s="152"/>
      <c r="HD14" s="152"/>
      <c r="HE14" s="152"/>
      <c r="HF14" s="152"/>
      <c r="HG14" s="152"/>
      <c r="HH14" s="152"/>
      <c r="HI14" s="152"/>
      <c r="HJ14" s="152"/>
      <c r="HK14" s="152"/>
      <c r="HL14" s="152"/>
      <c r="HM14" s="152"/>
      <c r="HN14" s="152"/>
      <c r="HO14" s="152"/>
      <c r="HP14" s="152"/>
      <c r="HQ14" s="152"/>
      <c r="HR14" s="152"/>
      <c r="HS14" s="152"/>
      <c r="HT14" s="152"/>
      <c r="HU14" s="152"/>
      <c r="HV14" s="152"/>
      <c r="HW14" s="152"/>
      <c r="HX14" s="152"/>
      <c r="HY14" s="152"/>
      <c r="HZ14" s="152"/>
      <c r="IA14" s="152"/>
      <c r="IB14" s="152"/>
      <c r="IC14" s="152"/>
      <c r="ID14" s="152"/>
      <c r="IE14" s="152"/>
      <c r="IF14" s="152"/>
      <c r="IG14" s="152"/>
      <c r="IH14" s="152"/>
      <c r="II14" s="152"/>
      <c r="IJ14" s="152"/>
      <c r="IK14" s="152"/>
      <c r="IL14" s="152"/>
      <c r="IM14" s="152"/>
      <c r="IN14" s="152"/>
      <c r="IO14" s="152"/>
      <c r="IP14" s="152"/>
      <c r="IQ14" s="152"/>
      <c r="IR14" s="152"/>
      <c r="IS14" s="152"/>
      <c r="IT14" s="152"/>
      <c r="IU14" s="152"/>
      <c r="IV14" s="152"/>
      <c r="IW14" s="152"/>
      <c r="IX14" s="152"/>
      <c r="IY14" s="152"/>
      <c r="IZ14" s="152"/>
      <c r="JA14" s="152"/>
      <c r="JB14" s="152"/>
      <c r="JC14" s="152"/>
      <c r="JD14" s="152"/>
      <c r="JE14" s="152"/>
      <c r="JF14" s="152"/>
      <c r="JG14" s="152"/>
      <c r="JH14" s="152"/>
      <c r="JI14" s="152"/>
      <c r="JJ14" s="152"/>
      <c r="JK14" s="152"/>
      <c r="JL14" s="152"/>
      <c r="JM14" s="152"/>
      <c r="JN14" s="152"/>
      <c r="JO14" s="152"/>
      <c r="JP14" s="152"/>
      <c r="JQ14" s="152"/>
      <c r="JR14" s="152"/>
      <c r="JS14" s="152"/>
      <c r="JT14" s="152"/>
      <c r="JU14" s="152"/>
      <c r="JV14" s="152"/>
      <c r="JW14" s="152"/>
      <c r="JX14" s="152"/>
      <c r="JY14" s="152"/>
      <c r="JZ14" s="152"/>
      <c r="KA14" s="152"/>
      <c r="KB14" s="152"/>
      <c r="KC14" s="152"/>
      <c r="KD14" s="152"/>
      <c r="KE14" s="152"/>
      <c r="KF14" s="152"/>
      <c r="KG14" s="152"/>
      <c r="KH14" s="152"/>
      <c r="KI14" s="152"/>
      <c r="KJ14" s="152"/>
      <c r="KK14" s="152"/>
      <c r="KL14" s="152"/>
      <c r="KM14" s="152"/>
      <c r="KN14" s="152"/>
      <c r="KO14" s="152"/>
      <c r="KP14" s="152"/>
      <c r="KQ14" s="152"/>
      <c r="KR14" s="152"/>
      <c r="KS14" s="152"/>
      <c r="KT14" s="152"/>
      <c r="KU14" s="152"/>
      <c r="KV14" s="152"/>
      <c r="KW14" s="152"/>
      <c r="KX14" s="152"/>
      <c r="KY14" s="152"/>
      <c r="KZ14" s="152"/>
      <c r="LA14" s="152"/>
      <c r="LB14" s="152"/>
      <c r="LC14" s="152"/>
      <c r="LD14" s="152"/>
      <c r="LE14" s="152"/>
      <c r="LF14" s="152"/>
    </row>
    <row r="15" spans="1:318" ht="30">
      <c r="A15" s="151"/>
      <c r="O15" s="94" t="s">
        <v>194</v>
      </c>
      <c r="Q15" s="65">
        <f t="shared" si="0"/>
        <v>75.781590866035984</v>
      </c>
      <c r="R15" s="139"/>
      <c r="S15" s="188">
        <f>$I$8</f>
        <v>130</v>
      </c>
      <c r="T15" s="188">
        <f>MAX(S15*(1-$AB$8), $AC$8)</f>
        <v>123.5</v>
      </c>
      <c r="U15" s="188">
        <f t="shared" ref="U15:AQ15" si="2">MAX(T15*(1-$AB$8), $AC$8)</f>
        <v>117.32499999999999</v>
      </c>
      <c r="V15" s="188">
        <f t="shared" si="2"/>
        <v>111.45874999999998</v>
      </c>
      <c r="W15" s="188">
        <f t="shared" si="2"/>
        <v>105.88581249999997</v>
      </c>
      <c r="X15" s="188">
        <f t="shared" si="2"/>
        <v>100.59152187499997</v>
      </c>
      <c r="Y15" s="188">
        <f t="shared" si="2"/>
        <v>95.56194578124996</v>
      </c>
      <c r="Z15" s="188">
        <f t="shared" si="2"/>
        <v>90.78384849218746</v>
      </c>
      <c r="AA15" s="188">
        <f t="shared" si="2"/>
        <v>86.244656067578077</v>
      </c>
      <c r="AB15" s="188">
        <f t="shared" si="2"/>
        <v>81.932423264199173</v>
      </c>
      <c r="AC15" s="188">
        <f t="shared" si="2"/>
        <v>77.835802100989213</v>
      </c>
      <c r="AD15" s="188">
        <f t="shared" si="2"/>
        <v>73.944011995939746</v>
      </c>
      <c r="AE15" s="188">
        <f t="shared" si="2"/>
        <v>70.24681139614276</v>
      </c>
      <c r="AF15" s="188">
        <f t="shared" si="2"/>
        <v>66.734470826335624</v>
      </c>
      <c r="AG15" s="188">
        <f t="shared" si="2"/>
        <v>63.397747285018838</v>
      </c>
      <c r="AH15" s="188">
        <f t="shared" si="2"/>
        <v>60.227859920767891</v>
      </c>
      <c r="AI15" s="188">
        <f t="shared" si="2"/>
        <v>57.216466924729495</v>
      </c>
      <c r="AJ15" s="188">
        <f t="shared" si="2"/>
        <v>54.355643578493016</v>
      </c>
      <c r="AK15" s="188">
        <f t="shared" si="2"/>
        <v>51.637861399568365</v>
      </c>
      <c r="AL15" s="188">
        <f t="shared" si="2"/>
        <v>49.055968329589945</v>
      </c>
      <c r="AM15" s="188">
        <f t="shared" si="2"/>
        <v>46.603169913110442</v>
      </c>
      <c r="AN15" s="188">
        <f t="shared" si="2"/>
        <v>45</v>
      </c>
      <c r="AO15" s="188">
        <f t="shared" si="2"/>
        <v>45</v>
      </c>
      <c r="AP15" s="188">
        <f t="shared" si="2"/>
        <v>45</v>
      </c>
      <c r="AQ15" s="189">
        <f t="shared" si="2"/>
        <v>45</v>
      </c>
      <c r="AW15" s="152"/>
      <c r="AX15" s="152"/>
      <c r="AY15" s="152"/>
      <c r="AZ15" s="152"/>
      <c r="BA15" s="152"/>
      <c r="BB15" s="152"/>
      <c r="BC15" s="152"/>
      <c r="BD15" s="152"/>
      <c r="BE15" s="152"/>
      <c r="BF15" s="152"/>
      <c r="BG15" s="152"/>
      <c r="BH15" s="152"/>
      <c r="BI15" s="152"/>
      <c r="BJ15" s="152"/>
      <c r="BK15" s="152"/>
      <c r="BL15" s="152"/>
      <c r="BM15" s="152"/>
      <c r="BN15" s="152"/>
      <c r="BO15" s="152"/>
      <c r="BP15" s="152"/>
      <c r="BQ15" s="152"/>
      <c r="BR15" s="152"/>
      <c r="BS15" s="152"/>
      <c r="BT15" s="152"/>
      <c r="BU15" s="152"/>
      <c r="BV15" s="152"/>
      <c r="BW15" s="152"/>
      <c r="BX15" s="152"/>
      <c r="BY15" s="152"/>
      <c r="BZ15" s="152"/>
      <c r="CA15" s="152"/>
      <c r="CB15" s="152"/>
      <c r="CC15" s="152"/>
      <c r="CD15" s="152"/>
      <c r="CE15" s="152"/>
      <c r="CF15" s="152"/>
      <c r="CG15" s="152"/>
      <c r="CH15" s="152"/>
      <c r="CI15" s="152"/>
      <c r="CJ15" s="152"/>
      <c r="CK15" s="152"/>
      <c r="CL15" s="152"/>
      <c r="CM15" s="152"/>
      <c r="CN15" s="152"/>
      <c r="CO15" s="152"/>
      <c r="CP15" s="152"/>
      <c r="CQ15" s="152"/>
      <c r="CR15" s="152"/>
      <c r="CS15" s="152"/>
      <c r="CT15" s="152"/>
      <c r="CU15" s="152"/>
      <c r="CV15" s="152"/>
      <c r="CW15" s="152"/>
      <c r="CX15" s="152"/>
      <c r="CY15" s="152"/>
      <c r="CZ15" s="152"/>
      <c r="DA15" s="152"/>
      <c r="DB15" s="152"/>
      <c r="DC15" s="152"/>
      <c r="DD15" s="152"/>
      <c r="DE15" s="152"/>
      <c r="DF15" s="152"/>
      <c r="DG15" s="152"/>
      <c r="DH15" s="152"/>
      <c r="DI15" s="152"/>
      <c r="DJ15" s="152"/>
      <c r="DK15" s="152"/>
      <c r="DL15" s="152"/>
      <c r="DM15" s="152"/>
      <c r="DN15" s="152"/>
      <c r="DO15" s="152"/>
      <c r="DP15" s="152"/>
      <c r="DQ15" s="152"/>
      <c r="DR15" s="152"/>
      <c r="DS15" s="152"/>
      <c r="DT15" s="152"/>
      <c r="DU15" s="152"/>
      <c r="DV15" s="152"/>
      <c r="DW15" s="152"/>
      <c r="DX15" s="152"/>
      <c r="DY15" s="152"/>
      <c r="DZ15" s="152"/>
      <c r="EA15" s="152"/>
      <c r="EB15" s="152"/>
      <c r="EC15" s="152"/>
      <c r="ED15" s="152"/>
      <c r="EE15" s="152"/>
      <c r="EF15" s="152"/>
      <c r="EG15" s="152"/>
      <c r="EH15" s="152"/>
      <c r="EI15" s="152"/>
      <c r="EJ15" s="152"/>
      <c r="EK15" s="152"/>
      <c r="EL15" s="152"/>
      <c r="EM15" s="152"/>
      <c r="EN15" s="152"/>
      <c r="EO15" s="152"/>
      <c r="EP15" s="152"/>
      <c r="EQ15" s="152"/>
      <c r="ER15" s="152"/>
      <c r="ES15" s="152"/>
      <c r="ET15" s="152"/>
      <c r="EU15" s="152"/>
      <c r="EV15" s="152"/>
      <c r="EW15" s="152"/>
      <c r="EX15" s="152"/>
      <c r="EY15" s="152"/>
      <c r="EZ15" s="152"/>
      <c r="FA15" s="152"/>
      <c r="FB15" s="152"/>
      <c r="FC15" s="152"/>
      <c r="FD15" s="152"/>
      <c r="FE15" s="152"/>
      <c r="FF15" s="152"/>
      <c r="FG15" s="152"/>
      <c r="FH15" s="152"/>
      <c r="FI15" s="152"/>
      <c r="FJ15" s="152"/>
      <c r="FK15" s="152"/>
      <c r="FL15" s="152"/>
      <c r="FM15" s="152"/>
      <c r="FN15" s="152"/>
      <c r="FO15" s="152"/>
      <c r="FP15" s="152"/>
      <c r="FQ15" s="152"/>
      <c r="FR15" s="152"/>
      <c r="FS15" s="152"/>
      <c r="FT15" s="152"/>
      <c r="FU15" s="152"/>
      <c r="FV15" s="152"/>
      <c r="FW15" s="152"/>
      <c r="FX15" s="152"/>
      <c r="FY15" s="152"/>
      <c r="FZ15" s="152"/>
      <c r="GA15" s="152"/>
      <c r="GB15" s="152"/>
      <c r="GC15" s="152"/>
      <c r="GD15" s="152"/>
      <c r="GE15" s="152"/>
      <c r="GF15" s="152"/>
      <c r="GG15" s="152"/>
      <c r="GH15" s="152"/>
      <c r="GI15" s="152"/>
      <c r="GJ15" s="152"/>
      <c r="GK15" s="152"/>
      <c r="GL15" s="152"/>
      <c r="GM15" s="152"/>
      <c r="GN15" s="152"/>
      <c r="GO15" s="152"/>
      <c r="GP15" s="152"/>
      <c r="GQ15" s="152"/>
      <c r="GR15" s="152"/>
      <c r="GS15" s="152"/>
      <c r="GT15" s="152"/>
      <c r="GU15" s="152"/>
      <c r="GV15" s="152"/>
      <c r="GW15" s="152"/>
      <c r="GX15" s="152"/>
      <c r="GY15" s="152"/>
      <c r="GZ15" s="152"/>
      <c r="HA15" s="152"/>
      <c r="HB15" s="152"/>
      <c r="HC15" s="152"/>
      <c r="HD15" s="152"/>
      <c r="HE15" s="152"/>
      <c r="HF15" s="152"/>
      <c r="HG15" s="152"/>
      <c r="HH15" s="152"/>
      <c r="HI15" s="152"/>
      <c r="HJ15" s="152"/>
      <c r="HK15" s="152"/>
      <c r="HL15" s="152"/>
      <c r="HM15" s="152"/>
      <c r="HN15" s="152"/>
      <c r="HO15" s="152"/>
      <c r="HP15" s="152"/>
      <c r="HQ15" s="152"/>
      <c r="HR15" s="152"/>
      <c r="HS15" s="152"/>
      <c r="HT15" s="152"/>
      <c r="HU15" s="152"/>
      <c r="HV15" s="152"/>
      <c r="HW15" s="152"/>
      <c r="HX15" s="152"/>
      <c r="HY15" s="152"/>
      <c r="HZ15" s="152"/>
      <c r="IA15" s="152"/>
      <c r="IB15" s="152"/>
      <c r="IC15" s="152"/>
      <c r="ID15" s="152"/>
      <c r="IE15" s="152"/>
      <c r="IF15" s="152"/>
      <c r="IG15" s="152"/>
      <c r="IH15" s="152"/>
      <c r="II15" s="152"/>
      <c r="IJ15" s="152"/>
      <c r="IK15" s="152"/>
      <c r="IL15" s="152"/>
      <c r="IM15" s="152"/>
      <c r="IN15" s="152"/>
      <c r="IO15" s="152"/>
      <c r="IP15" s="152"/>
      <c r="IQ15" s="152"/>
      <c r="IR15" s="152"/>
      <c r="IS15" s="152"/>
      <c r="IT15" s="152"/>
      <c r="IU15" s="152"/>
      <c r="IV15" s="152"/>
      <c r="IW15" s="152"/>
      <c r="IX15" s="152"/>
      <c r="IY15" s="152"/>
      <c r="IZ15" s="152"/>
      <c r="JA15" s="152"/>
      <c r="JB15" s="152"/>
      <c r="JC15" s="152"/>
      <c r="JD15" s="152"/>
      <c r="JE15" s="152"/>
      <c r="JF15" s="152"/>
      <c r="JG15" s="152"/>
      <c r="JH15" s="152"/>
      <c r="JI15" s="152"/>
      <c r="JJ15" s="152"/>
      <c r="JK15" s="152"/>
      <c r="JL15" s="152"/>
      <c r="JM15" s="152"/>
      <c r="JN15" s="152"/>
      <c r="JO15" s="152"/>
      <c r="JP15" s="152"/>
      <c r="JQ15" s="152"/>
      <c r="JR15" s="152"/>
      <c r="JS15" s="152"/>
      <c r="JT15" s="152"/>
      <c r="JU15" s="152"/>
      <c r="JV15" s="152"/>
      <c r="JW15" s="152"/>
      <c r="JX15" s="152"/>
      <c r="JY15" s="152"/>
      <c r="JZ15" s="152"/>
      <c r="KA15" s="152"/>
      <c r="KB15" s="152"/>
      <c r="KC15" s="152"/>
      <c r="KD15" s="152"/>
      <c r="KE15" s="152"/>
      <c r="KF15" s="152"/>
      <c r="KG15" s="152"/>
      <c r="KH15" s="152"/>
      <c r="KI15" s="152"/>
      <c r="KJ15" s="152"/>
      <c r="KK15" s="152"/>
      <c r="KL15" s="152"/>
      <c r="KM15" s="152"/>
      <c r="KN15" s="152"/>
      <c r="KO15" s="152"/>
      <c r="KP15" s="152"/>
      <c r="KQ15" s="152"/>
      <c r="KR15" s="152"/>
      <c r="KS15" s="152"/>
      <c r="KT15" s="152"/>
      <c r="KU15" s="152"/>
      <c r="KV15" s="152"/>
      <c r="KW15" s="152"/>
      <c r="KX15" s="152"/>
      <c r="KY15" s="152"/>
      <c r="KZ15" s="152"/>
      <c r="LA15" s="152"/>
      <c r="LB15" s="152"/>
      <c r="LC15" s="152"/>
      <c r="LD15" s="152"/>
      <c r="LE15" s="152"/>
      <c r="LF15" s="152"/>
    </row>
    <row r="16" spans="1:318" ht="30">
      <c r="O16" s="94" t="s">
        <v>195</v>
      </c>
      <c r="Q16" s="65">
        <f t="shared" si="0"/>
        <v>111398.93857307288</v>
      </c>
      <c r="R16" s="139"/>
      <c r="S16" s="188">
        <f>($E$8/1000)*S15</f>
        <v>191100</v>
      </c>
      <c r="T16" s="188">
        <f t="shared" ref="T16:AQ16" si="3">($E$8/1000)*T15</f>
        <v>181545</v>
      </c>
      <c r="U16" s="188">
        <f t="shared" si="3"/>
        <v>172467.74999999997</v>
      </c>
      <c r="V16" s="188">
        <f t="shared" si="3"/>
        <v>163844.36249999996</v>
      </c>
      <c r="W16" s="188">
        <f t="shared" si="3"/>
        <v>155652.14437499995</v>
      </c>
      <c r="X16" s="188">
        <f t="shared" si="3"/>
        <v>147869.53715624995</v>
      </c>
      <c r="Y16" s="188">
        <f t="shared" si="3"/>
        <v>140476.06029843743</v>
      </c>
      <c r="Z16" s="188">
        <f t="shared" si="3"/>
        <v>133452.25728351556</v>
      </c>
      <c r="AA16" s="188">
        <f t="shared" si="3"/>
        <v>126779.64441933978</v>
      </c>
      <c r="AB16" s="188">
        <f t="shared" si="3"/>
        <v>120440.66219837278</v>
      </c>
      <c r="AC16" s="188">
        <f t="shared" si="3"/>
        <v>114418.62908845414</v>
      </c>
      <c r="AD16" s="188">
        <f t="shared" si="3"/>
        <v>108697.69763403143</v>
      </c>
      <c r="AE16" s="188">
        <f t="shared" si="3"/>
        <v>103262.81275232986</v>
      </c>
      <c r="AF16" s="188">
        <f t="shared" si="3"/>
        <v>98099.672114713365</v>
      </c>
      <c r="AG16" s="188">
        <f t="shared" si="3"/>
        <v>93194.688508977692</v>
      </c>
      <c r="AH16" s="188">
        <f t="shared" si="3"/>
        <v>88534.954083528806</v>
      </c>
      <c r="AI16" s="188">
        <f t="shared" si="3"/>
        <v>84108.206379352356</v>
      </c>
      <c r="AJ16" s="188">
        <f t="shared" si="3"/>
        <v>79902.796060384731</v>
      </c>
      <c r="AK16" s="188">
        <f t="shared" si="3"/>
        <v>75907.656257365496</v>
      </c>
      <c r="AL16" s="188">
        <f t="shared" si="3"/>
        <v>72112.273444497216</v>
      </c>
      <c r="AM16" s="188">
        <f t="shared" si="3"/>
        <v>68506.659772272353</v>
      </c>
      <c r="AN16" s="188">
        <f t="shared" si="3"/>
        <v>66150</v>
      </c>
      <c r="AO16" s="188">
        <f t="shared" si="3"/>
        <v>66150</v>
      </c>
      <c r="AP16" s="188">
        <f t="shared" si="3"/>
        <v>66150</v>
      </c>
      <c r="AQ16" s="189">
        <f t="shared" si="3"/>
        <v>66150</v>
      </c>
      <c r="AW16" s="152"/>
      <c r="AX16" s="152"/>
      <c r="AY16" s="152"/>
      <c r="AZ16" s="152"/>
      <c r="BA16" s="152"/>
      <c r="BB16" s="152"/>
      <c r="BC16" s="152"/>
      <c r="BD16" s="152"/>
      <c r="BE16" s="152"/>
      <c r="BF16" s="152"/>
      <c r="BG16" s="152"/>
      <c r="BH16" s="152"/>
      <c r="BI16" s="152"/>
      <c r="BJ16" s="152"/>
      <c r="BK16" s="152"/>
      <c r="BL16" s="152"/>
      <c r="BM16" s="152"/>
      <c r="BN16" s="152"/>
      <c r="BO16" s="152"/>
      <c r="BP16" s="152"/>
      <c r="BQ16" s="152"/>
      <c r="BR16" s="152"/>
      <c r="BS16" s="152"/>
      <c r="BT16" s="152"/>
      <c r="BU16" s="152"/>
      <c r="BV16" s="152"/>
      <c r="BW16" s="152"/>
      <c r="BX16" s="152"/>
      <c r="BY16" s="152"/>
      <c r="BZ16" s="152"/>
      <c r="CA16" s="152"/>
      <c r="CB16" s="152"/>
      <c r="CC16" s="152"/>
      <c r="CD16" s="152"/>
      <c r="CE16" s="152"/>
      <c r="CF16" s="152"/>
      <c r="CG16" s="152"/>
      <c r="CH16" s="152"/>
      <c r="CI16" s="152"/>
      <c r="CJ16" s="152"/>
      <c r="CK16" s="152"/>
      <c r="CL16" s="152"/>
      <c r="CM16" s="152"/>
      <c r="CN16" s="152"/>
      <c r="CO16" s="152"/>
      <c r="CP16" s="152"/>
      <c r="CQ16" s="152"/>
      <c r="CR16" s="152"/>
      <c r="CS16" s="152"/>
      <c r="CT16" s="152"/>
      <c r="CU16" s="152"/>
      <c r="CV16" s="152"/>
      <c r="CW16" s="152"/>
      <c r="CX16" s="152"/>
      <c r="CY16" s="152"/>
      <c r="CZ16" s="152"/>
      <c r="DA16" s="152"/>
      <c r="DB16" s="152"/>
      <c r="DC16" s="152"/>
      <c r="DD16" s="152"/>
      <c r="DE16" s="152"/>
      <c r="DF16" s="152"/>
      <c r="DG16" s="152"/>
      <c r="DH16" s="152"/>
      <c r="DI16" s="152"/>
      <c r="DJ16" s="152"/>
      <c r="DK16" s="152"/>
      <c r="DL16" s="152"/>
      <c r="DM16" s="152"/>
      <c r="DN16" s="152"/>
      <c r="DO16" s="152"/>
      <c r="DP16" s="152"/>
      <c r="DQ16" s="152"/>
      <c r="DR16" s="152"/>
      <c r="DS16" s="152"/>
      <c r="DT16" s="152"/>
      <c r="DU16" s="152"/>
      <c r="DV16" s="152"/>
      <c r="DW16" s="152"/>
      <c r="DX16" s="152"/>
      <c r="DY16" s="152"/>
      <c r="DZ16" s="152"/>
      <c r="EA16" s="152"/>
      <c r="EB16" s="152"/>
      <c r="EC16" s="152"/>
      <c r="ED16" s="152"/>
      <c r="EE16" s="152"/>
      <c r="EF16" s="152"/>
      <c r="EG16" s="152"/>
      <c r="EH16" s="152"/>
      <c r="EI16" s="152"/>
      <c r="EJ16" s="152"/>
      <c r="EK16" s="152"/>
      <c r="EL16" s="152"/>
      <c r="EM16" s="152"/>
      <c r="EN16" s="152"/>
      <c r="EO16" s="152"/>
      <c r="EP16" s="152"/>
      <c r="EQ16" s="152"/>
      <c r="ER16" s="152"/>
      <c r="ES16" s="152"/>
      <c r="ET16" s="152"/>
      <c r="EU16" s="152"/>
      <c r="EV16" s="152"/>
      <c r="EW16" s="152"/>
      <c r="EX16" s="152"/>
      <c r="EY16" s="152"/>
      <c r="EZ16" s="152"/>
      <c r="FA16" s="152"/>
      <c r="FB16" s="152"/>
      <c r="FC16" s="152"/>
      <c r="FD16" s="152"/>
      <c r="FE16" s="152"/>
      <c r="FF16" s="152"/>
      <c r="FG16" s="152"/>
      <c r="FH16" s="152"/>
      <c r="FI16" s="152"/>
      <c r="FJ16" s="152"/>
      <c r="FK16" s="152"/>
      <c r="FL16" s="152"/>
      <c r="FM16" s="152"/>
      <c r="FN16" s="152"/>
      <c r="FO16" s="152"/>
      <c r="FP16" s="152"/>
      <c r="FQ16" s="152"/>
      <c r="FR16" s="152"/>
      <c r="FS16" s="152"/>
      <c r="FT16" s="152"/>
      <c r="FU16" s="152"/>
      <c r="FV16" s="152"/>
      <c r="FW16" s="152"/>
      <c r="FX16" s="152"/>
      <c r="FY16" s="152"/>
      <c r="FZ16" s="152"/>
      <c r="GA16" s="152"/>
      <c r="GB16" s="152"/>
      <c r="GC16" s="152"/>
      <c r="GD16" s="152"/>
      <c r="GE16" s="152"/>
      <c r="GF16" s="152"/>
      <c r="GG16" s="152"/>
      <c r="GH16" s="152"/>
      <c r="GI16" s="152"/>
      <c r="GJ16" s="152"/>
      <c r="GK16" s="152"/>
      <c r="GL16" s="152"/>
      <c r="GM16" s="152"/>
      <c r="GN16" s="152"/>
      <c r="GO16" s="152"/>
      <c r="GP16" s="152"/>
      <c r="GQ16" s="152"/>
      <c r="GR16" s="152"/>
      <c r="GS16" s="152"/>
      <c r="GT16" s="152"/>
      <c r="GU16" s="152"/>
      <c r="GV16" s="152"/>
      <c r="GW16" s="152"/>
      <c r="GX16" s="152"/>
      <c r="GY16" s="152"/>
      <c r="GZ16" s="152"/>
      <c r="HA16" s="152"/>
      <c r="HB16" s="152"/>
      <c r="HC16" s="152"/>
      <c r="HD16" s="152"/>
      <c r="HE16" s="152"/>
      <c r="HF16" s="152"/>
      <c r="HG16" s="152"/>
      <c r="HH16" s="152"/>
      <c r="HI16" s="152"/>
      <c r="HJ16" s="152"/>
      <c r="HK16" s="152"/>
      <c r="HL16" s="152"/>
      <c r="HM16" s="152"/>
      <c r="HN16" s="152"/>
      <c r="HO16" s="152"/>
      <c r="HP16" s="152"/>
      <c r="HQ16" s="152"/>
      <c r="HR16" s="152"/>
      <c r="HS16" s="152"/>
      <c r="HT16" s="152"/>
      <c r="HU16" s="152"/>
      <c r="HV16" s="152"/>
      <c r="HW16" s="152"/>
      <c r="HX16" s="152"/>
      <c r="HY16" s="152"/>
      <c r="HZ16" s="152"/>
      <c r="IA16" s="152"/>
      <c r="IB16" s="152"/>
      <c r="IC16" s="152"/>
      <c r="ID16" s="152"/>
      <c r="IE16" s="152"/>
      <c r="IF16" s="152"/>
      <c r="IG16" s="152"/>
      <c r="IH16" s="152"/>
      <c r="II16" s="152"/>
      <c r="IJ16" s="152"/>
      <c r="IK16" s="152"/>
      <c r="IL16" s="152"/>
      <c r="IM16" s="152"/>
      <c r="IN16" s="152"/>
      <c r="IO16" s="152"/>
      <c r="IP16" s="152"/>
      <c r="IQ16" s="152"/>
      <c r="IR16" s="152"/>
      <c r="IS16" s="152"/>
      <c r="IT16" s="152"/>
      <c r="IU16" s="152"/>
      <c r="IV16" s="152"/>
      <c r="IW16" s="152"/>
      <c r="IX16" s="152"/>
      <c r="IY16" s="152"/>
      <c r="IZ16" s="152"/>
      <c r="JA16" s="152"/>
      <c r="JB16" s="152"/>
      <c r="JC16" s="152"/>
      <c r="JD16" s="152"/>
      <c r="JE16" s="152"/>
      <c r="JF16" s="152"/>
      <c r="JG16" s="152"/>
      <c r="JH16" s="152"/>
      <c r="JI16" s="152"/>
      <c r="JJ16" s="152"/>
      <c r="JK16" s="152"/>
      <c r="JL16" s="152"/>
      <c r="JM16" s="152"/>
      <c r="JN16" s="152"/>
      <c r="JO16" s="152"/>
      <c r="JP16" s="152"/>
      <c r="JQ16" s="152"/>
      <c r="JR16" s="152"/>
      <c r="JS16" s="152"/>
      <c r="JT16" s="152"/>
      <c r="JU16" s="152"/>
      <c r="JV16" s="152"/>
      <c r="JW16" s="152"/>
      <c r="JX16" s="152"/>
      <c r="JY16" s="152"/>
      <c r="JZ16" s="152"/>
      <c r="KA16" s="152"/>
      <c r="KB16" s="152"/>
      <c r="KC16" s="152"/>
      <c r="KD16" s="152"/>
      <c r="KE16" s="152"/>
      <c r="KF16" s="152"/>
      <c r="KG16" s="152"/>
      <c r="KH16" s="152"/>
      <c r="KI16" s="152"/>
      <c r="KJ16" s="152"/>
      <c r="KK16" s="152"/>
      <c r="KL16" s="152"/>
      <c r="KM16" s="152"/>
      <c r="KN16" s="152"/>
      <c r="KO16" s="152"/>
      <c r="KP16" s="152"/>
      <c r="KQ16" s="152"/>
      <c r="KR16" s="152"/>
      <c r="KS16" s="152"/>
      <c r="KT16" s="152"/>
      <c r="KU16" s="152"/>
      <c r="KV16" s="152"/>
      <c r="KW16" s="152"/>
      <c r="KX16" s="152"/>
      <c r="KY16" s="152"/>
      <c r="KZ16" s="152"/>
      <c r="LA16" s="152"/>
      <c r="LB16" s="152"/>
      <c r="LC16" s="152"/>
      <c r="LD16" s="152"/>
      <c r="LE16" s="152"/>
      <c r="LF16" s="152"/>
    </row>
    <row r="17" spans="1:318" ht="45">
      <c r="A17" s="153" t="s">
        <v>196</v>
      </c>
      <c r="D17" s="58" t="s">
        <v>197</v>
      </c>
      <c r="E17" s="58" t="s">
        <v>198</v>
      </c>
      <c r="N17" s="152">
        <f>S16+S17</f>
        <v>257250</v>
      </c>
      <c r="O17" s="94" t="s">
        <v>199</v>
      </c>
      <c r="Q17" s="65">
        <f t="shared" si="0"/>
        <v>66150</v>
      </c>
      <c r="R17" s="139"/>
      <c r="S17" s="188">
        <f t="shared" ref="S17:AQ17" si="4">($E$8/1000)*$J$8</f>
        <v>66150</v>
      </c>
      <c r="T17" s="188">
        <f t="shared" si="4"/>
        <v>66150</v>
      </c>
      <c r="U17" s="188">
        <f t="shared" si="4"/>
        <v>66150</v>
      </c>
      <c r="V17" s="188">
        <f t="shared" si="4"/>
        <v>66150</v>
      </c>
      <c r="W17" s="188">
        <f t="shared" si="4"/>
        <v>66150</v>
      </c>
      <c r="X17" s="188">
        <f t="shared" si="4"/>
        <v>66150</v>
      </c>
      <c r="Y17" s="188">
        <f t="shared" si="4"/>
        <v>66150</v>
      </c>
      <c r="Z17" s="188">
        <f t="shared" si="4"/>
        <v>66150</v>
      </c>
      <c r="AA17" s="188">
        <f t="shared" si="4"/>
        <v>66150</v>
      </c>
      <c r="AB17" s="188">
        <f t="shared" si="4"/>
        <v>66150</v>
      </c>
      <c r="AC17" s="188">
        <f t="shared" si="4"/>
        <v>66150</v>
      </c>
      <c r="AD17" s="188">
        <f t="shared" si="4"/>
        <v>66150</v>
      </c>
      <c r="AE17" s="188">
        <f t="shared" si="4"/>
        <v>66150</v>
      </c>
      <c r="AF17" s="188">
        <f t="shared" si="4"/>
        <v>66150</v>
      </c>
      <c r="AG17" s="188">
        <f t="shared" si="4"/>
        <v>66150</v>
      </c>
      <c r="AH17" s="188">
        <f t="shared" si="4"/>
        <v>66150</v>
      </c>
      <c r="AI17" s="188">
        <f t="shared" si="4"/>
        <v>66150</v>
      </c>
      <c r="AJ17" s="188">
        <f t="shared" si="4"/>
        <v>66150</v>
      </c>
      <c r="AK17" s="188">
        <f t="shared" si="4"/>
        <v>66150</v>
      </c>
      <c r="AL17" s="188">
        <f t="shared" si="4"/>
        <v>66150</v>
      </c>
      <c r="AM17" s="188">
        <f t="shared" si="4"/>
        <v>66150</v>
      </c>
      <c r="AN17" s="188">
        <f t="shared" si="4"/>
        <v>66150</v>
      </c>
      <c r="AO17" s="188">
        <f t="shared" si="4"/>
        <v>66150</v>
      </c>
      <c r="AP17" s="188">
        <f t="shared" si="4"/>
        <v>66150</v>
      </c>
      <c r="AQ17" s="189">
        <f t="shared" si="4"/>
        <v>66150</v>
      </c>
      <c r="AW17" s="152"/>
      <c r="AX17" s="152"/>
      <c r="AY17" s="152"/>
      <c r="AZ17" s="152"/>
      <c r="BA17" s="152"/>
      <c r="BB17" s="152"/>
      <c r="BC17" s="152"/>
      <c r="BD17" s="152"/>
      <c r="BE17" s="152"/>
      <c r="BF17" s="152"/>
      <c r="BG17" s="152"/>
      <c r="BH17" s="152"/>
      <c r="BI17" s="152"/>
      <c r="BJ17" s="152"/>
      <c r="BK17" s="152"/>
      <c r="BL17" s="152"/>
      <c r="BM17" s="152"/>
      <c r="BN17" s="152"/>
      <c r="BO17" s="152"/>
      <c r="BP17" s="152"/>
      <c r="BQ17" s="152"/>
      <c r="BR17" s="152"/>
      <c r="BS17" s="152"/>
      <c r="BT17" s="152"/>
      <c r="BU17" s="152"/>
      <c r="BV17" s="152"/>
      <c r="BW17" s="152"/>
      <c r="BX17" s="152"/>
      <c r="BY17" s="152"/>
      <c r="BZ17" s="152"/>
      <c r="CA17" s="152"/>
      <c r="CB17" s="152"/>
      <c r="CC17" s="152"/>
      <c r="CD17" s="152"/>
      <c r="CE17" s="152"/>
      <c r="CF17" s="152"/>
      <c r="CG17" s="152"/>
      <c r="CH17" s="152"/>
      <c r="CI17" s="152"/>
      <c r="CJ17" s="152"/>
      <c r="CK17" s="152"/>
      <c r="CL17" s="152"/>
      <c r="CM17" s="152"/>
      <c r="CN17" s="152"/>
      <c r="CO17" s="152"/>
      <c r="CP17" s="152"/>
      <c r="CQ17" s="152"/>
      <c r="CR17" s="152"/>
      <c r="CS17" s="152"/>
      <c r="CT17" s="152"/>
      <c r="CU17" s="152"/>
      <c r="CV17" s="152"/>
      <c r="CW17" s="152"/>
      <c r="CX17" s="152"/>
      <c r="CY17" s="152"/>
      <c r="CZ17" s="152"/>
      <c r="DA17" s="152"/>
      <c r="DB17" s="152"/>
      <c r="DC17" s="152"/>
      <c r="DD17" s="152"/>
      <c r="DE17" s="152"/>
      <c r="DF17" s="152"/>
      <c r="DG17" s="152"/>
      <c r="DH17" s="152"/>
      <c r="DI17" s="152"/>
      <c r="DJ17" s="152"/>
      <c r="DK17" s="152"/>
      <c r="DL17" s="152"/>
      <c r="DM17" s="152"/>
      <c r="DN17" s="152"/>
      <c r="DO17" s="152"/>
      <c r="DP17" s="152"/>
      <c r="DQ17" s="152"/>
      <c r="DR17" s="152"/>
      <c r="DS17" s="152"/>
      <c r="DT17" s="152"/>
      <c r="DU17" s="152"/>
      <c r="DV17" s="152"/>
      <c r="DW17" s="152"/>
      <c r="DX17" s="152"/>
      <c r="DY17" s="152"/>
      <c r="DZ17" s="152"/>
      <c r="EA17" s="152"/>
      <c r="EB17" s="152"/>
      <c r="EC17" s="152"/>
      <c r="ED17" s="152"/>
      <c r="EE17" s="152"/>
      <c r="EF17" s="152"/>
      <c r="EG17" s="152"/>
      <c r="EH17" s="152"/>
      <c r="EI17" s="152"/>
      <c r="EJ17" s="152"/>
      <c r="EK17" s="152"/>
      <c r="EL17" s="152"/>
      <c r="EM17" s="152"/>
      <c r="EN17" s="152"/>
      <c r="EO17" s="152"/>
      <c r="EP17" s="152"/>
      <c r="EQ17" s="152"/>
      <c r="ER17" s="152"/>
      <c r="ES17" s="152"/>
      <c r="ET17" s="152"/>
      <c r="EU17" s="152"/>
      <c r="EV17" s="152"/>
      <c r="EW17" s="152"/>
      <c r="EX17" s="152"/>
      <c r="EY17" s="152"/>
      <c r="EZ17" s="152"/>
      <c r="FA17" s="152"/>
      <c r="FB17" s="152"/>
      <c r="FC17" s="152"/>
      <c r="FD17" s="152"/>
      <c r="FE17" s="152"/>
      <c r="FF17" s="152"/>
      <c r="FG17" s="152"/>
      <c r="FH17" s="152"/>
      <c r="FI17" s="152"/>
      <c r="FJ17" s="152"/>
      <c r="FK17" s="152"/>
      <c r="FL17" s="152"/>
      <c r="FM17" s="152"/>
      <c r="FN17" s="152"/>
      <c r="FO17" s="152"/>
      <c r="FP17" s="152"/>
      <c r="FQ17" s="152"/>
      <c r="FR17" s="152"/>
      <c r="FS17" s="152"/>
      <c r="FT17" s="152"/>
      <c r="FU17" s="152"/>
      <c r="FV17" s="152"/>
      <c r="FW17" s="152"/>
      <c r="FX17" s="152"/>
      <c r="FY17" s="152"/>
      <c r="FZ17" s="152"/>
      <c r="GA17" s="152"/>
      <c r="GB17" s="152"/>
      <c r="GC17" s="152"/>
      <c r="GD17" s="152"/>
      <c r="GE17" s="152"/>
      <c r="GF17" s="152"/>
      <c r="GG17" s="152"/>
      <c r="GH17" s="152"/>
      <c r="GI17" s="152"/>
      <c r="GJ17" s="152"/>
      <c r="GK17" s="152"/>
      <c r="GL17" s="152"/>
      <c r="GM17" s="152"/>
      <c r="GN17" s="152"/>
      <c r="GO17" s="152"/>
      <c r="GP17" s="152"/>
      <c r="GQ17" s="152"/>
      <c r="GR17" s="152"/>
      <c r="GS17" s="152"/>
      <c r="GT17" s="152"/>
      <c r="GU17" s="152"/>
      <c r="GV17" s="152"/>
      <c r="GW17" s="152"/>
      <c r="GX17" s="152"/>
      <c r="GY17" s="152"/>
      <c r="GZ17" s="152"/>
      <c r="HA17" s="152"/>
      <c r="HB17" s="152"/>
      <c r="HC17" s="152"/>
      <c r="HD17" s="152"/>
      <c r="HE17" s="152"/>
      <c r="HF17" s="152"/>
      <c r="HG17" s="152"/>
      <c r="HH17" s="152"/>
      <c r="HI17" s="152"/>
      <c r="HJ17" s="152"/>
      <c r="HK17" s="152"/>
      <c r="HL17" s="152"/>
      <c r="HM17" s="152"/>
      <c r="HN17" s="152"/>
      <c r="HO17" s="152"/>
      <c r="HP17" s="152"/>
      <c r="HQ17" s="152"/>
      <c r="HR17" s="152"/>
      <c r="HS17" s="152"/>
      <c r="HT17" s="152"/>
      <c r="HU17" s="152"/>
      <c r="HV17" s="152"/>
      <c r="HW17" s="152"/>
      <c r="HX17" s="152"/>
      <c r="HY17" s="152"/>
      <c r="HZ17" s="152"/>
      <c r="IA17" s="152"/>
      <c r="IB17" s="152"/>
      <c r="IC17" s="152"/>
      <c r="ID17" s="152"/>
      <c r="IE17" s="152"/>
      <c r="IF17" s="152"/>
      <c r="IG17" s="152"/>
      <c r="IH17" s="152"/>
      <c r="II17" s="152"/>
      <c r="IJ17" s="152"/>
      <c r="IK17" s="152"/>
      <c r="IL17" s="152"/>
      <c r="IM17" s="152"/>
      <c r="IN17" s="152"/>
      <c r="IO17" s="152"/>
      <c r="IP17" s="152"/>
      <c r="IQ17" s="152"/>
      <c r="IR17" s="152"/>
      <c r="IS17" s="152"/>
      <c r="IT17" s="152"/>
      <c r="IU17" s="152"/>
      <c r="IV17" s="152"/>
      <c r="IW17" s="152"/>
      <c r="IX17" s="152"/>
      <c r="IY17" s="152"/>
      <c r="IZ17" s="152"/>
      <c r="JA17" s="152"/>
      <c r="JB17" s="152"/>
      <c r="JC17" s="152"/>
      <c r="JD17" s="152"/>
      <c r="JE17" s="152"/>
      <c r="JF17" s="152"/>
      <c r="JG17" s="152"/>
      <c r="JH17" s="152"/>
      <c r="JI17" s="152"/>
      <c r="JJ17" s="152"/>
      <c r="JK17" s="152"/>
      <c r="JL17" s="152"/>
      <c r="JM17" s="152"/>
      <c r="JN17" s="152"/>
      <c r="JO17" s="152"/>
      <c r="JP17" s="152"/>
      <c r="JQ17" s="152"/>
      <c r="JR17" s="152"/>
      <c r="JS17" s="152"/>
      <c r="JT17" s="152"/>
      <c r="JU17" s="152"/>
      <c r="JV17" s="152"/>
      <c r="JW17" s="152"/>
      <c r="JX17" s="152"/>
      <c r="JY17" s="152"/>
      <c r="JZ17" s="152"/>
      <c r="KA17" s="152"/>
      <c r="KB17" s="152"/>
      <c r="KC17" s="152"/>
      <c r="KD17" s="152"/>
      <c r="KE17" s="152"/>
      <c r="KF17" s="152"/>
      <c r="KG17" s="152"/>
      <c r="KH17" s="152"/>
      <c r="KI17" s="152"/>
      <c r="KJ17" s="152"/>
      <c r="KK17" s="152"/>
      <c r="KL17" s="152"/>
      <c r="KM17" s="152"/>
      <c r="KN17" s="152"/>
      <c r="KO17" s="152"/>
      <c r="KP17" s="152"/>
      <c r="KQ17" s="152"/>
      <c r="KR17" s="152"/>
      <c r="KS17" s="152"/>
      <c r="KT17" s="152"/>
      <c r="KU17" s="152"/>
      <c r="KV17" s="152"/>
      <c r="KW17" s="152"/>
      <c r="KX17" s="152"/>
      <c r="KY17" s="152"/>
      <c r="KZ17" s="152"/>
      <c r="LA17" s="152"/>
      <c r="LB17" s="152"/>
      <c r="LC17" s="152"/>
      <c r="LD17" s="152"/>
      <c r="LE17" s="152"/>
      <c r="LF17" s="152"/>
    </row>
    <row r="18" spans="1:318" ht="30">
      <c r="A18" s="96" t="s">
        <v>200</v>
      </c>
      <c r="B18" s="1">
        <f>A8*C8/365</f>
        <v>4109.58904109589</v>
      </c>
      <c r="D18" s="141">
        <v>0.9</v>
      </c>
      <c r="E18" s="1">
        <f>E8/365</f>
        <v>4027.3972602739727</v>
      </c>
      <c r="J18" s="152"/>
      <c r="O18" s="94" t="s">
        <v>201</v>
      </c>
      <c r="Q18" s="65">
        <f t="shared" si="0"/>
        <v>106449.03818478354</v>
      </c>
      <c r="R18" s="139"/>
      <c r="S18" s="188">
        <f t="shared" ref="S18:AQ18" si="5">S14*S15/1000</f>
        <v>195000</v>
      </c>
      <c r="T18" s="188">
        <f t="shared" si="5"/>
        <v>183953.25</v>
      </c>
      <c r="U18" s="188">
        <f t="shared" si="5"/>
        <v>173532.29838749999</v>
      </c>
      <c r="V18" s="188">
        <f t="shared" si="5"/>
        <v>163701.69368384808</v>
      </c>
      <c r="W18" s="188">
        <f t="shared" si="5"/>
        <v>154427.99273665805</v>
      </c>
      <c r="X18" s="188">
        <f t="shared" si="5"/>
        <v>145679.64694812641</v>
      </c>
      <c r="Y18" s="188">
        <f t="shared" si="5"/>
        <v>137426.89494851502</v>
      </c>
      <c r="Z18" s="188">
        <f t="shared" si="5"/>
        <v>129641.66134968164</v>
      </c>
      <c r="AA18" s="188">
        <f t="shared" si="5"/>
        <v>122297.46123422218</v>
      </c>
      <c r="AB18" s="188">
        <f t="shared" si="5"/>
        <v>115369.3100553035</v>
      </c>
      <c r="AC18" s="188">
        <f t="shared" si="5"/>
        <v>108833.63864067054</v>
      </c>
      <c r="AD18" s="188">
        <f t="shared" si="5"/>
        <v>102668.21301167655</v>
      </c>
      <c r="AE18" s="188">
        <f t="shared" si="5"/>
        <v>96852.058744565074</v>
      </c>
      <c r="AF18" s="188">
        <f t="shared" si="5"/>
        <v>91365.389616685454</v>
      </c>
      <c r="AG18" s="188">
        <f t="shared" si="5"/>
        <v>86189.540294900216</v>
      </c>
      <c r="AH18" s="188">
        <f t="shared" si="5"/>
        <v>81306.902837194109</v>
      </c>
      <c r="AI18" s="188">
        <f t="shared" si="5"/>
        <v>76700.866791467051</v>
      </c>
      <c r="AJ18" s="188">
        <f t="shared" si="5"/>
        <v>72355.762687730443</v>
      </c>
      <c r="AK18" s="188">
        <f t="shared" si="5"/>
        <v>68256.808731470519</v>
      </c>
      <c r="AL18" s="188">
        <f t="shared" si="5"/>
        <v>64390.060516832717</v>
      </c>
      <c r="AM18" s="188">
        <f t="shared" si="5"/>
        <v>60742.36358855413</v>
      </c>
      <c r="AN18" s="188">
        <f t="shared" si="5"/>
        <v>58242.229488148179</v>
      </c>
      <c r="AO18" s="188">
        <f t="shared" si="5"/>
        <v>57834.533881731142</v>
      </c>
      <c r="AP18" s="188">
        <f t="shared" si="5"/>
        <v>57429.692144559034</v>
      </c>
      <c r="AQ18" s="189">
        <f t="shared" si="5"/>
        <v>57027.684299547116</v>
      </c>
      <c r="AW18" s="152"/>
      <c r="AX18" s="152"/>
      <c r="AY18" s="152"/>
      <c r="AZ18" s="152"/>
      <c r="BA18" s="152"/>
      <c r="BB18" s="152"/>
      <c r="BC18" s="152"/>
      <c r="BD18" s="152"/>
      <c r="BE18" s="152"/>
      <c r="BF18" s="152"/>
      <c r="BG18" s="152"/>
      <c r="BH18" s="152"/>
      <c r="BI18" s="152"/>
      <c r="BJ18" s="152"/>
      <c r="BK18" s="152"/>
      <c r="BL18" s="152"/>
      <c r="BM18" s="152"/>
      <c r="BN18" s="152"/>
      <c r="BO18" s="152"/>
      <c r="BP18" s="152"/>
      <c r="BQ18" s="152"/>
      <c r="BR18" s="152"/>
      <c r="BS18" s="152"/>
      <c r="BT18" s="152"/>
      <c r="BU18" s="152"/>
      <c r="BV18" s="152"/>
      <c r="BW18" s="152"/>
      <c r="BX18" s="152"/>
      <c r="BY18" s="152"/>
      <c r="BZ18" s="152"/>
      <c r="CA18" s="152"/>
      <c r="CB18" s="152"/>
      <c r="CC18" s="152"/>
      <c r="CD18" s="152"/>
      <c r="CE18" s="152"/>
      <c r="CF18" s="152"/>
      <c r="CG18" s="152"/>
      <c r="CH18" s="152"/>
      <c r="CI18" s="152"/>
      <c r="CJ18" s="152"/>
      <c r="CK18" s="152"/>
      <c r="CL18" s="152"/>
      <c r="CM18" s="152"/>
      <c r="CN18" s="152"/>
      <c r="CO18" s="152"/>
      <c r="CP18" s="152"/>
      <c r="CQ18" s="152"/>
      <c r="CR18" s="152"/>
      <c r="CS18" s="152"/>
      <c r="CT18" s="152"/>
      <c r="CU18" s="152"/>
      <c r="CV18" s="152"/>
      <c r="CW18" s="152"/>
      <c r="CX18" s="152"/>
      <c r="CY18" s="152"/>
      <c r="CZ18" s="152"/>
      <c r="DA18" s="152"/>
      <c r="DB18" s="152"/>
      <c r="DC18" s="152"/>
      <c r="DD18" s="152"/>
      <c r="DE18" s="152"/>
      <c r="DF18" s="152"/>
      <c r="DG18" s="152"/>
      <c r="DH18" s="152"/>
      <c r="DI18" s="152"/>
      <c r="DJ18" s="152"/>
      <c r="DK18" s="152"/>
      <c r="DL18" s="152"/>
      <c r="DM18" s="152"/>
      <c r="DN18" s="152"/>
      <c r="DO18" s="152"/>
      <c r="DP18" s="152"/>
      <c r="DQ18" s="152"/>
      <c r="DR18" s="152"/>
      <c r="DS18" s="152"/>
      <c r="DT18" s="152"/>
      <c r="DU18" s="152"/>
      <c r="DV18" s="152"/>
      <c r="DW18" s="152"/>
      <c r="DX18" s="152"/>
      <c r="DY18" s="152"/>
      <c r="DZ18" s="152"/>
      <c r="EA18" s="152"/>
      <c r="EB18" s="152"/>
      <c r="EC18" s="152"/>
      <c r="ED18" s="152"/>
      <c r="EE18" s="152"/>
      <c r="EF18" s="152"/>
      <c r="EG18" s="152"/>
      <c r="EH18" s="152"/>
      <c r="EI18" s="152"/>
      <c r="EJ18" s="152"/>
      <c r="EK18" s="152"/>
      <c r="EL18" s="152"/>
      <c r="EM18" s="152"/>
      <c r="EN18" s="152"/>
      <c r="EO18" s="152"/>
      <c r="EP18" s="152"/>
      <c r="EQ18" s="152"/>
      <c r="ER18" s="152"/>
      <c r="ES18" s="152"/>
      <c r="ET18" s="152"/>
      <c r="EU18" s="152"/>
      <c r="EV18" s="152"/>
      <c r="EW18" s="152"/>
      <c r="EX18" s="152"/>
      <c r="EY18" s="152"/>
      <c r="EZ18" s="152"/>
      <c r="FA18" s="152"/>
      <c r="FB18" s="152"/>
      <c r="FC18" s="152"/>
      <c r="FD18" s="152"/>
      <c r="FE18" s="152"/>
      <c r="FF18" s="152"/>
      <c r="FG18" s="152"/>
      <c r="FH18" s="152"/>
      <c r="FI18" s="152"/>
      <c r="FJ18" s="152"/>
      <c r="FK18" s="152"/>
      <c r="FL18" s="152"/>
      <c r="FM18" s="152"/>
      <c r="FN18" s="152"/>
      <c r="FO18" s="152"/>
      <c r="FP18" s="152"/>
      <c r="FQ18" s="152"/>
      <c r="FR18" s="152"/>
      <c r="FS18" s="152"/>
      <c r="FT18" s="152"/>
      <c r="FU18" s="152"/>
      <c r="FV18" s="152"/>
      <c r="FW18" s="152"/>
      <c r="FX18" s="152"/>
      <c r="FY18" s="152"/>
      <c r="FZ18" s="152"/>
      <c r="GA18" s="152"/>
      <c r="GB18" s="152"/>
      <c r="GC18" s="152"/>
      <c r="GD18" s="152"/>
      <c r="GE18" s="152"/>
      <c r="GF18" s="152"/>
      <c r="GG18" s="152"/>
      <c r="GH18" s="152"/>
      <c r="GI18" s="152"/>
      <c r="GJ18" s="152"/>
      <c r="GK18" s="152"/>
      <c r="GL18" s="152"/>
      <c r="GM18" s="152"/>
      <c r="GN18" s="152"/>
      <c r="GO18" s="152"/>
      <c r="GP18" s="152"/>
      <c r="GQ18" s="152"/>
      <c r="GR18" s="152"/>
      <c r="GS18" s="152"/>
      <c r="GT18" s="152"/>
      <c r="GU18" s="152"/>
      <c r="GV18" s="152"/>
      <c r="GW18" s="152"/>
      <c r="GX18" s="152"/>
      <c r="GY18" s="152"/>
      <c r="GZ18" s="152"/>
      <c r="HA18" s="152"/>
      <c r="HB18" s="152"/>
      <c r="HC18" s="152"/>
      <c r="HD18" s="152"/>
      <c r="HE18" s="152"/>
      <c r="HF18" s="152"/>
      <c r="HG18" s="152"/>
      <c r="HH18" s="152"/>
      <c r="HI18" s="152"/>
      <c r="HJ18" s="152"/>
      <c r="HK18" s="152"/>
      <c r="HL18" s="152"/>
      <c r="HM18" s="152"/>
      <c r="HN18" s="152"/>
      <c r="HO18" s="152"/>
      <c r="HP18" s="152"/>
      <c r="HQ18" s="152"/>
      <c r="HR18" s="152"/>
      <c r="HS18" s="152"/>
      <c r="HT18" s="152"/>
      <c r="HU18" s="152"/>
      <c r="HV18" s="152"/>
      <c r="HW18" s="152"/>
      <c r="HX18" s="152"/>
      <c r="HY18" s="152"/>
      <c r="HZ18" s="152"/>
      <c r="IA18" s="152"/>
      <c r="IB18" s="152"/>
      <c r="IC18" s="152"/>
      <c r="ID18" s="152"/>
      <c r="IE18" s="152"/>
      <c r="IF18" s="152"/>
      <c r="IG18" s="152"/>
      <c r="IH18" s="152"/>
      <c r="II18" s="152"/>
      <c r="IJ18" s="152"/>
      <c r="IK18" s="152"/>
      <c r="IL18" s="152"/>
      <c r="IM18" s="152"/>
      <c r="IN18" s="152"/>
      <c r="IO18" s="152"/>
      <c r="IP18" s="152"/>
      <c r="IQ18" s="152"/>
      <c r="IR18" s="152"/>
      <c r="IS18" s="152"/>
      <c r="IT18" s="152"/>
      <c r="IU18" s="152"/>
      <c r="IV18" s="152"/>
      <c r="IW18" s="152"/>
      <c r="IX18" s="152"/>
      <c r="IY18" s="152"/>
      <c r="IZ18" s="152"/>
      <c r="JA18" s="152"/>
      <c r="JB18" s="152"/>
      <c r="JC18" s="152"/>
      <c r="JD18" s="152"/>
      <c r="JE18" s="152"/>
      <c r="JF18" s="152"/>
      <c r="JG18" s="152"/>
      <c r="JH18" s="152"/>
      <c r="JI18" s="152"/>
      <c r="JJ18" s="152"/>
      <c r="JK18" s="152"/>
      <c r="JL18" s="152"/>
      <c r="JM18" s="152"/>
      <c r="JN18" s="152"/>
      <c r="JO18" s="152"/>
      <c r="JP18" s="152"/>
      <c r="JQ18" s="152"/>
      <c r="JR18" s="152"/>
      <c r="JS18" s="152"/>
      <c r="JT18" s="152"/>
      <c r="JU18" s="152"/>
      <c r="JV18" s="152"/>
      <c r="JW18" s="152"/>
      <c r="JX18" s="152"/>
      <c r="JY18" s="152"/>
      <c r="JZ18" s="152"/>
      <c r="KA18" s="152"/>
      <c r="KB18" s="152"/>
      <c r="KC18" s="152"/>
      <c r="KD18" s="152"/>
      <c r="KE18" s="152"/>
      <c r="KF18" s="152"/>
      <c r="KG18" s="152"/>
      <c r="KH18" s="152"/>
      <c r="KI18" s="152"/>
      <c r="KJ18" s="152"/>
      <c r="KK18" s="152"/>
      <c r="KL18" s="152"/>
      <c r="KM18" s="152"/>
      <c r="KN18" s="152"/>
      <c r="KO18" s="152"/>
      <c r="KP18" s="152"/>
      <c r="KQ18" s="152"/>
      <c r="KR18" s="152"/>
      <c r="KS18" s="152"/>
      <c r="KT18" s="152"/>
      <c r="KU18" s="152"/>
      <c r="KV18" s="152"/>
      <c r="KW18" s="152"/>
      <c r="KX18" s="152"/>
      <c r="KY18" s="152"/>
      <c r="KZ18" s="152"/>
      <c r="LA18" s="152"/>
      <c r="LB18" s="152"/>
      <c r="LC18" s="152"/>
      <c r="LD18" s="152"/>
      <c r="LE18" s="152"/>
      <c r="LF18" s="152"/>
    </row>
    <row r="19" spans="1:318" ht="30.75" thickBot="1">
      <c r="A19" s="96" t="s">
        <v>202</v>
      </c>
      <c r="B19" s="1">
        <f>B18*C11</f>
        <v>2876.7123287671229</v>
      </c>
      <c r="J19" s="170"/>
      <c r="O19" s="94" t="s">
        <v>203</v>
      </c>
      <c r="Q19" s="65">
        <f t="shared" si="0"/>
        <v>0</v>
      </c>
      <c r="R19" s="139"/>
      <c r="S19" s="188">
        <f t="shared" ref="S19:AQ19" si="6">(1-$J$11)*$B$23/1000*365*$J$8</f>
        <v>0</v>
      </c>
      <c r="T19" s="188">
        <f t="shared" si="6"/>
        <v>0</v>
      </c>
      <c r="U19" s="188">
        <f t="shared" si="6"/>
        <v>0</v>
      </c>
      <c r="V19" s="188">
        <f t="shared" si="6"/>
        <v>0</v>
      </c>
      <c r="W19" s="188">
        <f t="shared" si="6"/>
        <v>0</v>
      </c>
      <c r="X19" s="188">
        <f t="shared" si="6"/>
        <v>0</v>
      </c>
      <c r="Y19" s="188">
        <f t="shared" si="6"/>
        <v>0</v>
      </c>
      <c r="Z19" s="188">
        <f t="shared" si="6"/>
        <v>0</v>
      </c>
      <c r="AA19" s="188">
        <f t="shared" si="6"/>
        <v>0</v>
      </c>
      <c r="AB19" s="188">
        <f t="shared" si="6"/>
        <v>0</v>
      </c>
      <c r="AC19" s="188">
        <f t="shared" si="6"/>
        <v>0</v>
      </c>
      <c r="AD19" s="188">
        <f t="shared" si="6"/>
        <v>0</v>
      </c>
      <c r="AE19" s="188">
        <f t="shared" si="6"/>
        <v>0</v>
      </c>
      <c r="AF19" s="188">
        <f t="shared" si="6"/>
        <v>0</v>
      </c>
      <c r="AG19" s="188">
        <f t="shared" si="6"/>
        <v>0</v>
      </c>
      <c r="AH19" s="188">
        <f t="shared" si="6"/>
        <v>0</v>
      </c>
      <c r="AI19" s="188">
        <f t="shared" si="6"/>
        <v>0</v>
      </c>
      <c r="AJ19" s="188">
        <f t="shared" si="6"/>
        <v>0</v>
      </c>
      <c r="AK19" s="188">
        <f t="shared" si="6"/>
        <v>0</v>
      </c>
      <c r="AL19" s="188">
        <f t="shared" si="6"/>
        <v>0</v>
      </c>
      <c r="AM19" s="188">
        <f t="shared" si="6"/>
        <v>0</v>
      </c>
      <c r="AN19" s="188">
        <f t="shared" si="6"/>
        <v>0</v>
      </c>
      <c r="AO19" s="188">
        <f t="shared" si="6"/>
        <v>0</v>
      </c>
      <c r="AP19" s="188">
        <f t="shared" si="6"/>
        <v>0</v>
      </c>
      <c r="AQ19" s="189">
        <f t="shared" si="6"/>
        <v>0</v>
      </c>
      <c r="AW19" s="152"/>
      <c r="AX19" s="152"/>
      <c r="AY19" s="152"/>
      <c r="AZ19" s="152"/>
      <c r="BA19" s="152"/>
      <c r="BB19" s="152"/>
      <c r="BC19" s="152"/>
      <c r="BD19" s="152"/>
      <c r="BE19" s="152"/>
      <c r="BF19" s="152"/>
      <c r="BG19" s="152"/>
      <c r="BH19" s="152"/>
      <c r="BI19" s="152"/>
      <c r="BJ19" s="152"/>
      <c r="BK19" s="152"/>
      <c r="BL19" s="152"/>
      <c r="BM19" s="152"/>
      <c r="BN19" s="152"/>
      <c r="BO19" s="152"/>
      <c r="BP19" s="152"/>
      <c r="BQ19" s="152"/>
      <c r="BR19" s="152"/>
      <c r="BS19" s="152"/>
      <c r="BT19" s="152"/>
      <c r="BU19" s="152"/>
      <c r="BV19" s="152"/>
      <c r="BW19" s="152"/>
      <c r="BX19" s="152"/>
      <c r="BY19" s="152"/>
      <c r="BZ19" s="152"/>
      <c r="CA19" s="152"/>
      <c r="CB19" s="152"/>
      <c r="CC19" s="152"/>
      <c r="CD19" s="152"/>
      <c r="CE19" s="152"/>
      <c r="CF19" s="152"/>
      <c r="CG19" s="152"/>
      <c r="CH19" s="152"/>
      <c r="CI19" s="152"/>
      <c r="CJ19" s="152"/>
      <c r="CK19" s="152"/>
      <c r="CL19" s="152"/>
      <c r="CM19" s="152"/>
      <c r="CN19" s="152"/>
      <c r="CO19" s="152"/>
      <c r="CP19" s="152"/>
      <c r="CQ19" s="152"/>
      <c r="CR19" s="152"/>
      <c r="CS19" s="152"/>
      <c r="CT19" s="152"/>
      <c r="CU19" s="152"/>
      <c r="CV19" s="152"/>
      <c r="CW19" s="152"/>
      <c r="CX19" s="152"/>
      <c r="CY19" s="152"/>
      <c r="CZ19" s="152"/>
      <c r="DA19" s="152"/>
      <c r="DB19" s="152"/>
      <c r="DC19" s="152"/>
      <c r="DD19" s="152"/>
      <c r="DE19" s="152"/>
      <c r="DF19" s="152"/>
      <c r="DG19" s="152"/>
      <c r="DH19" s="152"/>
      <c r="DI19" s="152"/>
      <c r="DJ19" s="152"/>
      <c r="DK19" s="152"/>
      <c r="DL19" s="152"/>
      <c r="DM19" s="152"/>
      <c r="DN19" s="152"/>
      <c r="DO19" s="152"/>
      <c r="DP19" s="152"/>
      <c r="DQ19" s="152"/>
      <c r="DR19" s="152"/>
      <c r="DS19" s="152"/>
      <c r="DT19" s="152"/>
      <c r="DU19" s="152"/>
      <c r="DV19" s="152"/>
      <c r="DW19" s="152"/>
      <c r="DX19" s="152"/>
      <c r="DY19" s="152"/>
      <c r="DZ19" s="152"/>
      <c r="EA19" s="152"/>
      <c r="EB19" s="152"/>
      <c r="EC19" s="152"/>
      <c r="ED19" s="152"/>
      <c r="EE19" s="152"/>
      <c r="EF19" s="152"/>
      <c r="EG19" s="152"/>
      <c r="EH19" s="152"/>
      <c r="EI19" s="152"/>
      <c r="EJ19" s="152"/>
      <c r="EK19" s="152"/>
      <c r="EL19" s="152"/>
      <c r="EM19" s="152"/>
      <c r="EN19" s="152"/>
      <c r="EO19" s="152"/>
      <c r="EP19" s="152"/>
      <c r="EQ19" s="152"/>
      <c r="ER19" s="152"/>
      <c r="ES19" s="152"/>
      <c r="ET19" s="152"/>
      <c r="EU19" s="152"/>
      <c r="EV19" s="152"/>
      <c r="EW19" s="152"/>
      <c r="EX19" s="152"/>
      <c r="EY19" s="152"/>
      <c r="EZ19" s="152"/>
      <c r="FA19" s="152"/>
      <c r="FB19" s="152"/>
      <c r="FC19" s="152"/>
      <c r="FD19" s="152"/>
      <c r="FE19" s="152"/>
      <c r="FF19" s="152"/>
      <c r="FG19" s="152"/>
      <c r="FH19" s="152"/>
      <c r="FI19" s="152"/>
      <c r="FJ19" s="152"/>
      <c r="FK19" s="152"/>
      <c r="FL19" s="152"/>
      <c r="FM19" s="152"/>
      <c r="FN19" s="152"/>
      <c r="FO19" s="152"/>
      <c r="FP19" s="152"/>
      <c r="FQ19" s="152"/>
      <c r="FR19" s="152"/>
      <c r="FS19" s="152"/>
      <c r="FT19" s="152"/>
      <c r="FU19" s="152"/>
      <c r="FV19" s="152"/>
      <c r="FW19" s="152"/>
      <c r="FX19" s="152"/>
      <c r="FY19" s="152"/>
      <c r="FZ19" s="152"/>
      <c r="GA19" s="152"/>
      <c r="GB19" s="152"/>
      <c r="GC19" s="152"/>
      <c r="GD19" s="152"/>
      <c r="GE19" s="152"/>
      <c r="GF19" s="152"/>
      <c r="GG19" s="152"/>
      <c r="GH19" s="152"/>
      <c r="GI19" s="152"/>
      <c r="GJ19" s="152"/>
      <c r="GK19" s="152"/>
      <c r="GL19" s="152"/>
      <c r="GM19" s="152"/>
      <c r="GN19" s="152"/>
      <c r="GO19" s="152"/>
      <c r="GP19" s="152"/>
      <c r="GQ19" s="152"/>
      <c r="GR19" s="152"/>
      <c r="GS19" s="152"/>
      <c r="GT19" s="152"/>
      <c r="GU19" s="152"/>
      <c r="GV19" s="152"/>
      <c r="GW19" s="152"/>
      <c r="GX19" s="152"/>
      <c r="GY19" s="152"/>
      <c r="GZ19" s="152"/>
      <c r="HA19" s="152"/>
      <c r="HB19" s="152"/>
      <c r="HC19" s="152"/>
      <c r="HD19" s="152"/>
      <c r="HE19" s="152"/>
      <c r="HF19" s="152"/>
      <c r="HG19" s="152"/>
      <c r="HH19" s="152"/>
      <c r="HI19" s="152"/>
      <c r="HJ19" s="152"/>
      <c r="HK19" s="152"/>
      <c r="HL19" s="152"/>
      <c r="HM19" s="152"/>
      <c r="HN19" s="152"/>
      <c r="HO19" s="152"/>
      <c r="HP19" s="152"/>
      <c r="HQ19" s="152"/>
      <c r="HR19" s="152"/>
      <c r="HS19" s="152"/>
      <c r="HT19" s="152"/>
      <c r="HU19" s="152"/>
      <c r="HV19" s="152"/>
      <c r="HW19" s="152"/>
      <c r="HX19" s="152"/>
      <c r="HY19" s="152"/>
      <c r="HZ19" s="152"/>
      <c r="IA19" s="152"/>
      <c r="IB19" s="152"/>
      <c r="IC19" s="152"/>
      <c r="ID19" s="152"/>
      <c r="IE19" s="152"/>
      <c r="IF19" s="152"/>
      <c r="IG19" s="152"/>
      <c r="IH19" s="152"/>
      <c r="II19" s="152"/>
      <c r="IJ19" s="152"/>
      <c r="IK19" s="152"/>
      <c r="IL19" s="152"/>
      <c r="IM19" s="152"/>
      <c r="IN19" s="152"/>
      <c r="IO19" s="152"/>
      <c r="IP19" s="152"/>
      <c r="IQ19" s="152"/>
      <c r="IR19" s="152"/>
      <c r="IS19" s="152"/>
      <c r="IT19" s="152"/>
      <c r="IU19" s="152"/>
      <c r="IV19" s="152"/>
      <c r="IW19" s="152"/>
      <c r="IX19" s="152"/>
      <c r="IY19" s="152"/>
      <c r="IZ19" s="152"/>
      <c r="JA19" s="152"/>
      <c r="JB19" s="152"/>
      <c r="JC19" s="152"/>
      <c r="JD19" s="152"/>
      <c r="JE19" s="152"/>
      <c r="JF19" s="152"/>
      <c r="JG19" s="152"/>
      <c r="JH19" s="152"/>
      <c r="JI19" s="152"/>
      <c r="JJ19" s="152"/>
      <c r="JK19" s="152"/>
      <c r="JL19" s="152"/>
      <c r="JM19" s="152"/>
      <c r="JN19" s="152"/>
      <c r="JO19" s="152"/>
      <c r="JP19" s="152"/>
      <c r="JQ19" s="152"/>
      <c r="JR19" s="152"/>
      <c r="JS19" s="152"/>
      <c r="JT19" s="152"/>
      <c r="JU19" s="152"/>
      <c r="JV19" s="152"/>
      <c r="JW19" s="152"/>
      <c r="JX19" s="152"/>
      <c r="JY19" s="152"/>
      <c r="JZ19" s="152"/>
      <c r="KA19" s="152"/>
      <c r="KB19" s="152"/>
      <c r="KC19" s="152"/>
      <c r="KD19" s="152"/>
      <c r="KE19" s="152"/>
      <c r="KF19" s="152"/>
      <c r="KG19" s="152"/>
      <c r="KH19" s="152"/>
      <c r="KI19" s="152"/>
      <c r="KJ19" s="152"/>
      <c r="KK19" s="152"/>
      <c r="KL19" s="152"/>
      <c r="KM19" s="152"/>
      <c r="KN19" s="152"/>
      <c r="KO19" s="152"/>
      <c r="KP19" s="152"/>
      <c r="KQ19" s="152"/>
      <c r="KR19" s="152"/>
      <c r="KS19" s="152"/>
      <c r="KT19" s="152"/>
      <c r="KU19" s="152"/>
      <c r="KV19" s="152"/>
      <c r="KW19" s="152"/>
      <c r="KX19" s="152"/>
      <c r="KY19" s="152"/>
      <c r="KZ19" s="152"/>
      <c r="LA19" s="152"/>
      <c r="LB19" s="152"/>
      <c r="LC19" s="152"/>
      <c r="LD19" s="152"/>
      <c r="LE19" s="152"/>
      <c r="LF19" s="152"/>
    </row>
    <row r="20" spans="1:318" ht="30.75" thickBot="1">
      <c r="A20" s="96" t="s">
        <v>204</v>
      </c>
      <c r="B20" s="1">
        <f>B18-B19</f>
        <v>1232.8767123287671</v>
      </c>
      <c r="O20" s="81" t="s">
        <v>205</v>
      </c>
      <c r="P20" s="193"/>
      <c r="Q20" s="257">
        <f t="shared" si="0"/>
        <v>106449.03818478354</v>
      </c>
      <c r="R20" s="192"/>
      <c r="S20" s="195">
        <f>S18+S19</f>
        <v>195000</v>
      </c>
      <c r="T20" s="195">
        <f t="shared" ref="T20:AQ20" si="7">T18+T19</f>
        <v>183953.25</v>
      </c>
      <c r="U20" s="195">
        <f t="shared" si="7"/>
        <v>173532.29838749999</v>
      </c>
      <c r="V20" s="195">
        <f t="shared" si="7"/>
        <v>163701.69368384808</v>
      </c>
      <c r="W20" s="195">
        <f t="shared" si="7"/>
        <v>154427.99273665805</v>
      </c>
      <c r="X20" s="195">
        <f t="shared" si="7"/>
        <v>145679.64694812641</v>
      </c>
      <c r="Y20" s="195">
        <f t="shared" si="7"/>
        <v>137426.89494851502</v>
      </c>
      <c r="Z20" s="195">
        <f t="shared" si="7"/>
        <v>129641.66134968164</v>
      </c>
      <c r="AA20" s="195">
        <f t="shared" si="7"/>
        <v>122297.46123422218</v>
      </c>
      <c r="AB20" s="195">
        <f t="shared" si="7"/>
        <v>115369.3100553035</v>
      </c>
      <c r="AC20" s="195">
        <f t="shared" si="7"/>
        <v>108833.63864067054</v>
      </c>
      <c r="AD20" s="195">
        <f t="shared" si="7"/>
        <v>102668.21301167655</v>
      </c>
      <c r="AE20" s="195">
        <f t="shared" si="7"/>
        <v>96852.058744565074</v>
      </c>
      <c r="AF20" s="195">
        <f t="shared" si="7"/>
        <v>91365.389616685454</v>
      </c>
      <c r="AG20" s="195">
        <f t="shared" si="7"/>
        <v>86189.540294900216</v>
      </c>
      <c r="AH20" s="195">
        <f t="shared" si="7"/>
        <v>81306.902837194109</v>
      </c>
      <c r="AI20" s="195">
        <f t="shared" si="7"/>
        <v>76700.866791467051</v>
      </c>
      <c r="AJ20" s="195">
        <f t="shared" si="7"/>
        <v>72355.762687730443</v>
      </c>
      <c r="AK20" s="195">
        <f t="shared" si="7"/>
        <v>68256.808731470519</v>
      </c>
      <c r="AL20" s="195">
        <f t="shared" si="7"/>
        <v>64390.060516832717</v>
      </c>
      <c r="AM20" s="195">
        <f t="shared" si="7"/>
        <v>60742.36358855413</v>
      </c>
      <c r="AN20" s="195">
        <f t="shared" si="7"/>
        <v>58242.229488148179</v>
      </c>
      <c r="AO20" s="195">
        <f t="shared" si="7"/>
        <v>57834.533881731142</v>
      </c>
      <c r="AP20" s="195">
        <f t="shared" si="7"/>
        <v>57429.692144559034</v>
      </c>
      <c r="AQ20" s="196">
        <f t="shared" si="7"/>
        <v>57027.684299547116</v>
      </c>
      <c r="AW20" s="154"/>
      <c r="AX20" s="154"/>
      <c r="AY20" s="154"/>
      <c r="AZ20" s="154"/>
      <c r="BA20" s="154"/>
      <c r="BB20" s="154"/>
      <c r="BC20" s="154"/>
      <c r="BD20" s="154"/>
      <c r="BE20" s="154"/>
      <c r="BF20" s="154"/>
      <c r="BG20" s="154"/>
      <c r="BH20" s="154"/>
      <c r="BI20" s="154"/>
      <c r="BJ20" s="154"/>
      <c r="BK20" s="154"/>
      <c r="BL20" s="154"/>
      <c r="BM20" s="154"/>
      <c r="BN20" s="154"/>
      <c r="BO20" s="154"/>
      <c r="BP20" s="154"/>
      <c r="BQ20" s="154"/>
      <c r="BR20" s="154"/>
      <c r="BS20" s="154"/>
      <c r="BT20" s="154"/>
      <c r="BU20" s="154"/>
      <c r="BV20" s="154"/>
      <c r="BW20" s="154"/>
      <c r="BX20" s="154"/>
      <c r="BY20" s="154"/>
      <c r="BZ20" s="154"/>
      <c r="CA20" s="154"/>
      <c r="CB20" s="154"/>
      <c r="CC20" s="154"/>
      <c r="CD20" s="154"/>
      <c r="CE20" s="154"/>
      <c r="CF20" s="154"/>
      <c r="CG20" s="154"/>
      <c r="CH20" s="154"/>
      <c r="CI20" s="154"/>
      <c r="CJ20" s="154"/>
      <c r="CK20" s="154"/>
      <c r="CL20" s="154"/>
      <c r="CM20" s="154"/>
      <c r="CN20" s="154"/>
      <c r="CO20" s="154"/>
      <c r="CP20" s="154"/>
      <c r="CQ20" s="154"/>
      <c r="CR20" s="154"/>
      <c r="CS20" s="154"/>
      <c r="CT20" s="154"/>
      <c r="CU20" s="154"/>
      <c r="CV20" s="154"/>
      <c r="CW20" s="154"/>
      <c r="CX20" s="154"/>
      <c r="CY20" s="154"/>
      <c r="CZ20" s="154"/>
      <c r="DA20" s="154"/>
      <c r="DB20" s="154"/>
      <c r="DC20" s="154"/>
      <c r="DD20" s="154"/>
      <c r="DE20" s="154"/>
      <c r="DF20" s="154"/>
      <c r="DG20" s="154"/>
      <c r="DH20" s="154"/>
      <c r="DI20" s="154"/>
      <c r="DJ20" s="154"/>
      <c r="DK20" s="154"/>
      <c r="DL20" s="154"/>
      <c r="DM20" s="154"/>
      <c r="DN20" s="154"/>
      <c r="DO20" s="154"/>
      <c r="DP20" s="154"/>
      <c r="DQ20" s="154"/>
      <c r="DR20" s="154"/>
      <c r="DS20" s="154"/>
      <c r="DT20" s="154"/>
      <c r="DU20" s="154"/>
      <c r="DV20" s="154"/>
      <c r="DW20" s="154"/>
      <c r="DX20" s="154"/>
      <c r="DY20" s="154"/>
      <c r="DZ20" s="154"/>
      <c r="EA20" s="154"/>
      <c r="EB20" s="154"/>
      <c r="EC20" s="154"/>
      <c r="ED20" s="154"/>
      <c r="EE20" s="154"/>
      <c r="EF20" s="154"/>
      <c r="EG20" s="154"/>
      <c r="EH20" s="154"/>
      <c r="EI20" s="154"/>
      <c r="EJ20" s="154"/>
      <c r="EK20" s="154"/>
      <c r="EL20" s="154"/>
      <c r="EM20" s="154"/>
      <c r="EN20" s="154"/>
      <c r="EO20" s="154"/>
      <c r="EP20" s="154"/>
      <c r="EQ20" s="154"/>
      <c r="ER20" s="154"/>
      <c r="ES20" s="154"/>
      <c r="ET20" s="154"/>
      <c r="EU20" s="154"/>
      <c r="EV20" s="154"/>
      <c r="EW20" s="154"/>
      <c r="EX20" s="154"/>
      <c r="EY20" s="154"/>
      <c r="EZ20" s="154"/>
      <c r="FA20" s="154"/>
      <c r="FB20" s="154"/>
      <c r="FC20" s="154"/>
      <c r="FD20" s="154"/>
      <c r="FE20" s="154"/>
      <c r="FF20" s="154"/>
      <c r="FG20" s="154"/>
      <c r="FH20" s="154"/>
      <c r="FI20" s="154"/>
      <c r="FJ20" s="154"/>
      <c r="FK20" s="154"/>
      <c r="FL20" s="154"/>
      <c r="FM20" s="154"/>
      <c r="FN20" s="154"/>
      <c r="FO20" s="154"/>
      <c r="FP20" s="154"/>
      <c r="FQ20" s="154"/>
      <c r="FR20" s="154"/>
      <c r="FS20" s="154"/>
      <c r="FT20" s="154"/>
      <c r="FU20" s="154"/>
      <c r="FV20" s="154"/>
      <c r="FW20" s="154"/>
      <c r="FX20" s="154"/>
      <c r="FY20" s="154"/>
      <c r="FZ20" s="154"/>
      <c r="GA20" s="154"/>
      <c r="GB20" s="154"/>
      <c r="GC20" s="154"/>
      <c r="GD20" s="154"/>
      <c r="GE20" s="154"/>
      <c r="GF20" s="154"/>
      <c r="GG20" s="154"/>
      <c r="GH20" s="154"/>
      <c r="GI20" s="154"/>
      <c r="GJ20" s="154"/>
      <c r="GK20" s="154"/>
      <c r="GL20" s="154"/>
      <c r="GM20" s="154"/>
      <c r="GN20" s="154"/>
      <c r="GO20" s="154"/>
      <c r="GP20" s="154"/>
      <c r="GQ20" s="154"/>
      <c r="GR20" s="154"/>
      <c r="GS20" s="154"/>
      <c r="GT20" s="154"/>
      <c r="GU20" s="154"/>
      <c r="GV20" s="154"/>
      <c r="GW20" s="154"/>
      <c r="GX20" s="154"/>
      <c r="GY20" s="154"/>
      <c r="GZ20" s="154"/>
      <c r="HA20" s="154"/>
      <c r="HB20" s="154"/>
      <c r="HC20" s="154"/>
      <c r="HD20" s="154"/>
      <c r="HE20" s="154"/>
      <c r="HF20" s="154"/>
      <c r="HG20" s="154"/>
      <c r="HH20" s="154"/>
      <c r="HI20" s="154"/>
      <c r="HJ20" s="154"/>
      <c r="HK20" s="154"/>
      <c r="HL20" s="154"/>
      <c r="HM20" s="154"/>
      <c r="HN20" s="154"/>
      <c r="HO20" s="154"/>
      <c r="HP20" s="154"/>
      <c r="HQ20" s="154"/>
      <c r="HR20" s="154"/>
      <c r="HS20" s="154"/>
      <c r="HT20" s="154"/>
      <c r="HU20" s="154"/>
      <c r="HV20" s="154"/>
      <c r="HW20" s="154"/>
      <c r="HX20" s="154"/>
      <c r="HY20" s="154"/>
      <c r="HZ20" s="154"/>
      <c r="IA20" s="154"/>
      <c r="IB20" s="154"/>
      <c r="IC20" s="154"/>
      <c r="ID20" s="154"/>
      <c r="IE20" s="154"/>
      <c r="IF20" s="154"/>
      <c r="IG20" s="154"/>
      <c r="IH20" s="154"/>
      <c r="II20" s="154"/>
      <c r="IJ20" s="154"/>
      <c r="IK20" s="154"/>
      <c r="IL20" s="154"/>
      <c r="IM20" s="154"/>
      <c r="IN20" s="154"/>
      <c r="IO20" s="154"/>
      <c r="IP20" s="154"/>
      <c r="IQ20" s="154"/>
      <c r="IR20" s="154"/>
      <c r="IS20" s="154"/>
      <c r="IT20" s="154"/>
      <c r="IU20" s="154"/>
      <c r="IV20" s="154"/>
      <c r="IW20" s="154"/>
      <c r="IX20" s="154"/>
      <c r="IY20" s="154"/>
      <c r="IZ20" s="154"/>
      <c r="JA20" s="154"/>
      <c r="JB20" s="154"/>
      <c r="JC20" s="154"/>
      <c r="JD20" s="154"/>
      <c r="JE20" s="154"/>
      <c r="JF20" s="154"/>
      <c r="JG20" s="154"/>
      <c r="JH20" s="154"/>
      <c r="JI20" s="154"/>
      <c r="JJ20" s="154"/>
      <c r="JK20" s="154"/>
      <c r="JL20" s="154"/>
      <c r="JM20" s="154"/>
      <c r="JN20" s="154"/>
      <c r="JO20" s="154"/>
      <c r="JP20" s="154"/>
      <c r="JQ20" s="154"/>
      <c r="JR20" s="154"/>
      <c r="JS20" s="154"/>
      <c r="JT20" s="154"/>
      <c r="JU20" s="154"/>
      <c r="JV20" s="154"/>
      <c r="JW20" s="154"/>
      <c r="JX20" s="154"/>
      <c r="JY20" s="154"/>
      <c r="JZ20" s="154"/>
      <c r="KA20" s="154"/>
      <c r="KB20" s="154"/>
      <c r="KC20" s="154"/>
      <c r="KD20" s="154"/>
      <c r="KE20" s="154"/>
      <c r="KF20" s="154"/>
      <c r="KG20" s="154"/>
      <c r="KH20" s="154"/>
      <c r="KI20" s="154"/>
      <c r="KJ20" s="154"/>
      <c r="KK20" s="154"/>
      <c r="KL20" s="154"/>
      <c r="KM20" s="154"/>
      <c r="KN20" s="154"/>
      <c r="KO20" s="154"/>
      <c r="KP20" s="154"/>
      <c r="KQ20" s="154"/>
      <c r="KR20" s="154"/>
      <c r="KS20" s="154"/>
      <c r="KT20" s="154"/>
      <c r="KU20" s="154"/>
      <c r="KV20" s="154"/>
      <c r="KW20" s="154"/>
      <c r="KX20" s="154"/>
      <c r="KY20" s="154"/>
      <c r="KZ20" s="154"/>
      <c r="LA20" s="154"/>
      <c r="LB20" s="154"/>
      <c r="LC20" s="154"/>
      <c r="LD20" s="154"/>
      <c r="LE20" s="154"/>
      <c r="LF20" s="154"/>
    </row>
    <row r="21" spans="1:318" ht="30.75" thickBot="1">
      <c r="A21" s="96" t="s">
        <v>206</v>
      </c>
      <c r="B21" s="1">
        <f>A11</f>
        <v>0</v>
      </c>
      <c r="O21" s="104" t="s">
        <v>207</v>
      </c>
      <c r="P21" s="42"/>
      <c r="Q21" s="258">
        <f t="shared" si="0"/>
        <v>71099.900388289432</v>
      </c>
      <c r="R21" s="190"/>
      <c r="S21" s="171">
        <f>(S16+S17)-S20</f>
        <v>62250</v>
      </c>
      <c r="T21" s="171">
        <f t="shared" ref="T21:AQ21" si="8">(T16+T17)-T20</f>
        <v>63741.75</v>
      </c>
      <c r="U21" s="171">
        <f t="shared" si="8"/>
        <v>65085.451612499979</v>
      </c>
      <c r="V21" s="171">
        <f t="shared" si="8"/>
        <v>66292.668816151883</v>
      </c>
      <c r="W21" s="171">
        <f t="shared" si="8"/>
        <v>67374.151638341893</v>
      </c>
      <c r="X21" s="171">
        <f t="shared" si="8"/>
        <v>68339.890208123543</v>
      </c>
      <c r="Y21" s="171">
        <f t="shared" si="8"/>
        <v>69199.165349922405</v>
      </c>
      <c r="Z21" s="171">
        <f t="shared" si="8"/>
        <v>69960.595933833916</v>
      </c>
      <c r="AA21" s="171">
        <f t="shared" si="8"/>
        <v>70632.183185117596</v>
      </c>
      <c r="AB21" s="171">
        <f t="shared" si="8"/>
        <v>71221.352143069264</v>
      </c>
      <c r="AC21" s="171">
        <f t="shared" si="8"/>
        <v>71734.990447783581</v>
      </c>
      <c r="AD21" s="171">
        <f t="shared" si="8"/>
        <v>72179.484622354867</v>
      </c>
      <c r="AE21" s="171">
        <f t="shared" si="8"/>
        <v>72560.754007764786</v>
      </c>
      <c r="AF21" s="171">
        <f t="shared" si="8"/>
        <v>72884.282498027897</v>
      </c>
      <c r="AG21" s="171">
        <f t="shared" si="8"/>
        <v>73155.14821407749</v>
      </c>
      <c r="AH21" s="171">
        <f t="shared" si="8"/>
        <v>73378.051246334697</v>
      </c>
      <c r="AI21" s="171">
        <f t="shared" si="8"/>
        <v>73557.339587885319</v>
      </c>
      <c r="AJ21" s="171">
        <f t="shared" si="8"/>
        <v>73697.033372654274</v>
      </c>
      <c r="AK21" s="171">
        <f t="shared" si="8"/>
        <v>73800.847525894962</v>
      </c>
      <c r="AL21" s="171">
        <f t="shared" si="8"/>
        <v>73872.212927664485</v>
      </c>
      <c r="AM21" s="171">
        <f t="shared" si="8"/>
        <v>73914.296183718208</v>
      </c>
      <c r="AN21" s="171">
        <f t="shared" si="8"/>
        <v>74057.770511851821</v>
      </c>
      <c r="AO21" s="171">
        <f t="shared" si="8"/>
        <v>74465.466118268858</v>
      </c>
      <c r="AP21" s="171">
        <f t="shared" si="8"/>
        <v>74870.307855440973</v>
      </c>
      <c r="AQ21" s="191">
        <f t="shared" si="8"/>
        <v>75272.315700452891</v>
      </c>
      <c r="AW21" s="152"/>
      <c r="AX21" s="152"/>
      <c r="AY21" s="152"/>
      <c r="AZ21" s="152"/>
      <c r="BA21" s="152"/>
      <c r="BB21" s="152"/>
      <c r="BC21" s="152"/>
      <c r="BD21" s="152"/>
      <c r="BE21" s="152"/>
      <c r="BF21" s="152"/>
      <c r="BG21" s="152"/>
      <c r="BH21" s="152"/>
      <c r="BI21" s="152"/>
      <c r="BJ21" s="152"/>
      <c r="BK21" s="152"/>
      <c r="BL21" s="152"/>
      <c r="BM21" s="152"/>
      <c r="BN21" s="152"/>
      <c r="BO21" s="152"/>
      <c r="BP21" s="152"/>
      <c r="BQ21" s="152"/>
      <c r="BR21" s="152"/>
      <c r="BS21" s="152"/>
      <c r="BT21" s="152"/>
      <c r="BU21" s="152"/>
      <c r="BV21" s="152"/>
      <c r="BW21" s="152"/>
      <c r="BX21" s="152"/>
      <c r="BY21" s="152"/>
      <c r="BZ21" s="152"/>
      <c r="CA21" s="152"/>
      <c r="CB21" s="152"/>
      <c r="CC21" s="152"/>
      <c r="CD21" s="152"/>
      <c r="CE21" s="152"/>
      <c r="CF21" s="152"/>
      <c r="CG21" s="152"/>
      <c r="CH21" s="152"/>
      <c r="CI21" s="152"/>
      <c r="CJ21" s="152"/>
      <c r="CK21" s="152"/>
      <c r="CL21" s="152"/>
      <c r="CM21" s="152"/>
      <c r="CN21" s="152"/>
      <c r="CO21" s="152"/>
      <c r="CP21" s="152"/>
      <c r="CQ21" s="152"/>
      <c r="CR21" s="152"/>
      <c r="CS21" s="152"/>
      <c r="CT21" s="152"/>
      <c r="CU21" s="152"/>
      <c r="CV21" s="152"/>
      <c r="CW21" s="152"/>
      <c r="CX21" s="152"/>
      <c r="CY21" s="152"/>
      <c r="CZ21" s="152"/>
      <c r="DA21" s="152"/>
      <c r="DB21" s="152"/>
      <c r="DC21" s="152"/>
      <c r="DD21" s="152"/>
      <c r="DE21" s="152"/>
      <c r="DF21" s="152"/>
      <c r="DG21" s="152"/>
      <c r="DH21" s="152"/>
      <c r="DI21" s="152"/>
      <c r="DJ21" s="152"/>
      <c r="DK21" s="152"/>
      <c r="DL21" s="152"/>
      <c r="DM21" s="152"/>
      <c r="DN21" s="152"/>
      <c r="DO21" s="152"/>
      <c r="DP21" s="152"/>
      <c r="DQ21" s="152"/>
      <c r="DR21" s="152"/>
      <c r="DS21" s="152"/>
      <c r="DT21" s="152"/>
      <c r="DU21" s="152"/>
      <c r="DV21" s="152"/>
      <c r="DW21" s="152"/>
      <c r="DX21" s="152"/>
      <c r="DY21" s="152"/>
      <c r="DZ21" s="152"/>
      <c r="EA21" s="152"/>
      <c r="EB21" s="152"/>
      <c r="EC21" s="152"/>
      <c r="ED21" s="152"/>
      <c r="EE21" s="152"/>
      <c r="EF21" s="152"/>
      <c r="EG21" s="152"/>
      <c r="EH21" s="152"/>
      <c r="EI21" s="152"/>
      <c r="EJ21" s="152"/>
      <c r="EK21" s="152"/>
      <c r="EL21" s="152"/>
      <c r="EM21" s="152"/>
      <c r="EN21" s="152"/>
      <c r="EO21" s="152"/>
      <c r="EP21" s="152"/>
      <c r="EQ21" s="152"/>
      <c r="ER21" s="152"/>
      <c r="ES21" s="152"/>
      <c r="ET21" s="152"/>
      <c r="EU21" s="152"/>
      <c r="EV21" s="152"/>
      <c r="EW21" s="152"/>
      <c r="EX21" s="152"/>
      <c r="EY21" s="152"/>
      <c r="EZ21" s="152"/>
      <c r="FA21" s="152"/>
      <c r="FB21" s="152"/>
      <c r="FC21" s="152"/>
      <c r="FD21" s="152"/>
      <c r="FE21" s="152"/>
      <c r="FF21" s="152"/>
      <c r="FG21" s="152"/>
      <c r="FH21" s="152"/>
      <c r="FI21" s="152"/>
      <c r="FJ21" s="152"/>
      <c r="FK21" s="152"/>
      <c r="FL21" s="152"/>
      <c r="FM21" s="152"/>
      <c r="FN21" s="152"/>
      <c r="FO21" s="152"/>
      <c r="FP21" s="152"/>
      <c r="FQ21" s="152"/>
      <c r="FR21" s="152"/>
      <c r="FS21" s="152"/>
      <c r="FT21" s="152"/>
      <c r="FU21" s="152"/>
      <c r="FV21" s="152"/>
      <c r="FW21" s="152"/>
      <c r="FX21" s="152"/>
      <c r="FY21" s="152"/>
      <c r="FZ21" s="152"/>
      <c r="GA21" s="152"/>
      <c r="GB21" s="152"/>
      <c r="GC21" s="152"/>
      <c r="GD21" s="152"/>
      <c r="GE21" s="152"/>
      <c r="GF21" s="152"/>
      <c r="GG21" s="152"/>
      <c r="GH21" s="152"/>
      <c r="GI21" s="152"/>
      <c r="GJ21" s="152"/>
      <c r="GK21" s="152"/>
      <c r="GL21" s="152"/>
      <c r="GM21" s="152"/>
      <c r="GN21" s="152"/>
      <c r="GO21" s="152"/>
      <c r="GP21" s="152"/>
      <c r="GQ21" s="152"/>
      <c r="GR21" s="152"/>
      <c r="GS21" s="152"/>
      <c r="GT21" s="152"/>
      <c r="GU21" s="152"/>
      <c r="GV21" s="152"/>
      <c r="GW21" s="152"/>
      <c r="GX21" s="152"/>
      <c r="GY21" s="152"/>
      <c r="GZ21" s="152"/>
      <c r="HA21" s="152"/>
      <c r="HB21" s="152"/>
      <c r="HC21" s="152"/>
      <c r="HD21" s="152"/>
      <c r="HE21" s="152"/>
      <c r="HF21" s="152"/>
      <c r="HG21" s="152"/>
      <c r="HH21" s="152"/>
      <c r="HI21" s="152"/>
      <c r="HJ21" s="152"/>
      <c r="HK21" s="152"/>
      <c r="HL21" s="152"/>
      <c r="HM21" s="152"/>
      <c r="HN21" s="152"/>
      <c r="HO21" s="152"/>
      <c r="HP21" s="152"/>
      <c r="HQ21" s="152"/>
      <c r="HR21" s="152"/>
      <c r="HS21" s="152"/>
      <c r="HT21" s="152"/>
      <c r="HU21" s="152"/>
      <c r="HV21" s="152"/>
      <c r="HW21" s="152"/>
      <c r="HX21" s="152"/>
      <c r="HY21" s="152"/>
      <c r="HZ21" s="152"/>
      <c r="IA21" s="152"/>
      <c r="IB21" s="152"/>
      <c r="IC21" s="152"/>
      <c r="ID21" s="152"/>
      <c r="IE21" s="152"/>
      <c r="IF21" s="152"/>
      <c r="IG21" s="152"/>
      <c r="IH21" s="152"/>
      <c r="II21" s="152"/>
      <c r="IJ21" s="152"/>
      <c r="IK21" s="152"/>
      <c r="IL21" s="152"/>
      <c r="IM21" s="152"/>
      <c r="IN21" s="152"/>
      <c r="IO21" s="152"/>
      <c r="IP21" s="152"/>
      <c r="IQ21" s="152"/>
      <c r="IR21" s="152"/>
      <c r="IS21" s="152"/>
      <c r="IT21" s="152"/>
      <c r="IU21" s="152"/>
      <c r="IV21" s="152"/>
      <c r="IW21" s="152"/>
      <c r="IX21" s="152"/>
      <c r="IY21" s="152"/>
      <c r="IZ21" s="152"/>
      <c r="JA21" s="152"/>
      <c r="JB21" s="152"/>
      <c r="JC21" s="152"/>
      <c r="JD21" s="152"/>
      <c r="JE21" s="152"/>
      <c r="JF21" s="152"/>
      <c r="JG21" s="152"/>
      <c r="JH21" s="152"/>
      <c r="JI21" s="152"/>
      <c r="JJ21" s="152"/>
      <c r="JK21" s="152"/>
      <c r="JL21" s="152"/>
      <c r="JM21" s="152"/>
      <c r="JN21" s="152"/>
      <c r="JO21" s="152"/>
      <c r="JP21" s="152"/>
      <c r="JQ21" s="152"/>
      <c r="JR21" s="152"/>
      <c r="JS21" s="152"/>
      <c r="JT21" s="152"/>
      <c r="JU21" s="152"/>
      <c r="JV21" s="152"/>
      <c r="JW21" s="152"/>
      <c r="JX21" s="152"/>
      <c r="JY21" s="152"/>
      <c r="JZ21" s="152"/>
      <c r="KA21" s="152"/>
      <c r="KB21" s="152"/>
      <c r="KC21" s="152"/>
      <c r="KD21" s="152"/>
      <c r="KE21" s="152"/>
      <c r="KF21" s="152"/>
      <c r="KG21" s="152"/>
      <c r="KH21" s="152"/>
      <c r="KI21" s="152"/>
      <c r="KJ21" s="152"/>
      <c r="KK21" s="152"/>
      <c r="KL21" s="152"/>
      <c r="KM21" s="152"/>
      <c r="KN21" s="152"/>
      <c r="KO21" s="152"/>
      <c r="KP21" s="152"/>
      <c r="KQ21" s="152"/>
      <c r="KR21" s="152"/>
      <c r="KS21" s="152"/>
      <c r="KT21" s="152"/>
      <c r="KU21" s="152"/>
      <c r="KV21" s="152"/>
      <c r="KW21" s="152"/>
      <c r="KX21" s="152"/>
      <c r="KY21" s="152"/>
      <c r="KZ21" s="152"/>
      <c r="LA21" s="152"/>
      <c r="LB21" s="152"/>
      <c r="LC21" s="152"/>
      <c r="LD21" s="152"/>
      <c r="LE21" s="152"/>
      <c r="LF21" s="152"/>
    </row>
    <row r="22" spans="1:318">
      <c r="A22" s="96" t="s">
        <v>208</v>
      </c>
      <c r="B22" s="1">
        <f>MIN(B21,B20)</f>
        <v>0</v>
      </c>
      <c r="O22" s="139"/>
      <c r="Q22" s="65"/>
      <c r="R22" s="139"/>
      <c r="S22" s="152"/>
      <c r="T22" s="152"/>
      <c r="U22" s="152"/>
      <c r="V22" s="152"/>
      <c r="W22" s="152"/>
      <c r="X22" s="152"/>
      <c r="Y22" s="152"/>
      <c r="Z22" s="152"/>
      <c r="AA22" s="152"/>
      <c r="AB22" s="152"/>
      <c r="AC22" s="152"/>
      <c r="AD22" s="152"/>
      <c r="AE22" s="152"/>
      <c r="AF22" s="152"/>
      <c r="AG22" s="152"/>
      <c r="AH22" s="152"/>
      <c r="AI22" s="152"/>
      <c r="AJ22" s="152"/>
      <c r="AK22" s="152"/>
      <c r="AL22" s="152"/>
      <c r="AM22" s="152"/>
      <c r="AN22" s="152"/>
      <c r="AO22" s="152"/>
      <c r="AP22" s="152"/>
      <c r="AQ22" s="187"/>
      <c r="AW22" s="152"/>
      <c r="AX22" s="152"/>
      <c r="AY22" s="152"/>
      <c r="AZ22" s="152"/>
      <c r="BA22" s="152"/>
      <c r="BB22" s="152"/>
      <c r="BC22" s="152"/>
      <c r="BD22" s="152"/>
      <c r="BE22" s="152"/>
      <c r="BF22" s="152"/>
      <c r="BG22" s="152"/>
      <c r="BH22" s="152"/>
      <c r="BI22" s="152"/>
      <c r="BJ22" s="152"/>
      <c r="BK22" s="152"/>
      <c r="BL22" s="152"/>
      <c r="BM22" s="152"/>
      <c r="BN22" s="152"/>
      <c r="BO22" s="152"/>
      <c r="BP22" s="152"/>
      <c r="BQ22" s="152"/>
      <c r="BR22" s="152"/>
      <c r="BS22" s="152"/>
      <c r="BT22" s="152"/>
      <c r="BU22" s="152"/>
      <c r="BV22" s="152"/>
      <c r="BW22" s="152"/>
      <c r="BX22" s="152"/>
      <c r="BY22" s="152"/>
      <c r="BZ22" s="152"/>
      <c r="CA22" s="152"/>
      <c r="CB22" s="152"/>
      <c r="CC22" s="152"/>
      <c r="CD22" s="152"/>
      <c r="CE22" s="152"/>
      <c r="CF22" s="152"/>
      <c r="CG22" s="152"/>
      <c r="CH22" s="152"/>
      <c r="CI22" s="152"/>
      <c r="CJ22" s="152"/>
      <c r="CK22" s="152"/>
      <c r="CL22" s="152"/>
      <c r="CM22" s="152"/>
      <c r="CN22" s="152"/>
      <c r="CO22" s="152"/>
      <c r="CP22" s="152"/>
      <c r="CQ22" s="152"/>
      <c r="CR22" s="152"/>
      <c r="CS22" s="152"/>
      <c r="CT22" s="152"/>
      <c r="CU22" s="152"/>
      <c r="CV22" s="152"/>
      <c r="CW22" s="152"/>
      <c r="CX22" s="152"/>
      <c r="CY22" s="152"/>
      <c r="CZ22" s="152"/>
      <c r="DA22" s="152"/>
      <c r="DB22" s="152"/>
      <c r="DC22" s="152"/>
      <c r="DD22" s="152"/>
      <c r="DE22" s="152"/>
      <c r="DF22" s="152"/>
      <c r="DG22" s="152"/>
      <c r="DH22" s="152"/>
      <c r="DI22" s="152"/>
      <c r="DJ22" s="152"/>
      <c r="DK22" s="152"/>
      <c r="DL22" s="152"/>
      <c r="DM22" s="152"/>
      <c r="DN22" s="152"/>
      <c r="DO22" s="152"/>
      <c r="DP22" s="152"/>
      <c r="DQ22" s="152"/>
      <c r="DR22" s="152"/>
      <c r="DS22" s="152"/>
      <c r="DT22" s="152"/>
      <c r="DU22" s="152"/>
      <c r="DV22" s="152"/>
      <c r="DW22" s="152"/>
      <c r="DX22" s="152"/>
      <c r="DY22" s="152"/>
      <c r="DZ22" s="152"/>
      <c r="EA22" s="152"/>
      <c r="EB22" s="152"/>
      <c r="EC22" s="152"/>
      <c r="ED22" s="152"/>
      <c r="EE22" s="152"/>
      <c r="EF22" s="152"/>
      <c r="EG22" s="152"/>
      <c r="EH22" s="152"/>
      <c r="EI22" s="152"/>
      <c r="EJ22" s="152"/>
      <c r="EK22" s="152"/>
      <c r="EL22" s="152"/>
      <c r="EM22" s="152"/>
      <c r="EN22" s="152"/>
      <c r="EO22" s="152"/>
      <c r="EP22" s="152"/>
      <c r="EQ22" s="152"/>
      <c r="ER22" s="152"/>
      <c r="ES22" s="152"/>
      <c r="ET22" s="152"/>
      <c r="EU22" s="152"/>
      <c r="EV22" s="152"/>
      <c r="EW22" s="152"/>
      <c r="EX22" s="152"/>
      <c r="EY22" s="152"/>
      <c r="EZ22" s="152"/>
      <c r="FA22" s="152"/>
      <c r="FB22" s="152"/>
      <c r="FC22" s="152"/>
      <c r="FD22" s="152"/>
      <c r="FE22" s="152"/>
      <c r="FF22" s="152"/>
      <c r="FG22" s="152"/>
      <c r="FH22" s="152"/>
      <c r="FI22" s="152"/>
      <c r="FJ22" s="152"/>
      <c r="FK22" s="152"/>
      <c r="FL22" s="152"/>
      <c r="FM22" s="152"/>
      <c r="FN22" s="152"/>
      <c r="FO22" s="152"/>
      <c r="FP22" s="152"/>
      <c r="FQ22" s="152"/>
      <c r="FR22" s="152"/>
      <c r="FS22" s="152"/>
      <c r="FT22" s="152"/>
      <c r="FU22" s="152"/>
      <c r="FV22" s="152"/>
      <c r="FW22" s="152"/>
      <c r="FX22" s="152"/>
      <c r="FY22" s="152"/>
      <c r="FZ22" s="152"/>
      <c r="GA22" s="152"/>
      <c r="GB22" s="152"/>
      <c r="GC22" s="152"/>
      <c r="GD22" s="152"/>
      <c r="GE22" s="152"/>
      <c r="GF22" s="152"/>
      <c r="GG22" s="152"/>
      <c r="GH22" s="152"/>
      <c r="GI22" s="152"/>
      <c r="GJ22" s="152"/>
      <c r="GK22" s="152"/>
      <c r="GL22" s="152"/>
      <c r="GM22" s="152"/>
      <c r="GN22" s="152"/>
      <c r="GO22" s="152"/>
      <c r="GP22" s="152"/>
      <c r="GQ22" s="152"/>
      <c r="GR22" s="152"/>
      <c r="GS22" s="152"/>
      <c r="GT22" s="152"/>
      <c r="GU22" s="152"/>
      <c r="GV22" s="152"/>
      <c r="GW22" s="152"/>
      <c r="GX22" s="152"/>
      <c r="GY22" s="152"/>
      <c r="GZ22" s="152"/>
      <c r="HA22" s="152"/>
      <c r="HB22" s="152"/>
      <c r="HC22" s="152"/>
      <c r="HD22" s="152"/>
      <c r="HE22" s="152"/>
      <c r="HF22" s="152"/>
      <c r="HG22" s="152"/>
      <c r="HH22" s="152"/>
      <c r="HI22" s="152"/>
      <c r="HJ22" s="152"/>
      <c r="HK22" s="152"/>
      <c r="HL22" s="152"/>
      <c r="HM22" s="152"/>
      <c r="HN22" s="152"/>
      <c r="HO22" s="152"/>
      <c r="HP22" s="152"/>
      <c r="HQ22" s="152"/>
      <c r="HR22" s="152"/>
      <c r="HS22" s="152"/>
      <c r="HT22" s="152"/>
      <c r="HU22" s="152"/>
      <c r="HV22" s="152"/>
      <c r="HW22" s="152"/>
      <c r="HX22" s="152"/>
      <c r="HY22" s="152"/>
      <c r="HZ22" s="152"/>
      <c r="IA22" s="152"/>
      <c r="IB22" s="152"/>
      <c r="IC22" s="152"/>
      <c r="ID22" s="152"/>
      <c r="IE22" s="152"/>
      <c r="IF22" s="152"/>
      <c r="IG22" s="152"/>
      <c r="IH22" s="152"/>
      <c r="II22" s="152"/>
      <c r="IJ22" s="152"/>
      <c r="IK22" s="152"/>
      <c r="IL22" s="152"/>
      <c r="IM22" s="152"/>
      <c r="IN22" s="152"/>
      <c r="IO22" s="152"/>
      <c r="IP22" s="152"/>
      <c r="IQ22" s="152"/>
      <c r="IR22" s="152"/>
      <c r="IS22" s="152"/>
      <c r="IT22" s="152"/>
      <c r="IU22" s="152"/>
      <c r="IV22" s="152"/>
      <c r="IW22" s="152"/>
      <c r="IX22" s="152"/>
      <c r="IY22" s="152"/>
      <c r="IZ22" s="152"/>
      <c r="JA22" s="152"/>
      <c r="JB22" s="152"/>
      <c r="JC22" s="152"/>
      <c r="JD22" s="152"/>
      <c r="JE22" s="152"/>
      <c r="JF22" s="152"/>
      <c r="JG22" s="152"/>
      <c r="JH22" s="152"/>
      <c r="JI22" s="152"/>
      <c r="JJ22" s="152"/>
      <c r="JK22" s="152"/>
      <c r="JL22" s="152"/>
      <c r="JM22" s="152"/>
      <c r="JN22" s="152"/>
      <c r="JO22" s="152"/>
      <c r="JP22" s="152"/>
      <c r="JQ22" s="152"/>
      <c r="JR22" s="152"/>
      <c r="JS22" s="152"/>
      <c r="JT22" s="152"/>
      <c r="JU22" s="152"/>
      <c r="JV22" s="152"/>
      <c r="JW22" s="152"/>
      <c r="JX22" s="152"/>
      <c r="JY22" s="152"/>
      <c r="JZ22" s="152"/>
      <c r="KA22" s="152"/>
      <c r="KB22" s="152"/>
      <c r="KC22" s="152"/>
      <c r="KD22" s="152"/>
      <c r="KE22" s="152"/>
      <c r="KF22" s="152"/>
      <c r="KG22" s="152"/>
      <c r="KH22" s="152"/>
      <c r="KI22" s="152"/>
      <c r="KJ22" s="152"/>
      <c r="KK22" s="152"/>
      <c r="KL22" s="152"/>
      <c r="KM22" s="152"/>
      <c r="KN22" s="152"/>
      <c r="KO22" s="152"/>
      <c r="KP22" s="152"/>
      <c r="KQ22" s="152"/>
      <c r="KR22" s="152"/>
      <c r="KS22" s="152"/>
      <c r="KT22" s="152"/>
      <c r="KU22" s="152"/>
      <c r="KV22" s="152"/>
      <c r="KW22" s="152"/>
      <c r="KX22" s="152"/>
      <c r="KY22" s="152"/>
      <c r="KZ22" s="152"/>
      <c r="LA22" s="152"/>
      <c r="LB22" s="152"/>
      <c r="LC22" s="152"/>
      <c r="LD22" s="152"/>
      <c r="LE22" s="152"/>
      <c r="LF22" s="152"/>
    </row>
    <row r="23" spans="1:318" ht="30">
      <c r="A23" s="96" t="s">
        <v>209</v>
      </c>
      <c r="B23" s="1">
        <f>B19+B22*D18</f>
        <v>2876.7123287671229</v>
      </c>
      <c r="O23" s="139"/>
      <c r="Q23" s="65"/>
      <c r="R23" s="139"/>
      <c r="S23" s="152"/>
      <c r="T23" s="152"/>
      <c r="U23" s="152"/>
      <c r="V23" s="152"/>
      <c r="W23" s="152"/>
      <c r="X23" s="152"/>
      <c r="Y23" s="152"/>
      <c r="Z23" s="152"/>
      <c r="AA23" s="152"/>
      <c r="AB23" s="152"/>
      <c r="AC23" s="152"/>
      <c r="AD23" s="152"/>
      <c r="AE23" s="152"/>
      <c r="AF23" s="152"/>
      <c r="AG23" s="152"/>
      <c r="AH23" s="152"/>
      <c r="AI23" s="152"/>
      <c r="AJ23" s="152"/>
      <c r="AK23" s="152"/>
      <c r="AL23" s="152"/>
      <c r="AM23" s="152"/>
      <c r="AN23" s="152"/>
      <c r="AO23" s="152"/>
      <c r="AP23" s="152"/>
      <c r="AQ23" s="187"/>
      <c r="AW23" s="152"/>
      <c r="AX23" s="152"/>
      <c r="AY23" s="152"/>
      <c r="AZ23" s="152"/>
      <c r="BA23" s="152"/>
      <c r="BB23" s="152"/>
      <c r="BC23" s="152"/>
      <c r="BD23" s="152"/>
      <c r="BE23" s="152"/>
      <c r="BF23" s="152"/>
      <c r="BG23" s="152"/>
      <c r="BH23" s="152"/>
      <c r="BI23" s="152"/>
      <c r="BJ23" s="152"/>
      <c r="BK23" s="152"/>
      <c r="BL23" s="152"/>
      <c r="BM23" s="152"/>
      <c r="BN23" s="152"/>
      <c r="BO23" s="152"/>
      <c r="BP23" s="152"/>
      <c r="BQ23" s="152"/>
      <c r="BR23" s="152"/>
      <c r="BS23" s="152"/>
      <c r="BT23" s="152"/>
      <c r="BU23" s="152"/>
      <c r="BV23" s="152"/>
      <c r="BW23" s="152"/>
      <c r="BX23" s="152"/>
      <c r="BY23" s="152"/>
      <c r="BZ23" s="152"/>
      <c r="CA23" s="152"/>
      <c r="CB23" s="152"/>
      <c r="CC23" s="152"/>
      <c r="CD23" s="152"/>
      <c r="CE23" s="152"/>
      <c r="CF23" s="152"/>
      <c r="CG23" s="152"/>
      <c r="CH23" s="152"/>
      <c r="CI23" s="152"/>
      <c r="CJ23" s="152"/>
      <c r="CK23" s="152"/>
      <c r="CL23" s="152"/>
      <c r="CM23" s="152"/>
      <c r="CN23" s="152"/>
      <c r="CO23" s="152"/>
      <c r="CP23" s="152"/>
      <c r="CQ23" s="152"/>
      <c r="CR23" s="152"/>
      <c r="CS23" s="152"/>
      <c r="CT23" s="152"/>
      <c r="CU23" s="152"/>
      <c r="CV23" s="152"/>
      <c r="CW23" s="152"/>
      <c r="CX23" s="152"/>
      <c r="CY23" s="152"/>
      <c r="CZ23" s="152"/>
      <c r="DA23" s="152"/>
      <c r="DB23" s="152"/>
      <c r="DC23" s="152"/>
      <c r="DD23" s="152"/>
      <c r="DE23" s="152"/>
      <c r="DF23" s="152"/>
      <c r="DG23" s="152"/>
      <c r="DH23" s="152"/>
      <c r="DI23" s="152"/>
      <c r="DJ23" s="152"/>
      <c r="DK23" s="152"/>
      <c r="DL23" s="152"/>
      <c r="DM23" s="152"/>
      <c r="DN23" s="152"/>
      <c r="DO23" s="152"/>
      <c r="DP23" s="152"/>
      <c r="DQ23" s="152"/>
      <c r="DR23" s="152"/>
      <c r="DS23" s="152"/>
      <c r="DT23" s="152"/>
      <c r="DU23" s="152"/>
      <c r="DV23" s="152"/>
      <c r="DW23" s="152"/>
      <c r="DX23" s="152"/>
      <c r="DY23" s="152"/>
      <c r="DZ23" s="152"/>
      <c r="EA23" s="152"/>
      <c r="EB23" s="152"/>
      <c r="EC23" s="152"/>
      <c r="ED23" s="152"/>
      <c r="EE23" s="152"/>
      <c r="EF23" s="152"/>
      <c r="EG23" s="152"/>
      <c r="EH23" s="152"/>
      <c r="EI23" s="152"/>
      <c r="EJ23" s="152"/>
      <c r="EK23" s="152"/>
      <c r="EL23" s="152"/>
      <c r="EM23" s="152"/>
      <c r="EN23" s="152"/>
      <c r="EO23" s="152"/>
      <c r="EP23" s="152"/>
      <c r="EQ23" s="152"/>
      <c r="ER23" s="152"/>
      <c r="ES23" s="152"/>
      <c r="ET23" s="152"/>
      <c r="EU23" s="152"/>
      <c r="EV23" s="152"/>
      <c r="EW23" s="152"/>
      <c r="EX23" s="152"/>
      <c r="EY23" s="152"/>
      <c r="EZ23" s="152"/>
      <c r="FA23" s="152"/>
      <c r="FB23" s="152"/>
      <c r="FC23" s="152"/>
      <c r="FD23" s="152"/>
      <c r="FE23" s="152"/>
      <c r="FF23" s="152"/>
      <c r="FG23" s="152"/>
      <c r="FH23" s="152"/>
      <c r="FI23" s="152"/>
      <c r="FJ23" s="152"/>
      <c r="FK23" s="152"/>
      <c r="FL23" s="152"/>
      <c r="FM23" s="152"/>
      <c r="FN23" s="152"/>
      <c r="FO23" s="152"/>
      <c r="FP23" s="152"/>
      <c r="FQ23" s="152"/>
      <c r="FR23" s="152"/>
      <c r="FS23" s="152"/>
      <c r="FT23" s="152"/>
      <c r="FU23" s="152"/>
      <c r="FV23" s="152"/>
      <c r="FW23" s="152"/>
      <c r="FX23" s="152"/>
      <c r="FY23" s="152"/>
      <c r="FZ23" s="152"/>
      <c r="GA23" s="152"/>
      <c r="GB23" s="152"/>
      <c r="GC23" s="152"/>
      <c r="GD23" s="152"/>
      <c r="GE23" s="152"/>
      <c r="GF23" s="152"/>
      <c r="GG23" s="152"/>
      <c r="GH23" s="152"/>
      <c r="GI23" s="152"/>
      <c r="GJ23" s="152"/>
      <c r="GK23" s="152"/>
      <c r="GL23" s="152"/>
      <c r="GM23" s="152"/>
      <c r="GN23" s="152"/>
      <c r="GO23" s="152"/>
      <c r="GP23" s="152"/>
      <c r="GQ23" s="152"/>
      <c r="GR23" s="152"/>
      <c r="GS23" s="152"/>
      <c r="GT23" s="152"/>
      <c r="GU23" s="152"/>
      <c r="GV23" s="152"/>
      <c r="GW23" s="152"/>
      <c r="GX23" s="152"/>
      <c r="GY23" s="152"/>
      <c r="GZ23" s="152"/>
      <c r="HA23" s="152"/>
      <c r="HB23" s="152"/>
      <c r="HC23" s="152"/>
      <c r="HD23" s="152"/>
      <c r="HE23" s="152"/>
      <c r="HF23" s="152"/>
      <c r="HG23" s="152"/>
      <c r="HH23" s="152"/>
      <c r="HI23" s="152"/>
      <c r="HJ23" s="152"/>
      <c r="HK23" s="152"/>
      <c r="HL23" s="152"/>
      <c r="HM23" s="152"/>
      <c r="HN23" s="152"/>
      <c r="HO23" s="152"/>
      <c r="HP23" s="152"/>
      <c r="HQ23" s="152"/>
      <c r="HR23" s="152"/>
      <c r="HS23" s="152"/>
      <c r="HT23" s="152"/>
      <c r="HU23" s="152"/>
      <c r="HV23" s="152"/>
      <c r="HW23" s="152"/>
      <c r="HX23" s="152"/>
      <c r="HY23" s="152"/>
      <c r="HZ23" s="152"/>
      <c r="IA23" s="152"/>
      <c r="IB23" s="152"/>
      <c r="IC23" s="152"/>
      <c r="ID23" s="152"/>
      <c r="IE23" s="152"/>
      <c r="IF23" s="152"/>
      <c r="IG23" s="152"/>
      <c r="IH23" s="152"/>
      <c r="II23" s="152"/>
      <c r="IJ23" s="152"/>
      <c r="IK23" s="152"/>
      <c r="IL23" s="152"/>
      <c r="IM23" s="152"/>
      <c r="IN23" s="152"/>
      <c r="IO23" s="152"/>
      <c r="IP23" s="152"/>
      <c r="IQ23" s="152"/>
      <c r="IR23" s="152"/>
      <c r="IS23" s="152"/>
      <c r="IT23" s="152"/>
      <c r="IU23" s="152"/>
      <c r="IV23" s="152"/>
      <c r="IW23" s="152"/>
      <c r="IX23" s="152"/>
      <c r="IY23" s="152"/>
      <c r="IZ23" s="152"/>
      <c r="JA23" s="152"/>
      <c r="JB23" s="152"/>
      <c r="JC23" s="152"/>
      <c r="JD23" s="152"/>
      <c r="JE23" s="152"/>
      <c r="JF23" s="152"/>
      <c r="JG23" s="152"/>
      <c r="JH23" s="152"/>
      <c r="JI23" s="152"/>
      <c r="JJ23" s="152"/>
      <c r="JK23" s="152"/>
      <c r="JL23" s="152"/>
      <c r="JM23" s="152"/>
      <c r="JN23" s="152"/>
      <c r="JO23" s="152"/>
      <c r="JP23" s="152"/>
      <c r="JQ23" s="152"/>
      <c r="JR23" s="152"/>
      <c r="JS23" s="152"/>
      <c r="JT23" s="152"/>
      <c r="JU23" s="152"/>
      <c r="JV23" s="152"/>
      <c r="JW23" s="152"/>
      <c r="JX23" s="152"/>
      <c r="JY23" s="152"/>
      <c r="JZ23" s="152"/>
      <c r="KA23" s="152"/>
      <c r="KB23" s="152"/>
      <c r="KC23" s="152"/>
      <c r="KD23" s="152"/>
      <c r="KE23" s="152"/>
      <c r="KF23" s="152"/>
      <c r="KG23" s="152"/>
      <c r="KH23" s="152"/>
      <c r="KI23" s="152"/>
      <c r="KJ23" s="152"/>
      <c r="KK23" s="152"/>
      <c r="KL23" s="152"/>
      <c r="KM23" s="152"/>
      <c r="KN23" s="152"/>
      <c r="KO23" s="152"/>
      <c r="KP23" s="152"/>
      <c r="KQ23" s="152"/>
      <c r="KR23" s="152"/>
      <c r="KS23" s="152"/>
      <c r="KT23" s="152"/>
      <c r="KU23" s="152"/>
      <c r="KV23" s="152"/>
      <c r="KW23" s="152"/>
      <c r="KX23" s="152"/>
      <c r="KY23" s="152"/>
      <c r="KZ23" s="152"/>
      <c r="LA23" s="152"/>
      <c r="LB23" s="152"/>
      <c r="LC23" s="152"/>
      <c r="LD23" s="152"/>
      <c r="LE23" s="152"/>
      <c r="LF23" s="152"/>
    </row>
    <row r="24" spans="1:318" ht="30">
      <c r="A24" s="96" t="s">
        <v>210</v>
      </c>
      <c r="B24" s="155">
        <f>B23/B18</f>
        <v>0.7</v>
      </c>
      <c r="M24" s="152"/>
      <c r="O24" s="200" t="s">
        <v>211</v>
      </c>
      <c r="Q24" s="65">
        <f t="shared" ref="Q24:Q29" si="9">AVERAGE(S24:AQ24)</f>
        <v>8750.2234372337225</v>
      </c>
      <c r="R24" s="139"/>
      <c r="S24" s="188">
        <f>$P$8*$A$8</f>
        <v>6000</v>
      </c>
      <c r="T24" s="188">
        <f>S24*(1+$W$8)</f>
        <v>6180</v>
      </c>
      <c r="U24" s="188">
        <f t="shared" ref="U24:AJ25" si="10">T24*(1+$W$8)</f>
        <v>6365.4000000000005</v>
      </c>
      <c r="V24" s="188">
        <f t="shared" si="10"/>
        <v>6556.362000000001</v>
      </c>
      <c r="W24" s="188">
        <f t="shared" si="10"/>
        <v>6753.0528600000016</v>
      </c>
      <c r="X24" s="188">
        <f t="shared" si="10"/>
        <v>6955.6444458000014</v>
      </c>
      <c r="Y24" s="188">
        <f t="shared" si="10"/>
        <v>7164.3137791740019</v>
      </c>
      <c r="Z24" s="188">
        <f t="shared" si="10"/>
        <v>7379.2431925492219</v>
      </c>
      <c r="AA24" s="188">
        <f t="shared" si="10"/>
        <v>7600.6204883256987</v>
      </c>
      <c r="AB24" s="188">
        <f t="shared" si="10"/>
        <v>7828.6391029754695</v>
      </c>
      <c r="AC24" s="188">
        <f t="shared" si="10"/>
        <v>8063.4982760647335</v>
      </c>
      <c r="AD24" s="188">
        <f t="shared" si="10"/>
        <v>8305.4032243466754</v>
      </c>
      <c r="AE24" s="188">
        <f t="shared" si="10"/>
        <v>8554.5653210770761</v>
      </c>
      <c r="AF24" s="188">
        <f t="shared" si="10"/>
        <v>8811.202280709389</v>
      </c>
      <c r="AG24" s="188">
        <f t="shared" si="10"/>
        <v>9075.5383491306711</v>
      </c>
      <c r="AH24" s="188">
        <f t="shared" si="10"/>
        <v>9347.8044996045919</v>
      </c>
      <c r="AI24" s="188">
        <f t="shared" si="10"/>
        <v>9628.2386345927298</v>
      </c>
      <c r="AJ24" s="188">
        <f t="shared" si="10"/>
        <v>9917.0857936305129</v>
      </c>
      <c r="AK24" s="188">
        <f t="shared" ref="AK24:AQ25" si="11">AJ24*(1+$W$8)</f>
        <v>10214.598367439428</v>
      </c>
      <c r="AL24" s="188">
        <f t="shared" si="11"/>
        <v>10521.036318462611</v>
      </c>
      <c r="AM24" s="188">
        <f t="shared" si="11"/>
        <v>10836.66740801649</v>
      </c>
      <c r="AN24" s="188">
        <f t="shared" si="11"/>
        <v>11161.767430256985</v>
      </c>
      <c r="AO24" s="188">
        <f t="shared" si="11"/>
        <v>11496.620453164694</v>
      </c>
      <c r="AP24" s="188">
        <f t="shared" si="11"/>
        <v>11841.519066759636</v>
      </c>
      <c r="AQ24" s="189">
        <f t="shared" si="11"/>
        <v>12196.764638762426</v>
      </c>
      <c r="AW24" s="152"/>
      <c r="AX24" s="152"/>
      <c r="AY24" s="152"/>
      <c r="AZ24" s="152"/>
      <c r="BA24" s="152"/>
      <c r="BB24" s="152"/>
      <c r="BC24" s="152"/>
      <c r="BD24" s="152"/>
      <c r="BE24" s="152"/>
      <c r="BF24" s="152"/>
      <c r="BG24" s="152"/>
      <c r="BH24" s="152"/>
      <c r="BI24" s="152"/>
      <c r="BJ24" s="152"/>
      <c r="BK24" s="152"/>
      <c r="BL24" s="152"/>
      <c r="BM24" s="152"/>
      <c r="BN24" s="152"/>
      <c r="BO24" s="152"/>
      <c r="BP24" s="152"/>
      <c r="BQ24" s="152"/>
      <c r="BR24" s="152"/>
      <c r="BS24" s="152"/>
      <c r="BT24" s="152"/>
      <c r="BU24" s="152"/>
      <c r="BV24" s="152"/>
      <c r="BW24" s="152"/>
      <c r="BX24" s="152"/>
      <c r="BY24" s="152"/>
      <c r="BZ24" s="152"/>
      <c r="CA24" s="152"/>
      <c r="CB24" s="152"/>
      <c r="CC24" s="152"/>
      <c r="CD24" s="152"/>
      <c r="CE24" s="152"/>
      <c r="CF24" s="152"/>
      <c r="CG24" s="152"/>
      <c r="CH24" s="152"/>
      <c r="CI24" s="152"/>
      <c r="CJ24" s="152"/>
      <c r="CK24" s="152"/>
      <c r="CL24" s="152"/>
      <c r="CM24" s="152"/>
      <c r="CN24" s="152"/>
      <c r="CO24" s="152"/>
      <c r="CP24" s="152"/>
      <c r="CQ24" s="152"/>
      <c r="CR24" s="152"/>
      <c r="CS24" s="152"/>
      <c r="CT24" s="152"/>
      <c r="CU24" s="152"/>
      <c r="CV24" s="152"/>
      <c r="CW24" s="152"/>
      <c r="CX24" s="152"/>
      <c r="CY24" s="152"/>
      <c r="CZ24" s="152"/>
      <c r="DA24" s="152"/>
      <c r="DB24" s="152"/>
      <c r="DC24" s="152"/>
      <c r="DD24" s="152"/>
      <c r="DE24" s="152"/>
      <c r="DF24" s="152"/>
      <c r="DG24" s="152"/>
      <c r="DH24" s="152"/>
      <c r="DI24" s="152"/>
      <c r="DJ24" s="152"/>
      <c r="DK24" s="152"/>
      <c r="DL24" s="152"/>
      <c r="DM24" s="152"/>
      <c r="DN24" s="152"/>
      <c r="DO24" s="152"/>
      <c r="DP24" s="152"/>
      <c r="DQ24" s="152"/>
      <c r="DR24" s="152"/>
      <c r="DS24" s="152"/>
      <c r="DT24" s="152"/>
      <c r="DU24" s="152"/>
      <c r="DV24" s="152"/>
      <c r="DW24" s="152"/>
      <c r="DX24" s="152"/>
      <c r="DY24" s="152"/>
      <c r="DZ24" s="152"/>
      <c r="EA24" s="152"/>
      <c r="EB24" s="152"/>
      <c r="EC24" s="152"/>
      <c r="ED24" s="152"/>
      <c r="EE24" s="152"/>
      <c r="EF24" s="152"/>
      <c r="EG24" s="152"/>
      <c r="EH24" s="152"/>
      <c r="EI24" s="152"/>
      <c r="EJ24" s="152"/>
      <c r="EK24" s="152"/>
      <c r="EL24" s="152"/>
      <c r="EM24" s="152"/>
      <c r="EN24" s="152"/>
      <c r="EO24" s="152"/>
      <c r="EP24" s="152"/>
      <c r="EQ24" s="152"/>
      <c r="ER24" s="152"/>
      <c r="ES24" s="152"/>
      <c r="ET24" s="152"/>
      <c r="EU24" s="152"/>
      <c r="EV24" s="152"/>
      <c r="EW24" s="152"/>
      <c r="EX24" s="152"/>
      <c r="EY24" s="152"/>
      <c r="EZ24" s="152"/>
      <c r="FA24" s="152"/>
      <c r="FB24" s="152"/>
      <c r="FC24" s="152"/>
      <c r="FD24" s="152"/>
      <c r="FE24" s="152"/>
      <c r="FF24" s="152"/>
      <c r="FG24" s="152"/>
      <c r="FH24" s="152"/>
      <c r="FI24" s="152"/>
      <c r="FJ24" s="152"/>
      <c r="FK24" s="152"/>
      <c r="FL24" s="152"/>
      <c r="FM24" s="152"/>
      <c r="FN24" s="152"/>
      <c r="FO24" s="152"/>
      <c r="FP24" s="152"/>
      <c r="FQ24" s="152"/>
      <c r="FR24" s="152"/>
      <c r="FS24" s="152"/>
      <c r="FT24" s="152"/>
      <c r="FU24" s="152"/>
      <c r="FV24" s="152"/>
      <c r="FW24" s="152"/>
      <c r="FX24" s="152"/>
      <c r="FY24" s="152"/>
      <c r="FZ24" s="152"/>
      <c r="GA24" s="152"/>
      <c r="GB24" s="152"/>
      <c r="GC24" s="152"/>
      <c r="GD24" s="152"/>
      <c r="GE24" s="152"/>
      <c r="GF24" s="152"/>
      <c r="GG24" s="152"/>
      <c r="GH24" s="152"/>
      <c r="GI24" s="152"/>
      <c r="GJ24" s="152"/>
      <c r="GK24" s="152"/>
      <c r="GL24" s="152"/>
      <c r="GM24" s="152"/>
      <c r="GN24" s="152"/>
      <c r="GO24" s="152"/>
      <c r="GP24" s="152"/>
      <c r="GQ24" s="152"/>
      <c r="GR24" s="152"/>
      <c r="GS24" s="152"/>
      <c r="GT24" s="152"/>
      <c r="GU24" s="152"/>
      <c r="GV24" s="152"/>
      <c r="GW24" s="152"/>
      <c r="GX24" s="152"/>
      <c r="GY24" s="152"/>
      <c r="GZ24" s="152"/>
      <c r="HA24" s="152"/>
      <c r="HB24" s="152"/>
      <c r="HC24" s="152"/>
      <c r="HD24" s="152"/>
      <c r="HE24" s="152"/>
      <c r="HF24" s="152"/>
      <c r="HG24" s="152"/>
      <c r="HH24" s="152"/>
      <c r="HI24" s="152"/>
      <c r="HJ24" s="152"/>
      <c r="HK24" s="152"/>
      <c r="HL24" s="152"/>
      <c r="HM24" s="152"/>
      <c r="HN24" s="152"/>
      <c r="HO24" s="152"/>
      <c r="HP24" s="152"/>
      <c r="HQ24" s="152"/>
      <c r="HR24" s="152"/>
      <c r="HS24" s="152"/>
      <c r="HT24" s="152"/>
      <c r="HU24" s="152"/>
      <c r="HV24" s="152"/>
      <c r="HW24" s="152"/>
      <c r="HX24" s="152"/>
      <c r="HY24" s="152"/>
      <c r="HZ24" s="152"/>
      <c r="IA24" s="152"/>
      <c r="IB24" s="152"/>
      <c r="IC24" s="152"/>
      <c r="ID24" s="152"/>
      <c r="IE24" s="152"/>
      <c r="IF24" s="152"/>
      <c r="IG24" s="152"/>
      <c r="IH24" s="152"/>
      <c r="II24" s="152"/>
      <c r="IJ24" s="152"/>
      <c r="IK24" s="152"/>
      <c r="IL24" s="152"/>
      <c r="IM24" s="152"/>
      <c r="IN24" s="152"/>
      <c r="IO24" s="152"/>
      <c r="IP24" s="152"/>
      <c r="IQ24" s="152"/>
      <c r="IR24" s="152"/>
      <c r="IS24" s="152"/>
      <c r="IT24" s="152"/>
      <c r="IU24" s="152"/>
      <c r="IV24" s="152"/>
      <c r="IW24" s="152"/>
      <c r="IX24" s="152"/>
      <c r="IY24" s="152"/>
      <c r="IZ24" s="152"/>
      <c r="JA24" s="152"/>
      <c r="JB24" s="152"/>
      <c r="JC24" s="152"/>
      <c r="JD24" s="152"/>
      <c r="JE24" s="152"/>
      <c r="JF24" s="152"/>
      <c r="JG24" s="152"/>
      <c r="JH24" s="152"/>
      <c r="JI24" s="152"/>
      <c r="JJ24" s="152"/>
      <c r="JK24" s="152"/>
      <c r="JL24" s="152"/>
      <c r="JM24" s="152"/>
      <c r="JN24" s="152"/>
      <c r="JO24" s="152"/>
      <c r="JP24" s="152"/>
      <c r="JQ24" s="152"/>
      <c r="JR24" s="152"/>
      <c r="JS24" s="152"/>
      <c r="JT24" s="152"/>
      <c r="JU24" s="152"/>
      <c r="JV24" s="152"/>
      <c r="JW24" s="152"/>
      <c r="JX24" s="152"/>
      <c r="JY24" s="152"/>
      <c r="JZ24" s="152"/>
      <c r="KA24" s="152"/>
      <c r="KB24" s="152"/>
      <c r="KC24" s="152"/>
      <c r="KD24" s="152"/>
      <c r="KE24" s="152"/>
      <c r="KF24" s="152"/>
      <c r="KG24" s="152"/>
      <c r="KH24" s="152"/>
      <c r="KI24" s="152"/>
      <c r="KJ24" s="152"/>
      <c r="KK24" s="152"/>
      <c r="KL24" s="152"/>
      <c r="KM24" s="152"/>
      <c r="KN24" s="152"/>
      <c r="KO24" s="152"/>
      <c r="KP24" s="152"/>
      <c r="KQ24" s="152"/>
      <c r="KR24" s="152"/>
      <c r="KS24" s="152"/>
      <c r="KT24" s="152"/>
      <c r="KU24" s="152"/>
      <c r="KV24" s="152"/>
      <c r="KW24" s="152"/>
      <c r="KX24" s="152"/>
      <c r="KY24" s="152"/>
      <c r="KZ24" s="152"/>
      <c r="LA24" s="152"/>
      <c r="LB24" s="152"/>
      <c r="LC24" s="152"/>
      <c r="LD24" s="152"/>
      <c r="LE24" s="152"/>
      <c r="LF24" s="152"/>
    </row>
    <row r="25" spans="1:318">
      <c r="O25" s="200" t="s">
        <v>212</v>
      </c>
      <c r="Q25" s="65">
        <f t="shared" si="9"/>
        <v>2916.7411457445733</v>
      </c>
      <c r="R25" s="139"/>
      <c r="S25" s="188">
        <f>$T$8</f>
        <v>2000</v>
      </c>
      <c r="T25" s="188">
        <f>S25*(1+$W$8)</f>
        <v>2060</v>
      </c>
      <c r="U25" s="188">
        <f t="shared" si="10"/>
        <v>2121.8000000000002</v>
      </c>
      <c r="V25" s="188">
        <f t="shared" si="10"/>
        <v>2185.4540000000002</v>
      </c>
      <c r="W25" s="188">
        <f t="shared" si="10"/>
        <v>2251.0176200000001</v>
      </c>
      <c r="X25" s="188">
        <f t="shared" si="10"/>
        <v>2318.5481486000003</v>
      </c>
      <c r="Y25" s="188">
        <f t="shared" si="10"/>
        <v>2388.1045930580003</v>
      </c>
      <c r="Z25" s="188">
        <f t="shared" si="10"/>
        <v>2459.7477308497405</v>
      </c>
      <c r="AA25" s="188">
        <f t="shared" si="10"/>
        <v>2533.5401627752326</v>
      </c>
      <c r="AB25" s="188">
        <f t="shared" si="10"/>
        <v>2609.5463676584895</v>
      </c>
      <c r="AC25" s="188">
        <f t="shared" si="10"/>
        <v>2687.8327586882442</v>
      </c>
      <c r="AD25" s="188">
        <f t="shared" si="10"/>
        <v>2768.4677414488915</v>
      </c>
      <c r="AE25" s="188">
        <f t="shared" si="10"/>
        <v>2851.5217736923582</v>
      </c>
      <c r="AF25" s="188">
        <f t="shared" si="10"/>
        <v>2937.0674269031292</v>
      </c>
      <c r="AG25" s="188">
        <f t="shared" si="10"/>
        <v>3025.1794497102233</v>
      </c>
      <c r="AH25" s="188">
        <f t="shared" si="10"/>
        <v>3115.9348332015302</v>
      </c>
      <c r="AI25" s="188">
        <f t="shared" si="10"/>
        <v>3209.412878197576</v>
      </c>
      <c r="AJ25" s="188">
        <f t="shared" si="10"/>
        <v>3305.6952645435035</v>
      </c>
      <c r="AK25" s="188">
        <f t="shared" si="11"/>
        <v>3404.8661224798088</v>
      </c>
      <c r="AL25" s="188">
        <f t="shared" si="11"/>
        <v>3507.0121061542031</v>
      </c>
      <c r="AM25" s="188">
        <f t="shared" si="11"/>
        <v>3612.2224693388293</v>
      </c>
      <c r="AN25" s="188">
        <f t="shared" si="11"/>
        <v>3720.5891434189944</v>
      </c>
      <c r="AO25" s="188">
        <f t="shared" si="11"/>
        <v>3832.2068177215642</v>
      </c>
      <c r="AP25" s="188">
        <f t="shared" si="11"/>
        <v>3947.1730222532115</v>
      </c>
      <c r="AQ25" s="189">
        <f t="shared" si="11"/>
        <v>4065.588212920808</v>
      </c>
      <c r="AW25" s="152"/>
      <c r="AX25" s="152"/>
      <c r="AY25" s="152"/>
      <c r="AZ25" s="152"/>
      <c r="BA25" s="152"/>
      <c r="BB25" s="152"/>
      <c r="BC25" s="152"/>
      <c r="BD25" s="152"/>
      <c r="BE25" s="152"/>
      <c r="BF25" s="152"/>
      <c r="BG25" s="152"/>
      <c r="BH25" s="152"/>
      <c r="BI25" s="152"/>
      <c r="BJ25" s="152"/>
      <c r="BK25" s="152"/>
      <c r="BL25" s="152"/>
      <c r="BM25" s="152"/>
      <c r="BN25" s="152"/>
      <c r="BO25" s="152"/>
      <c r="BP25" s="152"/>
      <c r="BQ25" s="152"/>
      <c r="BR25" s="152"/>
      <c r="BS25" s="152"/>
      <c r="BT25" s="152"/>
      <c r="BU25" s="152"/>
      <c r="BV25" s="152"/>
      <c r="BW25" s="152"/>
      <c r="BX25" s="152"/>
      <c r="BY25" s="152"/>
      <c r="BZ25" s="152"/>
      <c r="CA25" s="152"/>
      <c r="CB25" s="152"/>
      <c r="CC25" s="152"/>
      <c r="CD25" s="152"/>
      <c r="CE25" s="152"/>
      <c r="CF25" s="152"/>
      <c r="CG25" s="152"/>
      <c r="CH25" s="152"/>
      <c r="CI25" s="152"/>
      <c r="CJ25" s="152"/>
      <c r="CK25" s="152"/>
      <c r="CL25" s="152"/>
      <c r="CM25" s="152"/>
      <c r="CN25" s="152"/>
      <c r="CO25" s="152"/>
      <c r="CP25" s="152"/>
      <c r="CQ25" s="152"/>
      <c r="CR25" s="152"/>
      <c r="CS25" s="152"/>
      <c r="CT25" s="152"/>
      <c r="CU25" s="152"/>
      <c r="CV25" s="152"/>
      <c r="CW25" s="152"/>
      <c r="CX25" s="152"/>
      <c r="CY25" s="152"/>
      <c r="CZ25" s="152"/>
      <c r="DA25" s="152"/>
      <c r="DB25" s="152"/>
      <c r="DC25" s="152"/>
      <c r="DD25" s="152"/>
      <c r="DE25" s="152"/>
      <c r="DF25" s="152"/>
      <c r="DG25" s="152"/>
      <c r="DH25" s="152"/>
      <c r="DI25" s="152"/>
      <c r="DJ25" s="152"/>
      <c r="DK25" s="152"/>
      <c r="DL25" s="152"/>
      <c r="DM25" s="152"/>
      <c r="DN25" s="152"/>
      <c r="DO25" s="152"/>
      <c r="DP25" s="152"/>
      <c r="DQ25" s="152"/>
      <c r="DR25" s="152"/>
      <c r="DS25" s="152"/>
      <c r="DT25" s="152"/>
      <c r="DU25" s="152"/>
      <c r="DV25" s="152"/>
      <c r="DW25" s="152"/>
      <c r="DX25" s="152"/>
      <c r="DY25" s="152"/>
      <c r="DZ25" s="152"/>
      <c r="EA25" s="152"/>
      <c r="EB25" s="152"/>
      <c r="EC25" s="152"/>
      <c r="ED25" s="152"/>
      <c r="EE25" s="152"/>
      <c r="EF25" s="152"/>
      <c r="EG25" s="152"/>
      <c r="EH25" s="152"/>
      <c r="EI25" s="152"/>
      <c r="EJ25" s="152"/>
      <c r="EK25" s="152"/>
      <c r="EL25" s="152"/>
      <c r="EM25" s="152"/>
      <c r="EN25" s="152"/>
      <c r="EO25" s="152"/>
      <c r="EP25" s="152"/>
      <c r="EQ25" s="152"/>
      <c r="ER25" s="152"/>
      <c r="ES25" s="152"/>
      <c r="ET25" s="152"/>
      <c r="EU25" s="152"/>
      <c r="EV25" s="152"/>
      <c r="EW25" s="152"/>
      <c r="EX25" s="152"/>
      <c r="EY25" s="152"/>
      <c r="EZ25" s="152"/>
      <c r="FA25" s="152"/>
      <c r="FB25" s="152"/>
      <c r="FC25" s="152"/>
      <c r="FD25" s="152"/>
      <c r="FE25" s="152"/>
      <c r="FF25" s="152"/>
      <c r="FG25" s="152"/>
      <c r="FH25" s="152"/>
      <c r="FI25" s="152"/>
      <c r="FJ25" s="152"/>
      <c r="FK25" s="152"/>
      <c r="FL25" s="152"/>
      <c r="FM25" s="152"/>
      <c r="FN25" s="152"/>
      <c r="FO25" s="152"/>
      <c r="FP25" s="152"/>
      <c r="FQ25" s="152"/>
      <c r="FR25" s="152"/>
      <c r="FS25" s="152"/>
      <c r="FT25" s="152"/>
      <c r="FU25" s="152"/>
      <c r="FV25" s="152"/>
      <c r="FW25" s="152"/>
      <c r="FX25" s="152"/>
      <c r="FY25" s="152"/>
      <c r="FZ25" s="152"/>
      <c r="GA25" s="152"/>
      <c r="GB25" s="152"/>
      <c r="GC25" s="152"/>
      <c r="GD25" s="152"/>
      <c r="GE25" s="152"/>
      <c r="GF25" s="152"/>
      <c r="GG25" s="152"/>
      <c r="GH25" s="152"/>
      <c r="GI25" s="152"/>
      <c r="GJ25" s="152"/>
      <c r="GK25" s="152"/>
      <c r="GL25" s="152"/>
      <c r="GM25" s="152"/>
      <c r="GN25" s="152"/>
      <c r="GO25" s="152"/>
      <c r="GP25" s="152"/>
      <c r="GQ25" s="152"/>
      <c r="GR25" s="152"/>
      <c r="GS25" s="152"/>
      <c r="GT25" s="152"/>
      <c r="GU25" s="152"/>
      <c r="GV25" s="152"/>
      <c r="GW25" s="152"/>
      <c r="GX25" s="152"/>
      <c r="GY25" s="152"/>
      <c r="GZ25" s="152"/>
      <c r="HA25" s="152"/>
      <c r="HB25" s="152"/>
      <c r="HC25" s="152"/>
      <c r="HD25" s="152"/>
      <c r="HE25" s="152"/>
      <c r="HF25" s="152"/>
      <c r="HG25" s="152"/>
      <c r="HH25" s="152"/>
      <c r="HI25" s="152"/>
      <c r="HJ25" s="152"/>
      <c r="HK25" s="152"/>
      <c r="HL25" s="152"/>
      <c r="HM25" s="152"/>
      <c r="HN25" s="152"/>
      <c r="HO25" s="152"/>
      <c r="HP25" s="152"/>
      <c r="HQ25" s="152"/>
      <c r="HR25" s="152"/>
      <c r="HS25" s="152"/>
      <c r="HT25" s="152"/>
      <c r="HU25" s="152"/>
      <c r="HV25" s="152"/>
      <c r="HW25" s="152"/>
      <c r="HX25" s="152"/>
      <c r="HY25" s="152"/>
      <c r="HZ25" s="152"/>
      <c r="IA25" s="152"/>
      <c r="IB25" s="152"/>
      <c r="IC25" s="152"/>
      <c r="ID25" s="152"/>
      <c r="IE25" s="152"/>
      <c r="IF25" s="152"/>
      <c r="IG25" s="152"/>
      <c r="IH25" s="152"/>
      <c r="II25" s="152"/>
      <c r="IJ25" s="152"/>
      <c r="IK25" s="152"/>
      <c r="IL25" s="152"/>
      <c r="IM25" s="152"/>
      <c r="IN25" s="152"/>
      <c r="IO25" s="152"/>
      <c r="IP25" s="152"/>
      <c r="IQ25" s="152"/>
      <c r="IR25" s="152"/>
      <c r="IS25" s="152"/>
      <c r="IT25" s="152"/>
      <c r="IU25" s="152"/>
      <c r="IV25" s="152"/>
      <c r="IW25" s="152"/>
      <c r="IX25" s="152"/>
      <c r="IY25" s="152"/>
      <c r="IZ25" s="152"/>
      <c r="JA25" s="152"/>
      <c r="JB25" s="152"/>
      <c r="JC25" s="152"/>
      <c r="JD25" s="152"/>
      <c r="JE25" s="152"/>
      <c r="JF25" s="152"/>
      <c r="JG25" s="152"/>
      <c r="JH25" s="152"/>
      <c r="JI25" s="152"/>
      <c r="JJ25" s="152"/>
      <c r="JK25" s="152"/>
      <c r="JL25" s="152"/>
      <c r="JM25" s="152"/>
      <c r="JN25" s="152"/>
      <c r="JO25" s="152"/>
      <c r="JP25" s="152"/>
      <c r="JQ25" s="152"/>
      <c r="JR25" s="152"/>
      <c r="JS25" s="152"/>
      <c r="JT25" s="152"/>
      <c r="JU25" s="152"/>
      <c r="JV25" s="152"/>
      <c r="JW25" s="152"/>
      <c r="JX25" s="152"/>
      <c r="JY25" s="152"/>
      <c r="JZ25" s="152"/>
      <c r="KA25" s="152"/>
      <c r="KB25" s="152"/>
      <c r="KC25" s="152"/>
      <c r="KD25" s="152"/>
      <c r="KE25" s="152"/>
      <c r="KF25" s="152"/>
      <c r="KG25" s="152"/>
      <c r="KH25" s="152"/>
      <c r="KI25" s="152"/>
      <c r="KJ25" s="152"/>
      <c r="KK25" s="152"/>
      <c r="KL25" s="152"/>
      <c r="KM25" s="152"/>
      <c r="KN25" s="152"/>
      <c r="KO25" s="152"/>
      <c r="KP25" s="152"/>
      <c r="KQ25" s="152"/>
      <c r="KR25" s="152"/>
      <c r="KS25" s="152"/>
      <c r="KT25" s="152"/>
      <c r="KU25" s="152"/>
      <c r="KV25" s="152"/>
      <c r="KW25" s="152"/>
      <c r="KX25" s="152"/>
      <c r="KY25" s="152"/>
      <c r="KZ25" s="152"/>
      <c r="LA25" s="152"/>
      <c r="LB25" s="152"/>
      <c r="LC25" s="152"/>
      <c r="LD25" s="152"/>
      <c r="LE25" s="152"/>
      <c r="LF25" s="152"/>
    </row>
    <row r="26" spans="1:318">
      <c r="O26" s="200" t="s">
        <v>213</v>
      </c>
      <c r="Q26" s="65">
        <f t="shared" si="9"/>
        <v>1800</v>
      </c>
      <c r="R26" s="139"/>
      <c r="S26" s="188">
        <f>$Q$8</f>
        <v>1800</v>
      </c>
      <c r="T26" s="188">
        <f t="shared" ref="T26:AQ26" si="12">$Q$8</f>
        <v>1800</v>
      </c>
      <c r="U26" s="188">
        <f t="shared" si="12"/>
        <v>1800</v>
      </c>
      <c r="V26" s="188">
        <f t="shared" si="12"/>
        <v>1800</v>
      </c>
      <c r="W26" s="188">
        <f t="shared" si="12"/>
        <v>1800</v>
      </c>
      <c r="X26" s="188">
        <f t="shared" si="12"/>
        <v>1800</v>
      </c>
      <c r="Y26" s="188">
        <f t="shared" si="12"/>
        <v>1800</v>
      </c>
      <c r="Z26" s="188">
        <f t="shared" si="12"/>
        <v>1800</v>
      </c>
      <c r="AA26" s="188">
        <f t="shared" si="12"/>
        <v>1800</v>
      </c>
      <c r="AB26" s="188">
        <f t="shared" si="12"/>
        <v>1800</v>
      </c>
      <c r="AC26" s="188">
        <f t="shared" si="12"/>
        <v>1800</v>
      </c>
      <c r="AD26" s="188">
        <f t="shared" si="12"/>
        <v>1800</v>
      </c>
      <c r="AE26" s="188">
        <f t="shared" si="12"/>
        <v>1800</v>
      </c>
      <c r="AF26" s="188">
        <f t="shared" si="12"/>
        <v>1800</v>
      </c>
      <c r="AG26" s="188">
        <f t="shared" si="12"/>
        <v>1800</v>
      </c>
      <c r="AH26" s="188">
        <f t="shared" si="12"/>
        <v>1800</v>
      </c>
      <c r="AI26" s="188">
        <f t="shared" si="12"/>
        <v>1800</v>
      </c>
      <c r="AJ26" s="188">
        <f t="shared" si="12"/>
        <v>1800</v>
      </c>
      <c r="AK26" s="188">
        <f t="shared" si="12"/>
        <v>1800</v>
      </c>
      <c r="AL26" s="188">
        <f t="shared" si="12"/>
        <v>1800</v>
      </c>
      <c r="AM26" s="188">
        <f t="shared" si="12"/>
        <v>1800</v>
      </c>
      <c r="AN26" s="188">
        <f t="shared" si="12"/>
        <v>1800</v>
      </c>
      <c r="AO26" s="188">
        <f t="shared" si="12"/>
        <v>1800</v>
      </c>
      <c r="AP26" s="188">
        <f t="shared" si="12"/>
        <v>1800</v>
      </c>
      <c r="AQ26" s="189">
        <f t="shared" si="12"/>
        <v>1800</v>
      </c>
      <c r="AW26" s="152"/>
      <c r="AX26" s="152"/>
      <c r="AY26" s="152"/>
      <c r="AZ26" s="152"/>
      <c r="BA26" s="152"/>
      <c r="BB26" s="152"/>
      <c r="BC26" s="152"/>
      <c r="BD26" s="152"/>
      <c r="BE26" s="152"/>
      <c r="BF26" s="152"/>
      <c r="BG26" s="152"/>
      <c r="BH26" s="152"/>
      <c r="BI26" s="152"/>
      <c r="BJ26" s="152"/>
      <c r="BK26" s="152"/>
      <c r="BL26" s="152"/>
      <c r="BM26" s="152"/>
      <c r="BN26" s="152"/>
      <c r="BO26" s="152"/>
      <c r="BP26" s="152"/>
      <c r="BQ26" s="152"/>
      <c r="BR26" s="152"/>
      <c r="BS26" s="152"/>
      <c r="BT26" s="152"/>
      <c r="BU26" s="152"/>
      <c r="BV26" s="152"/>
      <c r="BW26" s="152"/>
      <c r="BX26" s="152"/>
      <c r="BY26" s="152"/>
      <c r="BZ26" s="152"/>
      <c r="CA26" s="152"/>
      <c r="CB26" s="152"/>
      <c r="CC26" s="152"/>
      <c r="CD26" s="152"/>
      <c r="CE26" s="152"/>
      <c r="CF26" s="152"/>
      <c r="CG26" s="152"/>
      <c r="CH26" s="152"/>
      <c r="CI26" s="152"/>
      <c r="CJ26" s="152"/>
      <c r="CK26" s="152"/>
      <c r="CL26" s="152"/>
      <c r="CM26" s="152"/>
      <c r="CN26" s="152"/>
      <c r="CO26" s="152"/>
      <c r="CP26" s="152"/>
      <c r="CQ26" s="152"/>
      <c r="CR26" s="152"/>
      <c r="CS26" s="152"/>
      <c r="CT26" s="152"/>
      <c r="CU26" s="152"/>
      <c r="CV26" s="152"/>
      <c r="CW26" s="152"/>
      <c r="CX26" s="152"/>
      <c r="CY26" s="152"/>
      <c r="CZ26" s="152"/>
      <c r="DA26" s="152"/>
      <c r="DB26" s="152"/>
      <c r="DC26" s="152"/>
      <c r="DD26" s="152"/>
      <c r="DE26" s="152"/>
      <c r="DF26" s="152"/>
      <c r="DG26" s="152"/>
      <c r="DH26" s="152"/>
      <c r="DI26" s="152"/>
      <c r="DJ26" s="152"/>
      <c r="DK26" s="152"/>
      <c r="DL26" s="152"/>
      <c r="DM26" s="152"/>
      <c r="DN26" s="152"/>
      <c r="DO26" s="152"/>
      <c r="DP26" s="152"/>
      <c r="DQ26" s="152"/>
      <c r="DR26" s="152"/>
      <c r="DS26" s="152"/>
      <c r="DT26" s="152"/>
      <c r="DU26" s="152"/>
      <c r="DV26" s="152"/>
      <c r="DW26" s="152"/>
      <c r="DX26" s="152"/>
      <c r="DY26" s="152"/>
      <c r="DZ26" s="152"/>
      <c r="EA26" s="152"/>
      <c r="EB26" s="152"/>
      <c r="EC26" s="152"/>
      <c r="ED26" s="152"/>
      <c r="EE26" s="152"/>
      <c r="EF26" s="152"/>
      <c r="EG26" s="152"/>
      <c r="EH26" s="152"/>
      <c r="EI26" s="152"/>
      <c r="EJ26" s="152"/>
      <c r="EK26" s="152"/>
      <c r="EL26" s="152"/>
      <c r="EM26" s="152"/>
      <c r="EN26" s="152"/>
      <c r="EO26" s="152"/>
      <c r="EP26" s="152"/>
      <c r="EQ26" s="152"/>
      <c r="ER26" s="152"/>
      <c r="ES26" s="152"/>
      <c r="ET26" s="152"/>
      <c r="EU26" s="152"/>
      <c r="EV26" s="152"/>
      <c r="EW26" s="152"/>
      <c r="EX26" s="152"/>
      <c r="EY26" s="152"/>
      <c r="EZ26" s="152"/>
      <c r="FA26" s="152"/>
      <c r="FB26" s="152"/>
      <c r="FC26" s="152"/>
      <c r="FD26" s="152"/>
      <c r="FE26" s="152"/>
      <c r="FF26" s="152"/>
      <c r="FG26" s="152"/>
      <c r="FH26" s="152"/>
      <c r="FI26" s="152"/>
      <c r="FJ26" s="152"/>
      <c r="FK26" s="152"/>
      <c r="FL26" s="152"/>
      <c r="FM26" s="152"/>
      <c r="FN26" s="152"/>
      <c r="FO26" s="152"/>
      <c r="FP26" s="152"/>
      <c r="FQ26" s="152"/>
      <c r="FR26" s="152"/>
      <c r="FS26" s="152"/>
      <c r="FT26" s="152"/>
      <c r="FU26" s="152"/>
      <c r="FV26" s="152"/>
      <c r="FW26" s="152"/>
      <c r="FX26" s="152"/>
      <c r="FY26" s="152"/>
      <c r="FZ26" s="152"/>
      <c r="GA26" s="152"/>
      <c r="GB26" s="152"/>
      <c r="GC26" s="152"/>
      <c r="GD26" s="152"/>
      <c r="GE26" s="152"/>
      <c r="GF26" s="152"/>
      <c r="GG26" s="152"/>
      <c r="GH26" s="152"/>
      <c r="GI26" s="152"/>
      <c r="GJ26" s="152"/>
      <c r="GK26" s="152"/>
      <c r="GL26" s="152"/>
      <c r="GM26" s="152"/>
      <c r="GN26" s="152"/>
      <c r="GO26" s="152"/>
      <c r="GP26" s="152"/>
      <c r="GQ26" s="152"/>
      <c r="GR26" s="152"/>
      <c r="GS26" s="152"/>
      <c r="GT26" s="152"/>
      <c r="GU26" s="152"/>
      <c r="GV26" s="152"/>
      <c r="GW26" s="152"/>
      <c r="GX26" s="152"/>
      <c r="GY26" s="152"/>
      <c r="GZ26" s="152"/>
      <c r="HA26" s="152"/>
      <c r="HB26" s="152"/>
      <c r="HC26" s="152"/>
      <c r="HD26" s="152"/>
      <c r="HE26" s="152"/>
      <c r="HF26" s="152"/>
      <c r="HG26" s="152"/>
      <c r="HH26" s="152"/>
      <c r="HI26" s="152"/>
      <c r="HJ26" s="152"/>
      <c r="HK26" s="152"/>
      <c r="HL26" s="152"/>
      <c r="HM26" s="152"/>
      <c r="HN26" s="152"/>
      <c r="HO26" s="152"/>
      <c r="HP26" s="152"/>
      <c r="HQ26" s="152"/>
      <c r="HR26" s="152"/>
      <c r="HS26" s="152"/>
      <c r="HT26" s="152"/>
      <c r="HU26" s="152"/>
      <c r="HV26" s="152"/>
      <c r="HW26" s="152"/>
      <c r="HX26" s="152"/>
      <c r="HY26" s="152"/>
      <c r="HZ26" s="152"/>
      <c r="IA26" s="152"/>
      <c r="IB26" s="152"/>
      <c r="IC26" s="152"/>
      <c r="ID26" s="152"/>
      <c r="IE26" s="152"/>
      <c r="IF26" s="152"/>
      <c r="IG26" s="152"/>
      <c r="IH26" s="152"/>
      <c r="II26" s="152"/>
      <c r="IJ26" s="152"/>
      <c r="IK26" s="152"/>
      <c r="IL26" s="152"/>
      <c r="IM26" s="152"/>
      <c r="IN26" s="152"/>
      <c r="IO26" s="152"/>
      <c r="IP26" s="152"/>
      <c r="IQ26" s="152"/>
      <c r="IR26" s="152"/>
      <c r="IS26" s="152"/>
      <c r="IT26" s="152"/>
      <c r="IU26" s="152"/>
      <c r="IV26" s="152"/>
      <c r="IW26" s="152"/>
      <c r="IX26" s="152"/>
      <c r="IY26" s="152"/>
      <c r="IZ26" s="152"/>
      <c r="JA26" s="152"/>
      <c r="JB26" s="152"/>
      <c r="JC26" s="152"/>
      <c r="JD26" s="152"/>
      <c r="JE26" s="152"/>
      <c r="JF26" s="152"/>
      <c r="JG26" s="152"/>
      <c r="JH26" s="152"/>
      <c r="JI26" s="152"/>
      <c r="JJ26" s="152"/>
      <c r="JK26" s="152"/>
      <c r="JL26" s="152"/>
      <c r="JM26" s="152"/>
      <c r="JN26" s="152"/>
      <c r="JO26" s="152"/>
      <c r="JP26" s="152"/>
      <c r="JQ26" s="152"/>
      <c r="JR26" s="152"/>
      <c r="JS26" s="152"/>
      <c r="JT26" s="152"/>
      <c r="JU26" s="152"/>
      <c r="JV26" s="152"/>
      <c r="JW26" s="152"/>
      <c r="JX26" s="152"/>
      <c r="JY26" s="152"/>
      <c r="JZ26" s="152"/>
      <c r="KA26" s="152"/>
      <c r="KB26" s="152"/>
      <c r="KC26" s="152"/>
      <c r="KD26" s="152"/>
      <c r="KE26" s="152"/>
      <c r="KF26" s="152"/>
      <c r="KG26" s="152"/>
      <c r="KH26" s="152"/>
      <c r="KI26" s="152"/>
      <c r="KJ26" s="152"/>
      <c r="KK26" s="152"/>
      <c r="KL26" s="152"/>
      <c r="KM26" s="152"/>
      <c r="KN26" s="152"/>
      <c r="KO26" s="152"/>
      <c r="KP26" s="152"/>
      <c r="KQ26" s="152"/>
      <c r="KR26" s="152"/>
      <c r="KS26" s="152"/>
      <c r="KT26" s="152"/>
      <c r="KU26" s="152"/>
      <c r="KV26" s="152"/>
      <c r="KW26" s="152"/>
      <c r="KX26" s="152"/>
      <c r="KY26" s="152"/>
      <c r="KZ26" s="152"/>
      <c r="LA26" s="152"/>
      <c r="LB26" s="152"/>
      <c r="LC26" s="152"/>
      <c r="LD26" s="152"/>
      <c r="LE26" s="152"/>
      <c r="LF26" s="152"/>
    </row>
    <row r="27" spans="1:318" ht="15.75" thickBot="1">
      <c r="O27" s="200" t="s">
        <v>214</v>
      </c>
      <c r="Q27" s="65">
        <f t="shared" si="9"/>
        <v>2916.7411457445733</v>
      </c>
      <c r="R27" s="139"/>
      <c r="S27" s="188">
        <f>$U$8</f>
        <v>2000</v>
      </c>
      <c r="T27" s="188">
        <f>S27*(1+$W$8)</f>
        <v>2060</v>
      </c>
      <c r="U27" s="188">
        <f t="shared" ref="U27:AQ27" si="13">T27*(1+$W$8)</f>
        <v>2121.8000000000002</v>
      </c>
      <c r="V27" s="188">
        <f t="shared" si="13"/>
        <v>2185.4540000000002</v>
      </c>
      <c r="W27" s="188">
        <f t="shared" si="13"/>
        <v>2251.0176200000001</v>
      </c>
      <c r="X27" s="188">
        <f t="shared" si="13"/>
        <v>2318.5481486000003</v>
      </c>
      <c r="Y27" s="188">
        <f t="shared" si="13"/>
        <v>2388.1045930580003</v>
      </c>
      <c r="Z27" s="188">
        <f t="shared" si="13"/>
        <v>2459.7477308497405</v>
      </c>
      <c r="AA27" s="188">
        <f t="shared" si="13"/>
        <v>2533.5401627752326</v>
      </c>
      <c r="AB27" s="188">
        <f t="shared" si="13"/>
        <v>2609.5463676584895</v>
      </c>
      <c r="AC27" s="188">
        <f t="shared" si="13"/>
        <v>2687.8327586882442</v>
      </c>
      <c r="AD27" s="188">
        <f t="shared" si="13"/>
        <v>2768.4677414488915</v>
      </c>
      <c r="AE27" s="188">
        <f t="shared" si="13"/>
        <v>2851.5217736923582</v>
      </c>
      <c r="AF27" s="188">
        <f t="shared" si="13"/>
        <v>2937.0674269031292</v>
      </c>
      <c r="AG27" s="188">
        <f t="shared" si="13"/>
        <v>3025.1794497102233</v>
      </c>
      <c r="AH27" s="188">
        <f t="shared" si="13"/>
        <v>3115.9348332015302</v>
      </c>
      <c r="AI27" s="188">
        <f t="shared" si="13"/>
        <v>3209.412878197576</v>
      </c>
      <c r="AJ27" s="188">
        <f t="shared" si="13"/>
        <v>3305.6952645435035</v>
      </c>
      <c r="AK27" s="188">
        <f t="shared" si="13"/>
        <v>3404.8661224798088</v>
      </c>
      <c r="AL27" s="188">
        <f t="shared" si="13"/>
        <v>3507.0121061542031</v>
      </c>
      <c r="AM27" s="188">
        <f t="shared" si="13"/>
        <v>3612.2224693388293</v>
      </c>
      <c r="AN27" s="188">
        <f t="shared" si="13"/>
        <v>3720.5891434189944</v>
      </c>
      <c r="AO27" s="188">
        <f t="shared" si="13"/>
        <v>3832.2068177215642</v>
      </c>
      <c r="AP27" s="188">
        <f t="shared" si="13"/>
        <v>3947.1730222532115</v>
      </c>
      <c r="AQ27" s="189">
        <f t="shared" si="13"/>
        <v>4065.588212920808</v>
      </c>
      <c r="AW27" s="154"/>
      <c r="AX27" s="154"/>
      <c r="AY27" s="154"/>
      <c r="AZ27" s="154"/>
      <c r="BA27" s="154"/>
      <c r="BB27" s="154"/>
      <c r="BC27" s="154"/>
      <c r="BD27" s="154"/>
      <c r="BE27" s="154"/>
      <c r="BF27" s="154"/>
      <c r="BG27" s="154"/>
      <c r="BH27" s="154"/>
      <c r="BI27" s="154"/>
      <c r="BJ27" s="154"/>
      <c r="BK27" s="154"/>
      <c r="BL27" s="154"/>
      <c r="BM27" s="154"/>
      <c r="BN27" s="154"/>
      <c r="BO27" s="154"/>
      <c r="BP27" s="154"/>
      <c r="BQ27" s="154"/>
      <c r="BR27" s="154"/>
      <c r="BS27" s="154"/>
      <c r="BT27" s="154"/>
      <c r="BU27" s="154"/>
      <c r="BV27" s="154"/>
      <c r="BW27" s="154"/>
      <c r="BX27" s="154"/>
      <c r="BY27" s="154"/>
      <c r="BZ27" s="154"/>
      <c r="CA27" s="154"/>
      <c r="CB27" s="154"/>
      <c r="CC27" s="154"/>
      <c r="CD27" s="154"/>
      <c r="CE27" s="154"/>
      <c r="CF27" s="154"/>
      <c r="CG27" s="154"/>
      <c r="CH27" s="154"/>
      <c r="CI27" s="154"/>
      <c r="CJ27" s="154"/>
      <c r="CK27" s="154"/>
      <c r="CL27" s="154"/>
      <c r="CM27" s="154"/>
      <c r="CN27" s="154"/>
      <c r="CO27" s="154"/>
      <c r="CP27" s="154"/>
      <c r="CQ27" s="154"/>
      <c r="CR27" s="154"/>
      <c r="CS27" s="154"/>
      <c r="CT27" s="154"/>
      <c r="CU27" s="154"/>
      <c r="CV27" s="154"/>
      <c r="CW27" s="154"/>
      <c r="CX27" s="154"/>
      <c r="CY27" s="154"/>
      <c r="CZ27" s="154"/>
      <c r="DA27" s="154"/>
      <c r="DB27" s="154"/>
      <c r="DC27" s="154"/>
      <c r="DD27" s="154"/>
      <c r="DE27" s="154"/>
      <c r="DF27" s="154"/>
      <c r="DG27" s="154"/>
      <c r="DH27" s="154"/>
      <c r="DI27" s="154"/>
      <c r="DJ27" s="154"/>
      <c r="DK27" s="154"/>
      <c r="DL27" s="154"/>
      <c r="DM27" s="154"/>
      <c r="DN27" s="154"/>
      <c r="DO27" s="154"/>
      <c r="DP27" s="154"/>
      <c r="DQ27" s="154"/>
      <c r="DR27" s="154"/>
      <c r="DS27" s="154"/>
      <c r="DT27" s="154"/>
      <c r="DU27" s="154"/>
      <c r="DV27" s="154"/>
      <c r="DW27" s="154"/>
      <c r="DX27" s="154"/>
      <c r="DY27" s="154"/>
      <c r="DZ27" s="154"/>
      <c r="EA27" s="154"/>
      <c r="EB27" s="154"/>
      <c r="EC27" s="154"/>
      <c r="ED27" s="154"/>
      <c r="EE27" s="154"/>
      <c r="EF27" s="154"/>
      <c r="EG27" s="154"/>
      <c r="EH27" s="154"/>
      <c r="EI27" s="154"/>
      <c r="EJ27" s="154"/>
      <c r="EK27" s="154"/>
      <c r="EL27" s="154"/>
      <c r="EM27" s="154"/>
      <c r="EN27" s="154"/>
      <c r="EO27" s="154"/>
      <c r="EP27" s="154"/>
      <c r="EQ27" s="154"/>
      <c r="ER27" s="154"/>
      <c r="ES27" s="154"/>
      <c r="ET27" s="154"/>
      <c r="EU27" s="154"/>
      <c r="EV27" s="154"/>
      <c r="EW27" s="154"/>
      <c r="EX27" s="154"/>
      <c r="EY27" s="154"/>
      <c r="EZ27" s="154"/>
      <c r="FA27" s="154"/>
      <c r="FB27" s="154"/>
      <c r="FC27" s="154"/>
      <c r="FD27" s="154"/>
      <c r="FE27" s="154"/>
      <c r="FF27" s="154"/>
      <c r="FG27" s="154"/>
      <c r="FH27" s="154"/>
      <c r="FI27" s="154"/>
      <c r="FJ27" s="154"/>
      <c r="FK27" s="154"/>
      <c r="FL27" s="154"/>
      <c r="FM27" s="154"/>
      <c r="FN27" s="154"/>
      <c r="FO27" s="154"/>
      <c r="FP27" s="154"/>
      <c r="FQ27" s="154"/>
      <c r="FR27" s="154"/>
      <c r="FS27" s="154"/>
      <c r="FT27" s="154"/>
      <c r="FU27" s="154"/>
      <c r="FV27" s="154"/>
      <c r="FW27" s="154"/>
      <c r="FX27" s="154"/>
      <c r="FY27" s="154"/>
      <c r="FZ27" s="154"/>
      <c r="GA27" s="154"/>
      <c r="GB27" s="154"/>
      <c r="GC27" s="154"/>
      <c r="GD27" s="154"/>
      <c r="GE27" s="154"/>
      <c r="GF27" s="154"/>
      <c r="GG27" s="154"/>
      <c r="GH27" s="154"/>
      <c r="GI27" s="154"/>
      <c r="GJ27" s="154"/>
      <c r="GK27" s="154"/>
      <c r="GL27" s="154"/>
      <c r="GM27" s="154"/>
      <c r="GN27" s="154"/>
      <c r="GO27" s="154"/>
      <c r="GP27" s="154"/>
      <c r="GQ27" s="154"/>
      <c r="GR27" s="154"/>
      <c r="GS27" s="154"/>
      <c r="GT27" s="154"/>
      <c r="GU27" s="154"/>
      <c r="GV27" s="154"/>
      <c r="GW27" s="154"/>
      <c r="GX27" s="154"/>
      <c r="GY27" s="154"/>
      <c r="GZ27" s="154"/>
      <c r="HA27" s="154"/>
      <c r="HB27" s="154"/>
      <c r="HC27" s="154"/>
      <c r="HD27" s="154"/>
      <c r="HE27" s="154"/>
      <c r="HF27" s="154"/>
      <c r="HG27" s="154"/>
      <c r="HH27" s="154"/>
      <c r="HI27" s="154"/>
      <c r="HJ27" s="154"/>
      <c r="HK27" s="154"/>
      <c r="HL27" s="154"/>
      <c r="HM27" s="154"/>
      <c r="HN27" s="154"/>
      <c r="HO27" s="154"/>
      <c r="HP27" s="154"/>
      <c r="HQ27" s="154"/>
      <c r="HR27" s="154"/>
      <c r="HS27" s="154"/>
      <c r="HT27" s="154"/>
      <c r="HU27" s="154"/>
      <c r="HV27" s="154"/>
      <c r="HW27" s="154"/>
      <c r="HX27" s="154"/>
      <c r="HY27" s="154"/>
      <c r="HZ27" s="154"/>
      <c r="IA27" s="154"/>
      <c r="IB27" s="154"/>
      <c r="IC27" s="154"/>
      <c r="ID27" s="154"/>
      <c r="IE27" s="154"/>
      <c r="IF27" s="154"/>
      <c r="IG27" s="154"/>
      <c r="IH27" s="154"/>
      <c r="II27" s="154"/>
      <c r="IJ27" s="154"/>
      <c r="IK27" s="154"/>
      <c r="IL27" s="154"/>
      <c r="IM27" s="154"/>
      <c r="IN27" s="154"/>
      <c r="IO27" s="154"/>
      <c r="IP27" s="154"/>
      <c r="IQ27" s="154"/>
      <c r="IR27" s="154"/>
      <c r="IS27" s="154"/>
      <c r="IT27" s="154"/>
      <c r="IU27" s="154"/>
      <c r="IV27" s="154"/>
      <c r="IW27" s="154"/>
      <c r="IX27" s="154"/>
      <c r="IY27" s="154"/>
      <c r="IZ27" s="154"/>
      <c r="JA27" s="154"/>
      <c r="JB27" s="154"/>
      <c r="JC27" s="154"/>
      <c r="JD27" s="154"/>
      <c r="JE27" s="154"/>
      <c r="JF27" s="154"/>
      <c r="JG27" s="154"/>
      <c r="JH27" s="154"/>
      <c r="JI27" s="154"/>
      <c r="JJ27" s="154"/>
      <c r="JK27" s="154"/>
      <c r="JL27" s="154"/>
      <c r="JM27" s="154"/>
      <c r="JN27" s="154"/>
      <c r="JO27" s="154"/>
      <c r="JP27" s="154"/>
      <c r="JQ27" s="154"/>
      <c r="JR27" s="154"/>
      <c r="JS27" s="154"/>
      <c r="JT27" s="154"/>
      <c r="JU27" s="154"/>
      <c r="JV27" s="154"/>
      <c r="JW27" s="154"/>
      <c r="JX27" s="154"/>
      <c r="JY27" s="154"/>
      <c r="JZ27" s="154"/>
      <c r="KA27" s="154"/>
      <c r="KB27" s="154"/>
      <c r="KC27" s="154"/>
      <c r="KD27" s="154"/>
      <c r="KE27" s="154"/>
      <c r="KF27" s="154"/>
      <c r="KG27" s="154"/>
      <c r="KH27" s="154"/>
      <c r="KI27" s="154"/>
      <c r="KJ27" s="154"/>
      <c r="KK27" s="154"/>
      <c r="KL27" s="154"/>
      <c r="KM27" s="154"/>
      <c r="KN27" s="154"/>
      <c r="KO27" s="154"/>
      <c r="KP27" s="154"/>
      <c r="KQ27" s="154"/>
      <c r="KR27" s="154"/>
      <c r="KS27" s="154"/>
      <c r="KT27" s="154"/>
      <c r="KU27" s="154"/>
      <c r="KV27" s="154"/>
      <c r="KW27" s="154"/>
      <c r="KX27" s="154"/>
      <c r="KY27" s="154"/>
      <c r="KZ27" s="154"/>
      <c r="LA27" s="154"/>
      <c r="LB27" s="154"/>
      <c r="LC27" s="154"/>
      <c r="LD27" s="154"/>
      <c r="LE27" s="154"/>
      <c r="LF27" s="154"/>
    </row>
    <row r="28" spans="1:318" ht="15.75" thickBot="1">
      <c r="O28" s="201" t="s">
        <v>215</v>
      </c>
      <c r="P28" s="42"/>
      <c r="Q28" s="258">
        <f t="shared" si="9"/>
        <v>0</v>
      </c>
      <c r="R28" s="190"/>
      <c r="S28" s="171">
        <f>$V$8</f>
        <v>0</v>
      </c>
      <c r="T28" s="171">
        <f t="shared" ref="T28:AQ28" si="14">$V$8</f>
        <v>0</v>
      </c>
      <c r="U28" s="171">
        <f t="shared" si="14"/>
        <v>0</v>
      </c>
      <c r="V28" s="171">
        <f t="shared" si="14"/>
        <v>0</v>
      </c>
      <c r="W28" s="171">
        <f t="shared" si="14"/>
        <v>0</v>
      </c>
      <c r="X28" s="171">
        <f t="shared" si="14"/>
        <v>0</v>
      </c>
      <c r="Y28" s="171">
        <f t="shared" si="14"/>
        <v>0</v>
      </c>
      <c r="Z28" s="171">
        <f t="shared" si="14"/>
        <v>0</v>
      </c>
      <c r="AA28" s="171">
        <f t="shared" si="14"/>
        <v>0</v>
      </c>
      <c r="AB28" s="171">
        <f t="shared" si="14"/>
        <v>0</v>
      </c>
      <c r="AC28" s="171">
        <f t="shared" si="14"/>
        <v>0</v>
      </c>
      <c r="AD28" s="171">
        <f t="shared" si="14"/>
        <v>0</v>
      </c>
      <c r="AE28" s="171">
        <f t="shared" si="14"/>
        <v>0</v>
      </c>
      <c r="AF28" s="171">
        <f t="shared" si="14"/>
        <v>0</v>
      </c>
      <c r="AG28" s="171">
        <f t="shared" si="14"/>
        <v>0</v>
      </c>
      <c r="AH28" s="171">
        <f t="shared" si="14"/>
        <v>0</v>
      </c>
      <c r="AI28" s="171">
        <f t="shared" si="14"/>
        <v>0</v>
      </c>
      <c r="AJ28" s="171">
        <f t="shared" si="14"/>
        <v>0</v>
      </c>
      <c r="AK28" s="171">
        <f t="shared" si="14"/>
        <v>0</v>
      </c>
      <c r="AL28" s="171">
        <f t="shared" si="14"/>
        <v>0</v>
      </c>
      <c r="AM28" s="171">
        <f t="shared" si="14"/>
        <v>0</v>
      </c>
      <c r="AN28" s="171">
        <f t="shared" si="14"/>
        <v>0</v>
      </c>
      <c r="AO28" s="171">
        <f t="shared" si="14"/>
        <v>0</v>
      </c>
      <c r="AP28" s="171">
        <f t="shared" si="14"/>
        <v>0</v>
      </c>
      <c r="AQ28" s="191">
        <f t="shared" si="14"/>
        <v>0</v>
      </c>
      <c r="AW28" s="152"/>
      <c r="AX28" s="152"/>
      <c r="AY28" s="152"/>
      <c r="AZ28" s="152"/>
      <c r="BA28" s="152"/>
      <c r="BB28" s="152"/>
      <c r="BC28" s="152"/>
      <c r="BD28" s="152"/>
      <c r="BE28" s="152"/>
      <c r="BF28" s="152"/>
      <c r="BG28" s="152"/>
      <c r="BH28" s="152"/>
      <c r="BI28" s="152"/>
      <c r="BJ28" s="152"/>
      <c r="BK28" s="152"/>
      <c r="BL28" s="152"/>
      <c r="BM28" s="152"/>
      <c r="BN28" s="152"/>
      <c r="BO28" s="152"/>
      <c r="BP28" s="152"/>
      <c r="BQ28" s="152"/>
      <c r="BR28" s="152"/>
      <c r="BS28" s="152"/>
      <c r="BT28" s="152"/>
      <c r="BU28" s="152"/>
      <c r="BV28" s="152"/>
      <c r="BW28" s="152"/>
      <c r="BX28" s="152"/>
      <c r="BY28" s="152"/>
      <c r="BZ28" s="152"/>
      <c r="CA28" s="152"/>
      <c r="CB28" s="152"/>
      <c r="CC28" s="152"/>
      <c r="CD28" s="152"/>
      <c r="CE28" s="152"/>
      <c r="CF28" s="152"/>
      <c r="CG28" s="152"/>
      <c r="CH28" s="152"/>
      <c r="CI28" s="152"/>
      <c r="CJ28" s="152"/>
      <c r="CK28" s="152"/>
      <c r="CL28" s="152"/>
      <c r="CM28" s="152"/>
      <c r="CN28" s="152"/>
      <c r="CO28" s="152"/>
      <c r="CP28" s="152"/>
      <c r="CQ28" s="152"/>
      <c r="CR28" s="152"/>
      <c r="CS28" s="152"/>
      <c r="CT28" s="152"/>
      <c r="CU28" s="152"/>
      <c r="CV28" s="152"/>
      <c r="CW28" s="152"/>
      <c r="CX28" s="152"/>
      <c r="CY28" s="152"/>
      <c r="CZ28" s="152"/>
      <c r="DA28" s="152"/>
      <c r="DB28" s="152"/>
      <c r="DC28" s="152"/>
      <c r="DD28" s="152"/>
      <c r="DE28" s="152"/>
      <c r="DF28" s="152"/>
      <c r="DG28" s="152"/>
      <c r="DH28" s="152"/>
      <c r="DI28" s="152"/>
      <c r="DJ28" s="152"/>
      <c r="DK28" s="152"/>
      <c r="DL28" s="152"/>
      <c r="DM28" s="152"/>
      <c r="DN28" s="152"/>
      <c r="DO28" s="152"/>
      <c r="DP28" s="152"/>
      <c r="DQ28" s="152"/>
      <c r="DR28" s="152"/>
      <c r="DS28" s="152"/>
      <c r="DT28" s="152"/>
      <c r="DU28" s="152"/>
      <c r="DV28" s="152"/>
      <c r="DW28" s="152"/>
      <c r="DX28" s="152"/>
      <c r="DY28" s="152"/>
      <c r="DZ28" s="152"/>
      <c r="EA28" s="152"/>
      <c r="EB28" s="152"/>
      <c r="EC28" s="152"/>
      <c r="ED28" s="152"/>
      <c r="EE28" s="152"/>
      <c r="EF28" s="152"/>
      <c r="EG28" s="152"/>
      <c r="EH28" s="152"/>
      <c r="EI28" s="152"/>
      <c r="EJ28" s="152"/>
      <c r="EK28" s="152"/>
      <c r="EL28" s="152"/>
      <c r="EM28" s="152"/>
      <c r="EN28" s="152"/>
      <c r="EO28" s="152"/>
      <c r="EP28" s="152"/>
      <c r="EQ28" s="152"/>
      <c r="ER28" s="152"/>
      <c r="ES28" s="152"/>
      <c r="ET28" s="152"/>
      <c r="EU28" s="152"/>
      <c r="EV28" s="152"/>
      <c r="EW28" s="152"/>
      <c r="EX28" s="152"/>
      <c r="EY28" s="152"/>
      <c r="EZ28" s="152"/>
      <c r="FA28" s="152"/>
      <c r="FB28" s="152"/>
      <c r="FC28" s="152"/>
      <c r="FD28" s="152"/>
      <c r="FE28" s="152"/>
      <c r="FF28" s="152"/>
      <c r="FG28" s="152"/>
      <c r="FH28" s="152"/>
      <c r="FI28" s="152"/>
      <c r="FJ28" s="152"/>
      <c r="FK28" s="152"/>
      <c r="FL28" s="152"/>
      <c r="FM28" s="152"/>
      <c r="FN28" s="152"/>
      <c r="FO28" s="152"/>
      <c r="FP28" s="152"/>
      <c r="FQ28" s="152"/>
      <c r="FR28" s="152"/>
      <c r="FS28" s="152"/>
      <c r="FT28" s="152"/>
      <c r="FU28" s="152"/>
      <c r="FV28" s="152"/>
      <c r="FW28" s="152"/>
      <c r="FX28" s="152"/>
      <c r="FY28" s="152"/>
      <c r="FZ28" s="152"/>
      <c r="GA28" s="152"/>
      <c r="GB28" s="152"/>
      <c r="GC28" s="152"/>
      <c r="GD28" s="152"/>
      <c r="GE28" s="152"/>
      <c r="GF28" s="152"/>
      <c r="GG28" s="152"/>
      <c r="GH28" s="152"/>
      <c r="GI28" s="152"/>
      <c r="GJ28" s="152"/>
      <c r="GK28" s="152"/>
      <c r="GL28" s="152"/>
      <c r="GM28" s="152"/>
      <c r="GN28" s="152"/>
      <c r="GO28" s="152"/>
      <c r="GP28" s="152"/>
      <c r="GQ28" s="152"/>
      <c r="GR28" s="152"/>
      <c r="GS28" s="152"/>
      <c r="GT28" s="152"/>
      <c r="GU28" s="152"/>
      <c r="GV28" s="152"/>
      <c r="GW28" s="152"/>
      <c r="GX28" s="152"/>
      <c r="GY28" s="152"/>
      <c r="GZ28" s="152"/>
      <c r="HA28" s="152"/>
      <c r="HB28" s="152"/>
      <c r="HC28" s="152"/>
      <c r="HD28" s="152"/>
      <c r="HE28" s="152"/>
      <c r="HF28" s="152"/>
      <c r="HG28" s="152"/>
      <c r="HH28" s="152"/>
      <c r="HI28" s="152"/>
      <c r="HJ28" s="152"/>
      <c r="HK28" s="152"/>
      <c r="HL28" s="152"/>
      <c r="HM28" s="152"/>
      <c r="HN28" s="152"/>
      <c r="HO28" s="152"/>
      <c r="HP28" s="152"/>
      <c r="HQ28" s="152"/>
      <c r="HR28" s="152"/>
      <c r="HS28" s="152"/>
      <c r="HT28" s="152"/>
      <c r="HU28" s="152"/>
      <c r="HV28" s="152"/>
      <c r="HW28" s="152"/>
      <c r="HX28" s="152"/>
      <c r="HY28" s="152"/>
      <c r="HZ28" s="152"/>
      <c r="IA28" s="152"/>
      <c r="IB28" s="152"/>
      <c r="IC28" s="152"/>
      <c r="ID28" s="152"/>
      <c r="IE28" s="152"/>
      <c r="IF28" s="152"/>
      <c r="IG28" s="152"/>
      <c r="IH28" s="152"/>
      <c r="II28" s="152"/>
      <c r="IJ28" s="152"/>
      <c r="IK28" s="152"/>
      <c r="IL28" s="152"/>
      <c r="IM28" s="152"/>
      <c r="IN28" s="152"/>
      <c r="IO28" s="152"/>
      <c r="IP28" s="152"/>
      <c r="IQ28" s="152"/>
      <c r="IR28" s="152"/>
      <c r="IS28" s="152"/>
      <c r="IT28" s="152"/>
      <c r="IU28" s="152"/>
      <c r="IV28" s="152"/>
      <c r="IW28" s="152"/>
      <c r="IX28" s="152"/>
      <c r="IY28" s="152"/>
      <c r="IZ28" s="152"/>
      <c r="JA28" s="152"/>
      <c r="JB28" s="152"/>
      <c r="JC28" s="152"/>
      <c r="JD28" s="152"/>
      <c r="JE28" s="152"/>
      <c r="JF28" s="152"/>
      <c r="JG28" s="152"/>
      <c r="JH28" s="152"/>
      <c r="JI28" s="152"/>
      <c r="JJ28" s="152"/>
      <c r="JK28" s="152"/>
      <c r="JL28" s="152"/>
      <c r="JM28" s="152"/>
      <c r="JN28" s="152"/>
      <c r="JO28" s="152"/>
      <c r="JP28" s="152"/>
      <c r="JQ28" s="152"/>
      <c r="JR28" s="152"/>
      <c r="JS28" s="152"/>
      <c r="JT28" s="152"/>
      <c r="JU28" s="152"/>
      <c r="JV28" s="152"/>
      <c r="JW28" s="152"/>
      <c r="JX28" s="152"/>
      <c r="JY28" s="152"/>
      <c r="JZ28" s="152"/>
      <c r="KA28" s="152"/>
      <c r="KB28" s="152"/>
      <c r="KC28" s="152"/>
      <c r="KD28" s="152"/>
      <c r="KE28" s="152"/>
      <c r="KF28" s="152"/>
      <c r="KG28" s="152"/>
      <c r="KH28" s="152"/>
      <c r="KI28" s="152"/>
      <c r="KJ28" s="152"/>
      <c r="KK28" s="152"/>
      <c r="KL28" s="152"/>
      <c r="KM28" s="152"/>
      <c r="KN28" s="152"/>
      <c r="KO28" s="152"/>
      <c r="KP28" s="152"/>
      <c r="KQ28" s="152"/>
      <c r="KR28" s="152"/>
      <c r="KS28" s="152"/>
      <c r="KT28" s="152"/>
      <c r="KU28" s="152"/>
      <c r="KV28" s="152"/>
      <c r="KW28" s="152"/>
      <c r="KX28" s="152"/>
      <c r="KY28" s="152"/>
      <c r="KZ28" s="152"/>
      <c r="LA28" s="152"/>
      <c r="LB28" s="152"/>
      <c r="LC28" s="152"/>
      <c r="LD28" s="152"/>
      <c r="LE28" s="152"/>
      <c r="LF28" s="152"/>
    </row>
    <row r="29" spans="1:318" ht="15.75" thickBot="1">
      <c r="O29" s="197" t="s">
        <v>216</v>
      </c>
      <c r="P29" s="193"/>
      <c r="Q29" s="257">
        <f t="shared" si="9"/>
        <v>16383.705728722874</v>
      </c>
      <c r="R29" s="192"/>
      <c r="S29" s="195">
        <f>S24+S25+S26+S27+S28</f>
        <v>11800</v>
      </c>
      <c r="T29" s="195">
        <f t="shared" ref="T29:AQ29" si="15">T24+T25+T26+T27+T28</f>
        <v>12100</v>
      </c>
      <c r="U29" s="195">
        <f t="shared" si="15"/>
        <v>12409</v>
      </c>
      <c r="V29" s="195">
        <f t="shared" si="15"/>
        <v>12727.27</v>
      </c>
      <c r="W29" s="195">
        <f t="shared" si="15"/>
        <v>13055.088100000003</v>
      </c>
      <c r="X29" s="195">
        <f t="shared" si="15"/>
        <v>13392.740743000002</v>
      </c>
      <c r="Y29" s="195">
        <f t="shared" si="15"/>
        <v>13740.522965290002</v>
      </c>
      <c r="Z29" s="195">
        <f t="shared" si="15"/>
        <v>14098.738654248702</v>
      </c>
      <c r="AA29" s="195">
        <f t="shared" si="15"/>
        <v>14467.700813876163</v>
      </c>
      <c r="AB29" s="195">
        <f t="shared" si="15"/>
        <v>14847.731838292448</v>
      </c>
      <c r="AC29" s="195">
        <f t="shared" si="15"/>
        <v>15239.163793441221</v>
      </c>
      <c r="AD29" s="195">
        <f t="shared" si="15"/>
        <v>15642.338707244457</v>
      </c>
      <c r="AE29" s="195">
        <f t="shared" si="15"/>
        <v>16057.608868461793</v>
      </c>
      <c r="AF29" s="195">
        <f t="shared" si="15"/>
        <v>16485.337134515648</v>
      </c>
      <c r="AG29" s="195">
        <f t="shared" si="15"/>
        <v>16925.897248551119</v>
      </c>
      <c r="AH29" s="195">
        <f t="shared" si="15"/>
        <v>17379.674166007651</v>
      </c>
      <c r="AI29" s="195">
        <f t="shared" si="15"/>
        <v>17847.064390987882</v>
      </c>
      <c r="AJ29" s="195">
        <f t="shared" si="15"/>
        <v>18328.476322717521</v>
      </c>
      <c r="AK29" s="195">
        <f t="shared" si="15"/>
        <v>18824.330612399048</v>
      </c>
      <c r="AL29" s="195">
        <f t="shared" si="15"/>
        <v>19335.060530771018</v>
      </c>
      <c r="AM29" s="195">
        <f t="shared" si="15"/>
        <v>19861.11234669415</v>
      </c>
      <c r="AN29" s="195">
        <f t="shared" si="15"/>
        <v>20402.945717094972</v>
      </c>
      <c r="AO29" s="195">
        <f t="shared" si="15"/>
        <v>20961.034088607819</v>
      </c>
      <c r="AP29" s="195">
        <f t="shared" si="15"/>
        <v>21535.865111266059</v>
      </c>
      <c r="AQ29" s="196">
        <f t="shared" si="15"/>
        <v>22127.941064604041</v>
      </c>
      <c r="AW29" s="152"/>
      <c r="AX29" s="152"/>
      <c r="AY29" s="152"/>
      <c r="AZ29" s="152"/>
      <c r="BA29" s="152"/>
      <c r="BB29" s="152"/>
      <c r="BC29" s="152"/>
      <c r="BD29" s="152"/>
      <c r="BE29" s="152"/>
      <c r="BF29" s="152"/>
      <c r="BG29" s="152"/>
      <c r="BH29" s="152"/>
      <c r="BI29" s="152"/>
      <c r="BJ29" s="152"/>
      <c r="BK29" s="152"/>
      <c r="BL29" s="152"/>
      <c r="BM29" s="152"/>
      <c r="BN29" s="152"/>
      <c r="BO29" s="152"/>
      <c r="BP29" s="152"/>
      <c r="BQ29" s="152"/>
      <c r="BR29" s="152"/>
      <c r="BS29" s="152"/>
      <c r="BT29" s="152"/>
      <c r="BU29" s="152"/>
      <c r="BV29" s="152"/>
      <c r="BW29" s="152"/>
      <c r="BX29" s="152"/>
      <c r="BY29" s="152"/>
      <c r="BZ29" s="152"/>
      <c r="CA29" s="152"/>
      <c r="CB29" s="152"/>
      <c r="CC29" s="152"/>
      <c r="CD29" s="152"/>
      <c r="CE29" s="152"/>
      <c r="CF29" s="152"/>
      <c r="CG29" s="152"/>
      <c r="CH29" s="152"/>
      <c r="CI29" s="152"/>
      <c r="CJ29" s="152"/>
      <c r="CK29" s="152"/>
      <c r="CL29" s="152"/>
      <c r="CM29" s="152"/>
      <c r="CN29" s="152"/>
      <c r="CO29" s="152"/>
      <c r="CP29" s="152"/>
      <c r="CQ29" s="152"/>
      <c r="CR29" s="152"/>
      <c r="CS29" s="152"/>
      <c r="CT29" s="152"/>
      <c r="CU29" s="152"/>
      <c r="CV29" s="152"/>
      <c r="CW29" s="152"/>
      <c r="CX29" s="152"/>
      <c r="CY29" s="152"/>
      <c r="CZ29" s="152"/>
      <c r="DA29" s="152"/>
      <c r="DB29" s="152"/>
      <c r="DC29" s="152"/>
      <c r="DD29" s="152"/>
      <c r="DE29" s="152"/>
      <c r="DF29" s="152"/>
      <c r="DG29" s="152"/>
      <c r="DH29" s="152"/>
      <c r="DI29" s="152"/>
      <c r="DJ29" s="152"/>
      <c r="DK29" s="152"/>
      <c r="DL29" s="152"/>
      <c r="DM29" s="152"/>
      <c r="DN29" s="152"/>
      <c r="DO29" s="152"/>
      <c r="DP29" s="152"/>
      <c r="DQ29" s="152"/>
      <c r="DR29" s="152"/>
      <c r="DS29" s="152"/>
      <c r="DT29" s="152"/>
      <c r="DU29" s="152"/>
      <c r="DV29" s="152"/>
      <c r="DW29" s="152"/>
      <c r="DX29" s="152"/>
      <c r="DY29" s="152"/>
      <c r="DZ29" s="152"/>
      <c r="EA29" s="152"/>
      <c r="EB29" s="152"/>
      <c r="EC29" s="152"/>
      <c r="ED29" s="152"/>
      <c r="EE29" s="152"/>
      <c r="EF29" s="152"/>
      <c r="EG29" s="152"/>
      <c r="EH29" s="152"/>
      <c r="EI29" s="152"/>
      <c r="EJ29" s="152"/>
      <c r="EK29" s="152"/>
      <c r="EL29" s="152"/>
      <c r="EM29" s="152"/>
      <c r="EN29" s="152"/>
      <c r="EO29" s="152"/>
      <c r="EP29" s="152"/>
      <c r="EQ29" s="152"/>
      <c r="ER29" s="152"/>
      <c r="ES29" s="152"/>
      <c r="ET29" s="152"/>
      <c r="EU29" s="152"/>
      <c r="EV29" s="152"/>
      <c r="EW29" s="152"/>
      <c r="EX29" s="152"/>
      <c r="EY29" s="152"/>
      <c r="EZ29" s="152"/>
      <c r="FA29" s="152"/>
      <c r="FB29" s="152"/>
      <c r="FC29" s="152"/>
      <c r="FD29" s="152"/>
      <c r="FE29" s="152"/>
      <c r="FF29" s="152"/>
      <c r="FG29" s="152"/>
      <c r="FH29" s="152"/>
      <c r="FI29" s="152"/>
      <c r="FJ29" s="152"/>
      <c r="FK29" s="152"/>
      <c r="FL29" s="152"/>
      <c r="FM29" s="152"/>
      <c r="FN29" s="152"/>
      <c r="FO29" s="152"/>
      <c r="FP29" s="152"/>
      <c r="FQ29" s="152"/>
      <c r="FR29" s="152"/>
      <c r="FS29" s="152"/>
      <c r="FT29" s="152"/>
      <c r="FU29" s="152"/>
      <c r="FV29" s="152"/>
      <c r="FW29" s="152"/>
      <c r="FX29" s="152"/>
      <c r="FY29" s="152"/>
      <c r="FZ29" s="152"/>
      <c r="GA29" s="152"/>
      <c r="GB29" s="152"/>
      <c r="GC29" s="152"/>
      <c r="GD29" s="152"/>
      <c r="GE29" s="152"/>
      <c r="GF29" s="152"/>
      <c r="GG29" s="152"/>
      <c r="GH29" s="152"/>
      <c r="GI29" s="152"/>
      <c r="GJ29" s="152"/>
      <c r="GK29" s="152"/>
      <c r="GL29" s="152"/>
      <c r="GM29" s="152"/>
      <c r="GN29" s="152"/>
      <c r="GO29" s="152"/>
      <c r="GP29" s="152"/>
      <c r="GQ29" s="152"/>
      <c r="GR29" s="152"/>
      <c r="GS29" s="152"/>
      <c r="GT29" s="152"/>
      <c r="GU29" s="152"/>
      <c r="GV29" s="152"/>
      <c r="GW29" s="152"/>
      <c r="GX29" s="152"/>
      <c r="GY29" s="152"/>
      <c r="GZ29" s="152"/>
      <c r="HA29" s="152"/>
      <c r="HB29" s="152"/>
      <c r="HC29" s="152"/>
      <c r="HD29" s="152"/>
      <c r="HE29" s="152"/>
      <c r="HF29" s="152"/>
      <c r="HG29" s="152"/>
      <c r="HH29" s="152"/>
      <c r="HI29" s="152"/>
      <c r="HJ29" s="152"/>
      <c r="HK29" s="152"/>
      <c r="HL29" s="152"/>
      <c r="HM29" s="152"/>
      <c r="HN29" s="152"/>
      <c r="HO29" s="152"/>
      <c r="HP29" s="152"/>
      <c r="HQ29" s="152"/>
      <c r="HR29" s="152"/>
      <c r="HS29" s="152"/>
      <c r="HT29" s="152"/>
      <c r="HU29" s="152"/>
      <c r="HV29" s="152"/>
      <c r="HW29" s="152"/>
      <c r="HX29" s="152"/>
      <c r="HY29" s="152"/>
      <c r="HZ29" s="152"/>
      <c r="IA29" s="152"/>
      <c r="IB29" s="152"/>
      <c r="IC29" s="152"/>
      <c r="ID29" s="152"/>
      <c r="IE29" s="152"/>
      <c r="IF29" s="152"/>
      <c r="IG29" s="152"/>
      <c r="IH29" s="152"/>
      <c r="II29" s="152"/>
      <c r="IJ29" s="152"/>
      <c r="IK29" s="152"/>
      <c r="IL29" s="152"/>
      <c r="IM29" s="152"/>
      <c r="IN29" s="152"/>
      <c r="IO29" s="152"/>
      <c r="IP29" s="152"/>
      <c r="IQ29" s="152"/>
      <c r="IR29" s="152"/>
      <c r="IS29" s="152"/>
      <c r="IT29" s="152"/>
      <c r="IU29" s="152"/>
      <c r="IV29" s="152"/>
      <c r="IW29" s="152"/>
      <c r="IX29" s="152"/>
      <c r="IY29" s="152"/>
      <c r="IZ29" s="152"/>
      <c r="JA29" s="152"/>
      <c r="JB29" s="152"/>
      <c r="JC29" s="152"/>
      <c r="JD29" s="152"/>
      <c r="JE29" s="152"/>
      <c r="JF29" s="152"/>
      <c r="JG29" s="152"/>
      <c r="JH29" s="152"/>
      <c r="JI29" s="152"/>
      <c r="JJ29" s="152"/>
      <c r="JK29" s="152"/>
      <c r="JL29" s="152"/>
      <c r="JM29" s="152"/>
      <c r="JN29" s="152"/>
      <c r="JO29" s="152"/>
      <c r="JP29" s="152"/>
      <c r="JQ29" s="152"/>
      <c r="JR29" s="152"/>
      <c r="JS29" s="152"/>
      <c r="JT29" s="152"/>
      <c r="JU29" s="152"/>
      <c r="JV29" s="152"/>
      <c r="JW29" s="152"/>
      <c r="JX29" s="152"/>
      <c r="JY29" s="152"/>
      <c r="JZ29" s="152"/>
      <c r="KA29" s="152"/>
      <c r="KB29" s="152"/>
      <c r="KC29" s="152"/>
      <c r="KD29" s="152"/>
      <c r="KE29" s="152"/>
      <c r="KF29" s="152"/>
      <c r="KG29" s="152"/>
      <c r="KH29" s="152"/>
      <c r="KI29" s="152"/>
      <c r="KJ29" s="152"/>
      <c r="KK29" s="152"/>
      <c r="KL29" s="152"/>
      <c r="KM29" s="152"/>
      <c r="KN29" s="152"/>
      <c r="KO29" s="152"/>
      <c r="KP29" s="152"/>
      <c r="KQ29" s="152"/>
      <c r="KR29" s="152"/>
      <c r="KS29" s="152"/>
      <c r="KT29" s="152"/>
      <c r="KU29" s="152"/>
      <c r="KV29" s="152"/>
      <c r="KW29" s="152"/>
      <c r="KX29" s="152"/>
      <c r="KY29" s="152"/>
      <c r="KZ29" s="152"/>
      <c r="LA29" s="152"/>
      <c r="LB29" s="152"/>
      <c r="LC29" s="152"/>
      <c r="LD29" s="152"/>
      <c r="LE29" s="152"/>
      <c r="LF29" s="152"/>
    </row>
    <row r="30" spans="1:318" ht="18.75">
      <c r="A30" s="323" t="s">
        <v>217</v>
      </c>
      <c r="B30" s="323"/>
      <c r="C30" s="323"/>
      <c r="D30" s="323"/>
      <c r="O30" s="139"/>
      <c r="Q30" s="140"/>
      <c r="R30" s="139"/>
      <c r="S30" s="188"/>
      <c r="T30" s="188"/>
      <c r="U30" s="188"/>
      <c r="V30" s="188"/>
      <c r="W30" s="188"/>
      <c r="X30" s="188"/>
      <c r="Y30" s="188"/>
      <c r="Z30" s="188"/>
      <c r="AA30" s="188"/>
      <c r="AB30" s="188"/>
      <c r="AC30" s="188"/>
      <c r="AD30" s="188"/>
      <c r="AE30" s="188"/>
      <c r="AF30" s="188"/>
      <c r="AG30" s="188"/>
      <c r="AH30" s="188"/>
      <c r="AI30" s="188"/>
      <c r="AJ30" s="188"/>
      <c r="AK30" s="188"/>
      <c r="AL30" s="188"/>
      <c r="AM30" s="188"/>
      <c r="AN30" s="188"/>
      <c r="AO30" s="188"/>
      <c r="AP30" s="188"/>
      <c r="AQ30" s="189"/>
      <c r="AW30" s="152"/>
      <c r="AX30" s="152"/>
      <c r="AY30" s="152"/>
      <c r="AZ30" s="152"/>
      <c r="BA30" s="152"/>
      <c r="BB30" s="152"/>
      <c r="BC30" s="152"/>
      <c r="BD30" s="152"/>
      <c r="BE30" s="152"/>
      <c r="BF30" s="152"/>
      <c r="BG30" s="152"/>
      <c r="BH30" s="152"/>
      <c r="BI30" s="152"/>
      <c r="BJ30" s="152"/>
      <c r="BK30" s="152"/>
      <c r="BL30" s="152"/>
      <c r="BM30" s="152"/>
      <c r="BN30" s="152"/>
      <c r="BO30" s="152"/>
      <c r="BP30" s="152"/>
      <c r="BQ30" s="152"/>
      <c r="BR30" s="152"/>
      <c r="BS30" s="152"/>
      <c r="BT30" s="152"/>
      <c r="BU30" s="152"/>
      <c r="BV30" s="152"/>
      <c r="BW30" s="152"/>
      <c r="BX30" s="152"/>
      <c r="BY30" s="152"/>
      <c r="BZ30" s="152"/>
      <c r="CA30" s="152"/>
      <c r="CB30" s="152"/>
      <c r="CC30" s="152"/>
      <c r="CD30" s="152"/>
      <c r="CE30" s="152"/>
      <c r="CF30" s="152"/>
      <c r="CG30" s="152"/>
      <c r="CH30" s="152"/>
      <c r="CI30" s="152"/>
      <c r="CJ30" s="152"/>
      <c r="CK30" s="152"/>
      <c r="CL30" s="152"/>
      <c r="CM30" s="152"/>
      <c r="CN30" s="152"/>
      <c r="CO30" s="152"/>
      <c r="CP30" s="152"/>
      <c r="CQ30" s="152"/>
      <c r="CR30" s="152"/>
      <c r="CS30" s="152"/>
      <c r="CT30" s="152"/>
      <c r="CU30" s="152"/>
      <c r="CV30" s="152"/>
      <c r="CW30" s="152"/>
      <c r="CX30" s="152"/>
      <c r="CY30" s="152"/>
      <c r="CZ30" s="152"/>
      <c r="DA30" s="152"/>
      <c r="DB30" s="152"/>
      <c r="DC30" s="152"/>
      <c r="DD30" s="152"/>
      <c r="DE30" s="152"/>
      <c r="DF30" s="152"/>
      <c r="DG30" s="152"/>
      <c r="DH30" s="152"/>
      <c r="DI30" s="152"/>
      <c r="DJ30" s="152"/>
      <c r="DK30" s="152"/>
      <c r="DL30" s="152"/>
      <c r="DM30" s="152"/>
      <c r="DN30" s="152"/>
      <c r="DO30" s="152"/>
      <c r="DP30" s="152"/>
      <c r="DQ30" s="152"/>
      <c r="DR30" s="152"/>
      <c r="DS30" s="152"/>
      <c r="DT30" s="152"/>
      <c r="DU30" s="152"/>
      <c r="DV30" s="152"/>
      <c r="DW30" s="152"/>
      <c r="DX30" s="152"/>
      <c r="DY30" s="152"/>
      <c r="DZ30" s="152"/>
      <c r="EA30" s="152"/>
      <c r="EB30" s="152"/>
      <c r="EC30" s="152"/>
      <c r="ED30" s="152"/>
      <c r="EE30" s="152"/>
      <c r="EF30" s="152"/>
      <c r="EG30" s="152"/>
      <c r="EH30" s="152"/>
      <c r="EI30" s="152"/>
      <c r="EJ30" s="152"/>
      <c r="EK30" s="152"/>
      <c r="EL30" s="152"/>
      <c r="EM30" s="152"/>
      <c r="EN30" s="152"/>
      <c r="EO30" s="152"/>
      <c r="EP30" s="152"/>
      <c r="EQ30" s="152"/>
      <c r="ER30" s="152"/>
      <c r="ES30" s="152"/>
      <c r="ET30" s="152"/>
      <c r="EU30" s="152"/>
      <c r="EV30" s="152"/>
      <c r="EW30" s="152"/>
      <c r="EX30" s="152"/>
      <c r="EY30" s="152"/>
      <c r="EZ30" s="152"/>
      <c r="FA30" s="152"/>
      <c r="FB30" s="152"/>
      <c r="FC30" s="152"/>
      <c r="FD30" s="152"/>
      <c r="FE30" s="152"/>
      <c r="FF30" s="152"/>
      <c r="FG30" s="152"/>
      <c r="FH30" s="152"/>
      <c r="FI30" s="152"/>
      <c r="FJ30" s="152"/>
      <c r="FK30" s="152"/>
      <c r="FL30" s="152"/>
      <c r="FM30" s="152"/>
      <c r="FN30" s="152"/>
      <c r="FO30" s="152"/>
      <c r="FP30" s="152"/>
      <c r="FQ30" s="152"/>
      <c r="FR30" s="152"/>
      <c r="FS30" s="152"/>
      <c r="FT30" s="152"/>
      <c r="FU30" s="152"/>
      <c r="FV30" s="152"/>
      <c r="FW30" s="152"/>
      <c r="FX30" s="152"/>
      <c r="FY30" s="152"/>
      <c r="FZ30" s="152"/>
      <c r="GA30" s="152"/>
      <c r="GB30" s="152"/>
      <c r="GC30" s="152"/>
      <c r="GD30" s="152"/>
      <c r="GE30" s="152"/>
      <c r="GF30" s="152"/>
      <c r="GG30" s="152"/>
      <c r="GH30" s="152"/>
      <c r="GI30" s="152"/>
      <c r="GJ30" s="152"/>
      <c r="GK30" s="152"/>
      <c r="GL30" s="152"/>
      <c r="GM30" s="152"/>
      <c r="GN30" s="152"/>
      <c r="GO30" s="152"/>
      <c r="GP30" s="152"/>
      <c r="GQ30" s="152"/>
      <c r="GR30" s="152"/>
      <c r="GS30" s="152"/>
      <c r="GT30" s="152"/>
      <c r="GU30" s="152"/>
      <c r="GV30" s="152"/>
      <c r="GW30" s="152"/>
      <c r="GX30" s="152"/>
      <c r="GY30" s="152"/>
      <c r="GZ30" s="152"/>
      <c r="HA30" s="152"/>
      <c r="HB30" s="152"/>
      <c r="HC30" s="152"/>
      <c r="HD30" s="152"/>
      <c r="HE30" s="152"/>
      <c r="HF30" s="152"/>
      <c r="HG30" s="152"/>
      <c r="HH30" s="152"/>
      <c r="HI30" s="152"/>
      <c r="HJ30" s="152"/>
      <c r="HK30" s="152"/>
      <c r="HL30" s="152"/>
      <c r="HM30" s="152"/>
      <c r="HN30" s="152"/>
      <c r="HO30" s="152"/>
      <c r="HP30" s="152"/>
      <c r="HQ30" s="152"/>
      <c r="HR30" s="152"/>
      <c r="HS30" s="152"/>
      <c r="HT30" s="152"/>
      <c r="HU30" s="152"/>
      <c r="HV30" s="152"/>
      <c r="HW30" s="152"/>
      <c r="HX30" s="152"/>
      <c r="HY30" s="152"/>
      <c r="HZ30" s="152"/>
      <c r="IA30" s="152"/>
      <c r="IB30" s="152"/>
      <c r="IC30" s="152"/>
      <c r="ID30" s="152"/>
      <c r="IE30" s="152"/>
      <c r="IF30" s="152"/>
      <c r="IG30" s="152"/>
      <c r="IH30" s="152"/>
      <c r="II30" s="152"/>
      <c r="IJ30" s="152"/>
      <c r="IK30" s="152"/>
      <c r="IL30" s="152"/>
      <c r="IM30" s="152"/>
      <c r="IN30" s="152"/>
      <c r="IO30" s="152"/>
      <c r="IP30" s="152"/>
      <c r="IQ30" s="152"/>
      <c r="IR30" s="152"/>
      <c r="IS30" s="152"/>
      <c r="IT30" s="152"/>
      <c r="IU30" s="152"/>
      <c r="IV30" s="152"/>
      <c r="IW30" s="152"/>
      <c r="IX30" s="152"/>
      <c r="IY30" s="152"/>
      <c r="IZ30" s="152"/>
      <c r="JA30" s="152"/>
      <c r="JB30" s="152"/>
      <c r="JC30" s="152"/>
      <c r="JD30" s="152"/>
      <c r="JE30" s="152"/>
      <c r="JF30" s="152"/>
      <c r="JG30" s="152"/>
      <c r="JH30" s="152"/>
      <c r="JI30" s="152"/>
      <c r="JJ30" s="152"/>
      <c r="JK30" s="152"/>
      <c r="JL30" s="152"/>
      <c r="JM30" s="152"/>
      <c r="JN30" s="152"/>
      <c r="JO30" s="152"/>
      <c r="JP30" s="152"/>
      <c r="JQ30" s="152"/>
      <c r="JR30" s="152"/>
      <c r="JS30" s="152"/>
      <c r="JT30" s="152"/>
      <c r="JU30" s="152"/>
      <c r="JV30" s="152"/>
      <c r="JW30" s="152"/>
      <c r="JX30" s="152"/>
      <c r="JY30" s="152"/>
      <c r="JZ30" s="152"/>
      <c r="KA30" s="152"/>
      <c r="KB30" s="152"/>
      <c r="KC30" s="152"/>
      <c r="KD30" s="152"/>
      <c r="KE30" s="152"/>
      <c r="KF30" s="152"/>
      <c r="KG30" s="152"/>
      <c r="KH30" s="152"/>
      <c r="KI30" s="152"/>
      <c r="KJ30" s="152"/>
      <c r="KK30" s="152"/>
      <c r="KL30" s="152"/>
      <c r="KM30" s="152"/>
      <c r="KN30" s="152"/>
      <c r="KO30" s="152"/>
      <c r="KP30" s="152"/>
      <c r="KQ30" s="152"/>
      <c r="KR30" s="152"/>
      <c r="KS30" s="152"/>
      <c r="KT30" s="152"/>
      <c r="KU30" s="152"/>
      <c r="KV30" s="152"/>
      <c r="KW30" s="152"/>
      <c r="KX30" s="152"/>
      <c r="KY30" s="152"/>
      <c r="KZ30" s="152"/>
      <c r="LA30" s="152"/>
      <c r="LB30" s="152"/>
      <c r="LC30" s="152"/>
      <c r="LD30" s="152"/>
      <c r="LE30" s="152"/>
      <c r="LF30" s="152"/>
    </row>
    <row r="31" spans="1:318" ht="30">
      <c r="A31" s="156"/>
      <c r="B31" s="156"/>
      <c r="C31" s="156"/>
      <c r="D31" s="156"/>
      <c r="O31" s="202" t="s">
        <v>218</v>
      </c>
      <c r="Q31" s="140"/>
      <c r="R31" s="139"/>
      <c r="S31" s="188">
        <f t="shared" ref="S31:AQ31" si="16">S21+S29</f>
        <v>74050</v>
      </c>
      <c r="T31" s="188">
        <f t="shared" si="16"/>
        <v>75841.75</v>
      </c>
      <c r="U31" s="188">
        <f t="shared" si="16"/>
        <v>77494.451612499979</v>
      </c>
      <c r="V31" s="188">
        <f t="shared" si="16"/>
        <v>79019.938816151887</v>
      </c>
      <c r="W31" s="188">
        <f t="shared" si="16"/>
        <v>80429.239738341901</v>
      </c>
      <c r="X31" s="188">
        <f t="shared" si="16"/>
        <v>81732.630951123545</v>
      </c>
      <c r="Y31" s="188">
        <f t="shared" si="16"/>
        <v>82939.688315212406</v>
      </c>
      <c r="Z31" s="188">
        <f t="shared" si="16"/>
        <v>84059.334588082624</v>
      </c>
      <c r="AA31" s="188">
        <f t="shared" si="16"/>
        <v>85099.883998993755</v>
      </c>
      <c r="AB31" s="188">
        <f t="shared" si="16"/>
        <v>86069.083981361706</v>
      </c>
      <c r="AC31" s="188">
        <f t="shared" si="16"/>
        <v>86974.154241224809</v>
      </c>
      <c r="AD31" s="188">
        <f t="shared" si="16"/>
        <v>87821.823329599327</v>
      </c>
      <c r="AE31" s="188">
        <f t="shared" si="16"/>
        <v>88618.362876226573</v>
      </c>
      <c r="AF31" s="188">
        <f t="shared" si="16"/>
        <v>89369.619632543545</v>
      </c>
      <c r="AG31" s="188">
        <f t="shared" si="16"/>
        <v>90081.045462628608</v>
      </c>
      <c r="AH31" s="188">
        <f t="shared" si="16"/>
        <v>90757.725412342348</v>
      </c>
      <c r="AI31" s="188">
        <f t="shared" si="16"/>
        <v>91404.403978873204</v>
      </c>
      <c r="AJ31" s="188">
        <f t="shared" si="16"/>
        <v>92025.509695371788</v>
      </c>
      <c r="AK31" s="188">
        <f t="shared" si="16"/>
        <v>92625.17813829401</v>
      </c>
      <c r="AL31" s="188">
        <f t="shared" si="16"/>
        <v>93207.273458435506</v>
      </c>
      <c r="AM31" s="188">
        <f t="shared" si="16"/>
        <v>93775.408530412358</v>
      </c>
      <c r="AN31" s="188">
        <f t="shared" si="16"/>
        <v>94460.716228946796</v>
      </c>
      <c r="AO31" s="188">
        <f t="shared" si="16"/>
        <v>95426.500206876677</v>
      </c>
      <c r="AP31" s="188">
        <f t="shared" si="16"/>
        <v>96406.172966707032</v>
      </c>
      <c r="AQ31" s="189">
        <f t="shared" si="16"/>
        <v>97400.256765056925</v>
      </c>
      <c r="AW31" s="152"/>
      <c r="AX31" s="152"/>
      <c r="AY31" s="152"/>
      <c r="AZ31" s="152"/>
      <c r="BA31" s="152"/>
      <c r="BB31" s="152"/>
      <c r="BC31" s="152"/>
      <c r="BD31" s="152"/>
      <c r="BE31" s="152"/>
      <c r="BF31" s="152"/>
      <c r="BG31" s="152"/>
      <c r="BH31" s="152"/>
      <c r="BI31" s="152"/>
      <c r="BJ31" s="152"/>
      <c r="BK31" s="152"/>
      <c r="BL31" s="152"/>
      <c r="BM31" s="152"/>
      <c r="BN31" s="152"/>
      <c r="BO31" s="152"/>
      <c r="BP31" s="152"/>
      <c r="BQ31" s="152"/>
      <c r="BR31" s="152"/>
      <c r="BS31" s="152"/>
      <c r="BT31" s="152"/>
      <c r="BU31" s="152"/>
      <c r="BV31" s="152"/>
      <c r="BW31" s="152"/>
      <c r="BX31" s="152"/>
      <c r="BY31" s="152"/>
      <c r="BZ31" s="152"/>
      <c r="CA31" s="152"/>
      <c r="CB31" s="152"/>
      <c r="CC31" s="152"/>
      <c r="CD31" s="152"/>
      <c r="CE31" s="152"/>
      <c r="CF31" s="152"/>
      <c r="CG31" s="152"/>
      <c r="CH31" s="152"/>
      <c r="CI31" s="152"/>
      <c r="CJ31" s="152"/>
      <c r="CK31" s="152"/>
      <c r="CL31" s="152"/>
      <c r="CM31" s="152"/>
      <c r="CN31" s="152"/>
      <c r="CO31" s="152"/>
      <c r="CP31" s="152"/>
      <c r="CQ31" s="152"/>
      <c r="CR31" s="152"/>
      <c r="CS31" s="152"/>
      <c r="CT31" s="152"/>
      <c r="CU31" s="152"/>
      <c r="CV31" s="152"/>
      <c r="CW31" s="152"/>
      <c r="CX31" s="152"/>
      <c r="CY31" s="152"/>
      <c r="CZ31" s="152"/>
      <c r="DA31" s="152"/>
      <c r="DB31" s="152"/>
      <c r="DC31" s="152"/>
      <c r="DD31" s="152"/>
      <c r="DE31" s="152"/>
      <c r="DF31" s="152"/>
      <c r="DG31" s="152"/>
      <c r="DH31" s="152"/>
      <c r="DI31" s="152"/>
      <c r="DJ31" s="152"/>
      <c r="DK31" s="152"/>
      <c r="DL31" s="152"/>
      <c r="DM31" s="152"/>
      <c r="DN31" s="152"/>
      <c r="DO31" s="152"/>
      <c r="DP31" s="152"/>
      <c r="DQ31" s="152"/>
      <c r="DR31" s="152"/>
      <c r="DS31" s="152"/>
      <c r="DT31" s="152"/>
      <c r="DU31" s="152"/>
      <c r="DV31" s="152"/>
      <c r="DW31" s="152"/>
      <c r="DX31" s="152"/>
      <c r="DY31" s="152"/>
      <c r="DZ31" s="152"/>
      <c r="EA31" s="152"/>
      <c r="EB31" s="152"/>
      <c r="EC31" s="152"/>
      <c r="ED31" s="152"/>
      <c r="EE31" s="152"/>
      <c r="EF31" s="152"/>
      <c r="EG31" s="152"/>
      <c r="EH31" s="152"/>
      <c r="EI31" s="152"/>
      <c r="EJ31" s="152"/>
      <c r="EK31" s="152"/>
      <c r="EL31" s="152"/>
      <c r="EM31" s="152"/>
      <c r="EN31" s="152"/>
      <c r="EO31" s="152"/>
      <c r="EP31" s="152"/>
      <c r="EQ31" s="152"/>
      <c r="ER31" s="152"/>
      <c r="ES31" s="152"/>
      <c r="ET31" s="152"/>
      <c r="EU31" s="152"/>
      <c r="EV31" s="152"/>
      <c r="EW31" s="152"/>
      <c r="EX31" s="152"/>
      <c r="EY31" s="152"/>
      <c r="EZ31" s="152"/>
      <c r="FA31" s="152"/>
      <c r="FB31" s="152"/>
      <c r="FC31" s="152"/>
      <c r="FD31" s="152"/>
      <c r="FE31" s="152"/>
      <c r="FF31" s="152"/>
      <c r="FG31" s="152"/>
      <c r="FH31" s="152"/>
      <c r="FI31" s="152"/>
      <c r="FJ31" s="152"/>
      <c r="FK31" s="152"/>
      <c r="FL31" s="152"/>
      <c r="FM31" s="152"/>
      <c r="FN31" s="152"/>
      <c r="FO31" s="152"/>
      <c r="FP31" s="152"/>
      <c r="FQ31" s="152"/>
      <c r="FR31" s="152"/>
      <c r="FS31" s="152"/>
      <c r="FT31" s="152"/>
      <c r="FU31" s="152"/>
      <c r="FV31" s="152"/>
      <c r="FW31" s="152"/>
      <c r="FX31" s="152"/>
      <c r="FY31" s="152"/>
      <c r="FZ31" s="152"/>
      <c r="GA31" s="152"/>
      <c r="GB31" s="152"/>
      <c r="GC31" s="152"/>
      <c r="GD31" s="152"/>
      <c r="GE31" s="152"/>
      <c r="GF31" s="152"/>
      <c r="GG31" s="152"/>
      <c r="GH31" s="152"/>
      <c r="GI31" s="152"/>
      <c r="GJ31" s="152"/>
      <c r="GK31" s="152"/>
      <c r="GL31" s="152"/>
      <c r="GM31" s="152"/>
      <c r="GN31" s="152"/>
      <c r="GO31" s="152"/>
      <c r="GP31" s="152"/>
      <c r="GQ31" s="152"/>
      <c r="GR31" s="152"/>
      <c r="GS31" s="152"/>
      <c r="GT31" s="152"/>
      <c r="GU31" s="152"/>
      <c r="GV31" s="152"/>
      <c r="GW31" s="152"/>
      <c r="GX31" s="152"/>
      <c r="GY31" s="152"/>
      <c r="GZ31" s="152"/>
      <c r="HA31" s="152"/>
      <c r="HB31" s="152"/>
      <c r="HC31" s="152"/>
      <c r="HD31" s="152"/>
      <c r="HE31" s="152"/>
      <c r="HF31" s="152"/>
      <c r="HG31" s="152"/>
      <c r="HH31" s="152"/>
      <c r="HI31" s="152"/>
      <c r="HJ31" s="152"/>
      <c r="HK31" s="152"/>
      <c r="HL31" s="152"/>
      <c r="HM31" s="152"/>
      <c r="HN31" s="152"/>
      <c r="HO31" s="152"/>
      <c r="HP31" s="152"/>
      <c r="HQ31" s="152"/>
      <c r="HR31" s="152"/>
      <c r="HS31" s="152"/>
      <c r="HT31" s="152"/>
      <c r="HU31" s="152"/>
      <c r="HV31" s="152"/>
      <c r="HW31" s="152"/>
      <c r="HX31" s="152"/>
      <c r="HY31" s="152"/>
      <c r="HZ31" s="152"/>
      <c r="IA31" s="152"/>
      <c r="IB31" s="152"/>
      <c r="IC31" s="152"/>
      <c r="ID31" s="152"/>
      <c r="IE31" s="152"/>
      <c r="IF31" s="152"/>
      <c r="IG31" s="152"/>
      <c r="IH31" s="152"/>
      <c r="II31" s="152"/>
      <c r="IJ31" s="152"/>
      <c r="IK31" s="152"/>
      <c r="IL31" s="152"/>
      <c r="IM31" s="152"/>
      <c r="IN31" s="152"/>
      <c r="IO31" s="152"/>
      <c r="IP31" s="152"/>
      <c r="IQ31" s="152"/>
      <c r="IR31" s="152"/>
      <c r="IS31" s="152"/>
      <c r="IT31" s="152"/>
      <c r="IU31" s="152"/>
      <c r="IV31" s="152"/>
      <c r="IW31" s="152"/>
      <c r="IX31" s="152"/>
      <c r="IY31" s="152"/>
      <c r="IZ31" s="152"/>
      <c r="JA31" s="152"/>
      <c r="JB31" s="152"/>
      <c r="JC31" s="152"/>
      <c r="JD31" s="152"/>
      <c r="JE31" s="152"/>
      <c r="JF31" s="152"/>
      <c r="JG31" s="152"/>
      <c r="JH31" s="152"/>
      <c r="JI31" s="152"/>
      <c r="JJ31" s="152"/>
      <c r="JK31" s="152"/>
      <c r="JL31" s="152"/>
      <c r="JM31" s="152"/>
      <c r="JN31" s="152"/>
      <c r="JO31" s="152"/>
      <c r="JP31" s="152"/>
      <c r="JQ31" s="152"/>
      <c r="JR31" s="152"/>
      <c r="JS31" s="152"/>
      <c r="JT31" s="152"/>
      <c r="JU31" s="152"/>
      <c r="JV31" s="152"/>
      <c r="JW31" s="152"/>
      <c r="JX31" s="152"/>
      <c r="JY31" s="152"/>
      <c r="JZ31" s="152"/>
      <c r="KA31" s="152"/>
      <c r="KB31" s="152"/>
      <c r="KC31" s="152"/>
      <c r="KD31" s="152"/>
      <c r="KE31" s="152"/>
      <c r="KF31" s="152"/>
      <c r="KG31" s="152"/>
      <c r="KH31" s="152"/>
      <c r="KI31" s="152"/>
      <c r="KJ31" s="152"/>
      <c r="KK31" s="152"/>
      <c r="KL31" s="152"/>
      <c r="KM31" s="152"/>
      <c r="KN31" s="152"/>
      <c r="KO31" s="152"/>
      <c r="KP31" s="152"/>
      <c r="KQ31" s="152"/>
      <c r="KR31" s="152"/>
      <c r="KS31" s="152"/>
      <c r="KT31" s="152"/>
      <c r="KU31" s="152"/>
      <c r="KV31" s="152"/>
      <c r="KW31" s="152"/>
      <c r="KX31" s="152"/>
      <c r="KY31" s="152"/>
      <c r="KZ31" s="152"/>
      <c r="LA31" s="152"/>
      <c r="LB31" s="152"/>
      <c r="LC31" s="152"/>
      <c r="LD31" s="152"/>
      <c r="LE31" s="152"/>
      <c r="LF31" s="152"/>
    </row>
    <row r="32" spans="1:318" ht="15.75" thickBot="1">
      <c r="A32" s="156"/>
      <c r="B32" s="156"/>
      <c r="C32" s="156"/>
      <c r="D32" s="156"/>
      <c r="O32" s="139"/>
      <c r="Q32" s="140"/>
      <c r="R32" s="139"/>
      <c r="S32" s="188"/>
      <c r="T32" s="188"/>
      <c r="U32" s="188"/>
      <c r="V32" s="188"/>
      <c r="W32" s="188"/>
      <c r="X32" s="188"/>
      <c r="Y32" s="188"/>
      <c r="Z32" s="188"/>
      <c r="AA32" s="188"/>
      <c r="AB32" s="188"/>
      <c r="AC32" s="188"/>
      <c r="AD32" s="188"/>
      <c r="AE32" s="188"/>
      <c r="AF32" s="188"/>
      <c r="AG32" s="188"/>
      <c r="AH32" s="188"/>
      <c r="AI32" s="188"/>
      <c r="AJ32" s="188"/>
      <c r="AK32" s="188"/>
      <c r="AL32" s="188"/>
      <c r="AM32" s="188"/>
      <c r="AN32" s="188"/>
      <c r="AO32" s="188"/>
      <c r="AP32" s="188"/>
      <c r="AQ32" s="189"/>
      <c r="AW32" s="154"/>
      <c r="AX32" s="154"/>
      <c r="AY32" s="154"/>
      <c r="AZ32" s="154"/>
      <c r="BA32" s="154"/>
      <c r="BB32" s="154"/>
      <c r="BC32" s="154"/>
      <c r="BD32" s="154"/>
      <c r="BE32" s="154"/>
      <c r="BF32" s="154"/>
      <c r="BG32" s="154"/>
      <c r="BH32" s="154"/>
      <c r="BI32" s="154"/>
      <c r="BJ32" s="154"/>
      <c r="BK32" s="154"/>
      <c r="BL32" s="154"/>
      <c r="BM32" s="154"/>
      <c r="BN32" s="154"/>
      <c r="BO32" s="154"/>
      <c r="BP32" s="154"/>
      <c r="BQ32" s="154"/>
      <c r="BR32" s="154"/>
      <c r="BS32" s="154"/>
      <c r="BT32" s="154"/>
      <c r="BU32" s="154"/>
      <c r="BV32" s="154"/>
      <c r="BW32" s="154"/>
      <c r="BX32" s="154"/>
      <c r="BY32" s="154"/>
      <c r="BZ32" s="154"/>
      <c r="CA32" s="154"/>
      <c r="CB32" s="154"/>
      <c r="CC32" s="154"/>
      <c r="CD32" s="154"/>
      <c r="CE32" s="154"/>
      <c r="CF32" s="154"/>
      <c r="CG32" s="154"/>
      <c r="CH32" s="154"/>
      <c r="CI32" s="154"/>
      <c r="CJ32" s="154"/>
      <c r="CK32" s="154"/>
      <c r="CL32" s="154"/>
      <c r="CM32" s="154"/>
      <c r="CN32" s="154"/>
      <c r="CO32" s="154"/>
      <c r="CP32" s="154"/>
      <c r="CQ32" s="154"/>
      <c r="CR32" s="154"/>
      <c r="CS32" s="154"/>
      <c r="CT32" s="154"/>
      <c r="CU32" s="154"/>
      <c r="CV32" s="154"/>
      <c r="CW32" s="154"/>
      <c r="CX32" s="154"/>
      <c r="CY32" s="154"/>
      <c r="CZ32" s="154"/>
      <c r="DA32" s="154"/>
      <c r="DB32" s="154"/>
      <c r="DC32" s="154"/>
      <c r="DD32" s="154"/>
      <c r="DE32" s="154"/>
      <c r="DF32" s="154"/>
      <c r="DG32" s="154"/>
      <c r="DH32" s="154"/>
      <c r="DI32" s="154"/>
      <c r="DJ32" s="154"/>
      <c r="DK32" s="154"/>
      <c r="DL32" s="154"/>
      <c r="DM32" s="154"/>
      <c r="DN32" s="154"/>
      <c r="DO32" s="154"/>
      <c r="DP32" s="154"/>
      <c r="DQ32" s="154"/>
      <c r="DR32" s="154"/>
      <c r="DS32" s="154"/>
      <c r="DT32" s="154"/>
      <c r="DU32" s="154"/>
      <c r="DV32" s="154"/>
      <c r="DW32" s="154"/>
      <c r="DX32" s="154"/>
      <c r="DY32" s="154"/>
      <c r="DZ32" s="154"/>
      <c r="EA32" s="154"/>
      <c r="EB32" s="154"/>
      <c r="EC32" s="154"/>
      <c r="ED32" s="154"/>
      <c r="EE32" s="154"/>
      <c r="EF32" s="154"/>
      <c r="EG32" s="154"/>
      <c r="EH32" s="154"/>
      <c r="EI32" s="154"/>
      <c r="EJ32" s="154"/>
      <c r="EK32" s="154"/>
      <c r="EL32" s="154"/>
      <c r="EM32" s="154"/>
      <c r="EN32" s="154"/>
      <c r="EO32" s="154"/>
      <c r="EP32" s="154"/>
      <c r="EQ32" s="154"/>
      <c r="ER32" s="154"/>
      <c r="ES32" s="154"/>
      <c r="ET32" s="154"/>
      <c r="EU32" s="154"/>
      <c r="EV32" s="154"/>
      <c r="EW32" s="154"/>
      <c r="EX32" s="154"/>
      <c r="EY32" s="154"/>
      <c r="EZ32" s="154"/>
      <c r="FA32" s="154"/>
      <c r="FB32" s="154"/>
      <c r="FC32" s="154"/>
      <c r="FD32" s="154"/>
      <c r="FE32" s="154"/>
      <c r="FF32" s="154"/>
      <c r="FG32" s="154"/>
      <c r="FH32" s="154"/>
      <c r="FI32" s="154"/>
      <c r="FJ32" s="154"/>
      <c r="FK32" s="154"/>
      <c r="FL32" s="154"/>
      <c r="FM32" s="154"/>
      <c r="FN32" s="154"/>
      <c r="FO32" s="154"/>
      <c r="FP32" s="154"/>
      <c r="FQ32" s="154"/>
      <c r="FR32" s="154"/>
      <c r="FS32" s="154"/>
      <c r="FT32" s="154"/>
      <c r="FU32" s="154"/>
      <c r="FV32" s="154"/>
      <c r="FW32" s="154"/>
      <c r="FX32" s="154"/>
      <c r="FY32" s="154"/>
      <c r="FZ32" s="154"/>
      <c r="GA32" s="154"/>
      <c r="GB32" s="154"/>
      <c r="GC32" s="154"/>
      <c r="GD32" s="154"/>
      <c r="GE32" s="154"/>
      <c r="GF32" s="154"/>
      <c r="GG32" s="154"/>
      <c r="GH32" s="154"/>
      <c r="GI32" s="154"/>
      <c r="GJ32" s="154"/>
      <c r="GK32" s="154"/>
      <c r="GL32" s="154"/>
      <c r="GM32" s="154"/>
      <c r="GN32" s="154"/>
      <c r="GO32" s="154"/>
      <c r="GP32" s="154"/>
      <c r="GQ32" s="154"/>
      <c r="GR32" s="154"/>
      <c r="GS32" s="154"/>
      <c r="GT32" s="154"/>
      <c r="GU32" s="154"/>
      <c r="GV32" s="154"/>
      <c r="GW32" s="154"/>
      <c r="GX32" s="154"/>
      <c r="GY32" s="154"/>
      <c r="GZ32" s="154"/>
      <c r="HA32" s="154"/>
      <c r="HB32" s="154"/>
      <c r="HC32" s="154"/>
      <c r="HD32" s="154"/>
      <c r="HE32" s="154"/>
      <c r="HF32" s="154"/>
      <c r="HG32" s="154"/>
      <c r="HH32" s="154"/>
      <c r="HI32" s="154"/>
      <c r="HJ32" s="154"/>
      <c r="HK32" s="154"/>
      <c r="HL32" s="154"/>
      <c r="HM32" s="154"/>
      <c r="HN32" s="154"/>
      <c r="HO32" s="154"/>
      <c r="HP32" s="154"/>
      <c r="HQ32" s="154"/>
      <c r="HR32" s="154"/>
      <c r="HS32" s="154"/>
      <c r="HT32" s="154"/>
      <c r="HU32" s="154"/>
      <c r="HV32" s="154"/>
      <c r="HW32" s="154"/>
      <c r="HX32" s="154"/>
      <c r="HY32" s="154"/>
      <c r="HZ32" s="154"/>
      <c r="IA32" s="154"/>
      <c r="IB32" s="154"/>
      <c r="IC32" s="154"/>
      <c r="ID32" s="154"/>
      <c r="IE32" s="154"/>
      <c r="IF32" s="154"/>
      <c r="IG32" s="154"/>
      <c r="IH32" s="154"/>
      <c r="II32" s="154"/>
      <c r="IJ32" s="154"/>
      <c r="IK32" s="154"/>
      <c r="IL32" s="154"/>
      <c r="IM32" s="154"/>
      <c r="IN32" s="154"/>
      <c r="IO32" s="154"/>
      <c r="IP32" s="154"/>
      <c r="IQ32" s="154"/>
      <c r="IR32" s="154"/>
      <c r="IS32" s="154"/>
      <c r="IT32" s="154"/>
      <c r="IU32" s="154"/>
      <c r="IV32" s="154"/>
      <c r="IW32" s="154"/>
      <c r="IX32" s="154"/>
      <c r="IY32" s="154"/>
      <c r="IZ32" s="154"/>
      <c r="JA32" s="154"/>
      <c r="JB32" s="154"/>
      <c r="JC32" s="154"/>
      <c r="JD32" s="154"/>
      <c r="JE32" s="154"/>
      <c r="JF32" s="154"/>
      <c r="JG32" s="154"/>
      <c r="JH32" s="154"/>
      <c r="JI32" s="154"/>
      <c r="JJ32" s="154"/>
      <c r="JK32" s="154"/>
      <c r="JL32" s="154"/>
      <c r="JM32" s="154"/>
      <c r="JN32" s="154"/>
      <c r="JO32" s="154"/>
      <c r="JP32" s="154"/>
      <c r="JQ32" s="154"/>
      <c r="JR32" s="154"/>
      <c r="JS32" s="154"/>
      <c r="JT32" s="154"/>
      <c r="JU32" s="154"/>
      <c r="JV32" s="154"/>
      <c r="JW32" s="154"/>
      <c r="JX32" s="154"/>
      <c r="JY32" s="154"/>
      <c r="JZ32" s="154"/>
      <c r="KA32" s="154"/>
      <c r="KB32" s="154"/>
      <c r="KC32" s="154"/>
      <c r="KD32" s="154"/>
      <c r="KE32" s="154"/>
      <c r="KF32" s="154"/>
      <c r="KG32" s="154"/>
      <c r="KH32" s="154"/>
      <c r="KI32" s="154"/>
      <c r="KJ32" s="154"/>
      <c r="KK32" s="154"/>
      <c r="KL32" s="154"/>
      <c r="KM32" s="154"/>
      <c r="KN32" s="154"/>
      <c r="KO32" s="154"/>
      <c r="KP32" s="154"/>
      <c r="KQ32" s="154"/>
      <c r="KR32" s="154"/>
      <c r="KS32" s="154"/>
      <c r="KT32" s="154"/>
      <c r="KU32" s="154"/>
      <c r="KV32" s="154"/>
      <c r="KW32" s="154"/>
      <c r="KX32" s="154"/>
      <c r="KY32" s="154"/>
      <c r="KZ32" s="154"/>
      <c r="LA32" s="154"/>
      <c r="LB32" s="154"/>
      <c r="LC32" s="154"/>
      <c r="LD32" s="154"/>
      <c r="LE32" s="154"/>
      <c r="LF32" s="154"/>
    </row>
    <row r="33" spans="1:318" ht="15.75" thickBot="1">
      <c r="A33" s="156" t="s">
        <v>219</v>
      </c>
      <c r="B33" s="156">
        <f>A8*B8</f>
        <v>700000</v>
      </c>
      <c r="C33" s="157" t="s">
        <v>220</v>
      </c>
      <c r="D33" s="158">
        <f>F8*(B33+B34+B35+B36)</f>
        <v>713000</v>
      </c>
      <c r="O33" s="197" t="s">
        <v>221</v>
      </c>
      <c r="P33" s="193"/>
      <c r="Q33" s="199"/>
      <c r="R33" s="194"/>
      <c r="S33" s="195">
        <f t="shared" ref="S33:AQ33" si="17">S20-S29</f>
        <v>183200</v>
      </c>
      <c r="T33" s="195">
        <f t="shared" si="17"/>
        <v>171853.25</v>
      </c>
      <c r="U33" s="195">
        <f t="shared" si="17"/>
        <v>161123.29838749999</v>
      </c>
      <c r="V33" s="195">
        <f t="shared" si="17"/>
        <v>150974.42368384809</v>
      </c>
      <c r="W33" s="195">
        <f t="shared" si="17"/>
        <v>141372.90463665806</v>
      </c>
      <c r="X33" s="195">
        <f t="shared" si="17"/>
        <v>132286.9062051264</v>
      </c>
      <c r="Y33" s="195">
        <f t="shared" si="17"/>
        <v>123686.37198322502</v>
      </c>
      <c r="Z33" s="195">
        <f t="shared" si="17"/>
        <v>115542.92269543294</v>
      </c>
      <c r="AA33" s="195">
        <f t="shared" si="17"/>
        <v>107829.76042034602</v>
      </c>
      <c r="AB33" s="195">
        <f t="shared" si="17"/>
        <v>100521.57821701106</v>
      </c>
      <c r="AC33" s="195">
        <f t="shared" si="17"/>
        <v>93594.474847229314</v>
      </c>
      <c r="AD33" s="195">
        <f t="shared" si="17"/>
        <v>87025.874304432087</v>
      </c>
      <c r="AE33" s="195">
        <f t="shared" si="17"/>
        <v>80794.449876103288</v>
      </c>
      <c r="AF33" s="195">
        <f t="shared" si="17"/>
        <v>74880.052482169805</v>
      </c>
      <c r="AG33" s="195">
        <f t="shared" si="17"/>
        <v>69263.643046349098</v>
      </c>
      <c r="AH33" s="195">
        <f t="shared" si="17"/>
        <v>63927.228671186458</v>
      </c>
      <c r="AI33" s="195">
        <f t="shared" si="17"/>
        <v>58853.802400479166</v>
      </c>
      <c r="AJ33" s="195">
        <f t="shared" si="17"/>
        <v>54027.286365012922</v>
      </c>
      <c r="AK33" s="195">
        <f t="shared" si="17"/>
        <v>49432.478119071471</v>
      </c>
      <c r="AL33" s="195">
        <f t="shared" si="17"/>
        <v>45054.999986061695</v>
      </c>
      <c r="AM33" s="195">
        <f t="shared" si="17"/>
        <v>40881.25124185998</v>
      </c>
      <c r="AN33" s="195">
        <f t="shared" si="17"/>
        <v>37839.283771053204</v>
      </c>
      <c r="AO33" s="195">
        <f t="shared" si="17"/>
        <v>36873.499793123323</v>
      </c>
      <c r="AP33" s="195">
        <f t="shared" si="17"/>
        <v>35893.827033292975</v>
      </c>
      <c r="AQ33" s="196">
        <f t="shared" si="17"/>
        <v>34899.743234943075</v>
      </c>
      <c r="AW33" s="152"/>
      <c r="AX33" s="152"/>
      <c r="AY33" s="152"/>
      <c r="AZ33" s="152"/>
      <c r="BA33" s="152"/>
      <c r="BB33" s="152"/>
      <c r="BC33" s="152"/>
      <c r="BD33" s="152"/>
      <c r="BE33" s="152"/>
      <c r="BF33" s="152"/>
      <c r="BG33" s="152"/>
      <c r="BH33" s="152"/>
      <c r="BI33" s="152"/>
      <c r="BJ33" s="152"/>
      <c r="BK33" s="152"/>
      <c r="BL33" s="152"/>
      <c r="BM33" s="152"/>
      <c r="BN33" s="152"/>
      <c r="BO33" s="152"/>
      <c r="BP33" s="152"/>
      <c r="BQ33" s="152"/>
      <c r="BR33" s="152"/>
      <c r="BS33" s="152"/>
      <c r="BT33" s="152"/>
      <c r="BU33" s="152"/>
      <c r="BV33" s="152"/>
      <c r="BW33" s="152"/>
      <c r="BX33" s="152"/>
      <c r="BY33" s="152"/>
      <c r="BZ33" s="152"/>
      <c r="CA33" s="152"/>
      <c r="CB33" s="152"/>
      <c r="CC33" s="152"/>
      <c r="CD33" s="152"/>
      <c r="CE33" s="152"/>
      <c r="CF33" s="152"/>
      <c r="CG33" s="152"/>
      <c r="CH33" s="152"/>
      <c r="CI33" s="152"/>
      <c r="CJ33" s="152"/>
      <c r="CK33" s="152"/>
      <c r="CL33" s="152"/>
      <c r="CM33" s="152"/>
      <c r="CN33" s="152"/>
      <c r="CO33" s="152"/>
      <c r="CP33" s="152"/>
      <c r="CQ33" s="152"/>
      <c r="CR33" s="152"/>
      <c r="CS33" s="152"/>
      <c r="CT33" s="152"/>
      <c r="CU33" s="152"/>
      <c r="CV33" s="152"/>
      <c r="CW33" s="152"/>
      <c r="CX33" s="152"/>
      <c r="CY33" s="152"/>
      <c r="CZ33" s="152"/>
      <c r="DA33" s="152"/>
      <c r="DB33" s="152"/>
      <c r="DC33" s="152"/>
      <c r="DD33" s="152"/>
      <c r="DE33" s="152"/>
      <c r="DF33" s="152"/>
      <c r="DG33" s="152"/>
      <c r="DH33" s="152"/>
      <c r="DI33" s="152"/>
      <c r="DJ33" s="152"/>
      <c r="DK33" s="152"/>
      <c r="DL33" s="152"/>
      <c r="DM33" s="152"/>
      <c r="DN33" s="152"/>
      <c r="DO33" s="152"/>
      <c r="DP33" s="152"/>
      <c r="DQ33" s="152"/>
      <c r="DR33" s="152"/>
      <c r="DS33" s="152"/>
      <c r="DT33" s="152"/>
      <c r="DU33" s="152"/>
      <c r="DV33" s="152"/>
      <c r="DW33" s="152"/>
      <c r="DX33" s="152"/>
      <c r="DY33" s="152"/>
      <c r="DZ33" s="152"/>
      <c r="EA33" s="152"/>
      <c r="EB33" s="152"/>
      <c r="EC33" s="152"/>
      <c r="ED33" s="152"/>
      <c r="EE33" s="152"/>
      <c r="EF33" s="152"/>
      <c r="EG33" s="152"/>
      <c r="EH33" s="152"/>
      <c r="EI33" s="152"/>
      <c r="EJ33" s="152"/>
      <c r="EK33" s="152"/>
      <c r="EL33" s="152"/>
      <c r="EM33" s="152"/>
      <c r="EN33" s="152"/>
      <c r="EO33" s="152"/>
      <c r="EP33" s="152"/>
      <c r="EQ33" s="152"/>
      <c r="ER33" s="152"/>
      <c r="ES33" s="152"/>
      <c r="ET33" s="152"/>
      <c r="EU33" s="152"/>
      <c r="EV33" s="152"/>
      <c r="EW33" s="152"/>
      <c r="EX33" s="152"/>
      <c r="EY33" s="152"/>
      <c r="EZ33" s="152"/>
      <c r="FA33" s="152"/>
      <c r="FB33" s="152"/>
      <c r="FC33" s="152"/>
      <c r="FD33" s="152"/>
      <c r="FE33" s="152"/>
      <c r="FF33" s="152"/>
      <c r="FG33" s="152"/>
      <c r="FH33" s="152"/>
      <c r="FI33" s="152"/>
      <c r="FJ33" s="152"/>
      <c r="FK33" s="152"/>
      <c r="FL33" s="152"/>
      <c r="FM33" s="152"/>
      <c r="FN33" s="152"/>
      <c r="FO33" s="152"/>
      <c r="FP33" s="152"/>
      <c r="FQ33" s="152"/>
      <c r="FR33" s="152"/>
      <c r="FS33" s="152"/>
      <c r="FT33" s="152"/>
      <c r="FU33" s="152"/>
      <c r="FV33" s="152"/>
      <c r="FW33" s="152"/>
      <c r="FX33" s="152"/>
      <c r="FY33" s="152"/>
      <c r="FZ33" s="152"/>
      <c r="GA33" s="152"/>
      <c r="GB33" s="152"/>
      <c r="GC33" s="152"/>
      <c r="GD33" s="152"/>
      <c r="GE33" s="152"/>
      <c r="GF33" s="152"/>
      <c r="GG33" s="152"/>
      <c r="GH33" s="152"/>
      <c r="GI33" s="152"/>
      <c r="GJ33" s="152"/>
      <c r="GK33" s="152"/>
      <c r="GL33" s="152"/>
      <c r="GM33" s="152"/>
      <c r="GN33" s="152"/>
      <c r="GO33" s="152"/>
      <c r="GP33" s="152"/>
      <c r="GQ33" s="152"/>
      <c r="GR33" s="152"/>
      <c r="GS33" s="152"/>
      <c r="GT33" s="152"/>
      <c r="GU33" s="152"/>
      <c r="GV33" s="152"/>
      <c r="GW33" s="152"/>
      <c r="GX33" s="152"/>
      <c r="GY33" s="152"/>
      <c r="GZ33" s="152"/>
      <c r="HA33" s="152"/>
      <c r="HB33" s="152"/>
      <c r="HC33" s="152"/>
      <c r="HD33" s="152"/>
      <c r="HE33" s="152"/>
      <c r="HF33" s="152"/>
      <c r="HG33" s="152"/>
      <c r="HH33" s="152"/>
      <c r="HI33" s="152"/>
      <c r="HJ33" s="152"/>
      <c r="HK33" s="152"/>
      <c r="HL33" s="152"/>
      <c r="HM33" s="152"/>
      <c r="HN33" s="152"/>
      <c r="HO33" s="152"/>
      <c r="HP33" s="152"/>
      <c r="HQ33" s="152"/>
      <c r="HR33" s="152"/>
      <c r="HS33" s="152"/>
      <c r="HT33" s="152"/>
      <c r="HU33" s="152"/>
      <c r="HV33" s="152"/>
      <c r="HW33" s="152"/>
      <c r="HX33" s="152"/>
      <c r="HY33" s="152"/>
      <c r="HZ33" s="152"/>
      <c r="IA33" s="152"/>
      <c r="IB33" s="152"/>
      <c r="IC33" s="152"/>
      <c r="ID33" s="152"/>
      <c r="IE33" s="152"/>
      <c r="IF33" s="152"/>
      <c r="IG33" s="152"/>
      <c r="IH33" s="152"/>
      <c r="II33" s="152"/>
      <c r="IJ33" s="152"/>
      <c r="IK33" s="152"/>
      <c r="IL33" s="152"/>
      <c r="IM33" s="152"/>
      <c r="IN33" s="152"/>
      <c r="IO33" s="152"/>
      <c r="IP33" s="152"/>
      <c r="IQ33" s="152"/>
      <c r="IR33" s="152"/>
      <c r="IS33" s="152"/>
      <c r="IT33" s="152"/>
      <c r="IU33" s="152"/>
      <c r="IV33" s="152"/>
      <c r="IW33" s="152"/>
      <c r="IX33" s="152"/>
      <c r="IY33" s="152"/>
      <c r="IZ33" s="152"/>
      <c r="JA33" s="152"/>
      <c r="JB33" s="152"/>
      <c r="JC33" s="152"/>
      <c r="JD33" s="152"/>
      <c r="JE33" s="152"/>
      <c r="JF33" s="152"/>
      <c r="JG33" s="152"/>
      <c r="JH33" s="152"/>
      <c r="JI33" s="152"/>
      <c r="JJ33" s="152"/>
      <c r="JK33" s="152"/>
      <c r="JL33" s="152"/>
      <c r="JM33" s="152"/>
      <c r="JN33" s="152"/>
      <c r="JO33" s="152"/>
      <c r="JP33" s="152"/>
      <c r="JQ33" s="152"/>
      <c r="JR33" s="152"/>
      <c r="JS33" s="152"/>
      <c r="JT33" s="152"/>
      <c r="JU33" s="152"/>
      <c r="JV33" s="152"/>
      <c r="JW33" s="152"/>
      <c r="JX33" s="152"/>
      <c r="JY33" s="152"/>
      <c r="JZ33" s="152"/>
      <c r="KA33" s="152"/>
      <c r="KB33" s="152"/>
      <c r="KC33" s="152"/>
      <c r="KD33" s="152"/>
      <c r="KE33" s="152"/>
      <c r="KF33" s="152"/>
      <c r="KG33" s="152"/>
      <c r="KH33" s="152"/>
      <c r="KI33" s="152"/>
      <c r="KJ33" s="152"/>
      <c r="KK33" s="152"/>
      <c r="KL33" s="152"/>
      <c r="KM33" s="152"/>
      <c r="KN33" s="152"/>
      <c r="KO33" s="152"/>
      <c r="KP33" s="152"/>
      <c r="KQ33" s="152"/>
      <c r="KR33" s="152"/>
      <c r="KS33" s="152"/>
      <c r="KT33" s="152"/>
      <c r="KU33" s="152"/>
      <c r="KV33" s="152"/>
      <c r="KW33" s="152"/>
      <c r="KX33" s="152"/>
      <c r="KY33" s="152"/>
      <c r="KZ33" s="152"/>
      <c r="LA33" s="152"/>
      <c r="LB33" s="152"/>
      <c r="LC33" s="152"/>
      <c r="LD33" s="152"/>
      <c r="LE33" s="152"/>
      <c r="LF33" s="152"/>
    </row>
    <row r="34" spans="1:318">
      <c r="A34" s="156" t="s">
        <v>222</v>
      </c>
      <c r="B34" s="156">
        <f>R8</f>
        <v>4000</v>
      </c>
      <c r="C34" s="157" t="s">
        <v>223</v>
      </c>
      <c r="D34" s="156">
        <f>(1-F8)*(B33+B34+B35+B36)</f>
        <v>0</v>
      </c>
      <c r="E34" s="1">
        <f>D33+D34</f>
        <v>713000</v>
      </c>
      <c r="O34" s="139"/>
      <c r="Q34" s="140"/>
      <c r="R34" s="139"/>
      <c r="S34" s="188"/>
      <c r="T34" s="188"/>
      <c r="U34" s="188"/>
      <c r="V34" s="188"/>
      <c r="W34" s="188"/>
      <c r="X34" s="188"/>
      <c r="Y34" s="188"/>
      <c r="Z34" s="188"/>
      <c r="AA34" s="188"/>
      <c r="AB34" s="188"/>
      <c r="AC34" s="188"/>
      <c r="AD34" s="188"/>
      <c r="AE34" s="188"/>
      <c r="AF34" s="188"/>
      <c r="AG34" s="188"/>
      <c r="AH34" s="188"/>
      <c r="AI34" s="188"/>
      <c r="AJ34" s="188"/>
      <c r="AK34" s="188"/>
      <c r="AL34" s="188"/>
      <c r="AM34" s="188"/>
      <c r="AN34" s="188"/>
      <c r="AO34" s="188"/>
      <c r="AP34" s="188"/>
      <c r="AQ34" s="189"/>
      <c r="AW34" s="152"/>
      <c r="AX34" s="152"/>
      <c r="AY34" s="152"/>
      <c r="AZ34" s="152"/>
      <c r="BA34" s="152"/>
      <c r="BB34" s="152"/>
      <c r="BC34" s="152"/>
      <c r="BD34" s="152"/>
      <c r="BE34" s="152"/>
      <c r="BF34" s="152"/>
      <c r="BG34" s="152"/>
      <c r="BH34" s="152"/>
      <c r="BI34" s="152"/>
      <c r="BJ34" s="152"/>
      <c r="BK34" s="152"/>
      <c r="BL34" s="152"/>
      <c r="BM34" s="152"/>
      <c r="BN34" s="152"/>
      <c r="BO34" s="152"/>
      <c r="BP34" s="152"/>
      <c r="BQ34" s="152"/>
      <c r="BR34" s="152"/>
      <c r="BS34" s="152"/>
      <c r="BT34" s="152"/>
      <c r="BU34" s="152"/>
      <c r="BV34" s="152"/>
      <c r="BW34" s="152"/>
      <c r="BX34" s="152"/>
      <c r="BY34" s="152"/>
      <c r="BZ34" s="152"/>
      <c r="CA34" s="152"/>
      <c r="CB34" s="152"/>
      <c r="CC34" s="152"/>
      <c r="CD34" s="152"/>
      <c r="CE34" s="152"/>
      <c r="CF34" s="152"/>
      <c r="CG34" s="152"/>
      <c r="CH34" s="152"/>
      <c r="CI34" s="152"/>
      <c r="CJ34" s="152"/>
      <c r="CK34" s="152"/>
      <c r="CL34" s="152"/>
      <c r="CM34" s="152"/>
      <c r="CN34" s="152"/>
      <c r="CO34" s="152"/>
      <c r="CP34" s="152"/>
      <c r="CQ34" s="152"/>
      <c r="CR34" s="152"/>
      <c r="CS34" s="152"/>
      <c r="CT34" s="152"/>
      <c r="CU34" s="152"/>
      <c r="CV34" s="152"/>
      <c r="CW34" s="152"/>
      <c r="CX34" s="152"/>
      <c r="CY34" s="152"/>
      <c r="CZ34" s="152"/>
      <c r="DA34" s="152"/>
      <c r="DB34" s="152"/>
      <c r="DC34" s="152"/>
      <c r="DD34" s="152"/>
      <c r="DE34" s="152"/>
      <c r="DF34" s="152"/>
      <c r="DG34" s="152"/>
      <c r="DH34" s="152"/>
      <c r="DI34" s="152"/>
      <c r="DJ34" s="152"/>
      <c r="DK34" s="152"/>
      <c r="DL34" s="152"/>
      <c r="DM34" s="152"/>
      <c r="DN34" s="152"/>
      <c r="DO34" s="152"/>
      <c r="DP34" s="152"/>
      <c r="DQ34" s="152"/>
      <c r="DR34" s="152"/>
      <c r="DS34" s="152"/>
      <c r="DT34" s="152"/>
      <c r="DU34" s="152"/>
      <c r="DV34" s="152"/>
      <c r="DW34" s="152"/>
      <c r="DX34" s="152"/>
      <c r="DY34" s="152"/>
      <c r="DZ34" s="152"/>
      <c r="EA34" s="152"/>
      <c r="EB34" s="152"/>
      <c r="EC34" s="152"/>
      <c r="ED34" s="152"/>
      <c r="EE34" s="152"/>
      <c r="EF34" s="152"/>
      <c r="EG34" s="152"/>
      <c r="EH34" s="152"/>
      <c r="EI34" s="152"/>
      <c r="EJ34" s="152"/>
      <c r="EK34" s="152"/>
      <c r="EL34" s="152"/>
      <c r="EM34" s="152"/>
      <c r="EN34" s="152"/>
      <c r="EO34" s="152"/>
      <c r="EP34" s="152"/>
      <c r="EQ34" s="152"/>
      <c r="ER34" s="152"/>
      <c r="ES34" s="152"/>
      <c r="ET34" s="152"/>
      <c r="EU34" s="152"/>
      <c r="EV34" s="152"/>
      <c r="EW34" s="152"/>
      <c r="EX34" s="152"/>
      <c r="EY34" s="152"/>
      <c r="EZ34" s="152"/>
      <c r="FA34" s="152"/>
      <c r="FB34" s="152"/>
      <c r="FC34" s="152"/>
      <c r="FD34" s="152"/>
      <c r="FE34" s="152"/>
      <c r="FF34" s="152"/>
      <c r="FG34" s="152"/>
      <c r="FH34" s="152"/>
      <c r="FI34" s="152"/>
      <c r="FJ34" s="152"/>
      <c r="FK34" s="152"/>
      <c r="FL34" s="152"/>
      <c r="FM34" s="152"/>
      <c r="FN34" s="152"/>
      <c r="FO34" s="152"/>
      <c r="FP34" s="152"/>
      <c r="FQ34" s="152"/>
      <c r="FR34" s="152"/>
      <c r="FS34" s="152"/>
      <c r="FT34" s="152"/>
      <c r="FU34" s="152"/>
      <c r="FV34" s="152"/>
      <c r="FW34" s="152"/>
      <c r="FX34" s="152"/>
      <c r="FY34" s="152"/>
      <c r="FZ34" s="152"/>
      <c r="GA34" s="152"/>
      <c r="GB34" s="152"/>
      <c r="GC34" s="152"/>
      <c r="GD34" s="152"/>
      <c r="GE34" s="152"/>
      <c r="GF34" s="152"/>
      <c r="GG34" s="152"/>
      <c r="GH34" s="152"/>
      <c r="GI34" s="152"/>
      <c r="GJ34" s="152"/>
      <c r="GK34" s="152"/>
      <c r="GL34" s="152"/>
      <c r="GM34" s="152"/>
      <c r="GN34" s="152"/>
      <c r="GO34" s="152"/>
      <c r="GP34" s="152"/>
      <c r="GQ34" s="152"/>
      <c r="GR34" s="152"/>
      <c r="GS34" s="152"/>
      <c r="GT34" s="152"/>
      <c r="GU34" s="152"/>
      <c r="GV34" s="152"/>
      <c r="GW34" s="152"/>
      <c r="GX34" s="152"/>
      <c r="GY34" s="152"/>
      <c r="GZ34" s="152"/>
      <c r="HA34" s="152"/>
      <c r="HB34" s="152"/>
      <c r="HC34" s="152"/>
      <c r="HD34" s="152"/>
      <c r="HE34" s="152"/>
      <c r="HF34" s="152"/>
      <c r="HG34" s="152"/>
      <c r="HH34" s="152"/>
      <c r="HI34" s="152"/>
      <c r="HJ34" s="152"/>
      <c r="HK34" s="152"/>
      <c r="HL34" s="152"/>
      <c r="HM34" s="152"/>
      <c r="HN34" s="152"/>
      <c r="HO34" s="152"/>
      <c r="HP34" s="152"/>
      <c r="HQ34" s="152"/>
      <c r="HR34" s="152"/>
      <c r="HS34" s="152"/>
      <c r="HT34" s="152"/>
      <c r="HU34" s="152"/>
      <c r="HV34" s="152"/>
      <c r="HW34" s="152"/>
      <c r="HX34" s="152"/>
      <c r="HY34" s="152"/>
      <c r="HZ34" s="152"/>
      <c r="IA34" s="152"/>
      <c r="IB34" s="152"/>
      <c r="IC34" s="152"/>
      <c r="ID34" s="152"/>
      <c r="IE34" s="152"/>
      <c r="IF34" s="152"/>
      <c r="IG34" s="152"/>
      <c r="IH34" s="152"/>
      <c r="II34" s="152"/>
      <c r="IJ34" s="152"/>
      <c r="IK34" s="152"/>
      <c r="IL34" s="152"/>
      <c r="IM34" s="152"/>
      <c r="IN34" s="152"/>
      <c r="IO34" s="152"/>
      <c r="IP34" s="152"/>
      <c r="IQ34" s="152"/>
      <c r="IR34" s="152"/>
      <c r="IS34" s="152"/>
      <c r="IT34" s="152"/>
      <c r="IU34" s="152"/>
      <c r="IV34" s="152"/>
      <c r="IW34" s="152"/>
      <c r="IX34" s="152"/>
      <c r="IY34" s="152"/>
      <c r="IZ34" s="152"/>
      <c r="JA34" s="152"/>
      <c r="JB34" s="152"/>
      <c r="JC34" s="152"/>
      <c r="JD34" s="152"/>
      <c r="JE34" s="152"/>
      <c r="JF34" s="152"/>
      <c r="JG34" s="152"/>
      <c r="JH34" s="152"/>
      <c r="JI34" s="152"/>
      <c r="JJ34" s="152"/>
      <c r="JK34" s="152"/>
      <c r="JL34" s="152"/>
      <c r="JM34" s="152"/>
      <c r="JN34" s="152"/>
      <c r="JO34" s="152"/>
      <c r="JP34" s="152"/>
      <c r="JQ34" s="152"/>
      <c r="JR34" s="152"/>
      <c r="JS34" s="152"/>
      <c r="JT34" s="152"/>
      <c r="JU34" s="152"/>
      <c r="JV34" s="152"/>
      <c r="JW34" s="152"/>
      <c r="JX34" s="152"/>
      <c r="JY34" s="152"/>
      <c r="JZ34" s="152"/>
      <c r="KA34" s="152"/>
      <c r="KB34" s="152"/>
      <c r="KC34" s="152"/>
      <c r="KD34" s="152"/>
      <c r="KE34" s="152"/>
      <c r="KF34" s="152"/>
      <c r="KG34" s="152"/>
      <c r="KH34" s="152"/>
      <c r="KI34" s="152"/>
      <c r="KJ34" s="152"/>
      <c r="KK34" s="152"/>
      <c r="KL34" s="152"/>
      <c r="KM34" s="152"/>
      <c r="KN34" s="152"/>
      <c r="KO34" s="152"/>
      <c r="KP34" s="152"/>
      <c r="KQ34" s="152"/>
      <c r="KR34" s="152"/>
      <c r="KS34" s="152"/>
      <c r="KT34" s="152"/>
      <c r="KU34" s="152"/>
      <c r="KV34" s="152"/>
      <c r="KW34" s="152"/>
      <c r="KX34" s="152"/>
      <c r="KY34" s="152"/>
      <c r="KZ34" s="152"/>
      <c r="LA34" s="152"/>
      <c r="LB34" s="152"/>
      <c r="LC34" s="152"/>
      <c r="LD34" s="152"/>
      <c r="LE34" s="152"/>
      <c r="LF34" s="152"/>
    </row>
    <row r="35" spans="1:318">
      <c r="A35" s="156" t="s">
        <v>224</v>
      </c>
      <c r="B35" s="156">
        <f>S8</f>
        <v>2000</v>
      </c>
      <c r="C35" s="157"/>
      <c r="D35" s="156"/>
      <c r="O35" s="139" t="s">
        <v>225</v>
      </c>
      <c r="Q35" s="140"/>
      <c r="R35" s="139"/>
      <c r="S35" s="188">
        <f>($A$8*$B$8+(1-$J$11)*$A$11*$B$11+$R$8+$S$8+$X$8+$Y$8)*85%*10%</f>
        <v>60605</v>
      </c>
      <c r="T35" s="188">
        <f t="shared" ref="T35:AB35" si="18">($A$8*$B$8+(1-$J$11)*$A$11*$B$11+$R$8+$S$8+$X$8+$Y$8)*85%*10%</f>
        <v>60605</v>
      </c>
      <c r="U35" s="188">
        <f t="shared" si="18"/>
        <v>60605</v>
      </c>
      <c r="V35" s="188">
        <f t="shared" si="18"/>
        <v>60605</v>
      </c>
      <c r="W35" s="188">
        <f t="shared" si="18"/>
        <v>60605</v>
      </c>
      <c r="X35" s="188">
        <f t="shared" si="18"/>
        <v>60605</v>
      </c>
      <c r="Y35" s="188">
        <f t="shared" si="18"/>
        <v>60605</v>
      </c>
      <c r="Z35" s="188">
        <f t="shared" si="18"/>
        <v>60605</v>
      </c>
      <c r="AA35" s="188">
        <f t="shared" si="18"/>
        <v>60605</v>
      </c>
      <c r="AB35" s="188">
        <f t="shared" si="18"/>
        <v>60605</v>
      </c>
      <c r="AC35" s="188"/>
      <c r="AD35" s="188"/>
      <c r="AE35" s="188"/>
      <c r="AF35" s="188"/>
      <c r="AG35" s="188"/>
      <c r="AH35" s="188"/>
      <c r="AI35" s="188"/>
      <c r="AJ35" s="188"/>
      <c r="AK35" s="188"/>
      <c r="AL35" s="188"/>
      <c r="AM35" s="188"/>
      <c r="AN35" s="188"/>
      <c r="AO35" s="188"/>
      <c r="AP35" s="188"/>
      <c r="AQ35" s="189"/>
      <c r="AW35" s="152"/>
      <c r="AX35" s="152"/>
      <c r="AY35" s="152"/>
      <c r="AZ35" s="152"/>
      <c r="BA35" s="152"/>
      <c r="BB35" s="152"/>
      <c r="BC35" s="152"/>
      <c r="BD35" s="152"/>
      <c r="BE35" s="152"/>
      <c r="BF35" s="152"/>
      <c r="BG35" s="152"/>
      <c r="BH35" s="152"/>
      <c r="BI35" s="152"/>
      <c r="BJ35" s="152"/>
      <c r="BK35" s="152"/>
      <c r="BL35" s="152"/>
      <c r="BM35" s="152"/>
      <c r="BN35" s="152"/>
      <c r="BO35" s="152"/>
      <c r="BP35" s="152"/>
      <c r="BQ35" s="152"/>
      <c r="BR35" s="152"/>
      <c r="BS35" s="152"/>
      <c r="BT35" s="152"/>
      <c r="BU35" s="152"/>
      <c r="BV35" s="152"/>
      <c r="BW35" s="152"/>
      <c r="BX35" s="152"/>
      <c r="BY35" s="152"/>
      <c r="BZ35" s="152"/>
      <c r="CA35" s="152"/>
      <c r="CB35" s="152"/>
      <c r="CC35" s="152"/>
      <c r="CD35" s="152"/>
      <c r="CE35" s="152"/>
      <c r="CF35" s="152"/>
      <c r="CG35" s="152"/>
      <c r="CH35" s="152"/>
      <c r="CI35" s="152"/>
      <c r="CJ35" s="152"/>
      <c r="CK35" s="152"/>
      <c r="CL35" s="152"/>
      <c r="CM35" s="152"/>
      <c r="CN35" s="152"/>
      <c r="CO35" s="152"/>
      <c r="CP35" s="152"/>
      <c r="CQ35" s="152"/>
      <c r="CR35" s="152"/>
      <c r="CS35" s="152"/>
      <c r="CT35" s="152"/>
      <c r="CU35" s="152"/>
      <c r="CV35" s="152"/>
      <c r="CW35" s="152"/>
      <c r="CX35" s="152"/>
      <c r="CY35" s="152"/>
      <c r="CZ35" s="152"/>
      <c r="DA35" s="152"/>
      <c r="DB35" s="152"/>
      <c r="DC35" s="152"/>
      <c r="DD35" s="152"/>
      <c r="DE35" s="152"/>
      <c r="DF35" s="152"/>
      <c r="DG35" s="152"/>
      <c r="DH35" s="152"/>
      <c r="DI35" s="152"/>
      <c r="DJ35" s="152"/>
      <c r="DK35" s="152"/>
      <c r="DL35" s="152"/>
      <c r="DM35" s="152"/>
      <c r="DN35" s="152"/>
      <c r="DO35" s="152"/>
      <c r="DP35" s="152"/>
      <c r="DQ35" s="152"/>
      <c r="DR35" s="152"/>
      <c r="DS35" s="152"/>
      <c r="DT35" s="152"/>
      <c r="DU35" s="152"/>
      <c r="DV35" s="152"/>
      <c r="DW35" s="152"/>
      <c r="DX35" s="152"/>
      <c r="DY35" s="152"/>
      <c r="DZ35" s="152"/>
      <c r="EA35" s="152"/>
      <c r="EB35" s="152"/>
      <c r="EC35" s="152"/>
      <c r="ED35" s="152"/>
      <c r="EE35" s="152"/>
      <c r="EF35" s="152"/>
      <c r="EG35" s="152"/>
      <c r="EH35" s="152"/>
      <c r="EI35" s="152"/>
      <c r="EJ35" s="152"/>
      <c r="EK35" s="152"/>
      <c r="EL35" s="152"/>
      <c r="EM35" s="152"/>
      <c r="EN35" s="152"/>
      <c r="EO35" s="152"/>
      <c r="EP35" s="152"/>
      <c r="EQ35" s="152"/>
      <c r="ER35" s="152"/>
      <c r="ES35" s="152"/>
      <c r="ET35" s="152"/>
      <c r="EU35" s="152"/>
      <c r="EV35" s="152"/>
      <c r="EW35" s="152"/>
      <c r="EX35" s="152"/>
      <c r="EY35" s="152"/>
      <c r="EZ35" s="152"/>
      <c r="FA35" s="152"/>
      <c r="FB35" s="152"/>
      <c r="FC35" s="152"/>
      <c r="FD35" s="152"/>
      <c r="FE35" s="152"/>
      <c r="FF35" s="152"/>
      <c r="FG35" s="152"/>
      <c r="FH35" s="152"/>
      <c r="FI35" s="152"/>
      <c r="FJ35" s="152"/>
      <c r="FK35" s="152"/>
      <c r="FL35" s="152"/>
      <c r="FM35" s="152"/>
      <c r="FN35" s="152"/>
      <c r="FO35" s="152"/>
      <c r="FP35" s="152"/>
      <c r="FQ35" s="152"/>
      <c r="FR35" s="152"/>
      <c r="FS35" s="152"/>
      <c r="FT35" s="152"/>
      <c r="FU35" s="152"/>
      <c r="FV35" s="152"/>
      <c r="FW35" s="152"/>
      <c r="FX35" s="152"/>
      <c r="FY35" s="152"/>
      <c r="FZ35" s="152"/>
      <c r="GA35" s="152"/>
      <c r="GB35" s="152"/>
      <c r="GC35" s="152"/>
      <c r="GD35" s="152"/>
      <c r="GE35" s="152"/>
      <c r="GF35" s="152"/>
      <c r="GG35" s="152"/>
      <c r="GH35" s="152"/>
      <c r="GI35" s="152"/>
      <c r="GJ35" s="152"/>
      <c r="GK35" s="152"/>
      <c r="GL35" s="152"/>
      <c r="GM35" s="152"/>
      <c r="GN35" s="152"/>
      <c r="GO35" s="152"/>
      <c r="GP35" s="152"/>
      <c r="GQ35" s="152"/>
      <c r="GR35" s="152"/>
      <c r="GS35" s="152"/>
      <c r="GT35" s="152"/>
      <c r="GU35" s="152"/>
      <c r="GV35" s="152"/>
      <c r="GW35" s="152"/>
      <c r="GX35" s="152"/>
      <c r="GY35" s="152"/>
      <c r="GZ35" s="152"/>
      <c r="HA35" s="152"/>
      <c r="HB35" s="152"/>
      <c r="HC35" s="152"/>
      <c r="HD35" s="152"/>
      <c r="HE35" s="152"/>
      <c r="HF35" s="152"/>
      <c r="HG35" s="152"/>
      <c r="HH35" s="152"/>
      <c r="HI35" s="152"/>
      <c r="HJ35" s="152"/>
      <c r="HK35" s="152"/>
      <c r="HL35" s="152"/>
      <c r="HM35" s="152"/>
      <c r="HN35" s="152"/>
      <c r="HO35" s="152"/>
      <c r="HP35" s="152"/>
      <c r="HQ35" s="152"/>
      <c r="HR35" s="152"/>
      <c r="HS35" s="152"/>
      <c r="HT35" s="152"/>
      <c r="HU35" s="152"/>
      <c r="HV35" s="152"/>
      <c r="HW35" s="152"/>
      <c r="HX35" s="152"/>
      <c r="HY35" s="152"/>
      <c r="HZ35" s="152"/>
      <c r="IA35" s="152"/>
      <c r="IB35" s="152"/>
      <c r="IC35" s="152"/>
      <c r="ID35" s="152"/>
      <c r="IE35" s="152"/>
      <c r="IF35" s="152"/>
      <c r="IG35" s="152"/>
      <c r="IH35" s="152"/>
      <c r="II35" s="152"/>
      <c r="IJ35" s="152"/>
      <c r="IK35" s="152"/>
      <c r="IL35" s="152"/>
      <c r="IM35" s="152"/>
      <c r="IN35" s="152"/>
      <c r="IO35" s="152"/>
      <c r="IP35" s="152"/>
      <c r="IQ35" s="152"/>
      <c r="IR35" s="152"/>
      <c r="IS35" s="152"/>
      <c r="IT35" s="152"/>
      <c r="IU35" s="152"/>
      <c r="IV35" s="152"/>
      <c r="IW35" s="152"/>
      <c r="IX35" s="152"/>
      <c r="IY35" s="152"/>
      <c r="IZ35" s="152"/>
      <c r="JA35" s="152"/>
      <c r="JB35" s="152"/>
      <c r="JC35" s="152"/>
      <c r="JD35" s="152"/>
      <c r="JE35" s="152"/>
      <c r="JF35" s="152"/>
      <c r="JG35" s="152"/>
      <c r="JH35" s="152"/>
      <c r="JI35" s="152"/>
      <c r="JJ35" s="152"/>
      <c r="JK35" s="152"/>
      <c r="JL35" s="152"/>
      <c r="JM35" s="152"/>
      <c r="JN35" s="152"/>
      <c r="JO35" s="152"/>
      <c r="JP35" s="152"/>
      <c r="JQ35" s="152"/>
      <c r="JR35" s="152"/>
      <c r="JS35" s="152"/>
      <c r="JT35" s="152"/>
      <c r="JU35" s="152"/>
      <c r="JV35" s="152"/>
      <c r="JW35" s="152"/>
      <c r="JX35" s="152"/>
      <c r="JY35" s="152"/>
      <c r="JZ35" s="152"/>
      <c r="KA35" s="152"/>
      <c r="KB35" s="152"/>
      <c r="KC35" s="152"/>
      <c r="KD35" s="152"/>
      <c r="KE35" s="152"/>
      <c r="KF35" s="152"/>
      <c r="KG35" s="152"/>
      <c r="KH35" s="152"/>
      <c r="KI35" s="152"/>
      <c r="KJ35" s="152"/>
      <c r="KK35" s="152"/>
      <c r="KL35" s="152"/>
      <c r="KM35" s="152"/>
      <c r="KN35" s="152"/>
      <c r="KO35" s="152"/>
      <c r="KP35" s="152"/>
      <c r="KQ35" s="152"/>
      <c r="KR35" s="152"/>
      <c r="KS35" s="152"/>
      <c r="KT35" s="152"/>
      <c r="KU35" s="152"/>
      <c r="KV35" s="152"/>
      <c r="KW35" s="152"/>
      <c r="KX35" s="152"/>
      <c r="KY35" s="152"/>
      <c r="KZ35" s="152"/>
      <c r="LA35" s="152"/>
      <c r="LB35" s="152"/>
      <c r="LC35" s="152"/>
      <c r="LD35" s="152"/>
      <c r="LE35" s="152"/>
      <c r="LF35" s="152"/>
    </row>
    <row r="36" spans="1:318" ht="30">
      <c r="A36" s="159" t="s">
        <v>226</v>
      </c>
      <c r="B36" s="156">
        <f>X8+Y8</f>
        <v>7000</v>
      </c>
      <c r="C36" s="157"/>
      <c r="D36" s="156"/>
      <c r="O36" s="139" t="s">
        <v>227</v>
      </c>
      <c r="Q36" s="140"/>
      <c r="R36" s="139"/>
      <c r="S36" s="188">
        <f>($A$8*$B$8+(1-$J$11)*$A$11*$B$11+$S$8+$X$8+$Y$8)*15%*4%</f>
        <v>4254</v>
      </c>
      <c r="T36" s="188">
        <f t="shared" ref="T36:AQ36" si="19">($A$8*$B$8+(1-$J$11)*$A$11*$B$11+$S$8+$X$8+$Y$8)*15%*4%</f>
        <v>4254</v>
      </c>
      <c r="U36" s="188">
        <f t="shared" si="19"/>
        <v>4254</v>
      </c>
      <c r="V36" s="188">
        <f t="shared" si="19"/>
        <v>4254</v>
      </c>
      <c r="W36" s="188">
        <f t="shared" si="19"/>
        <v>4254</v>
      </c>
      <c r="X36" s="188">
        <f t="shared" si="19"/>
        <v>4254</v>
      </c>
      <c r="Y36" s="188">
        <f t="shared" si="19"/>
        <v>4254</v>
      </c>
      <c r="Z36" s="188">
        <f t="shared" si="19"/>
        <v>4254</v>
      </c>
      <c r="AA36" s="188">
        <f t="shared" si="19"/>
        <v>4254</v>
      </c>
      <c r="AB36" s="188">
        <f t="shared" si="19"/>
        <v>4254</v>
      </c>
      <c r="AC36" s="188">
        <f t="shared" si="19"/>
        <v>4254</v>
      </c>
      <c r="AD36" s="188">
        <f t="shared" si="19"/>
        <v>4254</v>
      </c>
      <c r="AE36" s="188">
        <f t="shared" si="19"/>
        <v>4254</v>
      </c>
      <c r="AF36" s="188">
        <f t="shared" si="19"/>
        <v>4254</v>
      </c>
      <c r="AG36" s="188">
        <f t="shared" si="19"/>
        <v>4254</v>
      </c>
      <c r="AH36" s="188">
        <f t="shared" si="19"/>
        <v>4254</v>
      </c>
      <c r="AI36" s="188">
        <f t="shared" si="19"/>
        <v>4254</v>
      </c>
      <c r="AJ36" s="188">
        <f t="shared" si="19"/>
        <v>4254</v>
      </c>
      <c r="AK36" s="188">
        <f t="shared" si="19"/>
        <v>4254</v>
      </c>
      <c r="AL36" s="188">
        <f t="shared" si="19"/>
        <v>4254</v>
      </c>
      <c r="AM36" s="188">
        <f t="shared" si="19"/>
        <v>4254</v>
      </c>
      <c r="AN36" s="188">
        <f t="shared" si="19"/>
        <v>4254</v>
      </c>
      <c r="AO36" s="188">
        <f t="shared" si="19"/>
        <v>4254</v>
      </c>
      <c r="AP36" s="188">
        <f t="shared" si="19"/>
        <v>4254</v>
      </c>
      <c r="AQ36" s="189">
        <f t="shared" si="19"/>
        <v>4254</v>
      </c>
      <c r="AW36" s="152"/>
      <c r="AX36" s="152"/>
      <c r="AY36" s="152"/>
      <c r="AZ36" s="152"/>
      <c r="BA36" s="152"/>
      <c r="BB36" s="152"/>
      <c r="BC36" s="152"/>
      <c r="BD36" s="152"/>
      <c r="BE36" s="152"/>
      <c r="BF36" s="152"/>
      <c r="BG36" s="152"/>
      <c r="BH36" s="152"/>
      <c r="BI36" s="152"/>
      <c r="BJ36" s="152"/>
      <c r="BK36" s="152"/>
      <c r="BL36" s="152"/>
      <c r="BM36" s="152"/>
      <c r="BN36" s="152"/>
      <c r="BO36" s="152"/>
      <c r="BP36" s="152"/>
      <c r="BQ36" s="152"/>
      <c r="BR36" s="152"/>
      <c r="BS36" s="152"/>
      <c r="BT36" s="152"/>
      <c r="BU36" s="152"/>
      <c r="BV36" s="152"/>
      <c r="BW36" s="152"/>
      <c r="BX36" s="152"/>
      <c r="BY36" s="152"/>
      <c r="BZ36" s="152"/>
      <c r="CA36" s="152"/>
      <c r="CB36" s="152"/>
      <c r="CC36" s="152"/>
      <c r="CD36" s="152"/>
      <c r="CE36" s="152"/>
      <c r="CF36" s="152"/>
      <c r="CG36" s="152"/>
      <c r="CH36" s="152"/>
      <c r="CI36" s="152"/>
      <c r="CJ36" s="152"/>
      <c r="CK36" s="152"/>
      <c r="CL36" s="152"/>
      <c r="CM36" s="152"/>
      <c r="CN36" s="152"/>
      <c r="CO36" s="152"/>
      <c r="CP36" s="152"/>
      <c r="CQ36" s="152"/>
      <c r="CR36" s="152"/>
      <c r="CS36" s="152"/>
      <c r="CT36" s="152"/>
      <c r="CU36" s="152"/>
      <c r="CV36" s="152"/>
      <c r="CW36" s="152"/>
      <c r="CX36" s="152"/>
      <c r="CY36" s="152"/>
      <c r="CZ36" s="152"/>
      <c r="DA36" s="152"/>
      <c r="DB36" s="152"/>
      <c r="DC36" s="152"/>
      <c r="DD36" s="152"/>
      <c r="DE36" s="152"/>
      <c r="DF36" s="152"/>
      <c r="DG36" s="152"/>
      <c r="DH36" s="152"/>
      <c r="DI36" s="152"/>
      <c r="DJ36" s="152"/>
      <c r="DK36" s="152"/>
      <c r="DL36" s="152"/>
      <c r="DM36" s="152"/>
      <c r="DN36" s="152"/>
      <c r="DO36" s="152"/>
      <c r="DP36" s="152"/>
      <c r="DQ36" s="152"/>
      <c r="DR36" s="152"/>
      <c r="DS36" s="152"/>
      <c r="DT36" s="152"/>
      <c r="DU36" s="152"/>
      <c r="DV36" s="152"/>
      <c r="DW36" s="152"/>
      <c r="DX36" s="152"/>
      <c r="DY36" s="152"/>
      <c r="DZ36" s="152"/>
      <c r="EA36" s="152"/>
      <c r="EB36" s="152"/>
      <c r="EC36" s="152"/>
      <c r="ED36" s="152"/>
      <c r="EE36" s="152"/>
      <c r="EF36" s="152"/>
      <c r="EG36" s="152"/>
      <c r="EH36" s="152"/>
      <c r="EI36" s="152"/>
      <c r="EJ36" s="152"/>
      <c r="EK36" s="152"/>
      <c r="EL36" s="152"/>
      <c r="EM36" s="152"/>
      <c r="EN36" s="152"/>
      <c r="EO36" s="152"/>
      <c r="EP36" s="152"/>
      <c r="EQ36" s="152"/>
      <c r="ER36" s="152"/>
      <c r="ES36" s="152"/>
      <c r="ET36" s="152"/>
      <c r="EU36" s="152"/>
      <c r="EV36" s="152"/>
      <c r="EW36" s="152"/>
      <c r="EX36" s="152"/>
      <c r="EY36" s="152"/>
      <c r="EZ36" s="152"/>
      <c r="FA36" s="152"/>
      <c r="FB36" s="152"/>
      <c r="FC36" s="152"/>
      <c r="FD36" s="152"/>
      <c r="FE36" s="152"/>
      <c r="FF36" s="152"/>
      <c r="FG36" s="152"/>
      <c r="FH36" s="152"/>
      <c r="FI36" s="152"/>
      <c r="FJ36" s="152"/>
      <c r="FK36" s="152"/>
      <c r="FL36" s="152"/>
      <c r="FM36" s="152"/>
      <c r="FN36" s="152"/>
      <c r="FO36" s="152"/>
      <c r="FP36" s="152"/>
      <c r="FQ36" s="152"/>
      <c r="FR36" s="152"/>
      <c r="FS36" s="152"/>
      <c r="FT36" s="152"/>
      <c r="FU36" s="152"/>
      <c r="FV36" s="152"/>
      <c r="FW36" s="152"/>
      <c r="FX36" s="152"/>
      <c r="FY36" s="152"/>
      <c r="FZ36" s="152"/>
      <c r="GA36" s="152"/>
      <c r="GB36" s="152"/>
      <c r="GC36" s="152"/>
      <c r="GD36" s="152"/>
      <c r="GE36" s="152"/>
      <c r="GF36" s="152"/>
      <c r="GG36" s="152"/>
      <c r="GH36" s="152"/>
      <c r="GI36" s="152"/>
      <c r="GJ36" s="152"/>
      <c r="GK36" s="152"/>
      <c r="GL36" s="152"/>
      <c r="GM36" s="152"/>
      <c r="GN36" s="152"/>
      <c r="GO36" s="152"/>
      <c r="GP36" s="152"/>
      <c r="GQ36" s="152"/>
      <c r="GR36" s="152"/>
      <c r="GS36" s="152"/>
      <c r="GT36" s="152"/>
      <c r="GU36" s="152"/>
      <c r="GV36" s="152"/>
      <c r="GW36" s="152"/>
      <c r="GX36" s="152"/>
      <c r="GY36" s="152"/>
      <c r="GZ36" s="152"/>
      <c r="HA36" s="152"/>
      <c r="HB36" s="152"/>
      <c r="HC36" s="152"/>
      <c r="HD36" s="152"/>
      <c r="HE36" s="152"/>
      <c r="HF36" s="152"/>
      <c r="HG36" s="152"/>
      <c r="HH36" s="152"/>
      <c r="HI36" s="152"/>
      <c r="HJ36" s="152"/>
      <c r="HK36" s="152"/>
      <c r="HL36" s="152"/>
      <c r="HM36" s="152"/>
      <c r="HN36" s="152"/>
      <c r="HO36" s="152"/>
      <c r="HP36" s="152"/>
      <c r="HQ36" s="152"/>
      <c r="HR36" s="152"/>
      <c r="HS36" s="152"/>
      <c r="HT36" s="152"/>
      <c r="HU36" s="152"/>
      <c r="HV36" s="152"/>
      <c r="HW36" s="152"/>
      <c r="HX36" s="152"/>
      <c r="HY36" s="152"/>
      <c r="HZ36" s="152"/>
      <c r="IA36" s="152"/>
      <c r="IB36" s="152"/>
      <c r="IC36" s="152"/>
      <c r="ID36" s="152"/>
      <c r="IE36" s="152"/>
      <c r="IF36" s="152"/>
      <c r="IG36" s="152"/>
      <c r="IH36" s="152"/>
      <c r="II36" s="152"/>
      <c r="IJ36" s="152"/>
      <c r="IK36" s="152"/>
      <c r="IL36" s="152"/>
      <c r="IM36" s="152"/>
      <c r="IN36" s="152"/>
      <c r="IO36" s="152"/>
      <c r="IP36" s="152"/>
      <c r="IQ36" s="152"/>
      <c r="IR36" s="152"/>
      <c r="IS36" s="152"/>
      <c r="IT36" s="152"/>
      <c r="IU36" s="152"/>
      <c r="IV36" s="152"/>
      <c r="IW36" s="152"/>
      <c r="IX36" s="152"/>
      <c r="IY36" s="152"/>
      <c r="IZ36" s="152"/>
      <c r="JA36" s="152"/>
      <c r="JB36" s="152"/>
      <c r="JC36" s="152"/>
      <c r="JD36" s="152"/>
      <c r="JE36" s="152"/>
      <c r="JF36" s="152"/>
      <c r="JG36" s="152"/>
      <c r="JH36" s="152"/>
      <c r="JI36" s="152"/>
      <c r="JJ36" s="152"/>
      <c r="JK36" s="152"/>
      <c r="JL36" s="152"/>
      <c r="JM36" s="152"/>
      <c r="JN36" s="152"/>
      <c r="JO36" s="152"/>
      <c r="JP36" s="152"/>
      <c r="JQ36" s="152"/>
      <c r="JR36" s="152"/>
      <c r="JS36" s="152"/>
      <c r="JT36" s="152"/>
      <c r="JU36" s="152"/>
      <c r="JV36" s="152"/>
      <c r="JW36" s="152"/>
      <c r="JX36" s="152"/>
      <c r="JY36" s="152"/>
      <c r="JZ36" s="152"/>
      <c r="KA36" s="152"/>
      <c r="KB36" s="152"/>
      <c r="KC36" s="152"/>
      <c r="KD36" s="152"/>
      <c r="KE36" s="152"/>
      <c r="KF36" s="152"/>
      <c r="KG36" s="152"/>
      <c r="KH36" s="152"/>
      <c r="KI36" s="152"/>
      <c r="KJ36" s="152"/>
      <c r="KK36" s="152"/>
      <c r="KL36" s="152"/>
      <c r="KM36" s="152"/>
      <c r="KN36" s="152"/>
      <c r="KO36" s="152"/>
      <c r="KP36" s="152"/>
      <c r="KQ36" s="152"/>
      <c r="KR36" s="152"/>
      <c r="KS36" s="152"/>
      <c r="KT36" s="152"/>
      <c r="KU36" s="152"/>
      <c r="KV36" s="152"/>
      <c r="KW36" s="152"/>
      <c r="KX36" s="152"/>
      <c r="KY36" s="152"/>
      <c r="KZ36" s="152"/>
      <c r="LA36" s="152"/>
      <c r="LB36" s="152"/>
      <c r="LC36" s="152"/>
      <c r="LD36" s="152"/>
      <c r="LE36" s="152"/>
      <c r="LF36" s="152"/>
    </row>
    <row r="37" spans="1:318" ht="15.75" thickBot="1">
      <c r="A37" s="156" t="s">
        <v>228</v>
      </c>
      <c r="B37" s="160">
        <f>F8</f>
        <v>1</v>
      </c>
      <c r="C37" s="157"/>
      <c r="D37" s="156"/>
      <c r="O37" s="139"/>
      <c r="Q37" s="140"/>
      <c r="R37" s="139"/>
      <c r="S37" s="188"/>
      <c r="T37" s="188"/>
      <c r="U37" s="188"/>
      <c r="V37" s="188"/>
      <c r="W37" s="188"/>
      <c r="X37" s="188"/>
      <c r="Y37" s="188"/>
      <c r="Z37" s="188"/>
      <c r="AA37" s="188"/>
      <c r="AB37" s="188"/>
      <c r="AC37" s="188"/>
      <c r="AD37" s="188"/>
      <c r="AE37" s="188"/>
      <c r="AF37" s="188"/>
      <c r="AG37" s="188"/>
      <c r="AH37" s="188"/>
      <c r="AI37" s="188"/>
      <c r="AJ37" s="188"/>
      <c r="AK37" s="188"/>
      <c r="AL37" s="188"/>
      <c r="AM37" s="188"/>
      <c r="AN37" s="188"/>
      <c r="AO37" s="188"/>
      <c r="AP37" s="188"/>
      <c r="AQ37" s="189"/>
      <c r="AW37" s="154"/>
      <c r="AX37" s="154"/>
      <c r="AY37" s="154"/>
      <c r="AZ37" s="154"/>
      <c r="BA37" s="154"/>
      <c r="BB37" s="154"/>
      <c r="BC37" s="154"/>
      <c r="BD37" s="154"/>
      <c r="BE37" s="154"/>
      <c r="BF37" s="154"/>
      <c r="BG37" s="154"/>
      <c r="BH37" s="154"/>
      <c r="BI37" s="154"/>
      <c r="BJ37" s="154"/>
      <c r="BK37" s="154"/>
      <c r="BL37" s="154"/>
      <c r="BM37" s="154"/>
      <c r="BN37" s="154"/>
      <c r="BO37" s="154"/>
      <c r="BP37" s="154"/>
      <c r="BQ37" s="154"/>
      <c r="BR37" s="154"/>
      <c r="BS37" s="154"/>
      <c r="BT37" s="154"/>
      <c r="BU37" s="154"/>
      <c r="BV37" s="154"/>
      <c r="BW37" s="154"/>
      <c r="BX37" s="154"/>
      <c r="BY37" s="154"/>
      <c r="BZ37" s="154"/>
      <c r="CA37" s="154"/>
      <c r="CB37" s="154"/>
      <c r="CC37" s="154"/>
      <c r="CD37" s="154"/>
      <c r="CE37" s="154"/>
      <c r="CF37" s="154"/>
      <c r="CG37" s="154"/>
      <c r="CH37" s="154"/>
      <c r="CI37" s="154"/>
      <c r="CJ37" s="154"/>
      <c r="CK37" s="154"/>
      <c r="CL37" s="154"/>
      <c r="CM37" s="154"/>
      <c r="CN37" s="154"/>
      <c r="CO37" s="154"/>
      <c r="CP37" s="154"/>
      <c r="CQ37" s="154"/>
      <c r="CR37" s="154"/>
      <c r="CS37" s="154"/>
      <c r="CT37" s="154"/>
      <c r="CU37" s="154"/>
      <c r="CV37" s="154"/>
      <c r="CW37" s="154"/>
      <c r="CX37" s="154"/>
      <c r="CY37" s="154"/>
      <c r="CZ37" s="154"/>
      <c r="DA37" s="154"/>
      <c r="DB37" s="154"/>
      <c r="DC37" s="154"/>
      <c r="DD37" s="154"/>
      <c r="DE37" s="154"/>
      <c r="DF37" s="154"/>
      <c r="DG37" s="154"/>
      <c r="DH37" s="154"/>
      <c r="DI37" s="154"/>
      <c r="DJ37" s="154"/>
      <c r="DK37" s="154"/>
      <c r="DL37" s="154"/>
      <c r="DM37" s="154"/>
      <c r="DN37" s="154"/>
      <c r="DO37" s="154"/>
      <c r="DP37" s="154"/>
      <c r="DQ37" s="154"/>
      <c r="DR37" s="154"/>
      <c r="DS37" s="154"/>
      <c r="DT37" s="154"/>
      <c r="DU37" s="154"/>
      <c r="DV37" s="154"/>
      <c r="DW37" s="154"/>
      <c r="DX37" s="154"/>
      <c r="DY37" s="154"/>
      <c r="DZ37" s="154"/>
      <c r="EA37" s="154"/>
      <c r="EB37" s="154"/>
      <c r="EC37" s="154"/>
      <c r="ED37" s="154"/>
      <c r="EE37" s="154"/>
      <c r="EF37" s="154"/>
      <c r="EG37" s="154"/>
      <c r="EH37" s="154"/>
      <c r="EI37" s="154"/>
      <c r="EJ37" s="154"/>
      <c r="EK37" s="154"/>
      <c r="EL37" s="154"/>
      <c r="EM37" s="154"/>
      <c r="EN37" s="154"/>
      <c r="EO37" s="154"/>
      <c r="EP37" s="154"/>
      <c r="EQ37" s="154"/>
      <c r="ER37" s="154"/>
      <c r="ES37" s="154"/>
      <c r="ET37" s="154"/>
      <c r="EU37" s="154"/>
      <c r="EV37" s="154"/>
      <c r="EW37" s="154"/>
      <c r="EX37" s="154"/>
      <c r="EY37" s="154"/>
      <c r="EZ37" s="154"/>
      <c r="FA37" s="154"/>
      <c r="FB37" s="154"/>
      <c r="FC37" s="154"/>
      <c r="FD37" s="154"/>
      <c r="FE37" s="154"/>
      <c r="FF37" s="154"/>
      <c r="FG37" s="154"/>
      <c r="FH37" s="154"/>
      <c r="FI37" s="154"/>
      <c r="FJ37" s="154"/>
      <c r="FK37" s="154"/>
      <c r="FL37" s="154"/>
      <c r="FM37" s="154"/>
      <c r="FN37" s="154"/>
      <c r="FO37" s="154"/>
      <c r="FP37" s="154"/>
      <c r="FQ37" s="154"/>
      <c r="FR37" s="154"/>
      <c r="FS37" s="154"/>
      <c r="FT37" s="154"/>
      <c r="FU37" s="154"/>
      <c r="FV37" s="154"/>
      <c r="FW37" s="154"/>
      <c r="FX37" s="154"/>
      <c r="FY37" s="154"/>
      <c r="FZ37" s="154"/>
      <c r="GA37" s="154"/>
      <c r="GB37" s="154"/>
      <c r="GC37" s="154"/>
      <c r="GD37" s="154"/>
      <c r="GE37" s="154"/>
      <c r="GF37" s="154"/>
      <c r="GG37" s="154"/>
      <c r="GH37" s="154"/>
      <c r="GI37" s="154"/>
      <c r="GJ37" s="154"/>
      <c r="GK37" s="154"/>
      <c r="GL37" s="154"/>
      <c r="GM37" s="154"/>
      <c r="GN37" s="154"/>
      <c r="GO37" s="154"/>
      <c r="GP37" s="154"/>
      <c r="GQ37" s="154"/>
      <c r="GR37" s="154"/>
      <c r="GS37" s="154"/>
      <c r="GT37" s="154"/>
      <c r="GU37" s="154"/>
      <c r="GV37" s="154"/>
      <c r="GW37" s="154"/>
      <c r="GX37" s="154"/>
      <c r="GY37" s="154"/>
      <c r="GZ37" s="154"/>
      <c r="HA37" s="154"/>
      <c r="HB37" s="154"/>
      <c r="HC37" s="154"/>
      <c r="HD37" s="154"/>
      <c r="HE37" s="154"/>
      <c r="HF37" s="154"/>
      <c r="HG37" s="154"/>
      <c r="HH37" s="154"/>
      <c r="HI37" s="154"/>
      <c r="HJ37" s="154"/>
      <c r="HK37" s="154"/>
      <c r="HL37" s="154"/>
      <c r="HM37" s="154"/>
      <c r="HN37" s="154"/>
      <c r="HO37" s="154"/>
      <c r="HP37" s="154"/>
      <c r="HQ37" s="154"/>
      <c r="HR37" s="154"/>
      <c r="HS37" s="154"/>
      <c r="HT37" s="154"/>
      <c r="HU37" s="154"/>
      <c r="HV37" s="154"/>
      <c r="HW37" s="154"/>
      <c r="HX37" s="154"/>
      <c r="HY37" s="154"/>
      <c r="HZ37" s="154"/>
      <c r="IA37" s="154"/>
      <c r="IB37" s="154"/>
      <c r="IC37" s="154"/>
      <c r="ID37" s="154"/>
      <c r="IE37" s="154"/>
      <c r="IF37" s="154"/>
      <c r="IG37" s="154"/>
      <c r="IH37" s="154"/>
      <c r="II37" s="154"/>
      <c r="IJ37" s="154"/>
      <c r="IK37" s="154"/>
      <c r="IL37" s="154"/>
      <c r="IM37" s="154"/>
      <c r="IN37" s="154"/>
      <c r="IO37" s="154"/>
      <c r="IP37" s="154"/>
      <c r="IQ37" s="154"/>
      <c r="IR37" s="154"/>
      <c r="IS37" s="154"/>
      <c r="IT37" s="154"/>
      <c r="IU37" s="154"/>
      <c r="IV37" s="154"/>
      <c r="IW37" s="154"/>
      <c r="IX37" s="154"/>
      <c r="IY37" s="154"/>
      <c r="IZ37" s="154"/>
      <c r="JA37" s="154"/>
      <c r="JB37" s="154"/>
      <c r="JC37" s="154"/>
      <c r="JD37" s="154"/>
      <c r="JE37" s="154"/>
      <c r="JF37" s="154"/>
      <c r="JG37" s="154"/>
      <c r="JH37" s="154"/>
      <c r="JI37" s="154"/>
      <c r="JJ37" s="154"/>
      <c r="JK37" s="154"/>
      <c r="JL37" s="154"/>
      <c r="JM37" s="154"/>
      <c r="JN37" s="154"/>
      <c r="JO37" s="154"/>
      <c r="JP37" s="154"/>
      <c r="JQ37" s="154"/>
      <c r="JR37" s="154"/>
      <c r="JS37" s="154"/>
      <c r="JT37" s="154"/>
      <c r="JU37" s="154"/>
      <c r="JV37" s="154"/>
      <c r="JW37" s="154"/>
      <c r="JX37" s="154"/>
      <c r="JY37" s="154"/>
      <c r="JZ37" s="154"/>
      <c r="KA37" s="154"/>
      <c r="KB37" s="154"/>
      <c r="KC37" s="154"/>
      <c r="KD37" s="154"/>
      <c r="KE37" s="154"/>
      <c r="KF37" s="154"/>
      <c r="KG37" s="154"/>
      <c r="KH37" s="154"/>
      <c r="KI37" s="154"/>
      <c r="KJ37" s="154"/>
      <c r="KK37" s="154"/>
      <c r="KL37" s="154"/>
      <c r="KM37" s="154"/>
      <c r="KN37" s="154"/>
      <c r="KO37" s="154"/>
      <c r="KP37" s="154"/>
      <c r="KQ37" s="154"/>
      <c r="KR37" s="154"/>
      <c r="KS37" s="154"/>
      <c r="KT37" s="154"/>
      <c r="KU37" s="154"/>
      <c r="KV37" s="154"/>
      <c r="KW37" s="154"/>
      <c r="KX37" s="154"/>
      <c r="KY37" s="154"/>
      <c r="KZ37" s="154"/>
      <c r="LA37" s="154"/>
      <c r="LB37" s="154"/>
      <c r="LC37" s="154"/>
      <c r="LD37" s="154"/>
      <c r="LE37" s="154"/>
      <c r="LF37" s="154"/>
    </row>
    <row r="38" spans="1:318" ht="15.75" thickBot="1">
      <c r="O38" s="192" t="s">
        <v>229</v>
      </c>
      <c r="P38" s="193"/>
      <c r="Q38" s="199"/>
      <c r="R38" s="194"/>
      <c r="S38" s="195">
        <f>S33-S35-S36</f>
        <v>118341</v>
      </c>
      <c r="T38" s="195">
        <f t="shared" ref="T38:AQ38" si="20">T33-T35-T36</f>
        <v>106994.25</v>
      </c>
      <c r="U38" s="195">
        <f t="shared" si="20"/>
        <v>96264.298387499992</v>
      </c>
      <c r="V38" s="195">
        <f t="shared" si="20"/>
        <v>86115.423683848087</v>
      </c>
      <c r="W38" s="195">
        <f t="shared" si="20"/>
        <v>76513.904636658059</v>
      </c>
      <c r="X38" s="195">
        <f t="shared" si="20"/>
        <v>67427.906205126405</v>
      </c>
      <c r="Y38" s="195">
        <f t="shared" si="20"/>
        <v>58827.371983225021</v>
      </c>
      <c r="Z38" s="195">
        <f t="shared" si="20"/>
        <v>50683.922695432935</v>
      </c>
      <c r="AA38" s="195">
        <f t="shared" si="20"/>
        <v>42970.760420346021</v>
      </c>
      <c r="AB38" s="195">
        <f t="shared" si="20"/>
        <v>35662.578217011061</v>
      </c>
      <c r="AC38" s="195">
        <f t="shared" si="20"/>
        <v>89340.474847229314</v>
      </c>
      <c r="AD38" s="195">
        <f t="shared" si="20"/>
        <v>82771.874304432087</v>
      </c>
      <c r="AE38" s="195">
        <f t="shared" si="20"/>
        <v>76540.449876103288</v>
      </c>
      <c r="AF38" s="195">
        <f t="shared" si="20"/>
        <v>70626.052482169805</v>
      </c>
      <c r="AG38" s="195">
        <f t="shared" si="20"/>
        <v>65009.643046349098</v>
      </c>
      <c r="AH38" s="195">
        <f t="shared" si="20"/>
        <v>59673.228671186458</v>
      </c>
      <c r="AI38" s="195">
        <f t="shared" si="20"/>
        <v>54599.802400479166</v>
      </c>
      <c r="AJ38" s="195">
        <f t="shared" si="20"/>
        <v>49773.286365012922</v>
      </c>
      <c r="AK38" s="195">
        <f t="shared" si="20"/>
        <v>45178.478119071471</v>
      </c>
      <c r="AL38" s="195">
        <f t="shared" si="20"/>
        <v>40800.999986061695</v>
      </c>
      <c r="AM38" s="195">
        <f t="shared" si="20"/>
        <v>36627.25124185998</v>
      </c>
      <c r="AN38" s="195">
        <f t="shared" si="20"/>
        <v>33585.283771053204</v>
      </c>
      <c r="AO38" s="195">
        <f t="shared" si="20"/>
        <v>32619.499793123323</v>
      </c>
      <c r="AP38" s="195">
        <f t="shared" si="20"/>
        <v>31639.827033292975</v>
      </c>
      <c r="AQ38" s="196">
        <f t="shared" si="20"/>
        <v>30645.743234943075</v>
      </c>
      <c r="AW38" s="152"/>
      <c r="AX38" s="152"/>
      <c r="AY38" s="152"/>
      <c r="AZ38" s="152"/>
      <c r="BA38" s="152"/>
      <c r="BB38" s="152"/>
      <c r="BC38" s="152"/>
      <c r="BD38" s="152"/>
      <c r="BE38" s="152"/>
      <c r="BF38" s="152"/>
      <c r="BG38" s="152"/>
      <c r="BH38" s="152"/>
      <c r="BI38" s="152"/>
      <c r="BJ38" s="152"/>
      <c r="BK38" s="152"/>
      <c r="BL38" s="152"/>
      <c r="BM38" s="152"/>
      <c r="BN38" s="152"/>
      <c r="BO38" s="152"/>
      <c r="BP38" s="152"/>
      <c r="BQ38" s="152"/>
      <c r="BR38" s="152"/>
      <c r="BS38" s="152"/>
      <c r="BT38" s="152"/>
      <c r="BU38" s="152"/>
      <c r="BV38" s="152"/>
      <c r="BW38" s="152"/>
      <c r="BX38" s="152"/>
      <c r="BY38" s="152"/>
      <c r="BZ38" s="152"/>
      <c r="CA38" s="152"/>
      <c r="CB38" s="152"/>
      <c r="CC38" s="152"/>
      <c r="CD38" s="152"/>
      <c r="CE38" s="152"/>
      <c r="CF38" s="152"/>
      <c r="CG38" s="152"/>
      <c r="CH38" s="152"/>
      <c r="CI38" s="152"/>
      <c r="CJ38" s="152"/>
      <c r="CK38" s="152"/>
      <c r="CL38" s="152"/>
      <c r="CM38" s="152"/>
      <c r="CN38" s="152"/>
      <c r="CO38" s="152"/>
      <c r="CP38" s="152"/>
      <c r="CQ38" s="152"/>
      <c r="CR38" s="152"/>
      <c r="CS38" s="152"/>
      <c r="CT38" s="152"/>
      <c r="CU38" s="152"/>
      <c r="CV38" s="152"/>
      <c r="CW38" s="152"/>
      <c r="CX38" s="152"/>
      <c r="CY38" s="152"/>
      <c r="CZ38" s="152"/>
      <c r="DA38" s="152"/>
      <c r="DB38" s="152"/>
      <c r="DC38" s="152"/>
      <c r="DD38" s="152"/>
      <c r="DE38" s="152"/>
      <c r="DF38" s="152"/>
      <c r="DG38" s="152"/>
      <c r="DH38" s="152"/>
      <c r="DI38" s="152"/>
      <c r="DJ38" s="152"/>
      <c r="DK38" s="152"/>
      <c r="DL38" s="152"/>
      <c r="DM38" s="152"/>
      <c r="DN38" s="152"/>
      <c r="DO38" s="152"/>
      <c r="DP38" s="152"/>
      <c r="DQ38" s="152"/>
      <c r="DR38" s="152"/>
      <c r="DS38" s="152"/>
      <c r="DT38" s="152"/>
      <c r="DU38" s="152"/>
      <c r="DV38" s="152"/>
      <c r="DW38" s="152"/>
      <c r="DX38" s="152"/>
      <c r="DY38" s="152"/>
      <c r="DZ38" s="152"/>
      <c r="EA38" s="152"/>
      <c r="EB38" s="152"/>
      <c r="EC38" s="152"/>
      <c r="ED38" s="152"/>
      <c r="EE38" s="152"/>
      <c r="EF38" s="152"/>
      <c r="EG38" s="152"/>
      <c r="EH38" s="152"/>
      <c r="EI38" s="152"/>
      <c r="EJ38" s="152"/>
      <c r="EK38" s="152"/>
      <c r="EL38" s="152"/>
      <c r="EM38" s="152"/>
      <c r="EN38" s="152"/>
      <c r="EO38" s="152"/>
      <c r="EP38" s="152"/>
      <c r="EQ38" s="152"/>
      <c r="ER38" s="152"/>
      <c r="ES38" s="152"/>
      <c r="ET38" s="152"/>
      <c r="EU38" s="152"/>
      <c r="EV38" s="152"/>
      <c r="EW38" s="152"/>
      <c r="EX38" s="152"/>
      <c r="EY38" s="152"/>
      <c r="EZ38" s="152"/>
      <c r="FA38" s="152"/>
      <c r="FB38" s="152"/>
      <c r="FC38" s="152"/>
      <c r="FD38" s="152"/>
      <c r="FE38" s="152"/>
      <c r="FF38" s="152"/>
      <c r="FG38" s="152"/>
      <c r="FH38" s="152"/>
      <c r="FI38" s="152"/>
      <c r="FJ38" s="152"/>
      <c r="FK38" s="152"/>
      <c r="FL38" s="152"/>
      <c r="FM38" s="152"/>
      <c r="FN38" s="152"/>
      <c r="FO38" s="152"/>
      <c r="FP38" s="152"/>
      <c r="FQ38" s="152"/>
      <c r="FR38" s="152"/>
      <c r="FS38" s="152"/>
      <c r="FT38" s="152"/>
      <c r="FU38" s="152"/>
      <c r="FV38" s="152"/>
      <c r="FW38" s="152"/>
      <c r="FX38" s="152"/>
      <c r="FY38" s="152"/>
      <c r="FZ38" s="152"/>
      <c r="GA38" s="152"/>
      <c r="GB38" s="152"/>
      <c r="GC38" s="152"/>
      <c r="GD38" s="152"/>
      <c r="GE38" s="152"/>
      <c r="GF38" s="152"/>
      <c r="GG38" s="152"/>
      <c r="GH38" s="152"/>
      <c r="GI38" s="152"/>
      <c r="GJ38" s="152"/>
      <c r="GK38" s="152"/>
      <c r="GL38" s="152"/>
      <c r="GM38" s="152"/>
      <c r="GN38" s="152"/>
      <c r="GO38" s="152"/>
      <c r="GP38" s="152"/>
      <c r="GQ38" s="152"/>
      <c r="GR38" s="152"/>
      <c r="GS38" s="152"/>
      <c r="GT38" s="152"/>
      <c r="GU38" s="152"/>
      <c r="GV38" s="152"/>
      <c r="GW38" s="152"/>
      <c r="GX38" s="152"/>
      <c r="GY38" s="152"/>
      <c r="GZ38" s="152"/>
      <c r="HA38" s="152"/>
      <c r="HB38" s="152"/>
      <c r="HC38" s="152"/>
      <c r="HD38" s="152"/>
      <c r="HE38" s="152"/>
      <c r="HF38" s="152"/>
      <c r="HG38" s="152"/>
      <c r="HH38" s="152"/>
      <c r="HI38" s="152"/>
      <c r="HJ38" s="152"/>
      <c r="HK38" s="152"/>
      <c r="HL38" s="152"/>
      <c r="HM38" s="152"/>
      <c r="HN38" s="152"/>
      <c r="HO38" s="152"/>
      <c r="HP38" s="152"/>
      <c r="HQ38" s="152"/>
      <c r="HR38" s="152"/>
      <c r="HS38" s="152"/>
      <c r="HT38" s="152"/>
      <c r="HU38" s="152"/>
      <c r="HV38" s="152"/>
      <c r="HW38" s="152"/>
      <c r="HX38" s="152"/>
      <c r="HY38" s="152"/>
      <c r="HZ38" s="152"/>
      <c r="IA38" s="152"/>
      <c r="IB38" s="152"/>
      <c r="IC38" s="152"/>
      <c r="ID38" s="152"/>
      <c r="IE38" s="152"/>
      <c r="IF38" s="152"/>
      <c r="IG38" s="152"/>
      <c r="IH38" s="152"/>
      <c r="II38" s="152"/>
      <c r="IJ38" s="152"/>
      <c r="IK38" s="152"/>
      <c r="IL38" s="152"/>
      <c r="IM38" s="152"/>
      <c r="IN38" s="152"/>
      <c r="IO38" s="152"/>
      <c r="IP38" s="152"/>
      <c r="IQ38" s="152"/>
      <c r="IR38" s="152"/>
      <c r="IS38" s="152"/>
      <c r="IT38" s="152"/>
      <c r="IU38" s="152"/>
      <c r="IV38" s="152"/>
      <c r="IW38" s="152"/>
      <c r="IX38" s="152"/>
      <c r="IY38" s="152"/>
      <c r="IZ38" s="152"/>
      <c r="JA38" s="152"/>
      <c r="JB38" s="152"/>
      <c r="JC38" s="152"/>
      <c r="JD38" s="152"/>
      <c r="JE38" s="152"/>
      <c r="JF38" s="152"/>
      <c r="JG38" s="152"/>
      <c r="JH38" s="152"/>
      <c r="JI38" s="152"/>
      <c r="JJ38" s="152"/>
      <c r="JK38" s="152"/>
      <c r="JL38" s="152"/>
      <c r="JM38" s="152"/>
      <c r="JN38" s="152"/>
      <c r="JO38" s="152"/>
      <c r="JP38" s="152"/>
      <c r="JQ38" s="152"/>
      <c r="JR38" s="152"/>
      <c r="JS38" s="152"/>
      <c r="JT38" s="152"/>
      <c r="JU38" s="152"/>
      <c r="JV38" s="152"/>
      <c r="JW38" s="152"/>
      <c r="JX38" s="152"/>
      <c r="JY38" s="152"/>
      <c r="JZ38" s="152"/>
      <c r="KA38" s="152"/>
      <c r="KB38" s="152"/>
      <c r="KC38" s="152"/>
      <c r="KD38" s="152"/>
      <c r="KE38" s="152"/>
      <c r="KF38" s="152"/>
      <c r="KG38" s="152"/>
      <c r="KH38" s="152"/>
      <c r="KI38" s="152"/>
      <c r="KJ38" s="152"/>
      <c r="KK38" s="152"/>
      <c r="KL38" s="152"/>
      <c r="KM38" s="152"/>
      <c r="KN38" s="152"/>
      <c r="KO38" s="152"/>
      <c r="KP38" s="152"/>
      <c r="KQ38" s="152"/>
      <c r="KR38" s="152"/>
      <c r="KS38" s="152"/>
      <c r="KT38" s="152"/>
      <c r="KU38" s="152"/>
      <c r="KV38" s="152"/>
      <c r="KW38" s="152"/>
      <c r="KX38" s="152"/>
      <c r="KY38" s="152"/>
      <c r="KZ38" s="152"/>
      <c r="LA38" s="152"/>
      <c r="LB38" s="152"/>
      <c r="LC38" s="152"/>
      <c r="LD38" s="152"/>
      <c r="LE38" s="152"/>
      <c r="LF38" s="152"/>
    </row>
    <row r="39" spans="1:318">
      <c r="O39" s="139"/>
      <c r="Q39" s="140"/>
      <c r="R39" s="139"/>
      <c r="S39" s="188"/>
      <c r="T39" s="188"/>
      <c r="U39" s="188"/>
      <c r="V39" s="188"/>
      <c r="W39" s="188"/>
      <c r="X39" s="188"/>
      <c r="Y39" s="188"/>
      <c r="Z39" s="188"/>
      <c r="AA39" s="188"/>
      <c r="AB39" s="188"/>
      <c r="AC39" s="188"/>
      <c r="AD39" s="188"/>
      <c r="AE39" s="188"/>
      <c r="AF39" s="188"/>
      <c r="AG39" s="188"/>
      <c r="AH39" s="188"/>
      <c r="AI39" s="188"/>
      <c r="AJ39" s="188"/>
      <c r="AK39" s="188"/>
      <c r="AL39" s="188"/>
      <c r="AM39" s="188"/>
      <c r="AN39" s="188"/>
      <c r="AO39" s="188"/>
      <c r="AP39" s="188"/>
      <c r="AQ39" s="189"/>
      <c r="AW39" s="152"/>
      <c r="AX39" s="152"/>
      <c r="AY39" s="152"/>
      <c r="AZ39" s="152"/>
      <c r="BA39" s="152"/>
      <c r="BB39" s="152"/>
      <c r="BC39" s="152"/>
      <c r="BD39" s="152"/>
      <c r="BE39" s="152"/>
      <c r="BF39" s="152"/>
      <c r="BG39" s="152"/>
      <c r="BH39" s="152"/>
      <c r="BI39" s="152"/>
      <c r="BJ39" s="152"/>
      <c r="BK39" s="152"/>
      <c r="BL39" s="152"/>
      <c r="BM39" s="152"/>
      <c r="BN39" s="152"/>
      <c r="BO39" s="152"/>
      <c r="BP39" s="152"/>
      <c r="BQ39" s="152"/>
      <c r="BR39" s="152"/>
      <c r="BS39" s="152"/>
      <c r="BT39" s="152"/>
      <c r="BU39" s="152"/>
      <c r="BV39" s="152"/>
      <c r="BW39" s="152"/>
      <c r="BX39" s="152"/>
      <c r="BY39" s="152"/>
      <c r="BZ39" s="152"/>
      <c r="CA39" s="152"/>
      <c r="CB39" s="152"/>
      <c r="CC39" s="152"/>
      <c r="CD39" s="152"/>
      <c r="CE39" s="152"/>
      <c r="CF39" s="152"/>
      <c r="CG39" s="152"/>
      <c r="CH39" s="152"/>
      <c r="CI39" s="152"/>
      <c r="CJ39" s="152"/>
      <c r="CK39" s="152"/>
      <c r="CL39" s="152"/>
      <c r="CM39" s="152"/>
      <c r="CN39" s="152"/>
      <c r="CO39" s="152"/>
      <c r="CP39" s="152"/>
      <c r="CQ39" s="152"/>
      <c r="CR39" s="152"/>
      <c r="CS39" s="152"/>
      <c r="CT39" s="152"/>
      <c r="CU39" s="152"/>
      <c r="CV39" s="152"/>
      <c r="CW39" s="152"/>
      <c r="CX39" s="152"/>
      <c r="CY39" s="152"/>
      <c r="CZ39" s="152"/>
      <c r="DA39" s="152"/>
      <c r="DB39" s="152"/>
      <c r="DC39" s="152"/>
      <c r="DD39" s="152"/>
      <c r="DE39" s="152"/>
      <c r="DF39" s="152"/>
      <c r="DG39" s="152"/>
      <c r="DH39" s="152"/>
      <c r="DI39" s="152"/>
      <c r="DJ39" s="152"/>
      <c r="DK39" s="152"/>
      <c r="DL39" s="152"/>
      <c r="DM39" s="152"/>
      <c r="DN39" s="152"/>
      <c r="DO39" s="152"/>
      <c r="DP39" s="152"/>
      <c r="DQ39" s="152"/>
      <c r="DR39" s="152"/>
      <c r="DS39" s="152"/>
      <c r="DT39" s="152"/>
      <c r="DU39" s="152"/>
      <c r="DV39" s="152"/>
      <c r="DW39" s="152"/>
      <c r="DX39" s="152"/>
      <c r="DY39" s="152"/>
      <c r="DZ39" s="152"/>
      <c r="EA39" s="152"/>
      <c r="EB39" s="152"/>
      <c r="EC39" s="152"/>
      <c r="ED39" s="152"/>
      <c r="EE39" s="152"/>
      <c r="EF39" s="152"/>
      <c r="EG39" s="152"/>
      <c r="EH39" s="152"/>
      <c r="EI39" s="152"/>
      <c r="EJ39" s="152"/>
      <c r="EK39" s="152"/>
      <c r="EL39" s="152"/>
      <c r="EM39" s="152"/>
      <c r="EN39" s="152"/>
      <c r="EO39" s="152"/>
      <c r="EP39" s="152"/>
      <c r="EQ39" s="152"/>
      <c r="ER39" s="152"/>
      <c r="ES39" s="152"/>
      <c r="ET39" s="152"/>
      <c r="EU39" s="152"/>
      <c r="EV39" s="152"/>
      <c r="EW39" s="152"/>
      <c r="EX39" s="152"/>
      <c r="EY39" s="152"/>
      <c r="EZ39" s="152"/>
      <c r="FA39" s="152"/>
      <c r="FB39" s="152"/>
      <c r="FC39" s="152"/>
      <c r="FD39" s="152"/>
      <c r="FE39" s="152"/>
      <c r="FF39" s="152"/>
      <c r="FG39" s="152"/>
      <c r="FH39" s="152"/>
      <c r="FI39" s="152"/>
      <c r="FJ39" s="152"/>
      <c r="FK39" s="152"/>
      <c r="FL39" s="152"/>
      <c r="FM39" s="152"/>
      <c r="FN39" s="152"/>
      <c r="FO39" s="152"/>
      <c r="FP39" s="152"/>
      <c r="FQ39" s="152"/>
      <c r="FR39" s="152"/>
      <c r="FS39" s="152"/>
      <c r="FT39" s="152"/>
      <c r="FU39" s="152"/>
      <c r="FV39" s="152"/>
      <c r="FW39" s="152"/>
      <c r="FX39" s="152"/>
      <c r="FY39" s="152"/>
      <c r="FZ39" s="152"/>
      <c r="GA39" s="152"/>
      <c r="GB39" s="152"/>
      <c r="GC39" s="152"/>
      <c r="GD39" s="152"/>
      <c r="GE39" s="152"/>
      <c r="GF39" s="152"/>
      <c r="GG39" s="152"/>
      <c r="GH39" s="152"/>
      <c r="GI39" s="152"/>
      <c r="GJ39" s="152"/>
      <c r="GK39" s="152"/>
      <c r="GL39" s="152"/>
      <c r="GM39" s="152"/>
      <c r="GN39" s="152"/>
      <c r="GO39" s="152"/>
      <c r="GP39" s="152"/>
      <c r="GQ39" s="152"/>
      <c r="GR39" s="152"/>
      <c r="GS39" s="152"/>
      <c r="GT39" s="152"/>
      <c r="GU39" s="152"/>
      <c r="GV39" s="152"/>
      <c r="GW39" s="152"/>
      <c r="GX39" s="152"/>
      <c r="GY39" s="152"/>
      <c r="GZ39" s="152"/>
      <c r="HA39" s="152"/>
      <c r="HB39" s="152"/>
      <c r="HC39" s="152"/>
      <c r="HD39" s="152"/>
      <c r="HE39" s="152"/>
      <c r="HF39" s="152"/>
      <c r="HG39" s="152"/>
      <c r="HH39" s="152"/>
      <c r="HI39" s="152"/>
      <c r="HJ39" s="152"/>
      <c r="HK39" s="152"/>
      <c r="HL39" s="152"/>
      <c r="HM39" s="152"/>
      <c r="HN39" s="152"/>
      <c r="HO39" s="152"/>
      <c r="HP39" s="152"/>
      <c r="HQ39" s="152"/>
      <c r="HR39" s="152"/>
      <c r="HS39" s="152"/>
      <c r="HT39" s="152"/>
      <c r="HU39" s="152"/>
      <c r="HV39" s="152"/>
      <c r="HW39" s="152"/>
      <c r="HX39" s="152"/>
      <c r="HY39" s="152"/>
      <c r="HZ39" s="152"/>
      <c r="IA39" s="152"/>
      <c r="IB39" s="152"/>
      <c r="IC39" s="152"/>
      <c r="ID39" s="152"/>
      <c r="IE39" s="152"/>
      <c r="IF39" s="152"/>
      <c r="IG39" s="152"/>
      <c r="IH39" s="152"/>
      <c r="II39" s="152"/>
      <c r="IJ39" s="152"/>
      <c r="IK39" s="152"/>
      <c r="IL39" s="152"/>
      <c r="IM39" s="152"/>
      <c r="IN39" s="152"/>
      <c r="IO39" s="152"/>
      <c r="IP39" s="152"/>
      <c r="IQ39" s="152"/>
      <c r="IR39" s="152"/>
      <c r="IS39" s="152"/>
      <c r="IT39" s="152"/>
      <c r="IU39" s="152"/>
      <c r="IV39" s="152"/>
      <c r="IW39" s="152"/>
      <c r="IX39" s="152"/>
      <c r="IY39" s="152"/>
      <c r="IZ39" s="152"/>
      <c r="JA39" s="152"/>
      <c r="JB39" s="152"/>
      <c r="JC39" s="152"/>
      <c r="JD39" s="152"/>
      <c r="JE39" s="152"/>
      <c r="JF39" s="152"/>
      <c r="JG39" s="152"/>
      <c r="JH39" s="152"/>
      <c r="JI39" s="152"/>
      <c r="JJ39" s="152"/>
      <c r="JK39" s="152"/>
      <c r="JL39" s="152"/>
      <c r="JM39" s="152"/>
      <c r="JN39" s="152"/>
      <c r="JO39" s="152"/>
      <c r="JP39" s="152"/>
      <c r="JQ39" s="152"/>
      <c r="JR39" s="152"/>
      <c r="JS39" s="152"/>
      <c r="JT39" s="152"/>
      <c r="JU39" s="152"/>
      <c r="JV39" s="152"/>
      <c r="JW39" s="152"/>
      <c r="JX39" s="152"/>
      <c r="JY39" s="152"/>
      <c r="JZ39" s="152"/>
      <c r="KA39" s="152"/>
      <c r="KB39" s="152"/>
      <c r="KC39" s="152"/>
      <c r="KD39" s="152"/>
      <c r="KE39" s="152"/>
      <c r="KF39" s="152"/>
      <c r="KG39" s="152"/>
      <c r="KH39" s="152"/>
      <c r="KI39" s="152"/>
      <c r="KJ39" s="152"/>
      <c r="KK39" s="152"/>
      <c r="KL39" s="152"/>
      <c r="KM39" s="152"/>
      <c r="KN39" s="152"/>
      <c r="KO39" s="152"/>
      <c r="KP39" s="152"/>
      <c r="KQ39" s="152"/>
      <c r="KR39" s="152"/>
      <c r="KS39" s="152"/>
      <c r="KT39" s="152"/>
      <c r="KU39" s="152"/>
      <c r="KV39" s="152"/>
      <c r="KW39" s="152"/>
      <c r="KX39" s="152"/>
      <c r="KY39" s="152"/>
      <c r="KZ39" s="152"/>
      <c r="LA39" s="152"/>
      <c r="LB39" s="152"/>
      <c r="LC39" s="152"/>
      <c r="LD39" s="152"/>
      <c r="LE39" s="152"/>
      <c r="LF39" s="152"/>
    </row>
    <row r="40" spans="1:318">
      <c r="O40" s="139" t="s">
        <v>230</v>
      </c>
      <c r="Q40" s="140"/>
      <c r="R40" s="139"/>
      <c r="S40" s="188">
        <f t="shared" ref="S40:AB40" si="21">(S13&lt;=$G$8)*(-IPMT($H$8,S13,$G$8,($A$8*$B$8+(1-$J$11)*$A$11*$B$11)*(1-$F$8)))</f>
        <v>0</v>
      </c>
      <c r="T40" s="188">
        <f t="shared" si="21"/>
        <v>0</v>
      </c>
      <c r="U40" s="188">
        <f t="shared" si="21"/>
        <v>0</v>
      </c>
      <c r="V40" s="188">
        <f t="shared" si="21"/>
        <v>0</v>
      </c>
      <c r="W40" s="188">
        <f t="shared" si="21"/>
        <v>0</v>
      </c>
      <c r="X40" s="188">
        <f t="shared" si="21"/>
        <v>0</v>
      </c>
      <c r="Y40" s="188">
        <f t="shared" si="21"/>
        <v>0</v>
      </c>
      <c r="Z40" s="188">
        <f t="shared" si="21"/>
        <v>0</v>
      </c>
      <c r="AA40" s="188">
        <f t="shared" si="21"/>
        <v>0</v>
      </c>
      <c r="AB40" s="188">
        <f t="shared" si="21"/>
        <v>0</v>
      </c>
      <c r="AC40" s="188"/>
      <c r="AD40" s="188"/>
      <c r="AE40" s="188"/>
      <c r="AF40" s="188"/>
      <c r="AG40" s="188"/>
      <c r="AH40" s="188"/>
      <c r="AI40" s="188"/>
      <c r="AJ40" s="188"/>
      <c r="AK40" s="188"/>
      <c r="AL40" s="188"/>
      <c r="AM40" s="188"/>
      <c r="AN40" s="188"/>
      <c r="AO40" s="188"/>
      <c r="AP40" s="188"/>
      <c r="AQ40" s="189"/>
      <c r="AW40" s="152"/>
      <c r="AX40" s="152"/>
      <c r="AY40" s="152"/>
      <c r="AZ40" s="152"/>
      <c r="BA40" s="152"/>
      <c r="BB40" s="152"/>
      <c r="BC40" s="152"/>
      <c r="BD40" s="152"/>
      <c r="BE40" s="152"/>
      <c r="BF40" s="152"/>
      <c r="BG40" s="152"/>
      <c r="BH40" s="152"/>
      <c r="BI40" s="152"/>
      <c r="BJ40" s="152"/>
      <c r="BK40" s="152"/>
      <c r="BL40" s="152"/>
      <c r="BM40" s="152"/>
      <c r="BN40" s="152"/>
      <c r="BO40" s="152"/>
      <c r="BP40" s="152"/>
      <c r="BQ40" s="152"/>
      <c r="BR40" s="152"/>
      <c r="BS40" s="152"/>
      <c r="BT40" s="152"/>
      <c r="BU40" s="152"/>
      <c r="BV40" s="152"/>
      <c r="BW40" s="152"/>
      <c r="BX40" s="152"/>
      <c r="BY40" s="152"/>
      <c r="BZ40" s="152"/>
      <c r="CA40" s="152"/>
      <c r="CB40" s="152"/>
      <c r="CC40" s="152"/>
      <c r="CD40" s="152"/>
      <c r="CE40" s="152"/>
      <c r="CF40" s="152"/>
      <c r="CG40" s="152"/>
      <c r="CH40" s="152"/>
      <c r="CI40" s="152"/>
      <c r="CJ40" s="152"/>
      <c r="CK40" s="152"/>
      <c r="CL40" s="152"/>
      <c r="CM40" s="152"/>
      <c r="CN40" s="152"/>
      <c r="CO40" s="152"/>
      <c r="CP40" s="152"/>
      <c r="CQ40" s="152"/>
      <c r="CR40" s="152"/>
      <c r="CS40" s="152"/>
      <c r="CT40" s="152"/>
      <c r="CU40" s="152"/>
      <c r="CV40" s="152"/>
      <c r="CW40" s="152"/>
      <c r="CX40" s="152"/>
      <c r="CY40" s="152"/>
      <c r="CZ40" s="152"/>
      <c r="DA40" s="152"/>
      <c r="DB40" s="152"/>
      <c r="DC40" s="152"/>
      <c r="DD40" s="152"/>
      <c r="DE40" s="152"/>
      <c r="DF40" s="152"/>
      <c r="DG40" s="152"/>
      <c r="DH40" s="152"/>
      <c r="DI40" s="152"/>
      <c r="DJ40" s="152"/>
      <c r="DK40" s="152"/>
      <c r="DL40" s="152"/>
      <c r="DM40" s="152"/>
      <c r="DN40" s="152"/>
      <c r="DO40" s="152"/>
      <c r="DP40" s="152"/>
      <c r="DQ40" s="152"/>
      <c r="DR40" s="152"/>
      <c r="DS40" s="152"/>
      <c r="DT40" s="152"/>
      <c r="DU40" s="152"/>
      <c r="DV40" s="152"/>
      <c r="DW40" s="152"/>
      <c r="DX40" s="152"/>
      <c r="DY40" s="152"/>
      <c r="DZ40" s="152"/>
      <c r="EA40" s="152"/>
      <c r="EB40" s="152"/>
      <c r="EC40" s="152"/>
      <c r="ED40" s="152"/>
      <c r="EE40" s="152"/>
      <c r="EF40" s="152"/>
      <c r="EG40" s="152"/>
      <c r="EH40" s="152"/>
      <c r="EI40" s="152"/>
      <c r="EJ40" s="152"/>
      <c r="EK40" s="152"/>
      <c r="EL40" s="152"/>
      <c r="EM40" s="152"/>
      <c r="EN40" s="152"/>
      <c r="EO40" s="152"/>
      <c r="EP40" s="152"/>
      <c r="EQ40" s="152"/>
      <c r="ER40" s="152"/>
      <c r="ES40" s="152"/>
      <c r="ET40" s="152"/>
      <c r="EU40" s="152"/>
      <c r="EV40" s="152"/>
      <c r="EW40" s="152"/>
      <c r="EX40" s="152"/>
      <c r="EY40" s="152"/>
      <c r="EZ40" s="152"/>
      <c r="FA40" s="152"/>
      <c r="FB40" s="152"/>
      <c r="FC40" s="152"/>
      <c r="FD40" s="152"/>
      <c r="FE40" s="152"/>
      <c r="FF40" s="152"/>
      <c r="FG40" s="152"/>
      <c r="FH40" s="152"/>
      <c r="FI40" s="152"/>
      <c r="FJ40" s="152"/>
      <c r="FK40" s="152"/>
      <c r="FL40" s="152"/>
      <c r="FM40" s="152"/>
      <c r="FN40" s="152"/>
      <c r="FO40" s="152"/>
      <c r="FP40" s="152"/>
      <c r="FQ40" s="152"/>
      <c r="FR40" s="152"/>
      <c r="FS40" s="152"/>
      <c r="FT40" s="152"/>
      <c r="FU40" s="152"/>
      <c r="FV40" s="152"/>
      <c r="FW40" s="152"/>
      <c r="FX40" s="152"/>
      <c r="FY40" s="152"/>
      <c r="FZ40" s="152"/>
      <c r="GA40" s="152"/>
      <c r="GB40" s="152"/>
      <c r="GC40" s="152"/>
      <c r="GD40" s="152"/>
      <c r="GE40" s="152"/>
      <c r="GF40" s="152"/>
      <c r="GG40" s="152"/>
      <c r="GH40" s="152"/>
      <c r="GI40" s="152"/>
      <c r="GJ40" s="152"/>
      <c r="GK40" s="152"/>
      <c r="GL40" s="152"/>
      <c r="GM40" s="152"/>
      <c r="GN40" s="152"/>
      <c r="GO40" s="152"/>
      <c r="GP40" s="152"/>
      <c r="GQ40" s="152"/>
      <c r="GR40" s="152"/>
      <c r="GS40" s="152"/>
      <c r="GT40" s="152"/>
      <c r="GU40" s="152"/>
      <c r="GV40" s="152"/>
      <c r="GW40" s="152"/>
      <c r="GX40" s="152"/>
      <c r="GY40" s="152"/>
      <c r="GZ40" s="152"/>
      <c r="HA40" s="152"/>
      <c r="HB40" s="152"/>
      <c r="HC40" s="152"/>
      <c r="HD40" s="152"/>
      <c r="HE40" s="152"/>
      <c r="HF40" s="152"/>
      <c r="HG40" s="152"/>
      <c r="HH40" s="152"/>
      <c r="HI40" s="152"/>
      <c r="HJ40" s="152"/>
      <c r="HK40" s="152"/>
      <c r="HL40" s="152"/>
      <c r="HM40" s="152"/>
      <c r="HN40" s="152"/>
      <c r="HO40" s="152"/>
      <c r="HP40" s="152"/>
      <c r="HQ40" s="152"/>
      <c r="HR40" s="152"/>
      <c r="HS40" s="152"/>
      <c r="HT40" s="152"/>
      <c r="HU40" s="152"/>
      <c r="HV40" s="152"/>
      <c r="HW40" s="152"/>
      <c r="HX40" s="152"/>
      <c r="HY40" s="152"/>
      <c r="HZ40" s="152"/>
      <c r="IA40" s="152"/>
      <c r="IB40" s="152"/>
      <c r="IC40" s="152"/>
      <c r="ID40" s="152"/>
      <c r="IE40" s="152"/>
      <c r="IF40" s="152"/>
      <c r="IG40" s="152"/>
      <c r="IH40" s="152"/>
      <c r="II40" s="152"/>
      <c r="IJ40" s="152"/>
      <c r="IK40" s="152"/>
      <c r="IL40" s="152"/>
      <c r="IM40" s="152"/>
      <c r="IN40" s="152"/>
      <c r="IO40" s="152"/>
      <c r="IP40" s="152"/>
      <c r="IQ40" s="152"/>
      <c r="IR40" s="152"/>
      <c r="IS40" s="152"/>
      <c r="IT40" s="152"/>
      <c r="IU40" s="152"/>
      <c r="IV40" s="152"/>
      <c r="IW40" s="152"/>
      <c r="IX40" s="152"/>
      <c r="IY40" s="152"/>
      <c r="IZ40" s="152"/>
      <c r="JA40" s="152"/>
      <c r="JB40" s="152"/>
      <c r="JC40" s="152"/>
      <c r="JD40" s="152"/>
      <c r="JE40" s="152"/>
      <c r="JF40" s="152"/>
      <c r="JG40" s="152"/>
      <c r="JH40" s="152"/>
      <c r="JI40" s="152"/>
      <c r="JJ40" s="152"/>
      <c r="JK40" s="152"/>
      <c r="JL40" s="152"/>
      <c r="JM40" s="152"/>
      <c r="JN40" s="152"/>
      <c r="JO40" s="152"/>
      <c r="JP40" s="152"/>
      <c r="JQ40" s="152"/>
      <c r="JR40" s="152"/>
      <c r="JS40" s="152"/>
      <c r="JT40" s="152"/>
      <c r="JU40" s="152"/>
      <c r="JV40" s="152"/>
      <c r="JW40" s="152"/>
      <c r="JX40" s="152"/>
      <c r="JY40" s="152"/>
      <c r="JZ40" s="152"/>
      <c r="KA40" s="152"/>
      <c r="KB40" s="152"/>
      <c r="KC40" s="152"/>
      <c r="KD40" s="152"/>
      <c r="KE40" s="152"/>
      <c r="KF40" s="152"/>
      <c r="KG40" s="152"/>
      <c r="KH40" s="152"/>
      <c r="KI40" s="152"/>
      <c r="KJ40" s="152"/>
      <c r="KK40" s="152"/>
      <c r="KL40" s="152"/>
      <c r="KM40" s="152"/>
      <c r="KN40" s="152"/>
      <c r="KO40" s="152"/>
      <c r="KP40" s="152"/>
      <c r="KQ40" s="152"/>
      <c r="KR40" s="152"/>
      <c r="KS40" s="152"/>
      <c r="KT40" s="152"/>
      <c r="KU40" s="152"/>
      <c r="KV40" s="152"/>
      <c r="KW40" s="152"/>
      <c r="KX40" s="152"/>
      <c r="KY40" s="152"/>
      <c r="KZ40" s="152"/>
      <c r="LA40" s="152"/>
      <c r="LB40" s="152"/>
      <c r="LC40" s="152"/>
      <c r="LD40" s="152"/>
      <c r="LE40" s="152"/>
      <c r="LF40" s="152"/>
    </row>
    <row r="41" spans="1:318">
      <c r="N41" s="58"/>
      <c r="O41" s="139" t="s">
        <v>231</v>
      </c>
      <c r="Q41" s="140"/>
      <c r="R41" s="139"/>
      <c r="S41" s="188">
        <f t="shared" ref="S41:AB41" si="22">(S13&lt;=$G$8)*(-PPMT($H$8,S13,$G$8,($A$8*$B$8+(1-$J$11)*$A$11*$B$11)*(1-$F$8)))</f>
        <v>0</v>
      </c>
      <c r="T41" s="188">
        <f t="shared" si="22"/>
        <v>0</v>
      </c>
      <c r="U41" s="188">
        <f t="shared" si="22"/>
        <v>0</v>
      </c>
      <c r="V41" s="188">
        <f t="shared" si="22"/>
        <v>0</v>
      </c>
      <c r="W41" s="188">
        <f t="shared" si="22"/>
        <v>0</v>
      </c>
      <c r="X41" s="188">
        <f t="shared" si="22"/>
        <v>0</v>
      </c>
      <c r="Y41" s="188">
        <f t="shared" si="22"/>
        <v>0</v>
      </c>
      <c r="Z41" s="188">
        <f t="shared" si="22"/>
        <v>0</v>
      </c>
      <c r="AA41" s="188">
        <f t="shared" si="22"/>
        <v>0</v>
      </c>
      <c r="AB41" s="188">
        <f t="shared" si="22"/>
        <v>0</v>
      </c>
      <c r="AC41" s="188"/>
      <c r="AD41" s="188"/>
      <c r="AE41" s="188"/>
      <c r="AF41" s="188"/>
      <c r="AG41" s="188"/>
      <c r="AH41" s="188"/>
      <c r="AI41" s="188"/>
      <c r="AJ41" s="188"/>
      <c r="AK41" s="188"/>
      <c r="AL41" s="188"/>
      <c r="AM41" s="188"/>
      <c r="AN41" s="188"/>
      <c r="AO41" s="188"/>
      <c r="AP41" s="188"/>
      <c r="AQ41" s="189"/>
      <c r="AW41" s="152"/>
      <c r="AX41" s="152"/>
      <c r="AY41" s="152"/>
      <c r="AZ41" s="152"/>
      <c r="BA41" s="152"/>
      <c r="BB41" s="152"/>
      <c r="BC41" s="152"/>
      <c r="BD41" s="152"/>
      <c r="BE41" s="152"/>
      <c r="BF41" s="152"/>
      <c r="BG41" s="152"/>
      <c r="BH41" s="152"/>
      <c r="BI41" s="152"/>
      <c r="BJ41" s="152"/>
      <c r="BK41" s="152"/>
      <c r="BL41" s="152"/>
      <c r="BM41" s="152"/>
      <c r="BN41" s="152"/>
      <c r="BO41" s="152"/>
      <c r="BP41" s="152"/>
      <c r="BQ41" s="152"/>
      <c r="BR41" s="152"/>
      <c r="BS41" s="152"/>
      <c r="BT41" s="152"/>
      <c r="BU41" s="152"/>
      <c r="BV41" s="152"/>
      <c r="BW41" s="152"/>
      <c r="BX41" s="152"/>
      <c r="BY41" s="152"/>
      <c r="BZ41" s="152"/>
      <c r="CA41" s="152"/>
      <c r="CB41" s="152"/>
      <c r="CC41" s="152"/>
      <c r="CD41" s="152"/>
      <c r="CE41" s="152"/>
      <c r="CF41" s="152"/>
      <c r="CG41" s="152"/>
      <c r="CH41" s="152"/>
      <c r="CI41" s="152"/>
      <c r="CJ41" s="152"/>
      <c r="CK41" s="152"/>
      <c r="CL41" s="152"/>
      <c r="CM41" s="152"/>
      <c r="CN41" s="152"/>
      <c r="CO41" s="152"/>
      <c r="CP41" s="152"/>
      <c r="CQ41" s="152"/>
      <c r="CR41" s="152"/>
      <c r="CS41" s="152"/>
      <c r="CT41" s="152"/>
      <c r="CU41" s="152"/>
      <c r="CV41" s="152"/>
      <c r="CW41" s="152"/>
      <c r="CX41" s="152"/>
      <c r="CY41" s="152"/>
      <c r="CZ41" s="152"/>
      <c r="DA41" s="152"/>
      <c r="DB41" s="152"/>
      <c r="DC41" s="152"/>
      <c r="DD41" s="152"/>
      <c r="DE41" s="152"/>
      <c r="DF41" s="152"/>
      <c r="DG41" s="152"/>
      <c r="DH41" s="152"/>
      <c r="DI41" s="152"/>
      <c r="DJ41" s="152"/>
      <c r="DK41" s="152"/>
      <c r="DL41" s="152"/>
      <c r="DM41" s="152"/>
      <c r="DN41" s="152"/>
      <c r="DO41" s="152"/>
      <c r="DP41" s="152"/>
      <c r="DQ41" s="152"/>
      <c r="DR41" s="152"/>
      <c r="DS41" s="152"/>
      <c r="DT41" s="152"/>
      <c r="DU41" s="152"/>
      <c r="DV41" s="152"/>
      <c r="DW41" s="152"/>
      <c r="DX41" s="152"/>
      <c r="DY41" s="152"/>
      <c r="DZ41" s="152"/>
      <c r="EA41" s="152"/>
      <c r="EB41" s="152"/>
      <c r="EC41" s="152"/>
      <c r="ED41" s="152"/>
      <c r="EE41" s="152"/>
      <c r="EF41" s="152"/>
      <c r="EG41" s="152"/>
      <c r="EH41" s="152"/>
      <c r="EI41" s="152"/>
      <c r="EJ41" s="152"/>
      <c r="EK41" s="152"/>
      <c r="EL41" s="152"/>
      <c r="EM41" s="152"/>
      <c r="EN41" s="152"/>
      <c r="EO41" s="152"/>
      <c r="EP41" s="152"/>
      <c r="EQ41" s="152"/>
      <c r="ER41" s="152"/>
      <c r="ES41" s="152"/>
      <c r="ET41" s="152"/>
      <c r="EU41" s="152"/>
      <c r="EV41" s="152"/>
      <c r="EW41" s="152"/>
      <c r="EX41" s="152"/>
      <c r="EY41" s="152"/>
      <c r="EZ41" s="152"/>
      <c r="FA41" s="152"/>
      <c r="FB41" s="152"/>
      <c r="FC41" s="152"/>
      <c r="FD41" s="152"/>
      <c r="FE41" s="152"/>
      <c r="FF41" s="152"/>
      <c r="FG41" s="152"/>
      <c r="FH41" s="152"/>
      <c r="FI41" s="152"/>
      <c r="FJ41" s="152"/>
      <c r="FK41" s="152"/>
      <c r="FL41" s="152"/>
      <c r="FM41" s="152"/>
      <c r="FN41" s="152"/>
      <c r="FO41" s="152"/>
      <c r="FP41" s="152"/>
      <c r="FQ41" s="152"/>
      <c r="FR41" s="152"/>
      <c r="FS41" s="152"/>
      <c r="FT41" s="152"/>
      <c r="FU41" s="152"/>
      <c r="FV41" s="152"/>
      <c r="FW41" s="152"/>
      <c r="FX41" s="152"/>
      <c r="FY41" s="152"/>
      <c r="FZ41" s="152"/>
      <c r="GA41" s="152"/>
      <c r="GB41" s="152"/>
      <c r="GC41" s="152"/>
      <c r="GD41" s="152"/>
      <c r="GE41" s="152"/>
      <c r="GF41" s="152"/>
      <c r="GG41" s="152"/>
      <c r="GH41" s="152"/>
      <c r="GI41" s="152"/>
      <c r="GJ41" s="152"/>
      <c r="GK41" s="152"/>
      <c r="GL41" s="152"/>
      <c r="GM41" s="152"/>
      <c r="GN41" s="152"/>
      <c r="GO41" s="152"/>
      <c r="GP41" s="152"/>
      <c r="GQ41" s="152"/>
      <c r="GR41" s="152"/>
      <c r="GS41" s="152"/>
      <c r="GT41" s="152"/>
      <c r="GU41" s="152"/>
      <c r="GV41" s="152"/>
      <c r="GW41" s="152"/>
      <c r="GX41" s="152"/>
      <c r="GY41" s="152"/>
      <c r="GZ41" s="152"/>
      <c r="HA41" s="152"/>
      <c r="HB41" s="152"/>
      <c r="HC41" s="152"/>
      <c r="HD41" s="152"/>
      <c r="HE41" s="152"/>
      <c r="HF41" s="152"/>
      <c r="HG41" s="152"/>
      <c r="HH41" s="152"/>
      <c r="HI41" s="152"/>
      <c r="HJ41" s="152"/>
      <c r="HK41" s="152"/>
      <c r="HL41" s="152"/>
      <c r="HM41" s="152"/>
      <c r="HN41" s="152"/>
      <c r="HO41" s="152"/>
      <c r="HP41" s="152"/>
      <c r="HQ41" s="152"/>
      <c r="HR41" s="152"/>
      <c r="HS41" s="152"/>
      <c r="HT41" s="152"/>
      <c r="HU41" s="152"/>
      <c r="HV41" s="152"/>
      <c r="HW41" s="152"/>
      <c r="HX41" s="152"/>
      <c r="HY41" s="152"/>
      <c r="HZ41" s="152"/>
      <c r="IA41" s="152"/>
      <c r="IB41" s="152"/>
      <c r="IC41" s="152"/>
      <c r="ID41" s="152"/>
      <c r="IE41" s="152"/>
      <c r="IF41" s="152"/>
      <c r="IG41" s="152"/>
      <c r="IH41" s="152"/>
      <c r="II41" s="152"/>
      <c r="IJ41" s="152"/>
      <c r="IK41" s="152"/>
      <c r="IL41" s="152"/>
      <c r="IM41" s="152"/>
      <c r="IN41" s="152"/>
      <c r="IO41" s="152"/>
      <c r="IP41" s="152"/>
      <c r="IQ41" s="152"/>
      <c r="IR41" s="152"/>
      <c r="IS41" s="152"/>
      <c r="IT41" s="152"/>
      <c r="IU41" s="152"/>
      <c r="IV41" s="152"/>
      <c r="IW41" s="152"/>
      <c r="IX41" s="152"/>
      <c r="IY41" s="152"/>
      <c r="IZ41" s="152"/>
      <c r="JA41" s="152"/>
      <c r="JB41" s="152"/>
      <c r="JC41" s="152"/>
      <c r="JD41" s="152"/>
      <c r="JE41" s="152"/>
      <c r="JF41" s="152"/>
      <c r="JG41" s="152"/>
      <c r="JH41" s="152"/>
      <c r="JI41" s="152"/>
      <c r="JJ41" s="152"/>
      <c r="JK41" s="152"/>
      <c r="JL41" s="152"/>
      <c r="JM41" s="152"/>
      <c r="JN41" s="152"/>
      <c r="JO41" s="152"/>
      <c r="JP41" s="152"/>
      <c r="JQ41" s="152"/>
      <c r="JR41" s="152"/>
      <c r="JS41" s="152"/>
      <c r="JT41" s="152"/>
      <c r="JU41" s="152"/>
      <c r="JV41" s="152"/>
      <c r="JW41" s="152"/>
      <c r="JX41" s="152"/>
      <c r="JY41" s="152"/>
      <c r="JZ41" s="152"/>
      <c r="KA41" s="152"/>
      <c r="KB41" s="152"/>
      <c r="KC41" s="152"/>
      <c r="KD41" s="152"/>
      <c r="KE41" s="152"/>
      <c r="KF41" s="152"/>
      <c r="KG41" s="152"/>
      <c r="KH41" s="152"/>
      <c r="KI41" s="152"/>
      <c r="KJ41" s="152"/>
      <c r="KK41" s="152"/>
      <c r="KL41" s="152"/>
      <c r="KM41" s="152"/>
      <c r="KN41" s="152"/>
      <c r="KO41" s="152"/>
      <c r="KP41" s="152"/>
      <c r="KQ41" s="152"/>
      <c r="KR41" s="152"/>
      <c r="KS41" s="152"/>
      <c r="KT41" s="152"/>
      <c r="KU41" s="152"/>
      <c r="KV41" s="152"/>
      <c r="KW41" s="152"/>
      <c r="KX41" s="152"/>
      <c r="KY41" s="152"/>
      <c r="KZ41" s="152"/>
      <c r="LA41" s="152"/>
      <c r="LB41" s="152"/>
      <c r="LC41" s="152"/>
      <c r="LD41" s="152"/>
      <c r="LE41" s="152"/>
      <c r="LF41" s="152"/>
    </row>
    <row r="42" spans="1:318" ht="45.75" thickBot="1">
      <c r="O42" s="200" t="s">
        <v>232</v>
      </c>
      <c r="Q42" s="140"/>
      <c r="R42" s="139"/>
      <c r="S42" s="188">
        <f>S31+S40+S41</f>
        <v>74050</v>
      </c>
      <c r="T42" s="188">
        <f t="shared" ref="T42:AQ42" si="23">T31+T40+T41</f>
        <v>75841.75</v>
      </c>
      <c r="U42" s="188">
        <f t="shared" si="23"/>
        <v>77494.451612499979</v>
      </c>
      <c r="V42" s="188">
        <f t="shared" si="23"/>
        <v>79019.938816151887</v>
      </c>
      <c r="W42" s="188">
        <f t="shared" si="23"/>
        <v>80429.239738341901</v>
      </c>
      <c r="X42" s="188">
        <f t="shared" si="23"/>
        <v>81732.630951123545</v>
      </c>
      <c r="Y42" s="188">
        <f t="shared" si="23"/>
        <v>82939.688315212406</v>
      </c>
      <c r="Z42" s="188">
        <f t="shared" si="23"/>
        <v>84059.334588082624</v>
      </c>
      <c r="AA42" s="188">
        <f t="shared" si="23"/>
        <v>85099.883998993755</v>
      </c>
      <c r="AB42" s="188">
        <f t="shared" si="23"/>
        <v>86069.083981361706</v>
      </c>
      <c r="AC42" s="188">
        <f t="shared" si="23"/>
        <v>86974.154241224809</v>
      </c>
      <c r="AD42" s="188">
        <f t="shared" si="23"/>
        <v>87821.823329599327</v>
      </c>
      <c r="AE42" s="188">
        <f t="shared" si="23"/>
        <v>88618.362876226573</v>
      </c>
      <c r="AF42" s="188">
        <f t="shared" si="23"/>
        <v>89369.619632543545</v>
      </c>
      <c r="AG42" s="188">
        <f t="shared" si="23"/>
        <v>90081.045462628608</v>
      </c>
      <c r="AH42" s="188">
        <f t="shared" si="23"/>
        <v>90757.725412342348</v>
      </c>
      <c r="AI42" s="188">
        <f t="shared" si="23"/>
        <v>91404.403978873204</v>
      </c>
      <c r="AJ42" s="188">
        <f t="shared" si="23"/>
        <v>92025.509695371788</v>
      </c>
      <c r="AK42" s="188">
        <f t="shared" si="23"/>
        <v>92625.17813829401</v>
      </c>
      <c r="AL42" s="188">
        <f t="shared" si="23"/>
        <v>93207.273458435506</v>
      </c>
      <c r="AM42" s="188">
        <f t="shared" si="23"/>
        <v>93775.408530412358</v>
      </c>
      <c r="AN42" s="188">
        <f t="shared" si="23"/>
        <v>94460.716228946796</v>
      </c>
      <c r="AO42" s="188">
        <f t="shared" si="23"/>
        <v>95426.500206876677</v>
      </c>
      <c r="AP42" s="188">
        <f t="shared" si="23"/>
        <v>96406.172966707032</v>
      </c>
      <c r="AQ42" s="189">
        <f t="shared" si="23"/>
        <v>97400.256765056925</v>
      </c>
      <c r="AW42" s="154"/>
      <c r="AX42" s="154"/>
      <c r="AY42" s="154"/>
      <c r="AZ42" s="154"/>
      <c r="BA42" s="154"/>
      <c r="BB42" s="154"/>
      <c r="BC42" s="154"/>
      <c r="BD42" s="154"/>
      <c r="BE42" s="154"/>
      <c r="BF42" s="154"/>
      <c r="BG42" s="154"/>
      <c r="BH42" s="154"/>
      <c r="BI42" s="154"/>
      <c r="BJ42" s="154"/>
      <c r="BK42" s="154"/>
      <c r="BL42" s="154"/>
      <c r="BM42" s="154"/>
      <c r="BN42" s="154"/>
      <c r="BO42" s="154"/>
      <c r="BP42" s="154"/>
      <c r="BQ42" s="154"/>
      <c r="BR42" s="154"/>
      <c r="BS42" s="154"/>
      <c r="BT42" s="154"/>
      <c r="BU42" s="154"/>
      <c r="BV42" s="154"/>
      <c r="BW42" s="154"/>
      <c r="BX42" s="154"/>
      <c r="BY42" s="154"/>
      <c r="BZ42" s="154"/>
      <c r="CA42" s="154"/>
      <c r="CB42" s="154"/>
      <c r="CC42" s="154"/>
      <c r="CD42" s="154"/>
      <c r="CE42" s="154"/>
      <c r="CF42" s="154"/>
      <c r="CG42" s="154"/>
      <c r="CH42" s="154"/>
      <c r="CI42" s="154"/>
      <c r="CJ42" s="154"/>
      <c r="CK42" s="154"/>
      <c r="CL42" s="154"/>
      <c r="CM42" s="154"/>
      <c r="CN42" s="154"/>
      <c r="CO42" s="154"/>
      <c r="CP42" s="154"/>
      <c r="CQ42" s="154"/>
      <c r="CR42" s="154"/>
      <c r="CS42" s="154"/>
      <c r="CT42" s="154"/>
      <c r="CU42" s="154"/>
      <c r="CV42" s="154"/>
      <c r="CW42" s="154"/>
      <c r="CX42" s="154"/>
      <c r="CY42" s="154"/>
      <c r="CZ42" s="154"/>
      <c r="DA42" s="154"/>
      <c r="DB42" s="154"/>
      <c r="DC42" s="154"/>
      <c r="DD42" s="154"/>
      <c r="DE42" s="154"/>
      <c r="DF42" s="154"/>
      <c r="DG42" s="154"/>
      <c r="DH42" s="154"/>
      <c r="DI42" s="154"/>
      <c r="DJ42" s="154"/>
      <c r="DK42" s="154"/>
      <c r="DL42" s="154"/>
      <c r="DM42" s="154"/>
      <c r="DN42" s="154"/>
      <c r="DO42" s="154"/>
      <c r="DP42" s="154"/>
      <c r="DQ42" s="154"/>
      <c r="DR42" s="154"/>
      <c r="DS42" s="154"/>
      <c r="DT42" s="154"/>
      <c r="DU42" s="154"/>
      <c r="DV42" s="154"/>
      <c r="DW42" s="154"/>
      <c r="DX42" s="154"/>
      <c r="DY42" s="154"/>
      <c r="DZ42" s="154"/>
      <c r="EA42" s="154"/>
      <c r="EB42" s="154"/>
      <c r="EC42" s="154"/>
      <c r="ED42" s="154"/>
      <c r="EE42" s="154"/>
      <c r="EF42" s="154"/>
      <c r="EG42" s="154"/>
      <c r="EH42" s="154"/>
      <c r="EI42" s="154"/>
      <c r="EJ42" s="154"/>
      <c r="EK42" s="154"/>
      <c r="EL42" s="154"/>
      <c r="EM42" s="154"/>
      <c r="EN42" s="154"/>
      <c r="EO42" s="154"/>
      <c r="EP42" s="154"/>
      <c r="EQ42" s="154"/>
      <c r="ER42" s="154"/>
      <c r="ES42" s="154"/>
      <c r="ET42" s="154"/>
      <c r="EU42" s="154"/>
      <c r="EV42" s="154"/>
      <c r="EW42" s="154"/>
      <c r="EX42" s="154"/>
      <c r="EY42" s="154"/>
      <c r="EZ42" s="154"/>
      <c r="FA42" s="154"/>
      <c r="FB42" s="154"/>
      <c r="FC42" s="154"/>
      <c r="FD42" s="154"/>
      <c r="FE42" s="154"/>
      <c r="FF42" s="154"/>
      <c r="FG42" s="154"/>
      <c r="FH42" s="154"/>
      <c r="FI42" s="154"/>
      <c r="FJ42" s="154"/>
      <c r="FK42" s="154"/>
      <c r="FL42" s="154"/>
      <c r="FM42" s="154"/>
      <c r="FN42" s="154"/>
      <c r="FO42" s="154"/>
      <c r="FP42" s="154"/>
      <c r="FQ42" s="154"/>
      <c r="FR42" s="154"/>
      <c r="FS42" s="154"/>
      <c r="FT42" s="154"/>
      <c r="FU42" s="154"/>
      <c r="FV42" s="154"/>
      <c r="FW42" s="154"/>
      <c r="FX42" s="154"/>
      <c r="FY42" s="154"/>
      <c r="FZ42" s="154"/>
      <c r="GA42" s="154"/>
      <c r="GB42" s="154"/>
      <c r="GC42" s="154"/>
      <c r="GD42" s="154"/>
      <c r="GE42" s="154"/>
      <c r="GF42" s="154"/>
      <c r="GG42" s="154"/>
      <c r="GH42" s="154"/>
      <c r="GI42" s="154"/>
      <c r="GJ42" s="154"/>
      <c r="GK42" s="154"/>
      <c r="GL42" s="154"/>
      <c r="GM42" s="154"/>
      <c r="GN42" s="154"/>
      <c r="GO42" s="154"/>
      <c r="GP42" s="154"/>
      <c r="GQ42" s="154"/>
      <c r="GR42" s="154"/>
      <c r="GS42" s="154"/>
      <c r="GT42" s="154"/>
      <c r="GU42" s="154"/>
      <c r="GV42" s="154"/>
      <c r="GW42" s="154"/>
      <c r="GX42" s="154"/>
      <c r="GY42" s="154"/>
      <c r="GZ42" s="154"/>
      <c r="HA42" s="154"/>
      <c r="HB42" s="154"/>
      <c r="HC42" s="154"/>
      <c r="HD42" s="154"/>
      <c r="HE42" s="154"/>
      <c r="HF42" s="154"/>
      <c r="HG42" s="154"/>
      <c r="HH42" s="154"/>
      <c r="HI42" s="154"/>
      <c r="HJ42" s="154"/>
      <c r="HK42" s="154"/>
      <c r="HL42" s="154"/>
      <c r="HM42" s="154"/>
      <c r="HN42" s="154"/>
      <c r="HO42" s="154"/>
      <c r="HP42" s="154"/>
      <c r="HQ42" s="154"/>
      <c r="HR42" s="154"/>
      <c r="HS42" s="154"/>
      <c r="HT42" s="154"/>
      <c r="HU42" s="154"/>
      <c r="HV42" s="154"/>
      <c r="HW42" s="154"/>
      <c r="HX42" s="154"/>
      <c r="HY42" s="154"/>
      <c r="HZ42" s="154"/>
      <c r="IA42" s="154"/>
      <c r="IB42" s="154"/>
      <c r="IC42" s="154"/>
      <c r="ID42" s="154"/>
      <c r="IE42" s="154"/>
      <c r="IF42" s="154"/>
      <c r="IG42" s="154"/>
      <c r="IH42" s="154"/>
      <c r="II42" s="154"/>
      <c r="IJ42" s="154"/>
      <c r="IK42" s="154"/>
      <c r="IL42" s="154"/>
      <c r="IM42" s="154"/>
      <c r="IN42" s="154"/>
      <c r="IO42" s="154"/>
      <c r="IP42" s="154"/>
      <c r="IQ42" s="154"/>
      <c r="IR42" s="154"/>
      <c r="IS42" s="154"/>
      <c r="IT42" s="154"/>
      <c r="IU42" s="154"/>
      <c r="IV42" s="154"/>
      <c r="IW42" s="154"/>
      <c r="IX42" s="154"/>
      <c r="IY42" s="154"/>
      <c r="IZ42" s="154"/>
      <c r="JA42" s="154"/>
      <c r="JB42" s="154"/>
      <c r="JC42" s="154"/>
      <c r="JD42" s="154"/>
      <c r="JE42" s="154"/>
      <c r="JF42" s="154"/>
      <c r="JG42" s="154"/>
      <c r="JH42" s="154"/>
      <c r="JI42" s="154"/>
      <c r="JJ42" s="154"/>
      <c r="JK42" s="154"/>
      <c r="JL42" s="154"/>
      <c r="JM42" s="154"/>
      <c r="JN42" s="154"/>
      <c r="JO42" s="154"/>
      <c r="JP42" s="154"/>
      <c r="JQ42" s="154"/>
      <c r="JR42" s="154"/>
      <c r="JS42" s="154"/>
      <c r="JT42" s="154"/>
      <c r="JU42" s="154"/>
      <c r="JV42" s="154"/>
      <c r="JW42" s="154"/>
      <c r="JX42" s="154"/>
      <c r="JY42" s="154"/>
      <c r="JZ42" s="154"/>
      <c r="KA42" s="154"/>
      <c r="KB42" s="154"/>
      <c r="KC42" s="154"/>
      <c r="KD42" s="154"/>
      <c r="KE42" s="154"/>
      <c r="KF42" s="154"/>
      <c r="KG42" s="154"/>
      <c r="KH42" s="154"/>
      <c r="KI42" s="154"/>
      <c r="KJ42" s="154"/>
      <c r="KK42" s="154"/>
      <c r="KL42" s="154"/>
      <c r="KM42" s="154"/>
      <c r="KN42" s="154"/>
      <c r="KO42" s="154"/>
      <c r="KP42" s="154"/>
      <c r="KQ42" s="154"/>
      <c r="KR42" s="154"/>
      <c r="KS42" s="154"/>
      <c r="KT42" s="154"/>
      <c r="KU42" s="154"/>
      <c r="KV42" s="154"/>
      <c r="KW42" s="154"/>
      <c r="KX42" s="154"/>
      <c r="KY42" s="154"/>
      <c r="KZ42" s="154"/>
      <c r="LA42" s="154"/>
      <c r="LB42" s="154"/>
      <c r="LC42" s="154"/>
      <c r="LD42" s="154"/>
      <c r="LE42" s="154"/>
      <c r="LF42" s="154"/>
    </row>
    <row r="43" spans="1:318" ht="15.75" thickBot="1">
      <c r="O43" s="192" t="s">
        <v>233</v>
      </c>
      <c r="P43" s="193"/>
      <c r="Q43" s="199"/>
      <c r="R43" s="194">
        <f>R38-R40</f>
        <v>0</v>
      </c>
      <c r="S43" s="195">
        <f>S38-S40</f>
        <v>118341</v>
      </c>
      <c r="T43" s="195">
        <f t="shared" ref="T43:AQ43" si="24">T38-T40</f>
        <v>106994.25</v>
      </c>
      <c r="U43" s="195">
        <f t="shared" si="24"/>
        <v>96264.298387499992</v>
      </c>
      <c r="V43" s="195">
        <f t="shared" si="24"/>
        <v>86115.423683848087</v>
      </c>
      <c r="W43" s="195">
        <f t="shared" si="24"/>
        <v>76513.904636658059</v>
      </c>
      <c r="X43" s="195">
        <f t="shared" si="24"/>
        <v>67427.906205126405</v>
      </c>
      <c r="Y43" s="195">
        <f t="shared" si="24"/>
        <v>58827.371983225021</v>
      </c>
      <c r="Z43" s="195">
        <f t="shared" si="24"/>
        <v>50683.922695432935</v>
      </c>
      <c r="AA43" s="195">
        <f t="shared" si="24"/>
        <v>42970.760420346021</v>
      </c>
      <c r="AB43" s="195">
        <f t="shared" si="24"/>
        <v>35662.578217011061</v>
      </c>
      <c r="AC43" s="195">
        <f t="shared" si="24"/>
        <v>89340.474847229314</v>
      </c>
      <c r="AD43" s="195">
        <f t="shared" si="24"/>
        <v>82771.874304432087</v>
      </c>
      <c r="AE43" s="195">
        <f t="shared" si="24"/>
        <v>76540.449876103288</v>
      </c>
      <c r="AF43" s="195">
        <f t="shared" si="24"/>
        <v>70626.052482169805</v>
      </c>
      <c r="AG43" s="195">
        <f t="shared" si="24"/>
        <v>65009.643046349098</v>
      </c>
      <c r="AH43" s="195">
        <f t="shared" si="24"/>
        <v>59673.228671186458</v>
      </c>
      <c r="AI43" s="195">
        <f t="shared" si="24"/>
        <v>54599.802400479166</v>
      </c>
      <c r="AJ43" s="195">
        <f t="shared" si="24"/>
        <v>49773.286365012922</v>
      </c>
      <c r="AK43" s="195">
        <f t="shared" si="24"/>
        <v>45178.478119071471</v>
      </c>
      <c r="AL43" s="195">
        <f t="shared" si="24"/>
        <v>40800.999986061695</v>
      </c>
      <c r="AM43" s="195">
        <f t="shared" si="24"/>
        <v>36627.25124185998</v>
      </c>
      <c r="AN43" s="195">
        <f t="shared" si="24"/>
        <v>33585.283771053204</v>
      </c>
      <c r="AO43" s="195">
        <f t="shared" si="24"/>
        <v>32619.499793123323</v>
      </c>
      <c r="AP43" s="195">
        <f t="shared" si="24"/>
        <v>31639.827033292975</v>
      </c>
      <c r="AQ43" s="196">
        <f t="shared" si="24"/>
        <v>30645.743234943075</v>
      </c>
    </row>
    <row r="44" spans="1:318">
      <c r="O44" s="139"/>
      <c r="Q44" s="140"/>
      <c r="R44" s="139"/>
      <c r="S44" s="188"/>
      <c r="T44" s="188"/>
      <c r="U44" s="188"/>
      <c r="V44" s="188"/>
      <c r="W44" s="188"/>
      <c r="X44" s="188"/>
      <c r="Y44" s="188"/>
      <c r="Z44" s="188"/>
      <c r="AA44" s="188"/>
      <c r="AB44" s="188"/>
      <c r="AC44" s="188"/>
      <c r="AD44" s="188"/>
      <c r="AE44" s="188"/>
      <c r="AF44" s="188"/>
      <c r="AG44" s="188"/>
      <c r="AH44" s="188"/>
      <c r="AI44" s="188"/>
      <c r="AJ44" s="188"/>
      <c r="AK44" s="188"/>
      <c r="AL44" s="188"/>
      <c r="AM44" s="188"/>
      <c r="AN44" s="188"/>
      <c r="AO44" s="188"/>
      <c r="AP44" s="188"/>
      <c r="AQ44" s="189"/>
      <c r="AR44" s="152"/>
      <c r="AW44" s="152"/>
      <c r="AX44" s="152"/>
      <c r="AY44" s="152"/>
      <c r="AZ44" s="152"/>
      <c r="BA44" s="152"/>
      <c r="BB44" s="152"/>
      <c r="BC44" s="152"/>
      <c r="BD44" s="152"/>
      <c r="BE44" s="152"/>
      <c r="BF44" s="152"/>
      <c r="BG44" s="152"/>
      <c r="BH44" s="152"/>
      <c r="BI44" s="152"/>
      <c r="BJ44" s="152"/>
      <c r="BK44" s="152"/>
      <c r="BL44" s="152"/>
      <c r="BM44" s="152"/>
      <c r="BN44" s="152"/>
      <c r="BO44" s="152"/>
      <c r="BP44" s="152"/>
      <c r="BQ44" s="152"/>
      <c r="BR44" s="152"/>
      <c r="BS44" s="152"/>
      <c r="BT44" s="152"/>
      <c r="BU44" s="152"/>
      <c r="BV44" s="152"/>
      <c r="BW44" s="152"/>
      <c r="BX44" s="152"/>
      <c r="BY44" s="152"/>
      <c r="BZ44" s="152"/>
      <c r="CA44" s="152"/>
      <c r="CB44" s="152"/>
      <c r="CC44" s="152"/>
      <c r="CD44" s="152"/>
      <c r="CE44" s="152"/>
      <c r="CF44" s="152"/>
      <c r="CG44" s="152"/>
      <c r="CH44" s="152"/>
      <c r="CI44" s="152"/>
      <c r="CJ44" s="152"/>
      <c r="CK44" s="152"/>
      <c r="CL44" s="152"/>
      <c r="CM44" s="152"/>
      <c r="CN44" s="152"/>
      <c r="CO44" s="152"/>
      <c r="CP44" s="152"/>
      <c r="CQ44" s="152"/>
      <c r="CR44" s="152"/>
      <c r="CS44" s="152"/>
      <c r="CT44" s="152"/>
      <c r="CU44" s="152"/>
      <c r="CV44" s="152"/>
      <c r="CW44" s="152"/>
      <c r="CX44" s="152"/>
      <c r="CY44" s="152"/>
      <c r="CZ44" s="152"/>
      <c r="DA44" s="152"/>
      <c r="DB44" s="152"/>
      <c r="DC44" s="152"/>
      <c r="DD44" s="152"/>
      <c r="DE44" s="152"/>
      <c r="DF44" s="152"/>
      <c r="DG44" s="152"/>
      <c r="DH44" s="152"/>
      <c r="DI44" s="152"/>
      <c r="DJ44" s="152"/>
      <c r="DK44" s="152"/>
      <c r="DL44" s="152"/>
      <c r="DM44" s="152"/>
      <c r="DN44" s="152"/>
      <c r="DO44" s="152"/>
      <c r="DP44" s="152"/>
      <c r="DQ44" s="152"/>
      <c r="DR44" s="152"/>
      <c r="DS44" s="152"/>
      <c r="DT44" s="152"/>
      <c r="DU44" s="152"/>
      <c r="DV44" s="152"/>
      <c r="DW44" s="152"/>
      <c r="DX44" s="152"/>
      <c r="DY44" s="152"/>
      <c r="DZ44" s="152"/>
      <c r="EA44" s="152"/>
      <c r="EB44" s="152"/>
      <c r="EC44" s="152"/>
      <c r="ED44" s="152"/>
      <c r="EE44" s="152"/>
      <c r="EF44" s="152"/>
      <c r="EG44" s="152"/>
      <c r="EH44" s="152"/>
      <c r="EI44" s="152"/>
      <c r="EJ44" s="152"/>
      <c r="EK44" s="152"/>
      <c r="EL44" s="152"/>
      <c r="EM44" s="152"/>
      <c r="EN44" s="152"/>
      <c r="EO44" s="152"/>
      <c r="EP44" s="152"/>
      <c r="EQ44" s="152"/>
      <c r="ER44" s="152"/>
      <c r="ES44" s="152"/>
      <c r="ET44" s="152"/>
      <c r="EU44" s="152"/>
      <c r="EV44" s="152"/>
      <c r="EW44" s="152"/>
      <c r="EX44" s="152"/>
      <c r="EY44" s="152"/>
      <c r="EZ44" s="152"/>
      <c r="FA44" s="152"/>
      <c r="FB44" s="152"/>
      <c r="FC44" s="152"/>
      <c r="FD44" s="152"/>
      <c r="FE44" s="152"/>
      <c r="FF44" s="152"/>
      <c r="FG44" s="152"/>
      <c r="FH44" s="152"/>
      <c r="FI44" s="152"/>
      <c r="FJ44" s="152"/>
      <c r="FK44" s="152"/>
      <c r="FL44" s="152"/>
      <c r="FM44" s="152"/>
      <c r="FN44" s="152"/>
      <c r="FO44" s="152"/>
      <c r="FP44" s="152"/>
      <c r="FQ44" s="152"/>
      <c r="FR44" s="152"/>
      <c r="FS44" s="152"/>
      <c r="FT44" s="152"/>
      <c r="FU44" s="152"/>
      <c r="FV44" s="152"/>
      <c r="FW44" s="152"/>
      <c r="FX44" s="152"/>
      <c r="FY44" s="152"/>
      <c r="FZ44" s="152"/>
      <c r="GA44" s="152"/>
      <c r="GB44" s="152"/>
      <c r="GC44" s="152"/>
      <c r="GD44" s="152"/>
      <c r="GE44" s="152"/>
      <c r="GF44" s="152"/>
      <c r="GG44" s="152"/>
      <c r="GH44" s="152"/>
      <c r="GI44" s="152"/>
      <c r="GJ44" s="152"/>
      <c r="GK44" s="152"/>
      <c r="GL44" s="152"/>
      <c r="GM44" s="152"/>
      <c r="GN44" s="152"/>
      <c r="GO44" s="152"/>
      <c r="GP44" s="152"/>
      <c r="GQ44" s="152"/>
      <c r="GR44" s="152"/>
      <c r="GS44" s="152"/>
      <c r="GT44" s="152"/>
      <c r="GU44" s="152"/>
      <c r="GV44" s="152"/>
      <c r="GW44" s="152"/>
      <c r="GX44" s="152"/>
      <c r="GY44" s="152"/>
      <c r="GZ44" s="152"/>
      <c r="HA44" s="152"/>
      <c r="HB44" s="152"/>
      <c r="HC44" s="152"/>
      <c r="HD44" s="152"/>
      <c r="HE44" s="152"/>
      <c r="HF44" s="152"/>
      <c r="HG44" s="152"/>
      <c r="HH44" s="152"/>
      <c r="HI44" s="152"/>
      <c r="HJ44" s="152"/>
      <c r="HK44" s="152"/>
      <c r="HL44" s="152"/>
      <c r="HM44" s="152"/>
      <c r="HN44" s="152"/>
      <c r="HO44" s="152"/>
      <c r="HP44" s="152"/>
      <c r="HQ44" s="152"/>
      <c r="HR44" s="152"/>
      <c r="HS44" s="152"/>
      <c r="HT44" s="152"/>
      <c r="HU44" s="152"/>
      <c r="HV44" s="152"/>
      <c r="HW44" s="152"/>
      <c r="HX44" s="152"/>
      <c r="HY44" s="152"/>
      <c r="HZ44" s="152"/>
      <c r="IA44" s="152"/>
      <c r="IB44" s="152"/>
      <c r="IC44" s="152"/>
      <c r="ID44" s="152"/>
      <c r="IE44" s="152"/>
      <c r="IF44" s="152"/>
      <c r="IG44" s="152"/>
      <c r="IH44" s="152"/>
      <c r="II44" s="152"/>
      <c r="IJ44" s="152"/>
      <c r="IK44" s="152"/>
      <c r="IL44" s="152"/>
      <c r="IM44" s="152"/>
      <c r="IN44" s="152"/>
      <c r="IO44" s="152"/>
      <c r="IP44" s="152"/>
      <c r="IQ44" s="152"/>
      <c r="IR44" s="152"/>
      <c r="IS44" s="152"/>
      <c r="IT44" s="152"/>
      <c r="IU44" s="152"/>
      <c r="IV44" s="152"/>
      <c r="IW44" s="152"/>
      <c r="IX44" s="152"/>
      <c r="IY44" s="152"/>
      <c r="IZ44" s="152"/>
      <c r="JA44" s="152"/>
      <c r="JB44" s="152"/>
      <c r="JC44" s="152"/>
      <c r="JD44" s="152"/>
      <c r="JE44" s="152"/>
      <c r="JF44" s="152"/>
      <c r="JG44" s="152"/>
      <c r="JH44" s="152"/>
      <c r="JI44" s="152"/>
      <c r="JJ44" s="152"/>
      <c r="JK44" s="152"/>
      <c r="JL44" s="152"/>
      <c r="JM44" s="152"/>
      <c r="JN44" s="152"/>
      <c r="JO44" s="152"/>
      <c r="JP44" s="152"/>
      <c r="JQ44" s="152"/>
      <c r="JR44" s="152"/>
      <c r="JS44" s="152"/>
      <c r="JT44" s="152"/>
      <c r="JU44" s="152"/>
      <c r="JV44" s="152"/>
      <c r="JW44" s="152"/>
      <c r="JX44" s="152"/>
      <c r="JY44" s="152"/>
      <c r="JZ44" s="152"/>
      <c r="KA44" s="152"/>
      <c r="KB44" s="152"/>
      <c r="KC44" s="152"/>
      <c r="KD44" s="152"/>
      <c r="KE44" s="152"/>
      <c r="KF44" s="152"/>
      <c r="KG44" s="152"/>
      <c r="KH44" s="152"/>
      <c r="KI44" s="152"/>
      <c r="KJ44" s="152"/>
      <c r="KK44" s="152"/>
      <c r="KL44" s="152"/>
      <c r="KM44" s="152"/>
      <c r="KN44" s="152"/>
      <c r="KO44" s="152"/>
      <c r="KP44" s="152"/>
      <c r="KQ44" s="152"/>
      <c r="KR44" s="152"/>
      <c r="KS44" s="152"/>
      <c r="KT44" s="152"/>
      <c r="KU44" s="152"/>
      <c r="KV44" s="152"/>
      <c r="KW44" s="152"/>
      <c r="KX44" s="152"/>
      <c r="KY44" s="152"/>
      <c r="KZ44" s="152"/>
      <c r="LA44" s="152"/>
      <c r="LB44" s="152"/>
      <c r="LC44" s="152"/>
      <c r="LD44" s="152"/>
      <c r="LE44" s="152"/>
      <c r="LF44" s="152"/>
    </row>
    <row r="45" spans="1:318">
      <c r="O45" s="139" t="s">
        <v>234</v>
      </c>
      <c r="Q45" s="140"/>
      <c r="R45" s="139"/>
      <c r="S45" s="188">
        <f>S43*22%</f>
        <v>26035.02</v>
      </c>
      <c r="T45" s="188">
        <f t="shared" ref="T45:AQ45" si="25">T43*22%</f>
        <v>23538.735000000001</v>
      </c>
      <c r="U45" s="188">
        <f t="shared" si="25"/>
        <v>21178.145645249999</v>
      </c>
      <c r="V45" s="188">
        <f t="shared" si="25"/>
        <v>18945.393210446578</v>
      </c>
      <c r="W45" s="188">
        <f t="shared" si="25"/>
        <v>16833.059020064775</v>
      </c>
      <c r="X45" s="188">
        <f t="shared" si="25"/>
        <v>14834.139365127809</v>
      </c>
      <c r="Y45" s="188">
        <f t="shared" si="25"/>
        <v>12942.021836309505</v>
      </c>
      <c r="Z45" s="188">
        <f t="shared" si="25"/>
        <v>11150.462992995246</v>
      </c>
      <c r="AA45" s="188">
        <f t="shared" si="25"/>
        <v>9453.5672924761257</v>
      </c>
      <c r="AB45" s="188">
        <f t="shared" si="25"/>
        <v>7845.7672077424331</v>
      </c>
      <c r="AC45" s="188">
        <f t="shared" si="25"/>
        <v>19654.90446639045</v>
      </c>
      <c r="AD45" s="188">
        <f t="shared" si="25"/>
        <v>18209.812346975061</v>
      </c>
      <c r="AE45" s="188">
        <f t="shared" si="25"/>
        <v>16838.898972742725</v>
      </c>
      <c r="AF45" s="188">
        <f t="shared" si="25"/>
        <v>15537.731546077357</v>
      </c>
      <c r="AG45" s="188">
        <f t="shared" si="25"/>
        <v>14302.121470196802</v>
      </c>
      <c r="AH45" s="188">
        <f t="shared" si="25"/>
        <v>13128.110307661022</v>
      </c>
      <c r="AI45" s="188">
        <f t="shared" si="25"/>
        <v>12011.956528105417</v>
      </c>
      <c r="AJ45" s="188">
        <f t="shared" si="25"/>
        <v>10950.123000302843</v>
      </c>
      <c r="AK45" s="188">
        <f t="shared" si="25"/>
        <v>9939.2651861957238</v>
      </c>
      <c r="AL45" s="188">
        <f t="shared" si="25"/>
        <v>8976.2199969335725</v>
      </c>
      <c r="AM45" s="188">
        <f t="shared" si="25"/>
        <v>8057.9952732091961</v>
      </c>
      <c r="AN45" s="188">
        <f t="shared" si="25"/>
        <v>7388.7624296317053</v>
      </c>
      <c r="AO45" s="188">
        <f t="shared" si="25"/>
        <v>7176.2899544871307</v>
      </c>
      <c r="AP45" s="188">
        <f t="shared" si="25"/>
        <v>6960.7619473244549</v>
      </c>
      <c r="AQ45" s="189">
        <f t="shared" si="25"/>
        <v>6742.0635116874764</v>
      </c>
      <c r="AR45" s="152"/>
      <c r="AW45" s="152"/>
      <c r="AX45" s="152"/>
      <c r="AY45" s="152"/>
      <c r="AZ45" s="152"/>
      <c r="BA45" s="152"/>
      <c r="BB45" s="152"/>
      <c r="BC45" s="152"/>
      <c r="BD45" s="152"/>
      <c r="BE45" s="152"/>
      <c r="BF45" s="152"/>
      <c r="BG45" s="152"/>
      <c r="BH45" s="152"/>
      <c r="BI45" s="152"/>
      <c r="BJ45" s="152"/>
      <c r="BK45" s="152"/>
      <c r="BL45" s="152"/>
      <c r="BM45" s="152"/>
      <c r="BN45" s="152"/>
      <c r="BO45" s="152"/>
      <c r="BP45" s="152"/>
      <c r="BQ45" s="152"/>
      <c r="BR45" s="152"/>
      <c r="BS45" s="152"/>
      <c r="BT45" s="152"/>
      <c r="BU45" s="152"/>
      <c r="BV45" s="152"/>
      <c r="BW45" s="152"/>
      <c r="BX45" s="152"/>
      <c r="BY45" s="152"/>
      <c r="BZ45" s="152"/>
      <c r="CA45" s="152"/>
      <c r="CB45" s="152"/>
      <c r="CC45" s="152"/>
      <c r="CD45" s="152"/>
      <c r="CE45" s="152"/>
      <c r="CF45" s="152"/>
      <c r="CG45" s="152"/>
      <c r="CH45" s="152"/>
      <c r="CI45" s="152"/>
      <c r="CJ45" s="152"/>
      <c r="CK45" s="152"/>
      <c r="CL45" s="152"/>
      <c r="CM45" s="152"/>
      <c r="CN45" s="152"/>
      <c r="CO45" s="152"/>
      <c r="CP45" s="152"/>
      <c r="CQ45" s="152"/>
      <c r="CR45" s="152"/>
      <c r="CS45" s="152"/>
      <c r="CT45" s="152"/>
      <c r="CU45" s="152"/>
      <c r="CV45" s="152"/>
      <c r="CW45" s="152"/>
      <c r="CX45" s="152"/>
      <c r="CY45" s="152"/>
      <c r="CZ45" s="152"/>
      <c r="DA45" s="152"/>
      <c r="DB45" s="152"/>
      <c r="DC45" s="152"/>
      <c r="DD45" s="152"/>
      <c r="DE45" s="152"/>
      <c r="DF45" s="152"/>
      <c r="DG45" s="152"/>
      <c r="DH45" s="152"/>
      <c r="DI45" s="152"/>
      <c r="DJ45" s="152"/>
      <c r="DK45" s="152"/>
      <c r="DL45" s="152"/>
      <c r="DM45" s="152"/>
      <c r="DN45" s="152"/>
      <c r="DO45" s="152"/>
      <c r="DP45" s="152"/>
      <c r="DQ45" s="152"/>
      <c r="DR45" s="152"/>
      <c r="DS45" s="152"/>
      <c r="DT45" s="152"/>
      <c r="DU45" s="152"/>
      <c r="DV45" s="152"/>
      <c r="DW45" s="152"/>
      <c r="DX45" s="152"/>
      <c r="DY45" s="152"/>
      <c r="DZ45" s="152"/>
      <c r="EA45" s="152"/>
      <c r="EB45" s="152"/>
      <c r="EC45" s="152"/>
      <c r="ED45" s="152"/>
      <c r="EE45" s="152"/>
      <c r="EF45" s="152"/>
      <c r="EG45" s="152"/>
      <c r="EH45" s="152"/>
      <c r="EI45" s="152"/>
      <c r="EJ45" s="152"/>
      <c r="EK45" s="152"/>
      <c r="EL45" s="152"/>
      <c r="EM45" s="152"/>
      <c r="EN45" s="152"/>
      <c r="EO45" s="152"/>
      <c r="EP45" s="152"/>
      <c r="EQ45" s="152"/>
      <c r="ER45" s="152"/>
      <c r="ES45" s="152"/>
      <c r="ET45" s="152"/>
      <c r="EU45" s="152"/>
      <c r="EV45" s="152"/>
      <c r="EW45" s="152"/>
      <c r="EX45" s="152"/>
      <c r="EY45" s="152"/>
      <c r="EZ45" s="152"/>
      <c r="FA45" s="152"/>
      <c r="FB45" s="152"/>
      <c r="FC45" s="152"/>
      <c r="FD45" s="152"/>
      <c r="FE45" s="152"/>
      <c r="FF45" s="152"/>
      <c r="FG45" s="152"/>
      <c r="FH45" s="152"/>
      <c r="FI45" s="152"/>
      <c r="FJ45" s="152"/>
      <c r="FK45" s="152"/>
      <c r="FL45" s="152"/>
      <c r="FM45" s="152"/>
      <c r="FN45" s="152"/>
      <c r="FO45" s="152"/>
      <c r="FP45" s="152"/>
      <c r="FQ45" s="152"/>
      <c r="FR45" s="152"/>
      <c r="FS45" s="152"/>
      <c r="FT45" s="152"/>
      <c r="FU45" s="152"/>
      <c r="FV45" s="152"/>
      <c r="FW45" s="152"/>
      <c r="FX45" s="152"/>
      <c r="FY45" s="152"/>
      <c r="FZ45" s="152"/>
      <c r="GA45" s="152"/>
      <c r="GB45" s="152"/>
      <c r="GC45" s="152"/>
      <c r="GD45" s="152"/>
      <c r="GE45" s="152"/>
      <c r="GF45" s="152"/>
      <c r="GG45" s="152"/>
      <c r="GH45" s="152"/>
      <c r="GI45" s="152"/>
      <c r="GJ45" s="152"/>
      <c r="GK45" s="152"/>
      <c r="GL45" s="152"/>
      <c r="GM45" s="152"/>
      <c r="GN45" s="152"/>
      <c r="GO45" s="152"/>
      <c r="GP45" s="152"/>
      <c r="GQ45" s="152"/>
      <c r="GR45" s="152"/>
      <c r="GS45" s="152"/>
      <c r="GT45" s="152"/>
      <c r="GU45" s="152"/>
      <c r="GV45" s="152"/>
      <c r="GW45" s="152"/>
      <c r="GX45" s="152"/>
      <c r="GY45" s="152"/>
      <c r="GZ45" s="152"/>
      <c r="HA45" s="152"/>
      <c r="HB45" s="152"/>
      <c r="HC45" s="152"/>
      <c r="HD45" s="152"/>
      <c r="HE45" s="152"/>
      <c r="HF45" s="152"/>
      <c r="HG45" s="152"/>
      <c r="HH45" s="152"/>
      <c r="HI45" s="152"/>
      <c r="HJ45" s="152"/>
      <c r="HK45" s="152"/>
      <c r="HL45" s="152"/>
      <c r="HM45" s="152"/>
      <c r="HN45" s="152"/>
      <c r="HO45" s="152"/>
      <c r="HP45" s="152"/>
      <c r="HQ45" s="152"/>
      <c r="HR45" s="152"/>
      <c r="HS45" s="152"/>
      <c r="HT45" s="152"/>
      <c r="HU45" s="152"/>
      <c r="HV45" s="152"/>
      <c r="HW45" s="152"/>
      <c r="HX45" s="152"/>
      <c r="HY45" s="152"/>
      <c r="HZ45" s="152"/>
      <c r="IA45" s="152"/>
      <c r="IB45" s="152"/>
      <c r="IC45" s="152"/>
      <c r="ID45" s="152"/>
      <c r="IE45" s="152"/>
      <c r="IF45" s="152"/>
      <c r="IG45" s="152"/>
      <c r="IH45" s="152"/>
      <c r="II45" s="152"/>
      <c r="IJ45" s="152"/>
      <c r="IK45" s="152"/>
      <c r="IL45" s="152"/>
      <c r="IM45" s="152"/>
      <c r="IN45" s="152"/>
      <c r="IO45" s="152"/>
      <c r="IP45" s="152"/>
      <c r="IQ45" s="152"/>
      <c r="IR45" s="152"/>
      <c r="IS45" s="152"/>
      <c r="IT45" s="152"/>
      <c r="IU45" s="152"/>
      <c r="IV45" s="152"/>
      <c r="IW45" s="152"/>
      <c r="IX45" s="152"/>
      <c r="IY45" s="152"/>
      <c r="IZ45" s="152"/>
      <c r="JA45" s="152"/>
      <c r="JB45" s="152"/>
      <c r="JC45" s="152"/>
      <c r="JD45" s="152"/>
      <c r="JE45" s="152"/>
      <c r="JF45" s="152"/>
      <c r="JG45" s="152"/>
      <c r="JH45" s="152"/>
      <c r="JI45" s="152"/>
      <c r="JJ45" s="152"/>
      <c r="JK45" s="152"/>
      <c r="JL45" s="152"/>
      <c r="JM45" s="152"/>
      <c r="JN45" s="152"/>
      <c r="JO45" s="152"/>
      <c r="JP45" s="152"/>
      <c r="JQ45" s="152"/>
      <c r="JR45" s="152"/>
      <c r="JS45" s="152"/>
      <c r="JT45" s="152"/>
      <c r="JU45" s="152"/>
      <c r="JV45" s="152"/>
      <c r="JW45" s="152"/>
      <c r="JX45" s="152"/>
      <c r="JY45" s="152"/>
      <c r="JZ45" s="152"/>
      <c r="KA45" s="152"/>
      <c r="KB45" s="152"/>
      <c r="KC45" s="152"/>
      <c r="KD45" s="152"/>
      <c r="KE45" s="152"/>
      <c r="KF45" s="152"/>
      <c r="KG45" s="152"/>
      <c r="KH45" s="152"/>
      <c r="KI45" s="152"/>
      <c r="KJ45" s="152"/>
      <c r="KK45" s="152"/>
      <c r="KL45" s="152"/>
      <c r="KM45" s="152"/>
      <c r="KN45" s="152"/>
      <c r="KO45" s="152"/>
      <c r="KP45" s="152"/>
      <c r="KQ45" s="152"/>
      <c r="KR45" s="152"/>
      <c r="KS45" s="152"/>
      <c r="KT45" s="152"/>
      <c r="KU45" s="152"/>
      <c r="KV45" s="152"/>
      <c r="KW45" s="152"/>
      <c r="KX45" s="152"/>
      <c r="KY45" s="152"/>
      <c r="KZ45" s="152"/>
      <c r="LA45" s="152"/>
      <c r="LB45" s="152"/>
      <c r="LC45" s="152"/>
      <c r="LD45" s="152"/>
      <c r="LE45" s="152"/>
      <c r="LF45" s="152"/>
    </row>
    <row r="46" spans="1:318" ht="15.75" thickBot="1">
      <c r="O46" s="139" t="s">
        <v>235</v>
      </c>
      <c r="Q46" s="140"/>
      <c r="R46" s="139"/>
      <c r="S46" s="188">
        <f>S45*95%</f>
        <v>24733.269</v>
      </c>
      <c r="T46" s="188">
        <f t="shared" ref="T46:AQ46" si="26">T45*95%</f>
        <v>22361.79825</v>
      </c>
      <c r="U46" s="188">
        <f t="shared" si="26"/>
        <v>20119.238362987497</v>
      </c>
      <c r="V46" s="188">
        <f t="shared" si="26"/>
        <v>17998.12354992425</v>
      </c>
      <c r="W46" s="188">
        <f t="shared" si="26"/>
        <v>15991.406069061535</v>
      </c>
      <c r="X46" s="188">
        <f t="shared" si="26"/>
        <v>14092.432396871418</v>
      </c>
      <c r="Y46" s="188">
        <f t="shared" si="26"/>
        <v>12294.920744494029</v>
      </c>
      <c r="Z46" s="188">
        <f t="shared" si="26"/>
        <v>10592.939843345483</v>
      </c>
      <c r="AA46" s="188">
        <f t="shared" si="26"/>
        <v>8980.8889278523184</v>
      </c>
      <c r="AB46" s="188">
        <f t="shared" si="26"/>
        <v>7453.4788473553108</v>
      </c>
      <c r="AC46" s="188">
        <f t="shared" si="26"/>
        <v>18672.159243070928</v>
      </c>
      <c r="AD46" s="188">
        <f t="shared" si="26"/>
        <v>17299.321729626306</v>
      </c>
      <c r="AE46" s="188">
        <f t="shared" si="26"/>
        <v>15996.954024105587</v>
      </c>
      <c r="AF46" s="188">
        <f t="shared" si="26"/>
        <v>14760.844968773488</v>
      </c>
      <c r="AG46" s="188">
        <f t="shared" si="26"/>
        <v>13587.015396686962</v>
      </c>
      <c r="AH46" s="188">
        <f t="shared" si="26"/>
        <v>12471.704792277969</v>
      </c>
      <c r="AI46" s="188">
        <f t="shared" si="26"/>
        <v>11411.358701700145</v>
      </c>
      <c r="AJ46" s="188">
        <f t="shared" si="26"/>
        <v>10402.616850287701</v>
      </c>
      <c r="AK46" s="188">
        <f t="shared" si="26"/>
        <v>9442.3019268859371</v>
      </c>
      <c r="AL46" s="188">
        <f t="shared" si="26"/>
        <v>8527.4089970868936</v>
      </c>
      <c r="AM46" s="188">
        <f t="shared" si="26"/>
        <v>7655.0955095487361</v>
      </c>
      <c r="AN46" s="188">
        <f t="shared" si="26"/>
        <v>7019.3243081501196</v>
      </c>
      <c r="AO46" s="188">
        <f t="shared" si="26"/>
        <v>6817.4754567627742</v>
      </c>
      <c r="AP46" s="188">
        <f t="shared" si="26"/>
        <v>6612.7238499582318</v>
      </c>
      <c r="AQ46" s="189">
        <f t="shared" si="26"/>
        <v>6404.9603361031022</v>
      </c>
      <c r="AR46" s="152"/>
      <c r="AW46" s="152"/>
      <c r="AX46" s="152"/>
      <c r="AY46" s="152"/>
      <c r="AZ46" s="152"/>
      <c r="BA46" s="152"/>
      <c r="BB46" s="152"/>
      <c r="BC46" s="152"/>
      <c r="BD46" s="152"/>
      <c r="BE46" s="152"/>
      <c r="BF46" s="152"/>
      <c r="BG46" s="152"/>
      <c r="BH46" s="152"/>
      <c r="BI46" s="152"/>
      <c r="BJ46" s="152"/>
      <c r="BK46" s="152"/>
      <c r="BL46" s="152"/>
      <c r="BM46" s="152"/>
      <c r="BN46" s="152"/>
      <c r="BO46" s="152"/>
      <c r="BP46" s="152"/>
      <c r="BQ46" s="152"/>
      <c r="BR46" s="152"/>
      <c r="BS46" s="152"/>
      <c r="BT46" s="152"/>
      <c r="BU46" s="152"/>
      <c r="BV46" s="152"/>
      <c r="BW46" s="152"/>
      <c r="BX46" s="152"/>
      <c r="BY46" s="152"/>
      <c r="BZ46" s="152"/>
      <c r="CA46" s="152"/>
      <c r="CB46" s="152"/>
      <c r="CC46" s="152"/>
      <c r="CD46" s="152"/>
      <c r="CE46" s="152"/>
      <c r="CF46" s="152"/>
      <c r="CG46" s="152"/>
      <c r="CH46" s="152"/>
      <c r="CI46" s="152"/>
      <c r="CJ46" s="152"/>
      <c r="CK46" s="152"/>
      <c r="CL46" s="152"/>
      <c r="CM46" s="152"/>
      <c r="CN46" s="152"/>
      <c r="CO46" s="152"/>
      <c r="CP46" s="152"/>
      <c r="CQ46" s="152"/>
      <c r="CR46" s="152"/>
      <c r="CS46" s="152"/>
      <c r="CT46" s="152"/>
      <c r="CU46" s="152"/>
      <c r="CV46" s="152"/>
      <c r="CW46" s="152"/>
      <c r="CX46" s="152"/>
      <c r="CY46" s="152"/>
      <c r="CZ46" s="152"/>
      <c r="DA46" s="152"/>
      <c r="DB46" s="152"/>
      <c r="DC46" s="152"/>
      <c r="DD46" s="152"/>
      <c r="DE46" s="152"/>
      <c r="DF46" s="152"/>
      <c r="DG46" s="152"/>
      <c r="DH46" s="152"/>
      <c r="DI46" s="152"/>
      <c r="DJ46" s="152"/>
      <c r="DK46" s="152"/>
      <c r="DL46" s="152"/>
      <c r="DM46" s="152"/>
      <c r="DN46" s="152"/>
      <c r="DO46" s="152"/>
      <c r="DP46" s="152"/>
      <c r="DQ46" s="152"/>
      <c r="DR46" s="152"/>
      <c r="DS46" s="152"/>
      <c r="DT46" s="152"/>
      <c r="DU46" s="152"/>
      <c r="DV46" s="152"/>
      <c r="DW46" s="152"/>
      <c r="DX46" s="152"/>
      <c r="DY46" s="152"/>
      <c r="DZ46" s="152"/>
      <c r="EA46" s="152"/>
      <c r="EB46" s="152"/>
      <c r="EC46" s="152"/>
      <c r="ED46" s="152"/>
      <c r="EE46" s="152"/>
      <c r="EF46" s="152"/>
      <c r="EG46" s="152"/>
      <c r="EH46" s="152"/>
      <c r="EI46" s="152"/>
      <c r="EJ46" s="152"/>
      <c r="EK46" s="152"/>
      <c r="EL46" s="152"/>
      <c r="EM46" s="152"/>
      <c r="EN46" s="152"/>
      <c r="EO46" s="152"/>
      <c r="EP46" s="152"/>
      <c r="EQ46" s="152"/>
      <c r="ER46" s="152"/>
      <c r="ES46" s="152"/>
      <c r="ET46" s="152"/>
      <c r="EU46" s="152"/>
      <c r="EV46" s="152"/>
      <c r="EW46" s="152"/>
      <c r="EX46" s="152"/>
      <c r="EY46" s="152"/>
      <c r="EZ46" s="152"/>
      <c r="FA46" s="152"/>
      <c r="FB46" s="152"/>
      <c r="FC46" s="152"/>
      <c r="FD46" s="152"/>
      <c r="FE46" s="152"/>
      <c r="FF46" s="152"/>
      <c r="FG46" s="152"/>
      <c r="FH46" s="152"/>
      <c r="FI46" s="152"/>
      <c r="FJ46" s="152"/>
      <c r="FK46" s="152"/>
      <c r="FL46" s="152"/>
      <c r="FM46" s="152"/>
      <c r="FN46" s="152"/>
      <c r="FO46" s="152"/>
      <c r="FP46" s="152"/>
      <c r="FQ46" s="152"/>
      <c r="FR46" s="152"/>
      <c r="FS46" s="152"/>
      <c r="FT46" s="152"/>
      <c r="FU46" s="152"/>
      <c r="FV46" s="152"/>
      <c r="FW46" s="152"/>
      <c r="FX46" s="152"/>
      <c r="FY46" s="152"/>
      <c r="FZ46" s="152"/>
      <c r="GA46" s="152"/>
      <c r="GB46" s="152"/>
      <c r="GC46" s="152"/>
      <c r="GD46" s="152"/>
      <c r="GE46" s="152"/>
      <c r="GF46" s="152"/>
      <c r="GG46" s="152"/>
      <c r="GH46" s="152"/>
      <c r="GI46" s="152"/>
      <c r="GJ46" s="152"/>
      <c r="GK46" s="152"/>
      <c r="GL46" s="152"/>
      <c r="GM46" s="152"/>
      <c r="GN46" s="152"/>
      <c r="GO46" s="152"/>
      <c r="GP46" s="152"/>
      <c r="GQ46" s="152"/>
      <c r="GR46" s="152"/>
      <c r="GS46" s="152"/>
      <c r="GT46" s="152"/>
      <c r="GU46" s="152"/>
      <c r="GV46" s="152"/>
      <c r="GW46" s="152"/>
      <c r="GX46" s="152"/>
      <c r="GY46" s="152"/>
      <c r="GZ46" s="152"/>
      <c r="HA46" s="152"/>
      <c r="HB46" s="152"/>
      <c r="HC46" s="152"/>
      <c r="HD46" s="152"/>
      <c r="HE46" s="152"/>
      <c r="HF46" s="152"/>
      <c r="HG46" s="152"/>
      <c r="HH46" s="152"/>
      <c r="HI46" s="152"/>
      <c r="HJ46" s="152"/>
      <c r="HK46" s="152"/>
      <c r="HL46" s="152"/>
      <c r="HM46" s="152"/>
      <c r="HN46" s="152"/>
      <c r="HO46" s="152"/>
      <c r="HP46" s="152"/>
      <c r="HQ46" s="152"/>
      <c r="HR46" s="152"/>
      <c r="HS46" s="152"/>
      <c r="HT46" s="152"/>
      <c r="HU46" s="152"/>
      <c r="HV46" s="152"/>
      <c r="HW46" s="152"/>
      <c r="HX46" s="152"/>
      <c r="HY46" s="152"/>
      <c r="HZ46" s="152"/>
      <c r="IA46" s="152"/>
      <c r="IB46" s="152"/>
      <c r="IC46" s="152"/>
      <c r="ID46" s="152"/>
      <c r="IE46" s="152"/>
      <c r="IF46" s="152"/>
      <c r="IG46" s="152"/>
      <c r="IH46" s="152"/>
      <c r="II46" s="152"/>
      <c r="IJ46" s="152"/>
      <c r="IK46" s="152"/>
      <c r="IL46" s="152"/>
      <c r="IM46" s="152"/>
      <c r="IN46" s="152"/>
      <c r="IO46" s="152"/>
      <c r="IP46" s="152"/>
      <c r="IQ46" s="152"/>
      <c r="IR46" s="152"/>
      <c r="IS46" s="152"/>
      <c r="IT46" s="152"/>
      <c r="IU46" s="152"/>
      <c r="IV46" s="152"/>
      <c r="IW46" s="152"/>
      <c r="IX46" s="152"/>
      <c r="IY46" s="152"/>
      <c r="IZ46" s="152"/>
      <c r="JA46" s="152"/>
      <c r="JB46" s="152"/>
      <c r="JC46" s="152"/>
      <c r="JD46" s="152"/>
      <c r="JE46" s="152"/>
      <c r="JF46" s="152"/>
      <c r="JG46" s="152"/>
      <c r="JH46" s="152"/>
      <c r="JI46" s="152"/>
      <c r="JJ46" s="152"/>
      <c r="JK46" s="152"/>
      <c r="JL46" s="152"/>
      <c r="JM46" s="152"/>
      <c r="JN46" s="152"/>
      <c r="JO46" s="152"/>
      <c r="JP46" s="152"/>
      <c r="JQ46" s="152"/>
      <c r="JR46" s="152"/>
      <c r="JS46" s="152"/>
      <c r="JT46" s="152"/>
      <c r="JU46" s="152"/>
      <c r="JV46" s="152"/>
      <c r="JW46" s="152"/>
      <c r="JX46" s="152"/>
      <c r="JY46" s="152"/>
      <c r="JZ46" s="152"/>
      <c r="KA46" s="152"/>
      <c r="KB46" s="152"/>
      <c r="KC46" s="152"/>
      <c r="KD46" s="152"/>
      <c r="KE46" s="152"/>
      <c r="KF46" s="152"/>
      <c r="KG46" s="152"/>
      <c r="KH46" s="152"/>
      <c r="KI46" s="152"/>
      <c r="KJ46" s="152"/>
      <c r="KK46" s="152"/>
      <c r="KL46" s="152"/>
      <c r="KM46" s="152"/>
      <c r="KN46" s="152"/>
      <c r="KO46" s="152"/>
      <c r="KP46" s="152"/>
      <c r="KQ46" s="152"/>
      <c r="KR46" s="152"/>
      <c r="KS46" s="152"/>
      <c r="KT46" s="152"/>
      <c r="KU46" s="152"/>
      <c r="KV46" s="152"/>
      <c r="KW46" s="152"/>
      <c r="KX46" s="152"/>
      <c r="KY46" s="152"/>
      <c r="KZ46" s="152"/>
      <c r="LA46" s="152"/>
      <c r="LB46" s="152"/>
      <c r="LC46" s="152"/>
      <c r="LD46" s="152"/>
      <c r="LE46" s="152"/>
      <c r="LF46" s="152"/>
    </row>
    <row r="47" spans="1:318" ht="15.75" thickBot="1">
      <c r="O47" s="192" t="s">
        <v>236</v>
      </c>
      <c r="P47" s="193"/>
      <c r="Q47" s="199"/>
      <c r="R47" s="192"/>
      <c r="S47" s="195">
        <f>(S45+S46-R46)*$G$11</f>
        <v>0</v>
      </c>
      <c r="T47" s="195">
        <f t="shared" ref="T47:AQ47" si="27">(T45+T46-S46)*$G$11</f>
        <v>0</v>
      </c>
      <c r="U47" s="195">
        <f t="shared" si="27"/>
        <v>0</v>
      </c>
      <c r="V47" s="195">
        <f t="shared" si="27"/>
        <v>0</v>
      </c>
      <c r="W47" s="195">
        <f t="shared" si="27"/>
        <v>0</v>
      </c>
      <c r="X47" s="195">
        <f t="shared" si="27"/>
        <v>0</v>
      </c>
      <c r="Y47" s="195">
        <f t="shared" si="27"/>
        <v>0</v>
      </c>
      <c r="Z47" s="195">
        <f t="shared" si="27"/>
        <v>0</v>
      </c>
      <c r="AA47" s="195">
        <f t="shared" si="27"/>
        <v>0</v>
      </c>
      <c r="AB47" s="195">
        <f t="shared" si="27"/>
        <v>0</v>
      </c>
      <c r="AC47" s="195">
        <f t="shared" si="27"/>
        <v>0</v>
      </c>
      <c r="AD47" s="195">
        <f t="shared" si="27"/>
        <v>0</v>
      </c>
      <c r="AE47" s="195">
        <f t="shared" si="27"/>
        <v>0</v>
      </c>
      <c r="AF47" s="195">
        <f t="shared" si="27"/>
        <v>0</v>
      </c>
      <c r="AG47" s="195">
        <f t="shared" si="27"/>
        <v>0</v>
      </c>
      <c r="AH47" s="195">
        <f t="shared" si="27"/>
        <v>0</v>
      </c>
      <c r="AI47" s="195">
        <f t="shared" si="27"/>
        <v>0</v>
      </c>
      <c r="AJ47" s="195">
        <f t="shared" si="27"/>
        <v>0</v>
      </c>
      <c r="AK47" s="195">
        <f t="shared" si="27"/>
        <v>0</v>
      </c>
      <c r="AL47" s="195">
        <f t="shared" si="27"/>
        <v>0</v>
      </c>
      <c r="AM47" s="195">
        <f t="shared" si="27"/>
        <v>0</v>
      </c>
      <c r="AN47" s="195">
        <f t="shared" si="27"/>
        <v>0</v>
      </c>
      <c r="AO47" s="195">
        <f t="shared" si="27"/>
        <v>0</v>
      </c>
      <c r="AP47" s="195">
        <f t="shared" si="27"/>
        <v>0</v>
      </c>
      <c r="AQ47" s="196">
        <f t="shared" si="27"/>
        <v>0</v>
      </c>
      <c r="AR47" s="152"/>
      <c r="AW47" s="152"/>
      <c r="AX47" s="152"/>
      <c r="AY47" s="152"/>
      <c r="AZ47" s="152"/>
      <c r="BA47" s="152"/>
      <c r="BB47" s="152"/>
      <c r="BC47" s="152"/>
      <c r="BD47" s="152"/>
      <c r="BE47" s="152"/>
      <c r="BF47" s="152"/>
      <c r="BG47" s="152"/>
      <c r="BH47" s="152"/>
      <c r="BI47" s="152"/>
      <c r="BJ47" s="152"/>
      <c r="BK47" s="152"/>
      <c r="BL47" s="152"/>
      <c r="BM47" s="152"/>
      <c r="BN47" s="152"/>
      <c r="BO47" s="152"/>
      <c r="BP47" s="152"/>
      <c r="BQ47" s="152"/>
      <c r="BR47" s="152"/>
      <c r="BS47" s="152"/>
      <c r="BT47" s="152"/>
      <c r="BU47" s="152"/>
      <c r="BV47" s="152"/>
      <c r="BW47" s="152"/>
      <c r="BX47" s="152"/>
      <c r="BY47" s="152"/>
      <c r="BZ47" s="152"/>
      <c r="CA47" s="152"/>
      <c r="CB47" s="152"/>
      <c r="CC47" s="152"/>
      <c r="CD47" s="152"/>
      <c r="CE47" s="152"/>
      <c r="CF47" s="152"/>
      <c r="CG47" s="152"/>
      <c r="CH47" s="152"/>
      <c r="CI47" s="152"/>
      <c r="CJ47" s="152"/>
      <c r="CK47" s="152"/>
      <c r="CL47" s="152"/>
      <c r="CM47" s="152"/>
      <c r="CN47" s="152"/>
      <c r="CO47" s="152"/>
      <c r="CP47" s="152"/>
      <c r="CQ47" s="152"/>
      <c r="CR47" s="152"/>
      <c r="CS47" s="152"/>
      <c r="CT47" s="152"/>
      <c r="CU47" s="152"/>
      <c r="CV47" s="152"/>
      <c r="CW47" s="152"/>
      <c r="CX47" s="152"/>
      <c r="CY47" s="152"/>
      <c r="CZ47" s="152"/>
      <c r="DA47" s="152"/>
      <c r="DB47" s="152"/>
      <c r="DC47" s="152"/>
      <c r="DD47" s="152"/>
      <c r="DE47" s="152"/>
      <c r="DF47" s="152"/>
      <c r="DG47" s="152"/>
      <c r="DH47" s="152"/>
      <c r="DI47" s="152"/>
      <c r="DJ47" s="152"/>
      <c r="DK47" s="152"/>
      <c r="DL47" s="152"/>
      <c r="DM47" s="152"/>
      <c r="DN47" s="152"/>
      <c r="DO47" s="152"/>
      <c r="DP47" s="152"/>
      <c r="DQ47" s="152"/>
      <c r="DR47" s="152"/>
      <c r="DS47" s="152"/>
      <c r="DT47" s="152"/>
      <c r="DU47" s="152"/>
      <c r="DV47" s="152"/>
      <c r="DW47" s="152"/>
      <c r="DX47" s="152"/>
      <c r="DY47" s="152"/>
      <c r="DZ47" s="152"/>
      <c r="EA47" s="152"/>
      <c r="EB47" s="152"/>
      <c r="EC47" s="152"/>
      <c r="ED47" s="152"/>
      <c r="EE47" s="152"/>
      <c r="EF47" s="152"/>
      <c r="EG47" s="152"/>
      <c r="EH47" s="152"/>
      <c r="EI47" s="152"/>
      <c r="EJ47" s="152"/>
      <c r="EK47" s="152"/>
      <c r="EL47" s="152"/>
      <c r="EM47" s="152"/>
      <c r="EN47" s="152"/>
      <c r="EO47" s="152"/>
      <c r="EP47" s="152"/>
      <c r="EQ47" s="152"/>
      <c r="ER47" s="152"/>
      <c r="ES47" s="152"/>
      <c r="ET47" s="152"/>
      <c r="EU47" s="152"/>
      <c r="EV47" s="152"/>
      <c r="EW47" s="152"/>
      <c r="EX47" s="152"/>
      <c r="EY47" s="152"/>
      <c r="EZ47" s="152"/>
      <c r="FA47" s="152"/>
      <c r="FB47" s="152"/>
      <c r="FC47" s="152"/>
      <c r="FD47" s="152"/>
      <c r="FE47" s="152"/>
      <c r="FF47" s="152"/>
      <c r="FG47" s="152"/>
      <c r="FH47" s="152"/>
      <c r="FI47" s="152"/>
      <c r="FJ47" s="152"/>
      <c r="FK47" s="152"/>
      <c r="FL47" s="152"/>
      <c r="FM47" s="152"/>
      <c r="FN47" s="152"/>
      <c r="FO47" s="152"/>
      <c r="FP47" s="152"/>
      <c r="FQ47" s="152"/>
      <c r="FR47" s="152"/>
      <c r="FS47" s="152"/>
      <c r="FT47" s="152"/>
      <c r="FU47" s="152"/>
      <c r="FV47" s="152"/>
      <c r="FW47" s="152"/>
      <c r="FX47" s="152"/>
      <c r="FY47" s="152"/>
      <c r="FZ47" s="152"/>
      <c r="GA47" s="152"/>
      <c r="GB47" s="152"/>
      <c r="GC47" s="152"/>
      <c r="GD47" s="152"/>
      <c r="GE47" s="152"/>
      <c r="GF47" s="152"/>
      <c r="GG47" s="152"/>
      <c r="GH47" s="152"/>
      <c r="GI47" s="152"/>
      <c r="GJ47" s="152"/>
      <c r="GK47" s="152"/>
      <c r="GL47" s="152"/>
      <c r="GM47" s="152"/>
      <c r="GN47" s="152"/>
      <c r="GO47" s="152"/>
      <c r="GP47" s="152"/>
      <c r="GQ47" s="152"/>
      <c r="GR47" s="152"/>
      <c r="GS47" s="152"/>
      <c r="GT47" s="152"/>
      <c r="GU47" s="152"/>
      <c r="GV47" s="152"/>
      <c r="GW47" s="152"/>
      <c r="GX47" s="152"/>
      <c r="GY47" s="152"/>
      <c r="GZ47" s="152"/>
      <c r="HA47" s="152"/>
      <c r="HB47" s="152"/>
      <c r="HC47" s="152"/>
      <c r="HD47" s="152"/>
      <c r="HE47" s="152"/>
      <c r="HF47" s="152"/>
      <c r="HG47" s="152"/>
      <c r="HH47" s="152"/>
      <c r="HI47" s="152"/>
      <c r="HJ47" s="152"/>
      <c r="HK47" s="152"/>
      <c r="HL47" s="152"/>
      <c r="HM47" s="152"/>
      <c r="HN47" s="152"/>
      <c r="HO47" s="152"/>
      <c r="HP47" s="152"/>
      <c r="HQ47" s="152"/>
      <c r="HR47" s="152"/>
      <c r="HS47" s="152"/>
      <c r="HT47" s="152"/>
      <c r="HU47" s="152"/>
      <c r="HV47" s="152"/>
      <c r="HW47" s="152"/>
      <c r="HX47" s="152"/>
      <c r="HY47" s="152"/>
      <c r="HZ47" s="152"/>
      <c r="IA47" s="152"/>
      <c r="IB47" s="152"/>
      <c r="IC47" s="152"/>
      <c r="ID47" s="152"/>
      <c r="IE47" s="152"/>
      <c r="IF47" s="152"/>
      <c r="IG47" s="152"/>
      <c r="IH47" s="152"/>
      <c r="II47" s="152"/>
      <c r="IJ47" s="152"/>
      <c r="IK47" s="152"/>
      <c r="IL47" s="152"/>
      <c r="IM47" s="152"/>
      <c r="IN47" s="152"/>
      <c r="IO47" s="152"/>
      <c r="IP47" s="152"/>
      <c r="IQ47" s="152"/>
      <c r="IR47" s="152"/>
      <c r="IS47" s="152"/>
      <c r="IT47" s="152"/>
      <c r="IU47" s="152"/>
      <c r="IV47" s="152"/>
      <c r="IW47" s="152"/>
      <c r="IX47" s="152"/>
      <c r="IY47" s="152"/>
      <c r="IZ47" s="152"/>
      <c r="JA47" s="152"/>
      <c r="JB47" s="152"/>
      <c r="JC47" s="152"/>
      <c r="JD47" s="152"/>
      <c r="JE47" s="152"/>
      <c r="JF47" s="152"/>
      <c r="JG47" s="152"/>
      <c r="JH47" s="152"/>
      <c r="JI47" s="152"/>
      <c r="JJ47" s="152"/>
      <c r="JK47" s="152"/>
      <c r="JL47" s="152"/>
      <c r="JM47" s="152"/>
      <c r="JN47" s="152"/>
      <c r="JO47" s="152"/>
      <c r="JP47" s="152"/>
      <c r="JQ47" s="152"/>
      <c r="JR47" s="152"/>
      <c r="JS47" s="152"/>
      <c r="JT47" s="152"/>
      <c r="JU47" s="152"/>
      <c r="JV47" s="152"/>
      <c r="JW47" s="152"/>
      <c r="JX47" s="152"/>
      <c r="JY47" s="152"/>
      <c r="JZ47" s="152"/>
      <c r="KA47" s="152"/>
      <c r="KB47" s="152"/>
      <c r="KC47" s="152"/>
      <c r="KD47" s="152"/>
      <c r="KE47" s="152"/>
      <c r="KF47" s="152"/>
      <c r="KG47" s="152"/>
      <c r="KH47" s="152"/>
      <c r="KI47" s="152"/>
      <c r="KJ47" s="152"/>
      <c r="KK47" s="152"/>
      <c r="KL47" s="152"/>
      <c r="KM47" s="152"/>
      <c r="KN47" s="152"/>
      <c r="KO47" s="152"/>
      <c r="KP47" s="152"/>
      <c r="KQ47" s="152"/>
      <c r="KR47" s="152"/>
      <c r="KS47" s="152"/>
      <c r="KT47" s="152"/>
      <c r="KU47" s="152"/>
      <c r="KV47" s="152"/>
      <c r="KW47" s="152"/>
      <c r="KX47" s="152"/>
      <c r="KY47" s="152"/>
      <c r="KZ47" s="152"/>
      <c r="LA47" s="152"/>
      <c r="LB47" s="152"/>
      <c r="LC47" s="152"/>
      <c r="LD47" s="152"/>
      <c r="LE47" s="152"/>
      <c r="LF47" s="152"/>
    </row>
    <row r="48" spans="1:318">
      <c r="O48" s="139" t="s">
        <v>237</v>
      </c>
      <c r="Q48" s="140"/>
      <c r="R48" s="139"/>
      <c r="S48" s="188"/>
      <c r="T48" s="188"/>
      <c r="U48" s="188"/>
      <c r="V48" s="188"/>
      <c r="W48" s="188"/>
      <c r="X48" s="188"/>
      <c r="Y48" s="188"/>
      <c r="Z48" s="188"/>
      <c r="AA48" s="188"/>
      <c r="AB48" s="188"/>
      <c r="AC48" s="188"/>
      <c r="AD48" s="188"/>
      <c r="AE48" s="188"/>
      <c r="AF48" s="188"/>
      <c r="AG48" s="188"/>
      <c r="AH48" s="188"/>
      <c r="AI48" s="188"/>
      <c r="AJ48" s="188"/>
      <c r="AK48" s="188"/>
      <c r="AL48" s="188"/>
      <c r="AM48" s="188"/>
      <c r="AN48" s="188"/>
      <c r="AO48" s="188"/>
      <c r="AP48" s="188"/>
      <c r="AQ48" s="189"/>
      <c r="AR48" s="152"/>
      <c r="AW48" s="152"/>
      <c r="AX48" s="152"/>
      <c r="AY48" s="152"/>
      <c r="AZ48" s="152"/>
      <c r="BA48" s="152"/>
      <c r="BB48" s="152"/>
      <c r="BC48" s="152"/>
      <c r="BD48" s="152"/>
      <c r="BE48" s="152"/>
      <c r="BF48" s="152"/>
      <c r="BG48" s="152"/>
      <c r="BH48" s="152"/>
      <c r="BI48" s="152"/>
      <c r="BJ48" s="152"/>
      <c r="BK48" s="152"/>
      <c r="BL48" s="152"/>
      <c r="BM48" s="152"/>
      <c r="BN48" s="152"/>
      <c r="BO48" s="152"/>
      <c r="BP48" s="152"/>
      <c r="BQ48" s="152"/>
      <c r="BR48" s="152"/>
      <c r="BS48" s="152"/>
      <c r="BT48" s="152"/>
      <c r="BU48" s="152"/>
      <c r="BV48" s="152"/>
      <c r="BW48" s="152"/>
      <c r="BX48" s="152"/>
      <c r="BY48" s="152"/>
      <c r="BZ48" s="152"/>
      <c r="CA48" s="152"/>
      <c r="CB48" s="152"/>
      <c r="CC48" s="152"/>
      <c r="CD48" s="152"/>
      <c r="CE48" s="152"/>
      <c r="CF48" s="152"/>
      <c r="CG48" s="152"/>
      <c r="CH48" s="152"/>
      <c r="CI48" s="152"/>
      <c r="CJ48" s="152"/>
      <c r="CK48" s="152"/>
      <c r="CL48" s="152"/>
      <c r="CM48" s="152"/>
      <c r="CN48" s="152"/>
      <c r="CO48" s="152"/>
      <c r="CP48" s="152"/>
      <c r="CQ48" s="152"/>
      <c r="CR48" s="152"/>
      <c r="CS48" s="152"/>
      <c r="CT48" s="152"/>
      <c r="CU48" s="152"/>
      <c r="CV48" s="152"/>
      <c r="CW48" s="152"/>
      <c r="CX48" s="152"/>
      <c r="CY48" s="152"/>
      <c r="CZ48" s="152"/>
      <c r="DA48" s="152"/>
      <c r="DB48" s="152"/>
      <c r="DC48" s="152"/>
      <c r="DD48" s="152"/>
      <c r="DE48" s="152"/>
      <c r="DF48" s="152"/>
      <c r="DG48" s="152"/>
      <c r="DH48" s="152"/>
      <c r="DI48" s="152"/>
      <c r="DJ48" s="152"/>
      <c r="DK48" s="152"/>
      <c r="DL48" s="152"/>
      <c r="DM48" s="152"/>
      <c r="DN48" s="152"/>
      <c r="DO48" s="152"/>
      <c r="DP48" s="152"/>
      <c r="DQ48" s="152"/>
      <c r="DR48" s="152"/>
      <c r="DS48" s="152"/>
      <c r="DT48" s="152"/>
      <c r="DU48" s="152"/>
      <c r="DV48" s="152"/>
      <c r="DW48" s="152"/>
      <c r="DX48" s="152"/>
      <c r="DY48" s="152"/>
      <c r="DZ48" s="152"/>
      <c r="EA48" s="152"/>
      <c r="EB48" s="152"/>
      <c r="EC48" s="152"/>
      <c r="ED48" s="152"/>
      <c r="EE48" s="152"/>
      <c r="EF48" s="152"/>
      <c r="EG48" s="152"/>
      <c r="EH48" s="152"/>
      <c r="EI48" s="152"/>
      <c r="EJ48" s="152"/>
      <c r="EK48" s="152"/>
      <c r="EL48" s="152"/>
      <c r="EM48" s="152"/>
      <c r="EN48" s="152"/>
      <c r="EO48" s="152"/>
      <c r="EP48" s="152"/>
      <c r="EQ48" s="152"/>
      <c r="ER48" s="152"/>
      <c r="ES48" s="152"/>
      <c r="ET48" s="152"/>
      <c r="EU48" s="152"/>
      <c r="EV48" s="152"/>
      <c r="EW48" s="152"/>
      <c r="EX48" s="152"/>
      <c r="EY48" s="152"/>
      <c r="EZ48" s="152"/>
      <c r="FA48" s="152"/>
      <c r="FB48" s="152"/>
      <c r="FC48" s="152"/>
      <c r="FD48" s="152"/>
      <c r="FE48" s="152"/>
      <c r="FF48" s="152"/>
      <c r="FG48" s="152"/>
      <c r="FH48" s="152"/>
      <c r="FI48" s="152"/>
      <c r="FJ48" s="152"/>
      <c r="FK48" s="152"/>
      <c r="FL48" s="152"/>
      <c r="FM48" s="152"/>
      <c r="FN48" s="152"/>
      <c r="FO48" s="152"/>
      <c r="FP48" s="152"/>
      <c r="FQ48" s="152"/>
      <c r="FR48" s="152"/>
      <c r="FS48" s="152"/>
      <c r="FT48" s="152"/>
      <c r="FU48" s="152"/>
      <c r="FV48" s="152"/>
      <c r="FW48" s="152"/>
      <c r="FX48" s="152"/>
      <c r="FY48" s="152"/>
      <c r="FZ48" s="152"/>
      <c r="GA48" s="152"/>
      <c r="GB48" s="152"/>
      <c r="GC48" s="152"/>
      <c r="GD48" s="152"/>
      <c r="GE48" s="152"/>
      <c r="GF48" s="152"/>
      <c r="GG48" s="152"/>
      <c r="GH48" s="152"/>
      <c r="GI48" s="152"/>
      <c r="GJ48" s="152"/>
      <c r="GK48" s="152"/>
      <c r="GL48" s="152"/>
      <c r="GM48" s="152"/>
      <c r="GN48" s="152"/>
      <c r="GO48" s="152"/>
      <c r="GP48" s="152"/>
      <c r="GQ48" s="152"/>
      <c r="GR48" s="152"/>
      <c r="GS48" s="152"/>
      <c r="GT48" s="152"/>
      <c r="GU48" s="152"/>
      <c r="GV48" s="152"/>
      <c r="GW48" s="152"/>
      <c r="GX48" s="152"/>
      <c r="GY48" s="152"/>
      <c r="GZ48" s="152"/>
      <c r="HA48" s="152"/>
      <c r="HB48" s="152"/>
      <c r="HC48" s="152"/>
      <c r="HD48" s="152"/>
      <c r="HE48" s="152"/>
      <c r="HF48" s="152"/>
      <c r="HG48" s="152"/>
      <c r="HH48" s="152"/>
      <c r="HI48" s="152"/>
      <c r="HJ48" s="152"/>
      <c r="HK48" s="152"/>
      <c r="HL48" s="152"/>
      <c r="HM48" s="152"/>
      <c r="HN48" s="152"/>
      <c r="HO48" s="152"/>
      <c r="HP48" s="152"/>
      <c r="HQ48" s="152"/>
      <c r="HR48" s="152"/>
      <c r="HS48" s="152"/>
      <c r="HT48" s="152"/>
      <c r="HU48" s="152"/>
      <c r="HV48" s="152"/>
      <c r="HW48" s="152"/>
      <c r="HX48" s="152"/>
      <c r="HY48" s="152"/>
      <c r="HZ48" s="152"/>
      <c r="IA48" s="152"/>
      <c r="IB48" s="152"/>
      <c r="IC48" s="152"/>
      <c r="ID48" s="152"/>
      <c r="IE48" s="152"/>
      <c r="IF48" s="152"/>
      <c r="IG48" s="152"/>
      <c r="IH48" s="152"/>
      <c r="II48" s="152"/>
      <c r="IJ48" s="152"/>
      <c r="IK48" s="152"/>
      <c r="IL48" s="152"/>
      <c r="IM48" s="152"/>
      <c r="IN48" s="152"/>
      <c r="IO48" s="152"/>
      <c r="IP48" s="152"/>
      <c r="IQ48" s="152"/>
      <c r="IR48" s="152"/>
      <c r="IS48" s="152"/>
      <c r="IT48" s="152"/>
      <c r="IU48" s="152"/>
      <c r="IV48" s="152"/>
      <c r="IW48" s="152"/>
      <c r="IX48" s="152"/>
      <c r="IY48" s="152"/>
      <c r="IZ48" s="152"/>
      <c r="JA48" s="152"/>
      <c r="JB48" s="152"/>
      <c r="JC48" s="152"/>
      <c r="JD48" s="152"/>
      <c r="JE48" s="152"/>
      <c r="JF48" s="152"/>
      <c r="JG48" s="152"/>
      <c r="JH48" s="152"/>
      <c r="JI48" s="152"/>
      <c r="JJ48" s="152"/>
      <c r="JK48" s="152"/>
      <c r="JL48" s="152"/>
      <c r="JM48" s="152"/>
      <c r="JN48" s="152"/>
      <c r="JO48" s="152"/>
      <c r="JP48" s="152"/>
      <c r="JQ48" s="152"/>
      <c r="JR48" s="152"/>
      <c r="JS48" s="152"/>
      <c r="JT48" s="152"/>
      <c r="JU48" s="152"/>
      <c r="JV48" s="152"/>
      <c r="JW48" s="152"/>
      <c r="JX48" s="152"/>
      <c r="JY48" s="152"/>
      <c r="JZ48" s="152"/>
      <c r="KA48" s="152"/>
      <c r="KB48" s="152"/>
      <c r="KC48" s="152"/>
      <c r="KD48" s="152"/>
      <c r="KE48" s="152"/>
      <c r="KF48" s="152"/>
      <c r="KG48" s="152"/>
      <c r="KH48" s="152"/>
      <c r="KI48" s="152"/>
      <c r="KJ48" s="152"/>
      <c r="KK48" s="152"/>
      <c r="KL48" s="152"/>
      <c r="KM48" s="152"/>
      <c r="KN48" s="152"/>
      <c r="KO48" s="152"/>
      <c r="KP48" s="152"/>
      <c r="KQ48" s="152"/>
      <c r="KR48" s="152"/>
      <c r="KS48" s="152"/>
      <c r="KT48" s="152"/>
      <c r="KU48" s="152"/>
      <c r="KV48" s="152"/>
      <c r="KW48" s="152"/>
      <c r="KX48" s="152"/>
      <c r="KY48" s="152"/>
      <c r="KZ48" s="152"/>
      <c r="LA48" s="152"/>
      <c r="LB48" s="152"/>
      <c r="LC48" s="152"/>
      <c r="LD48" s="152"/>
      <c r="LE48" s="152"/>
      <c r="LF48" s="152"/>
    </row>
    <row r="49" spans="14:318" ht="15.75" thickBot="1">
      <c r="O49" s="190" t="s">
        <v>238</v>
      </c>
      <c r="P49" s="42"/>
      <c r="Q49" s="43"/>
      <c r="R49" s="190"/>
      <c r="S49" s="171"/>
      <c r="T49" s="171"/>
      <c r="U49" s="171"/>
      <c r="V49" s="171"/>
      <c r="W49" s="171"/>
      <c r="X49" s="171"/>
      <c r="Y49" s="171"/>
      <c r="Z49" s="171"/>
      <c r="AA49" s="171"/>
      <c r="AB49" s="171"/>
      <c r="AC49" s="171"/>
      <c r="AD49" s="171"/>
      <c r="AE49" s="171"/>
      <c r="AF49" s="171"/>
      <c r="AG49" s="171"/>
      <c r="AH49" s="171"/>
      <c r="AI49" s="171"/>
      <c r="AJ49" s="171"/>
      <c r="AK49" s="171"/>
      <c r="AL49" s="171"/>
      <c r="AM49" s="171"/>
      <c r="AN49" s="171"/>
      <c r="AO49" s="171"/>
      <c r="AP49" s="171"/>
      <c r="AQ49" s="191"/>
    </row>
    <row r="50" spans="14:318">
      <c r="S50" s="169"/>
      <c r="T50" s="169"/>
      <c r="U50" s="169"/>
      <c r="V50" s="169"/>
      <c r="W50" s="169"/>
      <c r="X50" s="169"/>
      <c r="Y50" s="169"/>
      <c r="Z50" s="169"/>
      <c r="AA50" s="169"/>
      <c r="AB50" s="169"/>
      <c r="AC50" s="169"/>
      <c r="AD50" s="169"/>
      <c r="AE50" s="169"/>
      <c r="AF50" s="169"/>
      <c r="AG50" s="169"/>
      <c r="AH50" s="169"/>
      <c r="AI50" s="169"/>
      <c r="AJ50" s="169"/>
      <c r="AK50" s="169"/>
      <c r="AL50" s="169"/>
      <c r="AM50" s="169"/>
      <c r="AN50" s="169"/>
      <c r="AO50" s="169"/>
      <c r="AP50" s="169"/>
      <c r="AQ50" s="169"/>
    </row>
    <row r="51" spans="14:318" ht="15.75" thickBot="1">
      <c r="R51" s="169"/>
      <c r="S51" s="169"/>
      <c r="T51" s="169"/>
      <c r="U51" s="169"/>
      <c r="V51" s="169"/>
      <c r="W51" s="169"/>
      <c r="X51" s="169"/>
      <c r="Y51" s="169"/>
      <c r="Z51" s="169"/>
      <c r="AA51" s="169"/>
      <c r="AB51" s="169"/>
      <c r="AC51" s="169"/>
      <c r="AD51" s="169"/>
      <c r="AE51" s="169"/>
      <c r="AF51" s="169"/>
      <c r="AG51" s="169"/>
      <c r="AH51" s="169"/>
      <c r="AI51" s="169"/>
      <c r="AJ51" s="169"/>
      <c r="AK51" s="169"/>
      <c r="AL51" s="169"/>
      <c r="AM51" s="169"/>
      <c r="AN51" s="169"/>
      <c r="AO51" s="169"/>
      <c r="AP51" s="169"/>
      <c r="AQ51" s="169"/>
      <c r="AR51" s="152"/>
      <c r="AW51" s="152"/>
      <c r="AX51" s="152"/>
      <c r="AY51" s="152"/>
      <c r="AZ51" s="152"/>
      <c r="BA51" s="152"/>
      <c r="BB51" s="152"/>
      <c r="BC51" s="152"/>
      <c r="BD51" s="152"/>
      <c r="BE51" s="152"/>
      <c r="BF51" s="152"/>
      <c r="BG51" s="152"/>
      <c r="BH51" s="152"/>
      <c r="BI51" s="152"/>
      <c r="BJ51" s="152"/>
      <c r="BK51" s="152"/>
      <c r="BL51" s="152"/>
      <c r="BM51" s="152"/>
      <c r="BN51" s="152"/>
      <c r="BO51" s="152"/>
      <c r="BP51" s="152"/>
      <c r="BQ51" s="152"/>
      <c r="BR51" s="152"/>
      <c r="BS51" s="152"/>
      <c r="BT51" s="152"/>
      <c r="BU51" s="152"/>
      <c r="BV51" s="152"/>
      <c r="BW51" s="152"/>
      <c r="BX51" s="152"/>
      <c r="BY51" s="152"/>
      <c r="BZ51" s="152"/>
      <c r="CA51" s="152"/>
      <c r="CB51" s="152"/>
      <c r="CC51" s="152"/>
      <c r="CD51" s="152"/>
      <c r="CE51" s="152"/>
      <c r="CF51" s="152"/>
      <c r="CG51" s="152"/>
      <c r="CH51" s="152"/>
      <c r="CI51" s="152"/>
      <c r="CJ51" s="152"/>
      <c r="CK51" s="152"/>
      <c r="CL51" s="152"/>
      <c r="CM51" s="152"/>
      <c r="CN51" s="152"/>
      <c r="CO51" s="152"/>
      <c r="CP51" s="152"/>
      <c r="CQ51" s="152"/>
      <c r="CR51" s="152"/>
      <c r="CS51" s="152"/>
      <c r="CT51" s="152"/>
      <c r="CU51" s="152"/>
      <c r="CV51" s="152"/>
      <c r="CW51" s="152"/>
      <c r="CX51" s="152"/>
      <c r="CY51" s="152"/>
      <c r="CZ51" s="152"/>
      <c r="DA51" s="152"/>
      <c r="DB51" s="152"/>
      <c r="DC51" s="152"/>
      <c r="DD51" s="152"/>
      <c r="DE51" s="152"/>
      <c r="DF51" s="152"/>
      <c r="DG51" s="152"/>
      <c r="DH51" s="152"/>
      <c r="DI51" s="152"/>
      <c r="DJ51" s="152"/>
      <c r="DK51" s="152"/>
      <c r="DL51" s="152"/>
      <c r="DM51" s="152"/>
      <c r="DN51" s="152"/>
      <c r="DO51" s="152"/>
      <c r="DP51" s="152"/>
      <c r="DQ51" s="152"/>
      <c r="DR51" s="152"/>
      <c r="DS51" s="152"/>
      <c r="DT51" s="152"/>
      <c r="DU51" s="152"/>
      <c r="DV51" s="152"/>
      <c r="DW51" s="152"/>
      <c r="DX51" s="152"/>
      <c r="DY51" s="152"/>
      <c r="DZ51" s="152"/>
      <c r="EA51" s="152"/>
      <c r="EB51" s="152"/>
      <c r="EC51" s="152"/>
      <c r="ED51" s="152"/>
      <c r="EE51" s="152"/>
      <c r="EF51" s="152"/>
      <c r="EG51" s="152"/>
      <c r="EH51" s="152"/>
      <c r="EI51" s="152"/>
      <c r="EJ51" s="152"/>
      <c r="EK51" s="152"/>
      <c r="EL51" s="152"/>
      <c r="EM51" s="152"/>
      <c r="EN51" s="152"/>
      <c r="EO51" s="152"/>
      <c r="EP51" s="152"/>
      <c r="EQ51" s="152"/>
      <c r="ER51" s="152"/>
      <c r="ES51" s="152"/>
      <c r="ET51" s="152"/>
      <c r="EU51" s="152"/>
      <c r="EV51" s="152"/>
      <c r="EW51" s="152"/>
      <c r="EX51" s="152"/>
      <c r="EY51" s="152"/>
      <c r="EZ51" s="152"/>
      <c r="FA51" s="152"/>
      <c r="FB51" s="152"/>
      <c r="FC51" s="152"/>
      <c r="FD51" s="152"/>
      <c r="FE51" s="152"/>
      <c r="FF51" s="152"/>
      <c r="FG51" s="152"/>
      <c r="FH51" s="152"/>
      <c r="FI51" s="152"/>
      <c r="FJ51" s="152"/>
      <c r="FK51" s="152"/>
      <c r="FL51" s="152"/>
      <c r="FM51" s="152"/>
      <c r="FN51" s="152"/>
      <c r="FO51" s="152"/>
      <c r="FP51" s="152"/>
      <c r="FQ51" s="152"/>
      <c r="FR51" s="152"/>
      <c r="FS51" s="152"/>
      <c r="FT51" s="152"/>
      <c r="FU51" s="152"/>
      <c r="FV51" s="152"/>
      <c r="FW51" s="152"/>
      <c r="FX51" s="152"/>
      <c r="FY51" s="152"/>
      <c r="FZ51" s="152"/>
      <c r="GA51" s="152"/>
      <c r="GB51" s="152"/>
      <c r="GC51" s="152"/>
      <c r="GD51" s="152"/>
      <c r="GE51" s="152"/>
      <c r="GF51" s="152"/>
      <c r="GG51" s="152"/>
      <c r="GH51" s="152"/>
      <c r="GI51" s="152"/>
      <c r="GJ51" s="152"/>
      <c r="GK51" s="152"/>
      <c r="GL51" s="152"/>
      <c r="GM51" s="152"/>
      <c r="GN51" s="152"/>
      <c r="GO51" s="152"/>
      <c r="GP51" s="152"/>
      <c r="GQ51" s="152"/>
      <c r="GR51" s="152"/>
      <c r="GS51" s="152"/>
      <c r="GT51" s="152"/>
      <c r="GU51" s="152"/>
      <c r="GV51" s="152"/>
      <c r="GW51" s="152"/>
      <c r="GX51" s="152"/>
      <c r="GY51" s="152"/>
      <c r="GZ51" s="152"/>
      <c r="HA51" s="152"/>
      <c r="HB51" s="152"/>
      <c r="HC51" s="152"/>
      <c r="HD51" s="152"/>
      <c r="HE51" s="152"/>
      <c r="HF51" s="152"/>
      <c r="HG51" s="152"/>
      <c r="HH51" s="152"/>
      <c r="HI51" s="152"/>
      <c r="HJ51" s="152"/>
      <c r="HK51" s="152"/>
      <c r="HL51" s="152"/>
      <c r="HM51" s="152"/>
      <c r="HN51" s="152"/>
      <c r="HO51" s="152"/>
      <c r="HP51" s="152"/>
      <c r="HQ51" s="152"/>
      <c r="HR51" s="152"/>
      <c r="HS51" s="152"/>
      <c r="HT51" s="152"/>
      <c r="HU51" s="152"/>
      <c r="HV51" s="152"/>
      <c r="HW51" s="152"/>
      <c r="HX51" s="152"/>
      <c r="HY51" s="152"/>
      <c r="HZ51" s="152"/>
      <c r="IA51" s="152"/>
      <c r="IB51" s="152"/>
      <c r="IC51" s="152"/>
      <c r="ID51" s="152"/>
      <c r="IE51" s="152"/>
      <c r="IF51" s="152"/>
      <c r="IG51" s="152"/>
      <c r="IH51" s="152"/>
      <c r="II51" s="152"/>
      <c r="IJ51" s="152"/>
      <c r="IK51" s="152"/>
      <c r="IL51" s="152"/>
      <c r="IM51" s="152"/>
      <c r="IN51" s="152"/>
      <c r="IO51" s="152"/>
      <c r="IP51" s="152"/>
      <c r="IQ51" s="152"/>
      <c r="IR51" s="152"/>
      <c r="IS51" s="152"/>
      <c r="IT51" s="152"/>
      <c r="IU51" s="152"/>
      <c r="IV51" s="152"/>
      <c r="IW51" s="152"/>
      <c r="IX51" s="152"/>
      <c r="IY51" s="152"/>
      <c r="IZ51" s="152"/>
      <c r="JA51" s="152"/>
      <c r="JB51" s="152"/>
      <c r="JC51" s="152"/>
      <c r="JD51" s="152"/>
      <c r="JE51" s="152"/>
      <c r="JF51" s="152"/>
      <c r="JG51" s="152"/>
      <c r="JH51" s="152"/>
      <c r="JI51" s="152"/>
      <c r="JJ51" s="152"/>
      <c r="JK51" s="152"/>
      <c r="JL51" s="152"/>
      <c r="JM51" s="152"/>
      <c r="JN51" s="152"/>
      <c r="JO51" s="152"/>
      <c r="JP51" s="152"/>
      <c r="JQ51" s="152"/>
      <c r="JR51" s="152"/>
      <c r="JS51" s="152"/>
      <c r="JT51" s="152"/>
      <c r="JU51" s="152"/>
      <c r="JV51" s="152"/>
      <c r="JW51" s="152"/>
      <c r="JX51" s="152"/>
      <c r="JY51" s="152"/>
      <c r="JZ51" s="152"/>
      <c r="KA51" s="152"/>
      <c r="KB51" s="152"/>
      <c r="KC51" s="152"/>
      <c r="KD51" s="152"/>
      <c r="KE51" s="152"/>
      <c r="KF51" s="152"/>
      <c r="KG51" s="152"/>
      <c r="KH51" s="152"/>
      <c r="KI51" s="152"/>
      <c r="KJ51" s="152"/>
      <c r="KK51" s="152"/>
      <c r="KL51" s="152"/>
      <c r="KM51" s="152"/>
      <c r="KN51" s="152"/>
      <c r="KO51" s="152"/>
      <c r="KP51" s="152"/>
      <c r="KQ51" s="152"/>
      <c r="KR51" s="152"/>
      <c r="KS51" s="152"/>
      <c r="KT51" s="152"/>
      <c r="KU51" s="152"/>
      <c r="KV51" s="152"/>
      <c r="KW51" s="152"/>
      <c r="KX51" s="152"/>
      <c r="KY51" s="152"/>
      <c r="KZ51" s="152"/>
      <c r="LA51" s="152"/>
      <c r="LB51" s="152"/>
      <c r="LC51" s="152"/>
      <c r="LD51" s="152"/>
      <c r="LE51" s="152"/>
      <c r="LF51" s="152"/>
    </row>
    <row r="52" spans="14:318">
      <c r="N52" s="324" t="s">
        <v>220</v>
      </c>
      <c r="O52" s="161" t="s">
        <v>239</v>
      </c>
      <c r="P52" s="162"/>
      <c r="R52" s="169">
        <f>-($A$8*$B$8+(1-$J$11)*$A$11*$B$11+$S$8+$R$8+$X$8+$Y$8)*$F$8</f>
        <v>-713000</v>
      </c>
      <c r="S52" s="169">
        <f>S33-S40-S41-S47</f>
        <v>183200</v>
      </c>
      <c r="T52" s="169">
        <f t="shared" ref="T52:AQ52" si="28">T33-T40-T41-T47</f>
        <v>171853.25</v>
      </c>
      <c r="U52" s="169">
        <f t="shared" si="28"/>
        <v>161123.29838749999</v>
      </c>
      <c r="V52" s="169">
        <f t="shared" si="28"/>
        <v>150974.42368384809</v>
      </c>
      <c r="W52" s="169">
        <f t="shared" si="28"/>
        <v>141372.90463665806</v>
      </c>
      <c r="X52" s="169">
        <f t="shared" si="28"/>
        <v>132286.9062051264</v>
      </c>
      <c r="Y52" s="169">
        <f t="shared" si="28"/>
        <v>123686.37198322502</v>
      </c>
      <c r="Z52" s="169">
        <f t="shared" si="28"/>
        <v>115542.92269543294</v>
      </c>
      <c r="AA52" s="169">
        <f t="shared" si="28"/>
        <v>107829.76042034602</v>
      </c>
      <c r="AB52" s="169">
        <f t="shared" si="28"/>
        <v>100521.57821701106</v>
      </c>
      <c r="AC52" s="169">
        <f t="shared" si="28"/>
        <v>93594.474847229314</v>
      </c>
      <c r="AD52" s="169">
        <f t="shared" si="28"/>
        <v>87025.874304432087</v>
      </c>
      <c r="AE52" s="169">
        <f t="shared" si="28"/>
        <v>80794.449876103288</v>
      </c>
      <c r="AF52" s="169">
        <f t="shared" si="28"/>
        <v>74880.052482169805</v>
      </c>
      <c r="AG52" s="169">
        <f t="shared" si="28"/>
        <v>69263.643046349098</v>
      </c>
      <c r="AH52" s="169">
        <f t="shared" si="28"/>
        <v>63927.228671186458</v>
      </c>
      <c r="AI52" s="169">
        <f t="shared" si="28"/>
        <v>58853.802400479166</v>
      </c>
      <c r="AJ52" s="169">
        <f t="shared" si="28"/>
        <v>54027.286365012922</v>
      </c>
      <c r="AK52" s="169">
        <f t="shared" si="28"/>
        <v>49432.478119071471</v>
      </c>
      <c r="AL52" s="169">
        <f t="shared" si="28"/>
        <v>45054.999986061695</v>
      </c>
      <c r="AM52" s="169">
        <f t="shared" si="28"/>
        <v>40881.25124185998</v>
      </c>
      <c r="AN52" s="169">
        <f t="shared" si="28"/>
        <v>37839.283771053204</v>
      </c>
      <c r="AO52" s="169">
        <f t="shared" si="28"/>
        <v>36873.499793123323</v>
      </c>
      <c r="AP52" s="169">
        <f t="shared" si="28"/>
        <v>35893.827033292975</v>
      </c>
      <c r="AQ52" s="169">
        <f t="shared" si="28"/>
        <v>34899.743234943075</v>
      </c>
      <c r="AR52" s="152"/>
      <c r="AW52" s="152"/>
      <c r="AX52" s="152"/>
      <c r="AY52" s="152"/>
      <c r="AZ52" s="152"/>
      <c r="BA52" s="152"/>
      <c r="BB52" s="152"/>
      <c r="BC52" s="152"/>
      <c r="BD52" s="152"/>
      <c r="BE52" s="152"/>
      <c r="BF52" s="152"/>
      <c r="BG52" s="152"/>
      <c r="BH52" s="152"/>
      <c r="BI52" s="152"/>
      <c r="BJ52" s="152"/>
      <c r="BK52" s="152"/>
      <c r="BL52" s="152"/>
      <c r="BM52" s="152"/>
      <c r="BN52" s="152"/>
      <c r="BO52" s="152"/>
      <c r="BP52" s="152"/>
      <c r="BQ52" s="152"/>
      <c r="BR52" s="152"/>
      <c r="BS52" s="152"/>
      <c r="BT52" s="152"/>
      <c r="BU52" s="152"/>
      <c r="BV52" s="152"/>
      <c r="BW52" s="152"/>
      <c r="BX52" s="152"/>
      <c r="BY52" s="152"/>
      <c r="BZ52" s="152"/>
      <c r="CA52" s="152"/>
      <c r="CB52" s="152"/>
      <c r="CC52" s="152"/>
      <c r="CD52" s="152"/>
      <c r="CE52" s="152"/>
      <c r="CF52" s="152"/>
      <c r="CG52" s="152"/>
      <c r="CH52" s="152"/>
      <c r="CI52" s="152"/>
      <c r="CJ52" s="152"/>
      <c r="CK52" s="152"/>
      <c r="CL52" s="152"/>
      <c r="CM52" s="152"/>
      <c r="CN52" s="152"/>
      <c r="CO52" s="152"/>
      <c r="CP52" s="152"/>
      <c r="CQ52" s="152"/>
      <c r="CR52" s="152"/>
      <c r="CS52" s="152"/>
      <c r="CT52" s="152"/>
      <c r="CU52" s="152"/>
      <c r="CV52" s="152"/>
      <c r="CW52" s="152"/>
      <c r="CX52" s="152"/>
      <c r="CY52" s="152"/>
      <c r="CZ52" s="152"/>
      <c r="DA52" s="152"/>
      <c r="DB52" s="152"/>
      <c r="DC52" s="152"/>
      <c r="DD52" s="152"/>
      <c r="DE52" s="152"/>
      <c r="DF52" s="152"/>
      <c r="DG52" s="152"/>
      <c r="DH52" s="152"/>
      <c r="DI52" s="152"/>
      <c r="DJ52" s="152"/>
      <c r="DK52" s="152"/>
      <c r="DL52" s="152"/>
      <c r="DM52" s="152"/>
      <c r="DN52" s="152"/>
      <c r="DO52" s="152"/>
      <c r="DP52" s="152"/>
      <c r="DQ52" s="152"/>
      <c r="DR52" s="152"/>
      <c r="DS52" s="152"/>
      <c r="DT52" s="152"/>
      <c r="DU52" s="152"/>
      <c r="DV52" s="152"/>
      <c r="DW52" s="152"/>
      <c r="DX52" s="152"/>
      <c r="DY52" s="152"/>
      <c r="DZ52" s="152"/>
      <c r="EA52" s="152"/>
      <c r="EB52" s="152"/>
      <c r="EC52" s="152"/>
      <c r="ED52" s="152"/>
      <c r="EE52" s="152"/>
      <c r="EF52" s="152"/>
      <c r="EG52" s="152"/>
      <c r="EH52" s="152"/>
      <c r="EI52" s="152"/>
      <c r="EJ52" s="152"/>
      <c r="EK52" s="152"/>
      <c r="EL52" s="152"/>
      <c r="EM52" s="152"/>
      <c r="EN52" s="152"/>
      <c r="EO52" s="152"/>
      <c r="EP52" s="152"/>
      <c r="EQ52" s="152"/>
      <c r="ER52" s="152"/>
      <c r="ES52" s="152"/>
      <c r="ET52" s="152"/>
      <c r="EU52" s="152"/>
      <c r="EV52" s="152"/>
      <c r="EW52" s="152"/>
      <c r="EX52" s="152"/>
      <c r="EY52" s="152"/>
      <c r="EZ52" s="152"/>
      <c r="FA52" s="152"/>
      <c r="FB52" s="152"/>
      <c r="FC52" s="152"/>
      <c r="FD52" s="152"/>
      <c r="FE52" s="152"/>
      <c r="FF52" s="152"/>
      <c r="FG52" s="152"/>
      <c r="FH52" s="152"/>
      <c r="FI52" s="152"/>
      <c r="FJ52" s="152"/>
      <c r="FK52" s="152"/>
      <c r="FL52" s="152"/>
      <c r="FM52" s="152"/>
      <c r="FN52" s="152"/>
      <c r="FO52" s="152"/>
      <c r="FP52" s="152"/>
      <c r="FQ52" s="152"/>
      <c r="FR52" s="152"/>
      <c r="FS52" s="152"/>
      <c r="FT52" s="152"/>
      <c r="FU52" s="152"/>
      <c r="FV52" s="152"/>
      <c r="FW52" s="152"/>
      <c r="FX52" s="152"/>
      <c r="FY52" s="152"/>
      <c r="FZ52" s="152"/>
      <c r="GA52" s="152"/>
      <c r="GB52" s="152"/>
      <c r="GC52" s="152"/>
      <c r="GD52" s="152"/>
      <c r="GE52" s="152"/>
      <c r="GF52" s="152"/>
      <c r="GG52" s="152"/>
      <c r="GH52" s="152"/>
      <c r="GI52" s="152"/>
      <c r="GJ52" s="152"/>
      <c r="GK52" s="152"/>
      <c r="GL52" s="152"/>
      <c r="GM52" s="152"/>
      <c r="GN52" s="152"/>
      <c r="GO52" s="152"/>
      <c r="GP52" s="152"/>
      <c r="GQ52" s="152"/>
      <c r="GR52" s="152"/>
      <c r="GS52" s="152"/>
      <c r="GT52" s="152"/>
      <c r="GU52" s="152"/>
      <c r="GV52" s="152"/>
      <c r="GW52" s="152"/>
      <c r="GX52" s="152"/>
      <c r="GY52" s="152"/>
      <c r="GZ52" s="152"/>
      <c r="HA52" s="152"/>
      <c r="HB52" s="152"/>
      <c r="HC52" s="152"/>
      <c r="HD52" s="152"/>
      <c r="HE52" s="152"/>
      <c r="HF52" s="152"/>
      <c r="HG52" s="152"/>
      <c r="HH52" s="152"/>
      <c r="HI52" s="152"/>
      <c r="HJ52" s="152"/>
      <c r="HK52" s="152"/>
      <c r="HL52" s="152"/>
      <c r="HM52" s="152"/>
      <c r="HN52" s="152"/>
      <c r="HO52" s="152"/>
      <c r="HP52" s="152"/>
      <c r="HQ52" s="152"/>
      <c r="HR52" s="152"/>
      <c r="HS52" s="152"/>
      <c r="HT52" s="152"/>
      <c r="HU52" s="152"/>
      <c r="HV52" s="152"/>
      <c r="HW52" s="152"/>
      <c r="HX52" s="152"/>
      <c r="HY52" s="152"/>
      <c r="HZ52" s="152"/>
      <c r="IA52" s="152"/>
      <c r="IB52" s="152"/>
      <c r="IC52" s="152"/>
      <c r="ID52" s="152"/>
      <c r="IE52" s="152"/>
      <c r="IF52" s="152"/>
      <c r="IG52" s="152"/>
      <c r="IH52" s="152"/>
      <c r="II52" s="152"/>
      <c r="IJ52" s="152"/>
      <c r="IK52" s="152"/>
      <c r="IL52" s="152"/>
      <c r="IM52" s="152"/>
      <c r="IN52" s="152"/>
      <c r="IO52" s="152"/>
      <c r="IP52" s="152"/>
      <c r="IQ52" s="152"/>
      <c r="IR52" s="152"/>
      <c r="IS52" s="152"/>
      <c r="IT52" s="152"/>
      <c r="IU52" s="152"/>
      <c r="IV52" s="152"/>
      <c r="IW52" s="152"/>
      <c r="IX52" s="152"/>
      <c r="IY52" s="152"/>
      <c r="IZ52" s="152"/>
      <c r="JA52" s="152"/>
      <c r="JB52" s="152"/>
      <c r="JC52" s="152"/>
      <c r="JD52" s="152"/>
      <c r="JE52" s="152"/>
      <c r="JF52" s="152"/>
      <c r="JG52" s="152"/>
      <c r="JH52" s="152"/>
      <c r="JI52" s="152"/>
      <c r="JJ52" s="152"/>
      <c r="JK52" s="152"/>
      <c r="JL52" s="152"/>
      <c r="JM52" s="152"/>
      <c r="JN52" s="152"/>
      <c r="JO52" s="152"/>
      <c r="JP52" s="152"/>
      <c r="JQ52" s="152"/>
      <c r="JR52" s="152"/>
      <c r="JS52" s="152"/>
      <c r="JT52" s="152"/>
      <c r="JU52" s="152"/>
      <c r="JV52" s="152"/>
      <c r="JW52" s="152"/>
      <c r="JX52" s="152"/>
      <c r="JY52" s="152"/>
      <c r="JZ52" s="152"/>
      <c r="KA52" s="152"/>
      <c r="KB52" s="152"/>
      <c r="KC52" s="152"/>
      <c r="KD52" s="152"/>
      <c r="KE52" s="152"/>
      <c r="KF52" s="152"/>
      <c r="KG52" s="152"/>
      <c r="KH52" s="152"/>
      <c r="KI52" s="152"/>
      <c r="KJ52" s="152"/>
      <c r="KK52" s="152"/>
      <c r="KL52" s="152"/>
      <c r="KM52" s="152"/>
      <c r="KN52" s="152"/>
      <c r="KO52" s="152"/>
      <c r="KP52" s="152"/>
      <c r="KQ52" s="152"/>
      <c r="KR52" s="152"/>
      <c r="KS52" s="152"/>
      <c r="KT52" s="152"/>
      <c r="KU52" s="152"/>
      <c r="KV52" s="152"/>
      <c r="KW52" s="152"/>
      <c r="KX52" s="152"/>
      <c r="KY52" s="152"/>
      <c r="KZ52" s="152"/>
      <c r="LA52" s="152"/>
      <c r="LB52" s="152"/>
      <c r="LC52" s="152"/>
      <c r="LD52" s="152"/>
      <c r="LE52" s="152"/>
      <c r="LF52" s="152"/>
    </row>
    <row r="53" spans="14:318">
      <c r="N53" s="325"/>
      <c r="P53" s="140"/>
      <c r="R53" s="169">
        <f>SUM($R$52:R52)</f>
        <v>-713000</v>
      </c>
      <c r="S53" s="169">
        <f>SUM($R$52:S52)</f>
        <v>-529800</v>
      </c>
      <c r="T53" s="169">
        <f>SUM($R$52:T52)</f>
        <v>-357946.75</v>
      </c>
      <c r="U53" s="169">
        <f>SUM($R$52:U52)</f>
        <v>-196823.45161250001</v>
      </c>
      <c r="V53" s="169">
        <f>SUM($R$52:V52)</f>
        <v>-45849.027928651922</v>
      </c>
      <c r="W53" s="169">
        <f>SUM($R$52:W52)</f>
        <v>95523.876708006137</v>
      </c>
      <c r="X53" s="169">
        <f>SUM($R$52:X52)</f>
        <v>227810.78291313254</v>
      </c>
      <c r="Y53" s="169">
        <f>SUM($R$52:Y52)</f>
        <v>351497.15489635756</v>
      </c>
      <c r="Z53" s="169">
        <f>SUM($R$52:Z52)</f>
        <v>467040.07759179047</v>
      </c>
      <c r="AA53" s="169">
        <f>SUM($R$52:AA52)</f>
        <v>574869.83801213652</v>
      </c>
      <c r="AB53" s="169">
        <f>SUM($R$52:AB52)</f>
        <v>675391.41622914758</v>
      </c>
      <c r="AC53" s="169">
        <f>SUM($R$52:AC52)</f>
        <v>768985.89107637689</v>
      </c>
      <c r="AD53" s="169">
        <f>SUM($R$52:AD52)</f>
        <v>856011.76538080897</v>
      </c>
      <c r="AE53" s="169">
        <f>SUM($R$52:AE52)</f>
        <v>936806.21525691228</v>
      </c>
      <c r="AF53" s="169">
        <f>SUM($R$52:AF52)</f>
        <v>1011686.2677390821</v>
      </c>
      <c r="AG53" s="169">
        <f>SUM($R$52:AG52)</f>
        <v>1080949.9107854313</v>
      </c>
      <c r="AH53" s="169">
        <f>SUM($R$52:AH52)</f>
        <v>1144877.1394566176</v>
      </c>
      <c r="AI53" s="169">
        <f>SUM($R$52:AI52)</f>
        <v>1203730.9418570967</v>
      </c>
      <c r="AJ53" s="169">
        <f>SUM($R$52:AJ52)</f>
        <v>1257758.2282221096</v>
      </c>
      <c r="AK53" s="169">
        <f>SUM($R$52:AK52)</f>
        <v>1307190.7063411812</v>
      </c>
      <c r="AL53" s="169">
        <f>SUM($R$52:AL52)</f>
        <v>1352245.7063272428</v>
      </c>
      <c r="AM53" s="169">
        <f>SUM($R$52:AM52)</f>
        <v>1393126.9575691028</v>
      </c>
      <c r="AN53" s="169">
        <f>SUM($R$52:AN52)</f>
        <v>1430966.2413401559</v>
      </c>
      <c r="AO53" s="169">
        <f>SUM($R$52:AO52)</f>
        <v>1467839.7411332792</v>
      </c>
      <c r="AP53" s="169">
        <f>SUM($R$52:AP52)</f>
        <v>1503733.5681665721</v>
      </c>
      <c r="AQ53" s="169">
        <f>SUM($R$52:AQ52)</f>
        <v>1538633.3114015153</v>
      </c>
    </row>
    <row r="54" spans="14:318">
      <c r="N54" s="325"/>
      <c r="O54" s="172" t="s">
        <v>240</v>
      </c>
      <c r="P54" s="173">
        <f>R52+NPV($H$8,S52:LF52)</f>
        <v>1051119.6363275112</v>
      </c>
      <c r="S54" s="152"/>
      <c r="AR54" s="152"/>
      <c r="AW54" s="152"/>
      <c r="AX54" s="152"/>
      <c r="AY54" s="152"/>
      <c r="AZ54" s="152"/>
      <c r="BA54" s="152"/>
      <c r="BB54" s="152"/>
      <c r="BC54" s="152"/>
      <c r="BD54" s="152"/>
      <c r="BE54" s="152"/>
      <c r="BF54" s="152"/>
      <c r="BG54" s="152"/>
      <c r="BH54" s="152"/>
      <c r="BI54" s="152"/>
      <c r="BJ54" s="152"/>
      <c r="BK54" s="152"/>
      <c r="BL54" s="152"/>
      <c r="BM54" s="152"/>
      <c r="BN54" s="152"/>
      <c r="BO54" s="152"/>
      <c r="BP54" s="152"/>
      <c r="BQ54" s="152"/>
      <c r="BR54" s="152"/>
      <c r="BS54" s="152"/>
      <c r="BT54" s="152"/>
      <c r="BU54" s="152"/>
      <c r="BV54" s="152"/>
      <c r="BW54" s="152"/>
      <c r="BX54" s="152"/>
      <c r="BY54" s="152"/>
      <c r="BZ54" s="152"/>
      <c r="CA54" s="152"/>
      <c r="CB54" s="152"/>
      <c r="CC54" s="152"/>
      <c r="CD54" s="152"/>
      <c r="CE54" s="152"/>
      <c r="CF54" s="152"/>
      <c r="CG54" s="152"/>
      <c r="CH54" s="152"/>
      <c r="CI54" s="152"/>
      <c r="CJ54" s="152"/>
      <c r="CK54" s="152"/>
      <c r="CL54" s="152"/>
      <c r="CM54" s="152"/>
      <c r="CN54" s="152"/>
      <c r="CO54" s="152"/>
      <c r="CP54" s="152"/>
      <c r="CQ54" s="152"/>
      <c r="CR54" s="152"/>
      <c r="CS54" s="152"/>
      <c r="CT54" s="152"/>
      <c r="CU54" s="152"/>
      <c r="CV54" s="152"/>
      <c r="CW54" s="152"/>
      <c r="CX54" s="152"/>
      <c r="CY54" s="152"/>
      <c r="CZ54" s="152"/>
      <c r="DA54" s="152"/>
      <c r="DB54" s="152"/>
      <c r="DC54" s="152"/>
      <c r="DD54" s="152"/>
      <c r="DE54" s="152"/>
      <c r="DF54" s="152"/>
      <c r="DG54" s="152"/>
      <c r="DH54" s="152"/>
      <c r="DI54" s="152"/>
      <c r="DJ54" s="152"/>
      <c r="DK54" s="152"/>
      <c r="DL54" s="152"/>
      <c r="DM54" s="152"/>
      <c r="DN54" s="152"/>
      <c r="DO54" s="152"/>
      <c r="DP54" s="152"/>
      <c r="DQ54" s="152"/>
      <c r="DR54" s="152"/>
      <c r="DS54" s="152"/>
      <c r="DT54" s="152"/>
      <c r="DU54" s="152"/>
      <c r="DV54" s="152"/>
      <c r="DW54" s="152"/>
      <c r="DX54" s="152"/>
      <c r="DY54" s="152"/>
      <c r="DZ54" s="152"/>
      <c r="EA54" s="152"/>
      <c r="EB54" s="152"/>
      <c r="EC54" s="152"/>
      <c r="ED54" s="152"/>
      <c r="EE54" s="152"/>
      <c r="EF54" s="152"/>
      <c r="EG54" s="152"/>
      <c r="EH54" s="152"/>
      <c r="EI54" s="152"/>
      <c r="EJ54" s="152"/>
      <c r="EK54" s="152"/>
      <c r="EL54" s="152"/>
      <c r="EM54" s="152"/>
      <c r="EN54" s="152"/>
      <c r="EO54" s="152"/>
      <c r="EP54" s="152"/>
      <c r="EQ54" s="152"/>
      <c r="ER54" s="152"/>
      <c r="ES54" s="152"/>
      <c r="ET54" s="152"/>
      <c r="EU54" s="152"/>
      <c r="EV54" s="152"/>
      <c r="EW54" s="152"/>
      <c r="EX54" s="152"/>
      <c r="EY54" s="152"/>
      <c r="EZ54" s="152"/>
      <c r="FA54" s="152"/>
      <c r="FB54" s="152"/>
      <c r="FC54" s="152"/>
      <c r="FD54" s="152"/>
      <c r="FE54" s="152"/>
      <c r="FF54" s="152"/>
      <c r="FG54" s="152"/>
      <c r="FH54" s="152"/>
      <c r="FI54" s="152"/>
      <c r="FJ54" s="152"/>
      <c r="FK54" s="152"/>
      <c r="FL54" s="152"/>
      <c r="FM54" s="152"/>
      <c r="FN54" s="152"/>
      <c r="FO54" s="152"/>
      <c r="FP54" s="152"/>
      <c r="FQ54" s="152"/>
      <c r="FR54" s="152"/>
      <c r="FS54" s="152"/>
      <c r="FT54" s="152"/>
      <c r="FU54" s="152"/>
      <c r="FV54" s="152"/>
      <c r="FW54" s="152"/>
      <c r="FX54" s="152"/>
      <c r="FY54" s="152"/>
      <c r="FZ54" s="152"/>
      <c r="GA54" s="152"/>
      <c r="GB54" s="152"/>
      <c r="GC54" s="152"/>
      <c r="GD54" s="152"/>
      <c r="GE54" s="152"/>
      <c r="GF54" s="152"/>
      <c r="GG54" s="152"/>
      <c r="GH54" s="152"/>
      <c r="GI54" s="152"/>
      <c r="GJ54" s="152"/>
      <c r="GK54" s="152"/>
      <c r="GL54" s="152"/>
      <c r="GM54" s="152"/>
      <c r="GN54" s="152"/>
      <c r="GO54" s="152"/>
      <c r="GP54" s="152"/>
      <c r="GQ54" s="152"/>
      <c r="GR54" s="152"/>
      <c r="GS54" s="152"/>
      <c r="GT54" s="152"/>
      <c r="GU54" s="152"/>
      <c r="GV54" s="152"/>
      <c r="GW54" s="152"/>
      <c r="GX54" s="152"/>
      <c r="GY54" s="152"/>
      <c r="GZ54" s="152"/>
      <c r="HA54" s="152"/>
      <c r="HB54" s="152"/>
      <c r="HC54" s="152"/>
      <c r="HD54" s="152"/>
      <c r="HE54" s="152"/>
      <c r="HF54" s="152"/>
      <c r="HG54" s="152"/>
      <c r="HH54" s="152"/>
      <c r="HI54" s="152"/>
      <c r="HJ54" s="152"/>
      <c r="HK54" s="152"/>
      <c r="HL54" s="152"/>
      <c r="HM54" s="152"/>
      <c r="HN54" s="152"/>
      <c r="HO54" s="152"/>
      <c r="HP54" s="152"/>
      <c r="HQ54" s="152"/>
      <c r="HR54" s="152"/>
      <c r="HS54" s="152"/>
      <c r="HT54" s="152"/>
      <c r="HU54" s="152"/>
      <c r="HV54" s="152"/>
      <c r="HW54" s="152"/>
      <c r="HX54" s="152"/>
      <c r="HY54" s="152"/>
      <c r="HZ54" s="152"/>
      <c r="IA54" s="152"/>
      <c r="IB54" s="152"/>
      <c r="IC54" s="152"/>
      <c r="ID54" s="152"/>
      <c r="IE54" s="152"/>
      <c r="IF54" s="152"/>
      <c r="IG54" s="152"/>
      <c r="IH54" s="152"/>
      <c r="II54" s="152"/>
      <c r="IJ54" s="152"/>
      <c r="IK54" s="152"/>
      <c r="IL54" s="152"/>
      <c r="IM54" s="152"/>
      <c r="IN54" s="152"/>
      <c r="IO54" s="152"/>
      <c r="IP54" s="152"/>
      <c r="IQ54" s="152"/>
      <c r="IR54" s="152"/>
      <c r="IS54" s="152"/>
      <c r="IT54" s="152"/>
      <c r="IU54" s="152"/>
      <c r="IV54" s="152"/>
      <c r="IW54" s="152"/>
      <c r="IX54" s="152"/>
      <c r="IY54" s="152"/>
      <c r="IZ54" s="152"/>
      <c r="JA54" s="152"/>
      <c r="JB54" s="152"/>
      <c r="JC54" s="152"/>
      <c r="JD54" s="152"/>
      <c r="JE54" s="152"/>
      <c r="JF54" s="152"/>
      <c r="JG54" s="152"/>
      <c r="JH54" s="152"/>
      <c r="JI54" s="152"/>
      <c r="JJ54" s="152"/>
      <c r="JK54" s="152"/>
      <c r="JL54" s="152"/>
      <c r="JM54" s="152"/>
      <c r="JN54" s="152"/>
      <c r="JO54" s="152"/>
      <c r="JP54" s="152"/>
      <c r="JQ54" s="152"/>
      <c r="JR54" s="152"/>
      <c r="JS54" s="152"/>
      <c r="JT54" s="152"/>
      <c r="JU54" s="152"/>
      <c r="JV54" s="152"/>
      <c r="JW54" s="152"/>
      <c r="JX54" s="152"/>
      <c r="JY54" s="152"/>
      <c r="JZ54" s="152"/>
      <c r="KA54" s="152"/>
      <c r="KB54" s="152"/>
      <c r="KC54" s="152"/>
      <c r="KD54" s="152"/>
      <c r="KE54" s="152"/>
      <c r="KF54" s="152"/>
      <c r="KG54" s="152"/>
      <c r="KH54" s="152"/>
      <c r="KI54" s="152"/>
      <c r="KJ54" s="152"/>
      <c r="KK54" s="152"/>
      <c r="KL54" s="152"/>
      <c r="KM54" s="152"/>
      <c r="KN54" s="152"/>
      <c r="KO54" s="152"/>
      <c r="KP54" s="152"/>
      <c r="KQ54" s="152"/>
      <c r="KR54" s="152"/>
      <c r="KS54" s="152"/>
      <c r="KT54" s="152"/>
      <c r="KU54" s="152"/>
      <c r="KV54" s="152"/>
      <c r="KW54" s="152"/>
      <c r="KX54" s="152"/>
      <c r="KY54" s="152"/>
      <c r="KZ54" s="152"/>
      <c r="LA54" s="152"/>
      <c r="LB54" s="152"/>
      <c r="LC54" s="152"/>
      <c r="LD54" s="152"/>
      <c r="LE54" s="152"/>
      <c r="LF54" s="152"/>
    </row>
    <row r="55" spans="14:318">
      <c r="N55" s="325"/>
      <c r="O55" s="172"/>
      <c r="P55" s="174"/>
      <c r="S55" s="152"/>
      <c r="T55" s="152"/>
      <c r="U55" s="152"/>
      <c r="V55" s="152"/>
      <c r="W55" s="152"/>
      <c r="X55" s="152"/>
      <c r="Y55" s="152"/>
      <c r="Z55" s="152"/>
      <c r="AA55" s="152"/>
      <c r="AB55" s="152"/>
      <c r="AC55" s="152"/>
      <c r="AD55" s="152"/>
      <c r="AE55" s="152"/>
      <c r="AF55" s="152"/>
      <c r="AG55" s="152"/>
      <c r="AH55" s="152"/>
      <c r="AI55" s="152"/>
      <c r="AJ55" s="152"/>
      <c r="AK55" s="152"/>
      <c r="AL55" s="152"/>
      <c r="AM55" s="152"/>
      <c r="AN55" s="152"/>
      <c r="AO55" s="152"/>
      <c r="AP55" s="152"/>
      <c r="AQ55" s="152"/>
    </row>
    <row r="56" spans="14:318" ht="18.75">
      <c r="N56" s="325"/>
      <c r="O56" s="175" t="s">
        <v>241</v>
      </c>
      <c r="P56" s="204">
        <f>MAX(S57:LF57)</f>
        <v>5</v>
      </c>
      <c r="S56" s="1">
        <f>(SUM($R$52:S52)&gt;0)*(SUM($R$52:R52)&lt;0)*1</f>
        <v>0</v>
      </c>
      <c r="T56" s="1">
        <f>(SUM($R$52:T52)&gt;0)*(SUM($R$52:S52)&lt;0)*1</f>
        <v>0</v>
      </c>
      <c r="U56" s="1">
        <f>(SUM($R$52:U52)&gt;0)*(SUM($R$52:T52)&lt;0)*1</f>
        <v>0</v>
      </c>
      <c r="V56" s="1">
        <f>(SUM($R$52:V52)&gt;0)*(SUM($R$52:U52)&lt;0)*1</f>
        <v>0</v>
      </c>
      <c r="W56" s="1">
        <f>(SUM($R$52:W52)&gt;0)*(SUM($R$52:V52)&lt;0)*1</f>
        <v>1</v>
      </c>
      <c r="X56" s="1">
        <f>(SUM($R$52:X52)&gt;0)*(SUM($R$52:W52)&lt;0)*1</f>
        <v>0</v>
      </c>
      <c r="Y56" s="1">
        <f>(SUM($R$52:Y52)&gt;0)*(SUM($R$52:X52)&lt;0)*1</f>
        <v>0</v>
      </c>
      <c r="Z56" s="1">
        <f>(SUM($R$52:Z52)&gt;0)*(SUM($R$52:Y52)&lt;0)*1</f>
        <v>0</v>
      </c>
      <c r="AA56" s="1">
        <f>(SUM($R$52:AA52)&gt;0)*(SUM($R$52:Z52)&lt;0)*1</f>
        <v>0</v>
      </c>
      <c r="AB56" s="1">
        <f>(SUM($R$52:AB52)&gt;0)*(SUM($R$52:AA52)&lt;0)*1</f>
        <v>0</v>
      </c>
      <c r="AC56" s="1">
        <f>(SUM($R$52:AC52)&gt;0)*(SUM($R$52:AB52)&lt;0)*1</f>
        <v>0</v>
      </c>
      <c r="AD56" s="1">
        <f>(SUM($R$52:AD52)&gt;0)*(SUM($R$52:AC52)&lt;0)*1</f>
        <v>0</v>
      </c>
      <c r="AE56" s="1">
        <f>(SUM($R$52:AE52)&gt;0)*(SUM($R$52:AD52)&lt;0)*1</f>
        <v>0</v>
      </c>
      <c r="AF56" s="1">
        <f>(SUM($R$52:AF52)&gt;0)*(SUM($R$52:AE52)&lt;0)*1</f>
        <v>0</v>
      </c>
      <c r="AG56" s="1">
        <f>(SUM($R$52:AG52)&gt;0)*(SUM($R$52:AF52)&lt;0)*1</f>
        <v>0</v>
      </c>
      <c r="AH56" s="1">
        <f>(SUM($R$52:AH52)&gt;0)*(SUM($R$52:AG52)&lt;0)*1</f>
        <v>0</v>
      </c>
      <c r="AI56" s="1">
        <f>(SUM($R$52:AI52)&gt;0)*(SUM($R$52:AH52)&lt;0)*1</f>
        <v>0</v>
      </c>
      <c r="AJ56" s="1">
        <f>(SUM($R$52:AJ52)&gt;0)*(SUM($R$52:AI52)&lt;0)*1</f>
        <v>0</v>
      </c>
      <c r="AK56" s="1">
        <f>(SUM($R$52:AK52)&gt;0)*(SUM($R$52:AJ52)&lt;0)*1</f>
        <v>0</v>
      </c>
      <c r="AL56" s="1">
        <f>(SUM($R$52:AL52)&gt;0)*(SUM($R$52:AK52)&lt;0)*1</f>
        <v>0</v>
      </c>
      <c r="AM56" s="1">
        <f>(SUM($R$52:AM52)&gt;0)*(SUM($R$52:AL52)&lt;0)*1</f>
        <v>0</v>
      </c>
      <c r="AN56" s="1">
        <f>(SUM($R$52:AN52)&gt;0)*(SUM($R$52:AM52)&lt;0)*1</f>
        <v>0</v>
      </c>
      <c r="AO56" s="1">
        <f>(SUM($R$52:AO52)&gt;0)*(SUM($R$52:AN52)&lt;0)*1</f>
        <v>0</v>
      </c>
      <c r="AP56" s="1">
        <f>(SUM($R$52:AP52)&gt;0)*(SUM($R$52:AO52)&lt;0)*1</f>
        <v>0</v>
      </c>
      <c r="AQ56" s="1">
        <f>(SUM($R$52:AQ52)&gt;0)*(SUM($R$52:AP52)&lt;0)*1</f>
        <v>0</v>
      </c>
    </row>
    <row r="57" spans="14:318">
      <c r="N57" s="325"/>
      <c r="O57" s="172"/>
      <c r="P57" s="174"/>
      <c r="S57" s="1">
        <f t="shared" ref="S57:AQ57" si="29">S56*S13</f>
        <v>0</v>
      </c>
      <c r="T57" s="1">
        <f t="shared" si="29"/>
        <v>0</v>
      </c>
      <c r="U57" s="1">
        <f t="shared" si="29"/>
        <v>0</v>
      </c>
      <c r="V57" s="1">
        <f t="shared" si="29"/>
        <v>0</v>
      </c>
      <c r="W57" s="1">
        <f t="shared" si="29"/>
        <v>5</v>
      </c>
      <c r="X57" s="1">
        <f t="shared" si="29"/>
        <v>0</v>
      </c>
      <c r="Y57" s="1">
        <f t="shared" si="29"/>
        <v>0</v>
      </c>
      <c r="Z57" s="1">
        <f t="shared" si="29"/>
        <v>0</v>
      </c>
      <c r="AA57" s="1">
        <f t="shared" si="29"/>
        <v>0</v>
      </c>
      <c r="AB57" s="1">
        <f t="shared" si="29"/>
        <v>0</v>
      </c>
      <c r="AC57" s="1">
        <f t="shared" si="29"/>
        <v>0</v>
      </c>
      <c r="AD57" s="1">
        <f t="shared" si="29"/>
        <v>0</v>
      </c>
      <c r="AE57" s="1">
        <f t="shared" si="29"/>
        <v>0</v>
      </c>
      <c r="AF57" s="1">
        <f t="shared" si="29"/>
        <v>0</v>
      </c>
      <c r="AG57" s="1">
        <f t="shared" si="29"/>
        <v>0</v>
      </c>
      <c r="AH57" s="1">
        <f t="shared" si="29"/>
        <v>0</v>
      </c>
      <c r="AI57" s="1">
        <f t="shared" si="29"/>
        <v>0</v>
      </c>
      <c r="AJ57" s="1">
        <f t="shared" si="29"/>
        <v>0</v>
      </c>
      <c r="AK57" s="1">
        <f t="shared" si="29"/>
        <v>0</v>
      </c>
      <c r="AL57" s="1">
        <f t="shared" si="29"/>
        <v>0</v>
      </c>
      <c r="AM57" s="1">
        <f t="shared" si="29"/>
        <v>0</v>
      </c>
      <c r="AN57" s="1">
        <f t="shared" si="29"/>
        <v>0</v>
      </c>
      <c r="AO57" s="1">
        <f t="shared" si="29"/>
        <v>0</v>
      </c>
      <c r="AP57" s="1">
        <f t="shared" si="29"/>
        <v>0</v>
      </c>
      <c r="AQ57" s="1">
        <f t="shared" si="29"/>
        <v>0</v>
      </c>
    </row>
    <row r="58" spans="14:318" ht="19.5" thickBot="1">
      <c r="N58" s="326"/>
      <c r="O58" s="177" t="s">
        <v>242</v>
      </c>
      <c r="P58" s="178">
        <f>IRR(R52:LF52)</f>
        <v>0.19195576910269985</v>
      </c>
    </row>
    <row r="61" spans="14:318" ht="15.75" thickBot="1"/>
    <row r="62" spans="14:318">
      <c r="N62" s="324" t="s">
        <v>243</v>
      </c>
      <c r="O62" s="161" t="s">
        <v>239</v>
      </c>
      <c r="P62" s="162"/>
      <c r="R62" s="169">
        <f>-($A$8*$B$8+$S$8+$R$8+$X$8+$Y$8)</f>
        <v>-713000</v>
      </c>
      <c r="S62" s="169">
        <f>S33-S40-S41-S47</f>
        <v>183200</v>
      </c>
      <c r="T62" s="169">
        <f t="shared" ref="T62:AQ62" si="30">T33-T40-T41-T47</f>
        <v>171853.25</v>
      </c>
      <c r="U62" s="169">
        <f t="shared" si="30"/>
        <v>161123.29838749999</v>
      </c>
      <c r="V62" s="169">
        <f t="shared" si="30"/>
        <v>150974.42368384809</v>
      </c>
      <c r="W62" s="169">
        <f t="shared" si="30"/>
        <v>141372.90463665806</v>
      </c>
      <c r="X62" s="169">
        <f t="shared" si="30"/>
        <v>132286.9062051264</v>
      </c>
      <c r="Y62" s="169">
        <f t="shared" si="30"/>
        <v>123686.37198322502</v>
      </c>
      <c r="Z62" s="169">
        <f t="shared" si="30"/>
        <v>115542.92269543294</v>
      </c>
      <c r="AA62" s="169">
        <f t="shared" si="30"/>
        <v>107829.76042034602</v>
      </c>
      <c r="AB62" s="169">
        <f t="shared" si="30"/>
        <v>100521.57821701106</v>
      </c>
      <c r="AC62" s="169">
        <f t="shared" si="30"/>
        <v>93594.474847229314</v>
      </c>
      <c r="AD62" s="169">
        <f t="shared" si="30"/>
        <v>87025.874304432087</v>
      </c>
      <c r="AE62" s="169">
        <f t="shared" si="30"/>
        <v>80794.449876103288</v>
      </c>
      <c r="AF62" s="169">
        <f t="shared" si="30"/>
        <v>74880.052482169805</v>
      </c>
      <c r="AG62" s="169">
        <f t="shared" si="30"/>
        <v>69263.643046349098</v>
      </c>
      <c r="AH62" s="169">
        <f t="shared" si="30"/>
        <v>63927.228671186458</v>
      </c>
      <c r="AI62" s="169">
        <f t="shared" si="30"/>
        <v>58853.802400479166</v>
      </c>
      <c r="AJ62" s="169">
        <f t="shared" si="30"/>
        <v>54027.286365012922</v>
      </c>
      <c r="AK62" s="169">
        <f t="shared" si="30"/>
        <v>49432.478119071471</v>
      </c>
      <c r="AL62" s="169">
        <f t="shared" si="30"/>
        <v>45054.999986061695</v>
      </c>
      <c r="AM62" s="169">
        <f t="shared" si="30"/>
        <v>40881.25124185998</v>
      </c>
      <c r="AN62" s="169">
        <f t="shared" si="30"/>
        <v>37839.283771053204</v>
      </c>
      <c r="AO62" s="169">
        <f t="shared" si="30"/>
        <v>36873.499793123323</v>
      </c>
      <c r="AP62" s="169">
        <f t="shared" si="30"/>
        <v>35893.827033292975</v>
      </c>
      <c r="AQ62" s="169">
        <f t="shared" si="30"/>
        <v>34899.743234943075</v>
      </c>
    </row>
    <row r="63" spans="14:318">
      <c r="N63" s="325"/>
      <c r="P63" s="140"/>
    </row>
    <row r="64" spans="14:318">
      <c r="N64" s="325"/>
      <c r="O64" s="172" t="s">
        <v>240</v>
      </c>
      <c r="P64" s="173">
        <f>R62+NPV($H$8,S62:LF62)</f>
        <v>1051119.6363275112</v>
      </c>
    </row>
    <row r="65" spans="14:43">
      <c r="N65" s="325"/>
      <c r="O65" s="172"/>
      <c r="P65" s="174"/>
    </row>
    <row r="66" spans="14:43" ht="18.75">
      <c r="N66" s="325"/>
      <c r="O66" s="175" t="s">
        <v>241</v>
      </c>
      <c r="P66" s="176">
        <f>MAX(S67:LF67)</f>
        <v>5</v>
      </c>
      <c r="S66" s="1">
        <f>(SUM($R$62:S62)&gt;0)*(SUM($R$62:R62)&lt;0)*1</f>
        <v>0</v>
      </c>
      <c r="T66" s="1">
        <f>(SUM($R$62:T62)&gt;0)*(SUM($R$62:S62)&lt;0)*1</f>
        <v>0</v>
      </c>
      <c r="U66" s="1">
        <f>(SUM($R$62:U62)&gt;0)*(SUM($R$62:T62)&lt;0)*1</f>
        <v>0</v>
      </c>
      <c r="V66" s="1">
        <f>(SUM($R$62:V62)&gt;0)*(SUM($R$62:U62)&lt;0)*1</f>
        <v>0</v>
      </c>
      <c r="W66" s="1">
        <f>(SUM($R$62:W62)&gt;0)*(SUM($R$62:V62)&lt;0)*1</f>
        <v>1</v>
      </c>
      <c r="X66" s="1">
        <f>(SUM($R$62:X62)&gt;0)*(SUM($R$62:W62)&lt;0)*1</f>
        <v>0</v>
      </c>
      <c r="Y66" s="1">
        <f>(SUM($R$62:Y62)&gt;0)*(SUM($R$62:X62)&lt;0)*1</f>
        <v>0</v>
      </c>
      <c r="Z66" s="1">
        <f>(SUM($R$62:Z62)&gt;0)*(SUM($R$62:Y62)&lt;0)*1</f>
        <v>0</v>
      </c>
      <c r="AA66" s="1">
        <f>(SUM($R$62:AA62)&gt;0)*(SUM($R$62:Z62)&lt;0)*1</f>
        <v>0</v>
      </c>
      <c r="AB66" s="1">
        <f>(SUM($R$62:AB62)&gt;0)*(SUM($R$62:AA62)&lt;0)*1</f>
        <v>0</v>
      </c>
      <c r="AC66" s="1">
        <f>(SUM($R$62:AC62)&gt;0)*(SUM($R$62:AB62)&lt;0)*1</f>
        <v>0</v>
      </c>
      <c r="AD66" s="1">
        <f>(SUM($R$62:AD62)&gt;0)*(SUM($R$62:AC62)&lt;0)*1</f>
        <v>0</v>
      </c>
      <c r="AE66" s="1">
        <f>(SUM($R$62:AE62)&gt;0)*(SUM($R$62:AD62)&lt;0)*1</f>
        <v>0</v>
      </c>
      <c r="AF66" s="1">
        <f>(SUM($R$62:AF62)&gt;0)*(SUM($R$62:AE62)&lt;0)*1</f>
        <v>0</v>
      </c>
      <c r="AG66" s="1">
        <f>(SUM($R$62:AG62)&gt;0)*(SUM($R$62:AF62)&lt;0)*1</f>
        <v>0</v>
      </c>
      <c r="AH66" s="1">
        <f>(SUM($R$62:AH62)&gt;0)*(SUM($R$62:AG62)&lt;0)*1</f>
        <v>0</v>
      </c>
      <c r="AI66" s="1">
        <f>(SUM($R$62:AI62)&gt;0)*(SUM($R$62:AH62)&lt;0)*1</f>
        <v>0</v>
      </c>
      <c r="AJ66" s="1">
        <f>(SUM($R$62:AJ62)&gt;0)*(SUM($R$62:AI62)&lt;0)*1</f>
        <v>0</v>
      </c>
      <c r="AK66" s="1">
        <f>(SUM($R$62:AK62)&gt;0)*(SUM($R$62:AJ62)&lt;0)*1</f>
        <v>0</v>
      </c>
      <c r="AL66" s="1">
        <f>(SUM($R$62:AL62)&gt;0)*(SUM($R$62:AK62)&lt;0)*1</f>
        <v>0</v>
      </c>
      <c r="AM66" s="1">
        <f>(SUM($R$62:AM62)&gt;0)*(SUM($R$62:AL62)&lt;0)*1</f>
        <v>0</v>
      </c>
      <c r="AN66" s="1">
        <f>(SUM($R$62:AN62)&gt;0)*(SUM($R$62:AM62)&lt;0)*1</f>
        <v>0</v>
      </c>
      <c r="AO66" s="1">
        <f>(SUM($R$62:AO62)&gt;0)*(SUM($R$62:AN62)&lt;0)*1</f>
        <v>0</v>
      </c>
      <c r="AP66" s="1">
        <f>(SUM($R$62:AP62)&gt;0)*(SUM($R$62:AO62)&lt;0)*1</f>
        <v>0</v>
      </c>
      <c r="AQ66" s="1">
        <f>(SUM($R$62:AQ62)&gt;0)*(SUM($R$62:AP62)&lt;0)*1</f>
        <v>0</v>
      </c>
    </row>
    <row r="67" spans="14:43">
      <c r="N67" s="325"/>
      <c r="O67" s="172"/>
      <c r="P67" s="174"/>
      <c r="S67" s="1">
        <f t="shared" ref="S67:AQ67" si="31">S66*S13</f>
        <v>0</v>
      </c>
      <c r="T67" s="1">
        <f t="shared" si="31"/>
        <v>0</v>
      </c>
      <c r="U67" s="1">
        <f t="shared" si="31"/>
        <v>0</v>
      </c>
      <c r="V67" s="1">
        <f t="shared" si="31"/>
        <v>0</v>
      </c>
      <c r="W67" s="1">
        <f t="shared" si="31"/>
        <v>5</v>
      </c>
      <c r="X67" s="1">
        <f t="shared" si="31"/>
        <v>0</v>
      </c>
      <c r="Y67" s="1">
        <f t="shared" si="31"/>
        <v>0</v>
      </c>
      <c r="Z67" s="1">
        <f t="shared" si="31"/>
        <v>0</v>
      </c>
      <c r="AA67" s="1">
        <f t="shared" si="31"/>
        <v>0</v>
      </c>
      <c r="AB67" s="1">
        <f t="shared" si="31"/>
        <v>0</v>
      </c>
      <c r="AC67" s="1">
        <f t="shared" si="31"/>
        <v>0</v>
      </c>
      <c r="AD67" s="1">
        <f t="shared" si="31"/>
        <v>0</v>
      </c>
      <c r="AE67" s="1">
        <f t="shared" si="31"/>
        <v>0</v>
      </c>
      <c r="AF67" s="1">
        <f t="shared" si="31"/>
        <v>0</v>
      </c>
      <c r="AG67" s="1">
        <f t="shared" si="31"/>
        <v>0</v>
      </c>
      <c r="AH67" s="1">
        <f t="shared" si="31"/>
        <v>0</v>
      </c>
      <c r="AI67" s="1">
        <f t="shared" si="31"/>
        <v>0</v>
      </c>
      <c r="AJ67" s="1">
        <f t="shared" si="31"/>
        <v>0</v>
      </c>
      <c r="AK67" s="1">
        <f t="shared" si="31"/>
        <v>0</v>
      </c>
      <c r="AL67" s="1">
        <f t="shared" si="31"/>
        <v>0</v>
      </c>
      <c r="AM67" s="1">
        <f t="shared" si="31"/>
        <v>0</v>
      </c>
      <c r="AN67" s="1">
        <f t="shared" si="31"/>
        <v>0</v>
      </c>
      <c r="AO67" s="1">
        <f t="shared" si="31"/>
        <v>0</v>
      </c>
      <c r="AP67" s="1">
        <f t="shared" si="31"/>
        <v>0</v>
      </c>
      <c r="AQ67" s="1">
        <f t="shared" si="31"/>
        <v>0</v>
      </c>
    </row>
    <row r="68" spans="14:43" ht="19.5" thickBot="1">
      <c r="N68" s="326"/>
      <c r="O68" s="177" t="s">
        <v>244</v>
      </c>
      <c r="P68" s="178">
        <f>IRR(R62:AQ62)</f>
        <v>0.19195576910269985</v>
      </c>
    </row>
    <row r="71" spans="14:43">
      <c r="N71" s="327" t="s">
        <v>245</v>
      </c>
      <c r="O71" s="327"/>
      <c r="P71" s="327"/>
      <c r="R71" s="328" t="s">
        <v>246</v>
      </c>
      <c r="S71" s="329"/>
      <c r="T71" s="330"/>
      <c r="X71" s="328" t="s">
        <v>247</v>
      </c>
      <c r="Y71" s="329"/>
      <c r="Z71" s="330"/>
      <c r="AC71" s="328" t="s">
        <v>248</v>
      </c>
      <c r="AD71" s="329"/>
      <c r="AE71" s="330"/>
    </row>
    <row r="72" spans="14:43" ht="15" customHeight="1">
      <c r="N72" s="319" t="s">
        <v>162</v>
      </c>
      <c r="O72" s="163"/>
      <c r="P72" s="163">
        <f>P56</f>
        <v>5</v>
      </c>
      <c r="R72" s="3"/>
      <c r="S72" s="163"/>
      <c r="T72" s="203">
        <f>P66</f>
        <v>5</v>
      </c>
      <c r="X72" s="3"/>
      <c r="Y72" s="164"/>
      <c r="Z72" s="205">
        <f>P58</f>
        <v>0.19195576910269985</v>
      </c>
      <c r="AC72" s="3"/>
      <c r="AE72" s="164">
        <f>P68</f>
        <v>0.19195576910269985</v>
      </c>
    </row>
    <row r="73" spans="14:43">
      <c r="N73" s="319"/>
      <c r="O73" s="179">
        <v>57</v>
      </c>
      <c r="P73" s="180">
        <f t="dataTable" ref="P73:P90" dt2D="0" dtr="0" r1="I8"/>
        <v>14</v>
      </c>
      <c r="R73" s="319" t="s">
        <v>162</v>
      </c>
      <c r="S73" s="179">
        <v>57</v>
      </c>
      <c r="T73" s="166">
        <f t="dataTable" ref="T73:T90" dt2D="0" dtr="0" r1="I8" ca="1"/>
        <v>14</v>
      </c>
      <c r="X73" s="319" t="s">
        <v>162</v>
      </c>
      <c r="Y73" s="179">
        <v>57</v>
      </c>
      <c r="Z73" s="167">
        <f t="dataTable" ref="Z73:Z90" dt2D="0" dtr="0" r1="I8" ca="1"/>
        <v>5.0904145155226788E-2</v>
      </c>
      <c r="AC73" s="319" t="s">
        <v>162</v>
      </c>
      <c r="AD73" s="179">
        <v>57</v>
      </c>
      <c r="AE73" s="167">
        <f t="dataTable" ref="AE73:AE90" dt2D="0" dtr="0" r1="I8" ca="1"/>
        <v>5.0904145155226788E-2</v>
      </c>
    </row>
    <row r="74" spans="14:43">
      <c r="N74" s="319"/>
      <c r="O74" s="179">
        <v>62</v>
      </c>
      <c r="P74" s="180">
        <v>13</v>
      </c>
      <c r="R74" s="319"/>
      <c r="S74" s="179">
        <v>62</v>
      </c>
      <c r="T74" s="166">
        <v>13</v>
      </c>
      <c r="X74" s="319"/>
      <c r="Y74" s="179">
        <v>62</v>
      </c>
      <c r="Z74" s="167">
        <v>5.6311750211023748E-2</v>
      </c>
      <c r="AC74" s="319"/>
      <c r="AD74" s="179">
        <v>62</v>
      </c>
      <c r="AE74" s="167">
        <v>5.6311750211023748E-2</v>
      </c>
    </row>
    <row r="75" spans="14:43">
      <c r="N75" s="319"/>
      <c r="O75" s="179">
        <v>64</v>
      </c>
      <c r="P75" s="180">
        <v>12</v>
      </c>
      <c r="R75" s="319"/>
      <c r="S75" s="179">
        <v>64</v>
      </c>
      <c r="T75" s="166">
        <v>12</v>
      </c>
      <c r="X75" s="319"/>
      <c r="Y75" s="179">
        <v>64</v>
      </c>
      <c r="Z75" s="167">
        <v>5.8816539489797703E-2</v>
      </c>
      <c r="AC75" s="319"/>
      <c r="AD75" s="179">
        <v>64</v>
      </c>
      <c r="AE75" s="167">
        <v>5.8816539489797703E-2</v>
      </c>
    </row>
    <row r="76" spans="14:43">
      <c r="N76" s="319"/>
      <c r="O76" s="179">
        <v>66</v>
      </c>
      <c r="P76" s="180">
        <v>12</v>
      </c>
      <c r="R76" s="319"/>
      <c r="S76" s="179">
        <v>66</v>
      </c>
      <c r="T76" s="166">
        <v>12</v>
      </c>
      <c r="X76" s="319"/>
      <c r="Y76" s="179">
        <v>66</v>
      </c>
      <c r="Z76" s="167">
        <v>6.1540456774804797E-2</v>
      </c>
      <c r="AC76" s="319"/>
      <c r="AD76" s="179">
        <v>66</v>
      </c>
      <c r="AE76" s="167">
        <v>6.1540456774804797E-2</v>
      </c>
    </row>
    <row r="77" spans="14:43">
      <c r="N77" s="319"/>
      <c r="O77" s="179">
        <v>68</v>
      </c>
      <c r="P77" s="180">
        <v>11</v>
      </c>
      <c r="R77" s="319"/>
      <c r="S77" s="179">
        <v>68</v>
      </c>
      <c r="T77" s="166">
        <v>11</v>
      </c>
      <c r="X77" s="319"/>
      <c r="Y77" s="179">
        <v>68</v>
      </c>
      <c r="Z77" s="167">
        <v>6.43782852906718E-2</v>
      </c>
      <c r="AC77" s="319"/>
      <c r="AD77" s="179">
        <v>68</v>
      </c>
      <c r="AE77" s="167">
        <v>6.43782852906718E-2</v>
      </c>
    </row>
    <row r="78" spans="14:43">
      <c r="N78" s="319"/>
      <c r="O78" s="179">
        <v>70</v>
      </c>
      <c r="P78" s="180">
        <v>11</v>
      </c>
      <c r="R78" s="319"/>
      <c r="S78" s="179">
        <v>70</v>
      </c>
      <c r="T78" s="166">
        <v>11</v>
      </c>
      <c r="X78" s="319"/>
      <c r="Y78" s="179">
        <v>70</v>
      </c>
      <c r="Z78" s="167">
        <v>6.7447424081573892E-2</v>
      </c>
      <c r="AC78" s="319"/>
      <c r="AD78" s="179">
        <v>70</v>
      </c>
      <c r="AE78" s="167">
        <v>6.7447424081573892E-2</v>
      </c>
    </row>
    <row r="79" spans="14:43">
      <c r="N79" s="319"/>
      <c r="O79" s="179">
        <v>75</v>
      </c>
      <c r="P79" s="180">
        <v>10</v>
      </c>
      <c r="R79" s="319"/>
      <c r="S79" s="179">
        <v>75</v>
      </c>
      <c r="T79" s="166">
        <v>10</v>
      </c>
      <c r="X79" s="319"/>
      <c r="Y79" s="179">
        <v>75</v>
      </c>
      <c r="Z79" s="167">
        <v>7.5653114643620123E-2</v>
      </c>
      <c r="AC79" s="319"/>
      <c r="AD79" s="179">
        <v>75</v>
      </c>
      <c r="AE79" s="167">
        <v>7.5653114643620123E-2</v>
      </c>
    </row>
    <row r="80" spans="14:43">
      <c r="N80" s="319"/>
      <c r="O80" s="179">
        <v>80</v>
      </c>
      <c r="P80" s="180">
        <v>9</v>
      </c>
      <c r="R80" s="319"/>
      <c r="S80" s="179">
        <v>80</v>
      </c>
      <c r="T80" s="166">
        <v>9</v>
      </c>
      <c r="X80" s="319"/>
      <c r="Y80" s="179">
        <v>80</v>
      </c>
      <c r="Z80" s="167">
        <v>8.4703718539883788E-2</v>
      </c>
      <c r="AC80" s="319"/>
      <c r="AD80" s="179">
        <v>80</v>
      </c>
      <c r="AE80" s="167">
        <v>8.4703718539883788E-2</v>
      </c>
    </row>
    <row r="81" spans="14:31">
      <c r="N81" s="319"/>
      <c r="O81" s="179">
        <v>85</v>
      </c>
      <c r="P81" s="180">
        <v>8</v>
      </c>
      <c r="R81" s="319"/>
      <c r="S81" s="179">
        <v>85</v>
      </c>
      <c r="T81" s="166">
        <v>8</v>
      </c>
      <c r="X81" s="319"/>
      <c r="Y81" s="179">
        <v>85</v>
      </c>
      <c r="Z81" s="167">
        <v>9.4382575364875265E-2</v>
      </c>
      <c r="AC81" s="319"/>
      <c r="AD81" s="179">
        <v>85</v>
      </c>
      <c r="AE81" s="167">
        <v>9.4382575364875265E-2</v>
      </c>
    </row>
    <row r="82" spans="14:31">
      <c r="N82" s="319"/>
      <c r="O82" s="179">
        <v>90</v>
      </c>
      <c r="P82" s="180">
        <v>8</v>
      </c>
      <c r="R82" s="319"/>
      <c r="S82" s="179">
        <v>90</v>
      </c>
      <c r="T82" s="166">
        <v>8</v>
      </c>
      <c r="X82" s="319"/>
      <c r="Y82" s="179">
        <v>90</v>
      </c>
      <c r="Z82" s="167">
        <v>0.10454412288075199</v>
      </c>
      <c r="AC82" s="319"/>
      <c r="AD82" s="179">
        <v>90</v>
      </c>
      <c r="AE82" s="167">
        <v>0.10454412288075199</v>
      </c>
    </row>
    <row r="83" spans="14:31">
      <c r="N83" s="319"/>
      <c r="O83" s="179">
        <v>95</v>
      </c>
      <c r="P83" s="180">
        <v>7</v>
      </c>
      <c r="R83" s="319"/>
      <c r="S83" s="179">
        <v>95</v>
      </c>
      <c r="T83" s="166">
        <v>7</v>
      </c>
      <c r="X83" s="319"/>
      <c r="Y83" s="179">
        <v>95</v>
      </c>
      <c r="Z83" s="167">
        <v>0.11506242835972325</v>
      </c>
      <c r="AC83" s="319"/>
      <c r="AD83" s="179">
        <v>95</v>
      </c>
      <c r="AE83" s="167">
        <v>0.11506242835972325</v>
      </c>
    </row>
    <row r="84" spans="14:31">
      <c r="N84" s="319"/>
      <c r="O84" s="179">
        <v>100</v>
      </c>
      <c r="P84" s="180">
        <v>7</v>
      </c>
      <c r="R84" s="319"/>
      <c r="S84" s="179">
        <v>100</v>
      </c>
      <c r="T84" s="166">
        <v>7</v>
      </c>
      <c r="X84" s="319"/>
      <c r="Y84" s="179">
        <v>100</v>
      </c>
      <c r="Z84" s="167">
        <v>0.12582763020553456</v>
      </c>
      <c r="AC84" s="319"/>
      <c r="AD84" s="179">
        <v>100</v>
      </c>
      <c r="AE84" s="167">
        <v>0.12582763020553456</v>
      </c>
    </row>
    <row r="85" spans="14:31">
      <c r="N85" s="319"/>
      <c r="O85" s="179">
        <v>110</v>
      </c>
      <c r="P85" s="180">
        <v>6</v>
      </c>
      <c r="R85" s="319"/>
      <c r="S85" s="179">
        <v>110</v>
      </c>
      <c r="T85" s="166">
        <v>6</v>
      </c>
      <c r="X85" s="319"/>
      <c r="Y85" s="179">
        <v>110</v>
      </c>
      <c r="Z85" s="167">
        <v>0.14776303529297707</v>
      </c>
      <c r="AC85" s="319"/>
      <c r="AD85" s="179">
        <v>110</v>
      </c>
      <c r="AE85" s="167">
        <v>0.14776303529297707</v>
      </c>
    </row>
    <row r="86" spans="14:31">
      <c r="N86" s="319"/>
      <c r="O86" s="179">
        <v>120</v>
      </c>
      <c r="P86" s="180">
        <v>5</v>
      </c>
      <c r="R86" s="319"/>
      <c r="S86" s="179">
        <v>120</v>
      </c>
      <c r="T86" s="166">
        <v>5</v>
      </c>
      <c r="X86" s="319"/>
      <c r="Y86" s="179">
        <v>120</v>
      </c>
      <c r="Z86" s="167">
        <v>0.16987782183021616</v>
      </c>
      <c r="AC86" s="319"/>
      <c r="AD86" s="179">
        <v>120</v>
      </c>
      <c r="AE86" s="167">
        <v>0.16987782183021616</v>
      </c>
    </row>
    <row r="87" spans="14:31">
      <c r="N87" s="319"/>
      <c r="O87" s="179">
        <v>130</v>
      </c>
      <c r="P87" s="180">
        <v>5</v>
      </c>
      <c r="R87" s="319"/>
      <c r="S87" s="179">
        <v>130</v>
      </c>
      <c r="T87" s="166">
        <v>5</v>
      </c>
      <c r="X87" s="319"/>
      <c r="Y87" s="179">
        <v>130</v>
      </c>
      <c r="Z87" s="167">
        <v>0.19195576910269985</v>
      </c>
      <c r="AC87" s="319"/>
      <c r="AD87" s="179">
        <v>130</v>
      </c>
      <c r="AE87" s="167">
        <v>0.19195576910269985</v>
      </c>
    </row>
    <row r="88" spans="14:31">
      <c r="N88" s="319"/>
      <c r="O88" s="179">
        <v>140</v>
      </c>
      <c r="P88" s="180">
        <v>4</v>
      </c>
      <c r="R88" s="319"/>
      <c r="S88" s="179">
        <v>140</v>
      </c>
      <c r="T88" s="166">
        <v>4</v>
      </c>
      <c r="X88" s="319"/>
      <c r="Y88" s="179">
        <v>140</v>
      </c>
      <c r="Z88" s="167">
        <v>0.21390412674456072</v>
      </c>
      <c r="AC88" s="319"/>
      <c r="AD88" s="179">
        <v>140</v>
      </c>
      <c r="AE88" s="167">
        <v>0.21390412674456072</v>
      </c>
    </row>
    <row r="89" spans="14:31">
      <c r="N89" s="319"/>
      <c r="O89" s="179">
        <v>150</v>
      </c>
      <c r="P89" s="180">
        <v>4</v>
      </c>
      <c r="R89" s="319"/>
      <c r="S89" s="179">
        <v>150</v>
      </c>
      <c r="T89" s="166">
        <v>4</v>
      </c>
      <c r="X89" s="319"/>
      <c r="Y89" s="179">
        <v>150</v>
      </c>
      <c r="Z89" s="167">
        <v>0.23571308787841549</v>
      </c>
      <c r="AC89" s="319"/>
      <c r="AD89" s="179">
        <v>150</v>
      </c>
      <c r="AE89" s="167">
        <v>0.23571308787841549</v>
      </c>
    </row>
    <row r="90" spans="14:31">
      <c r="N90" s="319"/>
      <c r="O90" s="179">
        <v>160</v>
      </c>
      <c r="P90" s="180">
        <v>4</v>
      </c>
      <c r="R90" s="319"/>
      <c r="S90" s="179">
        <v>160</v>
      </c>
      <c r="T90" s="166">
        <v>4</v>
      </c>
      <c r="X90" s="319"/>
      <c r="Y90" s="179">
        <v>160</v>
      </c>
      <c r="Z90" s="167">
        <v>0.25739291837723166</v>
      </c>
      <c r="AC90" s="319"/>
      <c r="AD90" s="179">
        <v>160</v>
      </c>
      <c r="AE90" s="167">
        <v>0.25739291837723166</v>
      </c>
    </row>
    <row r="102" spans="6:36">
      <c r="G102"/>
      <c r="H102"/>
      <c r="I102"/>
      <c r="J102"/>
      <c r="N102" s="320" t="s">
        <v>249</v>
      </c>
      <c r="O102" s="321"/>
      <c r="P102" s="320" t="s">
        <v>250</v>
      </c>
      <c r="Q102" s="322"/>
      <c r="R102" s="322"/>
      <c r="S102" s="322"/>
      <c r="T102" s="322"/>
      <c r="U102" s="322"/>
      <c r="V102" s="322"/>
      <c r="W102" s="321"/>
      <c r="AA102" s="320" t="s">
        <v>242</v>
      </c>
      <c r="AB102" s="321"/>
      <c r="AC102" s="320" t="s">
        <v>250</v>
      </c>
      <c r="AD102" s="322"/>
      <c r="AE102" s="322"/>
      <c r="AF102" s="322"/>
      <c r="AG102" s="322"/>
      <c r="AH102" s="322"/>
      <c r="AI102" s="322"/>
      <c r="AJ102" s="321"/>
    </row>
    <row r="103" spans="6:36" ht="14.25" customHeight="1">
      <c r="G103"/>
      <c r="H103"/>
      <c r="I103"/>
      <c r="J103"/>
      <c r="N103" s="3"/>
      <c r="O103" s="3">
        <f>P56</f>
        <v>5</v>
      </c>
      <c r="P103" s="165">
        <v>0</v>
      </c>
      <c r="Q103" s="165">
        <v>0.02</v>
      </c>
      <c r="R103" s="165">
        <v>0.04</v>
      </c>
      <c r="S103" s="165">
        <v>0.08</v>
      </c>
      <c r="T103" s="165">
        <v>0.1</v>
      </c>
      <c r="U103" s="165">
        <v>0.15</v>
      </c>
      <c r="V103" s="165">
        <v>0.2</v>
      </c>
      <c r="W103" s="165">
        <v>0.25</v>
      </c>
      <c r="AA103" s="3"/>
      <c r="AB103" s="164">
        <f>P58</f>
        <v>0.19195576910269985</v>
      </c>
      <c r="AC103" s="165">
        <v>0</v>
      </c>
      <c r="AD103" s="165">
        <v>0.02</v>
      </c>
      <c r="AE103" s="165">
        <v>0.04</v>
      </c>
      <c r="AF103" s="165">
        <v>0.08</v>
      </c>
      <c r="AG103" s="165">
        <v>0.1</v>
      </c>
      <c r="AH103" s="165">
        <v>0.15</v>
      </c>
      <c r="AI103" s="165">
        <v>0.2</v>
      </c>
      <c r="AJ103" s="165">
        <v>0.25</v>
      </c>
    </row>
    <row r="104" spans="6:36">
      <c r="F104" s="179">
        <v>45</v>
      </c>
      <c r="G104"/>
      <c r="H104"/>
      <c r="I104" s="179">
        <v>45</v>
      </c>
      <c r="J104"/>
      <c r="N104" s="319" t="s">
        <v>162</v>
      </c>
      <c r="O104" s="179">
        <v>45</v>
      </c>
      <c r="P104" s="180">
        <f t="dataTable" ref="P104:W121" dt2D="1" dtr="1" r1="AB8" r2="I8" ca="1"/>
        <v>15</v>
      </c>
      <c r="Q104" s="180">
        <v>15</v>
      </c>
      <c r="R104" s="180">
        <v>15</v>
      </c>
      <c r="S104" s="180">
        <v>15</v>
      </c>
      <c r="T104" s="180">
        <v>15</v>
      </c>
      <c r="U104" s="180">
        <v>15</v>
      </c>
      <c r="V104" s="180">
        <v>15</v>
      </c>
      <c r="W104" s="180">
        <v>15</v>
      </c>
      <c r="AA104" s="319" t="s">
        <v>162</v>
      </c>
      <c r="AB104" s="179">
        <v>45</v>
      </c>
      <c r="AC104" s="167">
        <f t="dataTable" ref="AC104:AJ121" dt2D="1" dtr="1" r1="AB8" r2="I8" ca="1"/>
        <v>4.4080597693983092E-2</v>
      </c>
      <c r="AD104" s="167">
        <v>4.4080597693983092E-2</v>
      </c>
      <c r="AE104" s="167">
        <v>4.4080597693983092E-2</v>
      </c>
      <c r="AF104" s="167">
        <v>4.4080597693983092E-2</v>
      </c>
      <c r="AG104" s="167">
        <v>4.4080597693983092E-2</v>
      </c>
      <c r="AH104" s="167">
        <v>4.4080597693983092E-2</v>
      </c>
      <c r="AI104" s="167">
        <v>4.4080597693983092E-2</v>
      </c>
      <c r="AJ104" s="167">
        <v>4.4080597693983092E-2</v>
      </c>
    </row>
    <row r="105" spans="6:36">
      <c r="F105" s="179">
        <v>50</v>
      </c>
      <c r="G105"/>
      <c r="H105"/>
      <c r="I105" s="179">
        <v>50</v>
      </c>
      <c r="J105"/>
      <c r="N105" s="319"/>
      <c r="O105" s="179">
        <v>50</v>
      </c>
      <c r="P105" s="180">
        <v>13</v>
      </c>
      <c r="Q105" s="180">
        <v>14</v>
      </c>
      <c r="R105" s="180">
        <v>14</v>
      </c>
      <c r="S105" s="180">
        <v>14</v>
      </c>
      <c r="T105" s="180">
        <v>14</v>
      </c>
      <c r="U105" s="180">
        <v>14</v>
      </c>
      <c r="V105" s="180">
        <v>14</v>
      </c>
      <c r="W105" s="180">
        <v>14</v>
      </c>
      <c r="AA105" s="319"/>
      <c r="AB105" s="179">
        <v>50</v>
      </c>
      <c r="AC105" s="167">
        <v>5.9018211919656949E-2</v>
      </c>
      <c r="AD105" s="167">
        <v>4.717917857853382E-2</v>
      </c>
      <c r="AE105" s="167">
        <v>4.5974818661400629E-2</v>
      </c>
      <c r="AF105" s="167">
        <v>4.5353123704878318E-2</v>
      </c>
      <c r="AG105" s="167">
        <v>4.5148553454057216E-2</v>
      </c>
      <c r="AH105" s="167">
        <v>4.5148553454057216E-2</v>
      </c>
      <c r="AI105" s="167">
        <v>4.5148553454057216E-2</v>
      </c>
      <c r="AJ105" s="167">
        <v>4.5148553454057216E-2</v>
      </c>
    </row>
    <row r="106" spans="6:36">
      <c r="F106" s="179">
        <v>70</v>
      </c>
      <c r="G106"/>
      <c r="H106"/>
      <c r="I106" s="179">
        <v>70</v>
      </c>
      <c r="J106"/>
      <c r="N106" s="319"/>
      <c r="O106" s="179">
        <v>70</v>
      </c>
      <c r="P106" s="180">
        <v>8</v>
      </c>
      <c r="Q106" s="180">
        <v>9</v>
      </c>
      <c r="R106" s="180">
        <v>10</v>
      </c>
      <c r="S106" s="180">
        <v>12</v>
      </c>
      <c r="T106" s="180">
        <v>13</v>
      </c>
      <c r="U106" s="180">
        <v>13</v>
      </c>
      <c r="V106" s="180">
        <v>13</v>
      </c>
      <c r="W106" s="180">
        <v>14</v>
      </c>
      <c r="AA106" s="319"/>
      <c r="AB106" s="179">
        <v>70</v>
      </c>
      <c r="AC106" s="167">
        <v>0.1116571107734301</v>
      </c>
      <c r="AD106" s="167">
        <v>8.7771489945569492E-2</v>
      </c>
      <c r="AE106" s="167">
        <v>7.1855706415530518E-2</v>
      </c>
      <c r="AF106" s="167">
        <v>6.0075977990953655E-2</v>
      </c>
      <c r="AG106" s="167">
        <v>5.7441395488521119E-2</v>
      </c>
      <c r="AH106" s="167">
        <v>5.3924804069606758E-2</v>
      </c>
      <c r="AI106" s="167">
        <v>5.1971748530987849E-2</v>
      </c>
      <c r="AJ106" s="167">
        <v>5.1201867702636683E-2</v>
      </c>
    </row>
    <row r="107" spans="6:36">
      <c r="F107" s="179">
        <v>90</v>
      </c>
      <c r="G107"/>
      <c r="H107"/>
      <c r="I107" s="179">
        <v>90</v>
      </c>
      <c r="J107"/>
      <c r="N107" s="319"/>
      <c r="O107" s="179">
        <v>90</v>
      </c>
      <c r="P107" s="180">
        <v>6</v>
      </c>
      <c r="Q107" s="180">
        <v>7</v>
      </c>
      <c r="R107" s="180">
        <v>7</v>
      </c>
      <c r="S107" s="180">
        <v>9</v>
      </c>
      <c r="T107" s="180">
        <v>10</v>
      </c>
      <c r="U107" s="180">
        <v>11</v>
      </c>
      <c r="V107" s="180">
        <v>12</v>
      </c>
      <c r="W107" s="180">
        <v>12</v>
      </c>
      <c r="AA107" s="319"/>
      <c r="AB107" s="179">
        <v>90</v>
      </c>
      <c r="AC107" s="167">
        <v>0.1586651671396595</v>
      </c>
      <c r="AD107" s="167">
        <v>0.13593270705679927</v>
      </c>
      <c r="AE107" s="167">
        <v>0.11350080911048099</v>
      </c>
      <c r="AF107" s="167">
        <v>8.6522611480348122E-2</v>
      </c>
      <c r="AG107" s="167">
        <v>7.9337533180156461E-2</v>
      </c>
      <c r="AH107" s="167">
        <v>6.9074278441599857E-2</v>
      </c>
      <c r="AI107" s="167">
        <v>6.3725513231403852E-2</v>
      </c>
      <c r="AJ107" s="167">
        <v>6.0783196509682336E-2</v>
      </c>
    </row>
    <row r="108" spans="6:36">
      <c r="F108" s="179">
        <v>110</v>
      </c>
      <c r="G108"/>
      <c r="H108"/>
      <c r="I108" s="179">
        <v>110</v>
      </c>
      <c r="J108"/>
      <c r="N108" s="319"/>
      <c r="O108" s="179">
        <v>110</v>
      </c>
      <c r="P108" s="180">
        <v>5</v>
      </c>
      <c r="Q108" s="180">
        <v>5</v>
      </c>
      <c r="R108" s="180">
        <v>6</v>
      </c>
      <c r="S108" s="180">
        <v>6</v>
      </c>
      <c r="T108" s="180">
        <v>7</v>
      </c>
      <c r="U108" s="180">
        <v>9</v>
      </c>
      <c r="V108" s="180">
        <v>10</v>
      </c>
      <c r="W108" s="180">
        <v>11</v>
      </c>
      <c r="AA108" s="319"/>
      <c r="AB108" s="179">
        <v>110</v>
      </c>
      <c r="AC108" s="167">
        <v>0.20325754484199443</v>
      </c>
      <c r="AD108" s="167">
        <v>0.1812099454501046</v>
      </c>
      <c r="AE108" s="167">
        <v>0.15859355575599254</v>
      </c>
      <c r="AF108" s="167">
        <v>0.1214329624736179</v>
      </c>
      <c r="AG108" s="167">
        <v>0.10904322023718471</v>
      </c>
      <c r="AH108" s="167">
        <v>8.986510252905755E-2</v>
      </c>
      <c r="AI108" s="167">
        <v>7.9331648205232641E-2</v>
      </c>
      <c r="AJ108" s="167">
        <v>7.320278207406461E-2</v>
      </c>
    </row>
    <row r="109" spans="6:36">
      <c r="F109" s="179">
        <v>130</v>
      </c>
      <c r="G109"/>
      <c r="H109"/>
      <c r="I109" s="179">
        <v>130</v>
      </c>
      <c r="J109"/>
      <c r="N109" s="319"/>
      <c r="O109" s="179">
        <v>130</v>
      </c>
      <c r="P109" s="180">
        <v>4</v>
      </c>
      <c r="Q109" s="180">
        <v>5</v>
      </c>
      <c r="R109" s="180">
        <v>5</v>
      </c>
      <c r="S109" s="180">
        <v>5</v>
      </c>
      <c r="T109" s="180">
        <v>5</v>
      </c>
      <c r="U109" s="180">
        <v>6</v>
      </c>
      <c r="V109" s="180">
        <v>8</v>
      </c>
      <c r="W109" s="180">
        <v>9</v>
      </c>
      <c r="AA109" s="319"/>
      <c r="AB109" s="179">
        <v>130</v>
      </c>
      <c r="AC109" s="167">
        <v>0.24669933384719389</v>
      </c>
      <c r="AD109" s="167">
        <v>0.22508267838114304</v>
      </c>
      <c r="AE109" s="167">
        <v>0.20305805488281559</v>
      </c>
      <c r="AF109" s="167">
        <v>0.16146555002535146</v>
      </c>
      <c r="AG109" s="167">
        <v>0.14480271593889094</v>
      </c>
      <c r="AH109" s="167">
        <v>0.11603397054143794</v>
      </c>
      <c r="AI109" s="167">
        <v>9.9314984699192754E-2</v>
      </c>
      <c r="AJ109" s="167">
        <v>8.9108140530512969E-2</v>
      </c>
    </row>
    <row r="110" spans="6:36">
      <c r="F110" s="179">
        <v>150</v>
      </c>
      <c r="G110"/>
      <c r="H110"/>
      <c r="I110" s="179">
        <v>150</v>
      </c>
      <c r="J110"/>
      <c r="N110" s="319"/>
      <c r="O110" s="179">
        <v>150</v>
      </c>
      <c r="P110" s="180">
        <v>4</v>
      </c>
      <c r="Q110" s="180">
        <v>4</v>
      </c>
      <c r="R110" s="180">
        <v>4</v>
      </c>
      <c r="S110" s="180">
        <v>4</v>
      </c>
      <c r="T110" s="180">
        <v>4</v>
      </c>
      <c r="U110" s="180">
        <v>5</v>
      </c>
      <c r="V110" s="180">
        <v>6</v>
      </c>
      <c r="W110" s="180">
        <v>7</v>
      </c>
      <c r="AA110" s="319"/>
      <c r="AB110" s="179">
        <v>150</v>
      </c>
      <c r="AC110" s="167">
        <v>0.28956162290615262</v>
      </c>
      <c r="AD110" s="167">
        <v>0.26824088309444782</v>
      </c>
      <c r="AE110" s="167">
        <v>0.24664046047945298</v>
      </c>
      <c r="AF110" s="167">
        <v>0.2037897098526793</v>
      </c>
      <c r="AG110" s="167">
        <v>0.1845845268002686</v>
      </c>
      <c r="AH110" s="167">
        <v>0.14726375253824564</v>
      </c>
      <c r="AI110" s="167">
        <v>0.12338786648756961</v>
      </c>
      <c r="AJ110" s="167">
        <v>0.10798320040480958</v>
      </c>
    </row>
    <row r="111" spans="6:36">
      <c r="F111" s="179">
        <v>170</v>
      </c>
      <c r="G111"/>
      <c r="H111"/>
      <c r="I111" s="179">
        <v>170</v>
      </c>
      <c r="J111"/>
      <c r="N111" s="319"/>
      <c r="O111" s="179">
        <v>170</v>
      </c>
      <c r="P111" s="180">
        <v>3</v>
      </c>
      <c r="Q111" s="180">
        <v>4</v>
      </c>
      <c r="R111" s="180">
        <v>4</v>
      </c>
      <c r="S111" s="180">
        <v>4</v>
      </c>
      <c r="T111" s="180">
        <v>4</v>
      </c>
      <c r="U111" s="180">
        <v>4</v>
      </c>
      <c r="V111" s="180">
        <v>5</v>
      </c>
      <c r="W111" s="180">
        <v>6</v>
      </c>
      <c r="AA111" s="319"/>
      <c r="AB111" s="179">
        <v>170</v>
      </c>
      <c r="AC111" s="167">
        <v>0.33211948112187217</v>
      </c>
      <c r="AD111" s="167">
        <v>0.31101395924317243</v>
      </c>
      <c r="AE111" s="167">
        <v>0.28970755701044348</v>
      </c>
      <c r="AF111" s="167">
        <v>0.24680146865107999</v>
      </c>
      <c r="AG111" s="167">
        <v>0.22634158548815053</v>
      </c>
      <c r="AH111" s="167">
        <v>0.18269129152570507</v>
      </c>
      <c r="AI111" s="167">
        <v>0.15148695513733745</v>
      </c>
      <c r="AJ111" s="167">
        <v>0.13070490233123722</v>
      </c>
    </row>
    <row r="112" spans="6:36">
      <c r="F112" s="179">
        <v>190</v>
      </c>
      <c r="G112"/>
      <c r="H112"/>
      <c r="I112" s="179">
        <v>190</v>
      </c>
      <c r="J112"/>
      <c r="N112" s="319"/>
      <c r="O112" s="179">
        <v>190</v>
      </c>
      <c r="P112" s="180">
        <v>3</v>
      </c>
      <c r="Q112" s="180">
        <v>3</v>
      </c>
      <c r="R112" s="180">
        <v>3</v>
      </c>
      <c r="S112" s="180">
        <v>3</v>
      </c>
      <c r="T112" s="180">
        <v>3</v>
      </c>
      <c r="U112" s="180">
        <v>4</v>
      </c>
      <c r="V112" s="180">
        <v>4</v>
      </c>
      <c r="W112" s="180">
        <v>4</v>
      </c>
      <c r="AA112" s="319"/>
      <c r="AB112" s="179">
        <v>190</v>
      </c>
      <c r="AC112" s="167">
        <v>0.37451059728457303</v>
      </c>
      <c r="AD112" s="167">
        <v>0.35356801752828648</v>
      </c>
      <c r="AE112" s="167">
        <v>0.33247551517866758</v>
      </c>
      <c r="AF112" s="167">
        <v>0.28987686106939847</v>
      </c>
      <c r="AG112" s="167">
        <v>0.26892399526967803</v>
      </c>
      <c r="AH112" s="167">
        <v>0.22125857435351337</v>
      </c>
      <c r="AI112" s="167">
        <v>0.18398227379018839</v>
      </c>
      <c r="AJ112" s="167">
        <v>0.156589544361593</v>
      </c>
    </row>
    <row r="113" spans="6:36">
      <c r="F113" s="179">
        <v>210</v>
      </c>
      <c r="G113"/>
      <c r="H113"/>
      <c r="I113" s="179">
        <v>210</v>
      </c>
      <c r="J113"/>
      <c r="N113" s="319"/>
      <c r="O113" s="179">
        <v>210</v>
      </c>
      <c r="P113" s="180">
        <v>3</v>
      </c>
      <c r="Q113" s="180">
        <v>3</v>
      </c>
      <c r="R113" s="180">
        <v>3</v>
      </c>
      <c r="S113" s="180">
        <v>3</v>
      </c>
      <c r="T113" s="180">
        <v>3</v>
      </c>
      <c r="U113" s="180">
        <v>3</v>
      </c>
      <c r="V113" s="180">
        <v>3</v>
      </c>
      <c r="W113" s="180">
        <v>4</v>
      </c>
      <c r="AA113" s="319"/>
      <c r="AB113" s="179">
        <v>210</v>
      </c>
      <c r="AC113" s="167">
        <v>0.41680606432382361</v>
      </c>
      <c r="AD113" s="167">
        <v>0.3959905952957794</v>
      </c>
      <c r="AE113" s="167">
        <v>0.37505958174118237</v>
      </c>
      <c r="AF113" s="167">
        <v>0.33281312943671537</v>
      </c>
      <c r="AG113" s="167">
        <v>0.31174496455881617</v>
      </c>
      <c r="AH113" s="167">
        <v>0.26182261772940607</v>
      </c>
      <c r="AI113" s="167">
        <v>0.21947766495031606</v>
      </c>
      <c r="AJ113" s="167">
        <v>0.18685304516862145</v>
      </c>
    </row>
    <row r="114" spans="6:36">
      <c r="F114" s="179">
        <v>230</v>
      </c>
      <c r="G114"/>
      <c r="H114"/>
      <c r="I114" s="179">
        <v>230</v>
      </c>
      <c r="J114"/>
      <c r="N114" s="319"/>
      <c r="O114" s="179">
        <v>230</v>
      </c>
      <c r="P114" s="180">
        <v>3</v>
      </c>
      <c r="Q114" s="180">
        <v>3</v>
      </c>
      <c r="R114" s="180">
        <v>3</v>
      </c>
      <c r="S114" s="180">
        <v>3</v>
      </c>
      <c r="T114" s="180">
        <v>3</v>
      </c>
      <c r="U114" s="180">
        <v>3</v>
      </c>
      <c r="V114" s="180">
        <v>3</v>
      </c>
      <c r="W114" s="180">
        <v>3</v>
      </c>
      <c r="AA114" s="319"/>
      <c r="AB114" s="179">
        <v>230</v>
      </c>
      <c r="AC114" s="167">
        <v>0.45904377628374715</v>
      </c>
      <c r="AD114" s="167">
        <v>0.43832983772357004</v>
      </c>
      <c r="AE114" s="167">
        <v>0.41752440820796988</v>
      </c>
      <c r="AF114" s="167">
        <v>0.37559015042696853</v>
      </c>
      <c r="AG114" s="167">
        <v>0.35456158127927506</v>
      </c>
      <c r="AH114" s="167">
        <v>0.30341647397861538</v>
      </c>
      <c r="AI114" s="167">
        <v>0.25771491845741257</v>
      </c>
      <c r="AJ114" s="167">
        <v>0.22006037808263512</v>
      </c>
    </row>
    <row r="115" spans="6:36">
      <c r="F115" s="179">
        <v>250</v>
      </c>
      <c r="G115"/>
      <c r="H115"/>
      <c r="I115" s="179">
        <v>250</v>
      </c>
      <c r="J115"/>
      <c r="N115" s="319"/>
      <c r="O115" s="179">
        <v>250</v>
      </c>
      <c r="P115" s="180">
        <v>2</v>
      </c>
      <c r="Q115" s="180">
        <v>2</v>
      </c>
      <c r="R115" s="180">
        <v>3</v>
      </c>
      <c r="S115" s="180">
        <v>3</v>
      </c>
      <c r="T115" s="180">
        <v>3</v>
      </c>
      <c r="U115" s="180">
        <v>3</v>
      </c>
      <c r="V115" s="180">
        <v>3</v>
      </c>
      <c r="W115" s="180">
        <v>3</v>
      </c>
      <c r="AA115" s="319"/>
      <c r="AB115" s="179">
        <v>250</v>
      </c>
      <c r="AC115" s="167">
        <v>0.5012446722129742</v>
      </c>
      <c r="AD115" s="167">
        <v>0.48061343182623628</v>
      </c>
      <c r="AE115" s="167">
        <v>0.4599080751938982</v>
      </c>
      <c r="AF115" s="167">
        <v>0.41823192639668672</v>
      </c>
      <c r="AG115" s="167">
        <v>0.39729472294757251</v>
      </c>
      <c r="AH115" s="167">
        <v>0.34565628550588623</v>
      </c>
      <c r="AI115" s="167">
        <v>0.29761432351524642</v>
      </c>
      <c r="AJ115" s="167">
        <v>0.25575497856639817</v>
      </c>
    </row>
    <row r="116" spans="6:36">
      <c r="F116" s="179">
        <v>270</v>
      </c>
      <c r="G116"/>
      <c r="H116"/>
      <c r="I116" s="179">
        <v>270</v>
      </c>
      <c r="J116"/>
      <c r="N116" s="319"/>
      <c r="O116" s="179">
        <v>270</v>
      </c>
      <c r="P116" s="180">
        <v>2</v>
      </c>
      <c r="Q116" s="180">
        <v>2</v>
      </c>
      <c r="R116" s="180">
        <v>2</v>
      </c>
      <c r="S116" s="180">
        <v>2</v>
      </c>
      <c r="T116" s="180">
        <v>2</v>
      </c>
      <c r="U116" s="180">
        <v>2</v>
      </c>
      <c r="V116" s="180">
        <v>3</v>
      </c>
      <c r="W116" s="180">
        <v>3</v>
      </c>
      <c r="AA116" s="319"/>
      <c r="AB116" s="179">
        <v>270</v>
      </c>
      <c r="AC116" s="167">
        <v>0.54342080665805303</v>
      </c>
      <c r="AD116" s="167">
        <v>0.52285805575072342</v>
      </c>
      <c r="AE116" s="167">
        <v>0.50223409494027305</v>
      </c>
      <c r="AF116" s="167">
        <v>0.46076797946693415</v>
      </c>
      <c r="AG116" s="167">
        <v>0.43993118389100139</v>
      </c>
      <c r="AH116" s="167">
        <v>0.3880987342010187</v>
      </c>
      <c r="AI116" s="167">
        <v>0.33853997242349365</v>
      </c>
      <c r="AJ116" s="167">
        <v>0.29394380540532006</v>
      </c>
    </row>
    <row r="117" spans="6:36">
      <c r="F117" s="179">
        <v>290</v>
      </c>
      <c r="G117"/>
      <c r="H117"/>
      <c r="I117" s="179">
        <v>300</v>
      </c>
      <c r="J117"/>
      <c r="N117" s="319"/>
      <c r="O117" s="179">
        <v>300</v>
      </c>
      <c r="P117" s="180">
        <v>2</v>
      </c>
      <c r="Q117" s="180">
        <v>2</v>
      </c>
      <c r="R117" s="180">
        <v>2</v>
      </c>
      <c r="S117" s="180">
        <v>2</v>
      </c>
      <c r="T117" s="180">
        <v>2</v>
      </c>
      <c r="U117" s="180">
        <v>2</v>
      </c>
      <c r="V117" s="180">
        <v>2</v>
      </c>
      <c r="W117" s="180">
        <v>2</v>
      </c>
      <c r="AA117" s="319"/>
      <c r="AB117" s="179">
        <v>300</v>
      </c>
      <c r="AC117" s="167">
        <v>0.60665369445138184</v>
      </c>
      <c r="AD117" s="167">
        <v>0.58617392600194873</v>
      </c>
      <c r="AE117" s="167">
        <v>0.56564682382713061</v>
      </c>
      <c r="AF117" s="167">
        <v>0.52442658735118886</v>
      </c>
      <c r="AG117" s="167">
        <v>0.50372664904760001</v>
      </c>
      <c r="AH117" s="167">
        <v>0.45195200616980769</v>
      </c>
      <c r="AI117" s="167">
        <v>0.40130268351557485</v>
      </c>
      <c r="AJ117" s="167">
        <v>0.35375327719030603</v>
      </c>
    </row>
    <row r="118" spans="6:36">
      <c r="F118" s="179">
        <v>310</v>
      </c>
      <c r="G118"/>
      <c r="H118"/>
      <c r="I118" s="179">
        <v>350</v>
      </c>
      <c r="J118"/>
      <c r="N118" s="319"/>
      <c r="O118" s="179">
        <v>350</v>
      </c>
      <c r="P118" s="180">
        <v>2</v>
      </c>
      <c r="Q118" s="180">
        <v>2</v>
      </c>
      <c r="R118" s="180">
        <v>2</v>
      </c>
      <c r="S118" s="180">
        <v>2</v>
      </c>
      <c r="T118" s="180">
        <v>2</v>
      </c>
      <c r="U118" s="180">
        <v>2</v>
      </c>
      <c r="V118" s="180">
        <v>2</v>
      </c>
      <c r="W118" s="180">
        <v>2</v>
      </c>
      <c r="AA118" s="319"/>
      <c r="AB118" s="179">
        <v>350</v>
      </c>
      <c r="AC118" s="167">
        <v>0.71198901377363821</v>
      </c>
      <c r="AD118" s="167">
        <v>0.69161153441247825</v>
      </c>
      <c r="AE118" s="167">
        <v>0.67120124787232016</v>
      </c>
      <c r="AF118" s="167">
        <v>0.63026855322793884</v>
      </c>
      <c r="AG118" s="167">
        <v>0.60973899753621175</v>
      </c>
      <c r="AH118" s="167">
        <v>0.55827005385607742</v>
      </c>
      <c r="AI118" s="167">
        <v>0.50702778752587996</v>
      </c>
      <c r="AJ118" s="167">
        <v>0.45707392074124975</v>
      </c>
    </row>
    <row r="119" spans="6:36">
      <c r="F119" s="179">
        <v>330</v>
      </c>
      <c r="G119"/>
      <c r="H119"/>
      <c r="I119" s="179">
        <v>400</v>
      </c>
      <c r="J119"/>
      <c r="N119" s="319"/>
      <c r="O119" s="179">
        <v>400</v>
      </c>
      <c r="P119" s="180">
        <v>2</v>
      </c>
      <c r="Q119" s="180">
        <v>2</v>
      </c>
      <c r="R119" s="180">
        <v>2</v>
      </c>
      <c r="S119" s="180">
        <v>2</v>
      </c>
      <c r="T119" s="180">
        <v>2</v>
      </c>
      <c r="U119" s="180">
        <v>2</v>
      </c>
      <c r="V119" s="180">
        <v>2</v>
      </c>
      <c r="W119" s="180">
        <v>2</v>
      </c>
      <c r="AA119" s="319"/>
      <c r="AB119" s="179">
        <v>400</v>
      </c>
      <c r="AC119" s="167">
        <v>0.81728394962116413</v>
      </c>
      <c r="AD119" s="167">
        <v>0.79697992392711625</v>
      </c>
      <c r="AE119" s="167">
        <v>0.77665182243563891</v>
      </c>
      <c r="AF119" s="167">
        <v>0.73591490263907477</v>
      </c>
      <c r="AG119" s="167">
        <v>0.71550128545808978</v>
      </c>
      <c r="AH119" s="167">
        <v>0.66433188409501587</v>
      </c>
      <c r="AI119" s="167">
        <v>0.61312192231670704</v>
      </c>
      <c r="AJ119" s="167">
        <v>0.56243034580988382</v>
      </c>
    </row>
    <row r="120" spans="6:36">
      <c r="F120" s="179">
        <v>350</v>
      </c>
      <c r="G120"/>
      <c r="H120"/>
      <c r="I120" s="179">
        <v>500</v>
      </c>
      <c r="J120"/>
      <c r="N120" s="319"/>
      <c r="O120" s="179">
        <v>500</v>
      </c>
      <c r="P120" s="180">
        <v>1</v>
      </c>
      <c r="Q120" s="180">
        <v>1</v>
      </c>
      <c r="R120" s="180">
        <v>1</v>
      </c>
      <c r="S120" s="180">
        <v>1</v>
      </c>
      <c r="T120" s="180">
        <v>1</v>
      </c>
      <c r="U120" s="180">
        <v>1</v>
      </c>
      <c r="V120" s="180">
        <v>1</v>
      </c>
      <c r="W120" s="180">
        <v>1</v>
      </c>
      <c r="AA120" s="319"/>
      <c r="AB120" s="179">
        <v>500</v>
      </c>
      <c r="AC120" s="167">
        <v>1.0278063319187254</v>
      </c>
      <c r="AD120" s="167">
        <v>1.0076005594856263</v>
      </c>
      <c r="AE120" s="167">
        <v>0.98738023647441064</v>
      </c>
      <c r="AF120" s="167">
        <v>0.94689202799681582</v>
      </c>
      <c r="AG120" s="167">
        <v>0.92662195943275982</v>
      </c>
      <c r="AH120" s="167">
        <v>0.87586221665260822</v>
      </c>
      <c r="AI120" s="167">
        <v>0.82499129553786488</v>
      </c>
      <c r="AJ120" s="167">
        <v>0.77413162437517435</v>
      </c>
    </row>
    <row r="121" spans="6:36">
      <c r="F121" s="179">
        <v>370</v>
      </c>
      <c r="G121"/>
      <c r="H121"/>
      <c r="I121" s="179">
        <v>600</v>
      </c>
      <c r="J121"/>
      <c r="N121" s="319"/>
      <c r="O121" s="179">
        <v>600</v>
      </c>
      <c r="P121" s="180">
        <v>1</v>
      </c>
      <c r="Q121" s="180">
        <v>1</v>
      </c>
      <c r="R121" s="180">
        <v>1</v>
      </c>
      <c r="S121" s="180">
        <v>1</v>
      </c>
      <c r="T121" s="180">
        <v>1</v>
      </c>
      <c r="U121" s="180">
        <v>1</v>
      </c>
      <c r="V121" s="180">
        <v>1</v>
      </c>
      <c r="W121" s="180">
        <v>1</v>
      </c>
      <c r="AA121" s="319"/>
      <c r="AB121" s="179">
        <v>600</v>
      </c>
      <c r="AC121" s="167">
        <v>1.2382785448732294</v>
      </c>
      <c r="AD121" s="167">
        <v>1.2181354332297145</v>
      </c>
      <c r="AE121" s="167">
        <v>1.1979825836985274</v>
      </c>
      <c r="AF121" s="167">
        <v>1.1576455566492645</v>
      </c>
      <c r="AG121" s="167">
        <v>1.1374602229852222</v>
      </c>
      <c r="AH121" s="167">
        <v>1.0869426951200478</v>
      </c>
      <c r="AI121" s="167">
        <v>1.0363426243678595</v>
      </c>
      <c r="AJ121" s="167">
        <v>0.98567853359610624</v>
      </c>
    </row>
    <row r="122" spans="6:36">
      <c r="G122"/>
      <c r="H122"/>
      <c r="I122"/>
      <c r="J122"/>
    </row>
    <row r="123" spans="6:36">
      <c r="G123"/>
      <c r="H123"/>
      <c r="I123"/>
      <c r="J123"/>
    </row>
    <row r="124" spans="6:36">
      <c r="G124"/>
      <c r="H124"/>
      <c r="I124"/>
      <c r="J124"/>
    </row>
    <row r="125" spans="6:36">
      <c r="N125" s="320" t="s">
        <v>251</v>
      </c>
      <c r="O125" s="321"/>
      <c r="P125" s="320" t="s">
        <v>250</v>
      </c>
      <c r="Q125" s="322"/>
      <c r="R125" s="322"/>
      <c r="S125" s="322"/>
      <c r="T125" s="322"/>
      <c r="U125" s="322"/>
      <c r="V125" s="322"/>
      <c r="W125" s="321"/>
    </row>
    <row r="126" spans="6:36">
      <c r="N126" s="3"/>
      <c r="O126" s="206">
        <f>Q20</f>
        <v>106449.03818478354</v>
      </c>
      <c r="P126" s="165">
        <v>0</v>
      </c>
      <c r="Q126" s="165">
        <v>0.02</v>
      </c>
      <c r="R126" s="165">
        <v>0.04</v>
      </c>
      <c r="S126" s="165">
        <v>0.08</v>
      </c>
      <c r="T126" s="165">
        <v>0.1</v>
      </c>
      <c r="U126" s="165">
        <v>0.15</v>
      </c>
      <c r="V126" s="165">
        <v>0.2</v>
      </c>
      <c r="W126" s="165">
        <v>0.25</v>
      </c>
    </row>
    <row r="127" spans="6:36">
      <c r="N127" s="319" t="s">
        <v>162</v>
      </c>
      <c r="O127" s="179">
        <v>45</v>
      </c>
      <c r="P127" s="207">
        <f t="dataTable" ref="P127:W144" dt2D="1" dtr="1" r1="AB8" r2="I8" ca="1"/>
        <v>62122.911374569747</v>
      </c>
      <c r="Q127" s="207">
        <v>62122.911374569747</v>
      </c>
      <c r="R127" s="207">
        <v>62122.911374569747</v>
      </c>
      <c r="S127" s="207">
        <v>62122.911374569747</v>
      </c>
      <c r="T127" s="207">
        <v>62122.911374569747</v>
      </c>
      <c r="U127" s="207">
        <v>62122.911374569747</v>
      </c>
      <c r="V127" s="207">
        <v>62122.911374569747</v>
      </c>
      <c r="W127" s="207">
        <v>62122.911374569747</v>
      </c>
    </row>
    <row r="128" spans="6:36">
      <c r="N128" s="319"/>
      <c r="O128" s="179">
        <v>50</v>
      </c>
      <c r="P128" s="207">
        <v>69025.457082855297</v>
      </c>
      <c r="Q128" s="207">
        <v>63037.50410212938</v>
      </c>
      <c r="R128" s="207">
        <v>62665.547349769753</v>
      </c>
      <c r="S128" s="207">
        <v>62482.491374569749</v>
      </c>
      <c r="T128" s="207">
        <v>62422.911374569747</v>
      </c>
      <c r="U128" s="207">
        <v>62422.911374569747</v>
      </c>
      <c r="V128" s="207">
        <v>62422.911374569747</v>
      </c>
      <c r="W128" s="207">
        <v>62422.911374569747</v>
      </c>
    </row>
    <row r="129" spans="14:23">
      <c r="N129" s="319"/>
      <c r="O129" s="179">
        <v>70</v>
      </c>
      <c r="P129" s="207">
        <v>96635.639915997424</v>
      </c>
      <c r="Q129" s="207">
        <v>77356.586341952323</v>
      </c>
      <c r="R129" s="207">
        <v>70228.700990229889</v>
      </c>
      <c r="S129" s="207">
        <v>66546.393497705605</v>
      </c>
      <c r="T129" s="207">
        <v>65795.891949175246</v>
      </c>
      <c r="U129" s="207">
        <v>64816.654765069754</v>
      </c>
      <c r="V129" s="207">
        <v>64278.291374569751</v>
      </c>
      <c r="W129" s="207">
        <v>64069.761374569753</v>
      </c>
    </row>
    <row r="130" spans="14:23">
      <c r="N130" s="319"/>
      <c r="O130" s="179">
        <v>90</v>
      </c>
      <c r="P130" s="207">
        <v>124245.82274913949</v>
      </c>
      <c r="Q130" s="207">
        <v>99260.471413038715</v>
      </c>
      <c r="R130" s="207">
        <v>83044.165150467787</v>
      </c>
      <c r="S130" s="207">
        <v>73274.047147376084</v>
      </c>
      <c r="T130" s="207">
        <v>71283.389874754546</v>
      </c>
      <c r="U130" s="207">
        <v>68603.384033480339</v>
      </c>
      <c r="V130" s="207">
        <v>67240.47312194336</v>
      </c>
      <c r="W130" s="207">
        <v>66496.252912069758</v>
      </c>
    </row>
    <row r="131" spans="14:23">
      <c r="N131" s="319"/>
      <c r="O131" s="179">
        <v>110</v>
      </c>
      <c r="P131" s="207">
        <v>151856.00558228162</v>
      </c>
      <c r="Q131" s="207">
        <v>121318.35394926953</v>
      </c>
      <c r="R131" s="207">
        <v>98853.716589591291</v>
      </c>
      <c r="S131" s="207">
        <v>81549.721593351846</v>
      </c>
      <c r="T131" s="207">
        <v>78000.090259307995</v>
      </c>
      <c r="U131" s="207">
        <v>73222.352338665441</v>
      </c>
      <c r="V131" s="207">
        <v>70755.8933632423</v>
      </c>
      <c r="W131" s="207">
        <v>69338.151486254123</v>
      </c>
    </row>
    <row r="132" spans="14:23">
      <c r="N132" s="319"/>
      <c r="O132" s="179">
        <v>130</v>
      </c>
      <c r="P132" s="207">
        <v>179466.18841542371</v>
      </c>
      <c r="Q132" s="207">
        <v>143376.23648550033</v>
      </c>
      <c r="R132" s="207">
        <v>116473.86096213707</v>
      </c>
      <c r="S132" s="207">
        <v>90837.166213646022</v>
      </c>
      <c r="T132" s="207">
        <v>85503.838326238445</v>
      </c>
      <c r="U132" s="207">
        <v>78366.608266006166</v>
      </c>
      <c r="V132" s="207">
        <v>74745.947974997805</v>
      </c>
      <c r="W132" s="207">
        <v>72593.127556360385</v>
      </c>
    </row>
    <row r="133" spans="14:23">
      <c r="N133" s="319"/>
      <c r="O133" s="179">
        <v>150</v>
      </c>
      <c r="P133" s="207">
        <v>207076.37124856588</v>
      </c>
      <c r="Q133" s="207">
        <v>165434.1190217312</v>
      </c>
      <c r="R133" s="207">
        <v>134392.9164947735</v>
      </c>
      <c r="S133" s="207">
        <v>100839.19578121109</v>
      </c>
      <c r="T133" s="207">
        <v>93628.576188966254</v>
      </c>
      <c r="U133" s="207">
        <v>83889.284400305332</v>
      </c>
      <c r="V133" s="207">
        <v>78976.524604058199</v>
      </c>
      <c r="W133" s="207">
        <v>75991.668710174272</v>
      </c>
    </row>
    <row r="134" spans="14:23">
      <c r="N134" s="319"/>
      <c r="O134" s="179">
        <v>170</v>
      </c>
      <c r="P134" s="207">
        <v>234686.55408170802</v>
      </c>
      <c r="Q134" s="207">
        <v>187492.00155796192</v>
      </c>
      <c r="R134" s="207">
        <v>152311.97202741</v>
      </c>
      <c r="S134" s="207">
        <v>111342.83569417002</v>
      </c>
      <c r="T134" s="207">
        <v>102152.99871656756</v>
      </c>
      <c r="U134" s="207">
        <v>89676.950912029468</v>
      </c>
      <c r="V134" s="207">
        <v>83346.223987636782</v>
      </c>
      <c r="W134" s="207">
        <v>79615.812138385911</v>
      </c>
    </row>
    <row r="135" spans="14:23">
      <c r="N135" s="319"/>
      <c r="O135" s="179">
        <v>190</v>
      </c>
      <c r="P135" s="207">
        <v>262296.73691485013</v>
      </c>
      <c r="Q135" s="207">
        <v>209549.88409419282</v>
      </c>
      <c r="R135" s="207">
        <v>170231.0275600465</v>
      </c>
      <c r="S135" s="207">
        <v>122283.41494169051</v>
      </c>
      <c r="T135" s="207">
        <v>111003.24233898347</v>
      </c>
      <c r="U135" s="207">
        <v>95698.672895780008</v>
      </c>
      <c r="V135" s="207">
        <v>87992.460460241142</v>
      </c>
      <c r="W135" s="207">
        <v>83245.046999744751</v>
      </c>
    </row>
    <row r="136" spans="14:23">
      <c r="N136" s="319"/>
      <c r="O136" s="179">
        <v>210</v>
      </c>
      <c r="P136" s="207">
        <v>289906.91974799207</v>
      </c>
      <c r="Q136" s="207">
        <v>231607.7666304236</v>
      </c>
      <c r="R136" s="207">
        <v>188150.08309268297</v>
      </c>
      <c r="S136" s="207">
        <v>133534.62258883027</v>
      </c>
      <c r="T136" s="207">
        <v>120116.80307347668</v>
      </c>
      <c r="U136" s="207">
        <v>101925.38985545958</v>
      </c>
      <c r="V136" s="207">
        <v>92663.749650555983</v>
      </c>
      <c r="W136" s="207">
        <v>87144.127817905362</v>
      </c>
    </row>
    <row r="137" spans="14:23">
      <c r="N137" s="319"/>
      <c r="O137" s="179">
        <v>230</v>
      </c>
      <c r="P137" s="207">
        <v>317517.10258113442</v>
      </c>
      <c r="Q137" s="207">
        <v>253665.64916665445</v>
      </c>
      <c r="R137" s="207">
        <v>206069.13862531941</v>
      </c>
      <c r="S137" s="207">
        <v>145039.63404312663</v>
      </c>
      <c r="T137" s="207">
        <v>129440.95490427488</v>
      </c>
      <c r="U137" s="207">
        <v>108223.74690659942</v>
      </c>
      <c r="V137" s="207">
        <v>97519.796566846693</v>
      </c>
      <c r="W137" s="207">
        <v>91043.208636065989</v>
      </c>
    </row>
    <row r="138" spans="14:23">
      <c r="N138" s="319"/>
      <c r="O138" s="179">
        <v>250</v>
      </c>
      <c r="P138" s="207">
        <v>345127.28541427641</v>
      </c>
      <c r="Q138" s="207">
        <v>275723.53170288529</v>
      </c>
      <c r="R138" s="207">
        <v>223988.19415795594</v>
      </c>
      <c r="S138" s="207">
        <v>156759.21698444674</v>
      </c>
      <c r="T138" s="207">
        <v>138931.37606333959</v>
      </c>
      <c r="U138" s="207">
        <v>114726.60450600612</v>
      </c>
      <c r="V138" s="207">
        <v>102430.66869963279</v>
      </c>
      <c r="W138" s="207">
        <v>94942.2894542266</v>
      </c>
    </row>
    <row r="139" spans="14:23">
      <c r="N139" s="319"/>
      <c r="O139" s="179">
        <v>270</v>
      </c>
      <c r="P139" s="207">
        <v>372737.46824741864</v>
      </c>
      <c r="Q139" s="207">
        <v>297781.41423911607</v>
      </c>
      <c r="R139" s="207">
        <v>241907.24969059226</v>
      </c>
      <c r="S139" s="207">
        <v>168659.13029201183</v>
      </c>
      <c r="T139" s="207">
        <v>148550.9568842412</v>
      </c>
      <c r="U139" s="207">
        <v>121239.60761796994</v>
      </c>
      <c r="V139" s="207">
        <v>107358.47115100114</v>
      </c>
      <c r="W139" s="207">
        <v>99017.059083139509</v>
      </c>
    </row>
    <row r="140" spans="14:23">
      <c r="N140" s="319"/>
      <c r="O140" s="179">
        <v>300</v>
      </c>
      <c r="P140" s="207">
        <v>414152.74249713175</v>
      </c>
      <c r="Q140" s="207">
        <v>330868.23804346239</v>
      </c>
      <c r="R140" s="207">
        <v>268785.83298954699</v>
      </c>
      <c r="S140" s="207">
        <v>186783.04524185255</v>
      </c>
      <c r="T140" s="207">
        <v>163245.96056567354</v>
      </c>
      <c r="U140" s="207">
        <v>131272.71305313875</v>
      </c>
      <c r="V140" s="207">
        <v>115010.26638442905</v>
      </c>
      <c r="W140" s="207">
        <v>105172.81974212715</v>
      </c>
    </row>
    <row r="141" spans="14:23">
      <c r="N141" s="319"/>
      <c r="O141" s="179">
        <v>350</v>
      </c>
      <c r="P141" s="207">
        <v>483178.19957998709</v>
      </c>
      <c r="Q141" s="207">
        <v>386012.94438403944</v>
      </c>
      <c r="R141" s="207">
        <v>313583.47182113834</v>
      </c>
      <c r="S141" s="207">
        <v>217595.79780745116</v>
      </c>
      <c r="T141" s="207">
        <v>188251.63030461111</v>
      </c>
      <c r="U141" s="207">
        <v>148258.42496662855</v>
      </c>
      <c r="V141" s="207">
        <v>127874.56645483075</v>
      </c>
      <c r="W141" s="207">
        <v>115530.63246558582</v>
      </c>
    </row>
    <row r="142" spans="14:23">
      <c r="N142" s="319"/>
      <c r="O142" s="179">
        <v>400</v>
      </c>
      <c r="P142" s="207">
        <v>552203.65666284238</v>
      </c>
      <c r="Q142" s="207">
        <v>441157.65072461648</v>
      </c>
      <c r="R142" s="207">
        <v>358381.1106527294</v>
      </c>
      <c r="S142" s="207">
        <v>248680.91177994423</v>
      </c>
      <c r="T142" s="207">
        <v>213681.51109151638</v>
      </c>
      <c r="U142" s="207">
        <v>165556.62185679871</v>
      </c>
      <c r="V142" s="207">
        <v>141005.54334388929</v>
      </c>
      <c r="W142" s="207">
        <v>126171.47038355428</v>
      </c>
    </row>
    <row r="143" spans="14:23">
      <c r="N143" s="319"/>
      <c r="O143" s="179">
        <v>500</v>
      </c>
      <c r="P143" s="207">
        <v>690254.57082855282</v>
      </c>
      <c r="Q143" s="207">
        <v>551447.06340577058</v>
      </c>
      <c r="R143" s="207">
        <v>447976.38831591187</v>
      </c>
      <c r="S143" s="207">
        <v>310851.1397249304</v>
      </c>
      <c r="T143" s="207">
        <v>265517.11359197897</v>
      </c>
      <c r="U143" s="207">
        <v>200794.09376622373</v>
      </c>
      <c r="V143" s="207">
        <v>167753.3649201041</v>
      </c>
      <c r="W143" s="207">
        <v>147739.95444422</v>
      </c>
    </row>
    <row r="144" spans="14:23">
      <c r="N144" s="319"/>
      <c r="O144" s="179">
        <v>600</v>
      </c>
      <c r="P144" s="207">
        <v>828305.4849942635</v>
      </c>
      <c r="Q144" s="207">
        <v>661736.47608692478</v>
      </c>
      <c r="R144" s="207">
        <v>537571.66597909399</v>
      </c>
      <c r="S144" s="207">
        <v>373021.36766991648</v>
      </c>
      <c r="T144" s="207">
        <v>318267.30416669231</v>
      </c>
      <c r="U144" s="207">
        <v>236643.49378087322</v>
      </c>
      <c r="V144" s="207">
        <v>194979.06002353196</v>
      </c>
      <c r="W144" s="207">
        <v>169592.34445160127</v>
      </c>
    </row>
  </sheetData>
  <mergeCells count="20">
    <mergeCell ref="N102:O102"/>
    <mergeCell ref="P102:W102"/>
    <mergeCell ref="AA102:AB102"/>
    <mergeCell ref="AC102:AJ102"/>
    <mergeCell ref="A30:D30"/>
    <mergeCell ref="N52:N58"/>
    <mergeCell ref="N62:N68"/>
    <mergeCell ref="N71:P71"/>
    <mergeCell ref="R71:T71"/>
    <mergeCell ref="X71:Z71"/>
    <mergeCell ref="AC71:AE71"/>
    <mergeCell ref="N72:N90"/>
    <mergeCell ref="R73:R90"/>
    <mergeCell ref="X73:X90"/>
    <mergeCell ref="AC73:AC90"/>
    <mergeCell ref="N104:N121"/>
    <mergeCell ref="AA104:AA121"/>
    <mergeCell ref="N125:O125"/>
    <mergeCell ref="P125:W125"/>
    <mergeCell ref="N127:N144"/>
  </mergeCells>
  <conditionalFormatting sqref="N10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2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3:P90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04:W12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27:W14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73:T90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73:AB89 Z9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0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92:AD101 AC104:AD10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104:AJ12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73:AE9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scale="1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51F73-E6EA-4445-8524-EBBBE6EE6012}">
  <dimension ref="A1:P14"/>
  <sheetViews>
    <sheetView workbookViewId="0">
      <selection activeCell="K12" sqref="K12"/>
    </sheetView>
  </sheetViews>
  <sheetFormatPr defaultRowHeight="15"/>
  <cols>
    <col min="1" max="1" width="25" customWidth="1"/>
    <col min="5" max="5" width="19.5703125" customWidth="1"/>
    <col min="6" max="6" width="11.85546875" customWidth="1"/>
    <col min="7" max="8" width="15.42578125" customWidth="1"/>
    <col min="9" max="9" width="15.28515625" customWidth="1"/>
    <col min="10" max="10" width="20.28515625" customWidth="1"/>
    <col min="11" max="11" width="18.140625" customWidth="1"/>
    <col min="12" max="12" width="20.140625" customWidth="1"/>
    <col min="13" max="14" width="22.42578125" customWidth="1"/>
    <col min="15" max="15" width="18" customWidth="1"/>
  </cols>
  <sheetData>
    <row r="1" spans="1:16">
      <c r="A1" s="35"/>
      <c r="B1" s="1" t="s">
        <v>0</v>
      </c>
    </row>
    <row r="2" spans="1:16">
      <c r="A2" s="238"/>
      <c r="B2" s="1" t="s">
        <v>252</v>
      </c>
    </row>
    <row r="3" spans="1:16" ht="15.75" thickBot="1">
      <c r="B3" s="1"/>
    </row>
    <row r="4" spans="1:16" ht="30.75" thickBot="1">
      <c r="A4" s="331" t="s">
        <v>253</v>
      </c>
      <c r="B4" s="333"/>
      <c r="E4" s="331" t="s">
        <v>253</v>
      </c>
      <c r="F4" s="332"/>
      <c r="G4" s="332"/>
      <c r="H4" s="333"/>
      <c r="J4" s="73"/>
      <c r="K4" s="76" t="s">
        <v>254</v>
      </c>
      <c r="L4" s="77" t="s">
        <v>255</v>
      </c>
      <c r="M4" s="78" t="s">
        <v>256</v>
      </c>
      <c r="N4" s="78" t="s">
        <v>257</v>
      </c>
      <c r="O4" s="79" t="s">
        <v>258</v>
      </c>
      <c r="P4" s="57"/>
    </row>
    <row r="5" spans="1:16" ht="30">
      <c r="A5" s="94" t="s">
        <v>259</v>
      </c>
      <c r="B5" s="97">
        <v>7000</v>
      </c>
      <c r="E5" s="94" t="s">
        <v>260</v>
      </c>
      <c r="F5" s="95">
        <v>1500</v>
      </c>
      <c r="G5" s="96" t="s">
        <v>261</v>
      </c>
      <c r="H5" s="97">
        <v>6</v>
      </c>
      <c r="J5" s="80" t="s">
        <v>262</v>
      </c>
      <c r="K5" s="69">
        <f>F8*B8</f>
        <v>1050</v>
      </c>
      <c r="L5" s="69">
        <f>K5</f>
        <v>1050</v>
      </c>
      <c r="M5" s="69">
        <f>F7*F8*B8</f>
        <v>315</v>
      </c>
      <c r="N5" s="69">
        <f>F13*B8*365</f>
        <v>632.54999999999995</v>
      </c>
      <c r="O5" s="70">
        <v>0</v>
      </c>
      <c r="P5" s="57"/>
    </row>
    <row r="6" spans="1:16" ht="45">
      <c r="A6" s="94" t="s">
        <v>263</v>
      </c>
      <c r="B6" s="97">
        <v>8</v>
      </c>
      <c r="E6" s="94" t="s">
        <v>264</v>
      </c>
      <c r="F6" s="98">
        <f>B5/F5</f>
        <v>4.666666666666667</v>
      </c>
      <c r="G6" s="96" t="s">
        <v>265</v>
      </c>
      <c r="H6" s="101">
        <f>H5*F6</f>
        <v>28</v>
      </c>
      <c r="J6" s="74" t="s">
        <v>266</v>
      </c>
      <c r="K6" s="69">
        <f>F8*F7*B9</f>
        <v>105</v>
      </c>
      <c r="L6" s="69">
        <f>F13*B9*365</f>
        <v>210.85</v>
      </c>
      <c r="M6" s="69">
        <f>F8*F7*B9</f>
        <v>105</v>
      </c>
      <c r="N6" s="69">
        <f>F13*B9*365</f>
        <v>210.85</v>
      </c>
      <c r="O6" s="70">
        <v>0</v>
      </c>
      <c r="P6" s="57"/>
    </row>
    <row r="7" spans="1:16" ht="30">
      <c r="A7" s="94" t="s">
        <v>267</v>
      </c>
      <c r="B7" s="97">
        <v>70</v>
      </c>
      <c r="E7" s="94" t="s">
        <v>268</v>
      </c>
      <c r="F7" s="100">
        <v>0.3</v>
      </c>
      <c r="G7" s="96" t="s">
        <v>265</v>
      </c>
      <c r="H7" s="101">
        <f>H5*F5</f>
        <v>9000</v>
      </c>
      <c r="J7" s="74" t="s">
        <v>269</v>
      </c>
      <c r="K7" s="69">
        <v>0</v>
      </c>
      <c r="L7" s="69">
        <v>0</v>
      </c>
      <c r="M7" s="69">
        <f>(F9-F13)*365*B11</f>
        <v>0</v>
      </c>
      <c r="N7" s="69">
        <f>(G9-G13)*365*C11</f>
        <v>0</v>
      </c>
      <c r="O7" s="70">
        <f>H7*B10</f>
        <v>783</v>
      </c>
      <c r="P7" s="57"/>
    </row>
    <row r="8" spans="1:16" ht="30.75" thickBot="1">
      <c r="A8" s="94" t="s">
        <v>270</v>
      </c>
      <c r="B8" s="97">
        <v>0.15</v>
      </c>
      <c r="E8" s="94" t="s">
        <v>265</v>
      </c>
      <c r="F8" s="102">
        <f>F5*F6</f>
        <v>7000</v>
      </c>
      <c r="H8" s="99"/>
      <c r="J8" s="75" t="s">
        <v>271</v>
      </c>
      <c r="K8" s="71">
        <f>K5+K6+K7</f>
        <v>1155</v>
      </c>
      <c r="L8" s="71">
        <f t="shared" ref="L8:O8" si="0">L5+L6+L7</f>
        <v>1260.8499999999999</v>
      </c>
      <c r="M8" s="71">
        <f t="shared" si="0"/>
        <v>420</v>
      </c>
      <c r="N8" s="71">
        <f t="shared" si="0"/>
        <v>843.4</v>
      </c>
      <c r="O8" s="72">
        <f t="shared" si="0"/>
        <v>783</v>
      </c>
      <c r="P8" s="11"/>
    </row>
    <row r="9" spans="1:16" ht="30">
      <c r="A9" s="94" t="s">
        <v>272</v>
      </c>
      <c r="B9" s="97">
        <v>0.05</v>
      </c>
      <c r="E9" s="94" t="s">
        <v>273</v>
      </c>
      <c r="F9" s="102">
        <f>F6*F5/365</f>
        <v>19.17808219178082</v>
      </c>
      <c r="H9" s="99"/>
      <c r="K9" s="11"/>
      <c r="L9" s="11"/>
      <c r="M9" s="11"/>
      <c r="N9" s="11"/>
      <c r="O9" s="11"/>
      <c r="P9" s="11"/>
    </row>
    <row r="10" spans="1:16" ht="30">
      <c r="A10" s="94" t="s">
        <v>274</v>
      </c>
      <c r="B10" s="108">
        <v>8.6999999999999994E-2</v>
      </c>
      <c r="E10" s="94" t="s">
        <v>275</v>
      </c>
      <c r="F10" s="98">
        <f>F9*(1-F7)</f>
        <v>13.424657534246574</v>
      </c>
      <c r="H10" s="99"/>
      <c r="K10" s="11"/>
      <c r="L10" s="11"/>
      <c r="M10" s="11"/>
      <c r="N10" s="11"/>
      <c r="O10" s="11"/>
      <c r="P10" s="11"/>
    </row>
    <row r="11" spans="1:16" ht="30.75" thickBot="1">
      <c r="A11" s="104" t="s">
        <v>276</v>
      </c>
      <c r="B11" s="109">
        <v>0</v>
      </c>
      <c r="E11" s="94" t="s">
        <v>277</v>
      </c>
      <c r="F11" s="95">
        <v>5.8</v>
      </c>
      <c r="H11" s="99"/>
      <c r="K11" s="11"/>
      <c r="L11" s="11"/>
      <c r="M11" s="11"/>
      <c r="N11" s="11"/>
    </row>
    <row r="12" spans="1:16" ht="45">
      <c r="E12" s="94" t="s">
        <v>278</v>
      </c>
      <c r="F12" s="98">
        <f>MIN(F10,F11)</f>
        <v>5.8</v>
      </c>
      <c r="H12" s="99"/>
    </row>
    <row r="13" spans="1:16" ht="45">
      <c r="E13" s="94" t="s">
        <v>279</v>
      </c>
      <c r="F13" s="103">
        <f>F9*F7+F11</f>
        <v>11.553424657534245</v>
      </c>
      <c r="H13" s="99"/>
    </row>
    <row r="14" spans="1:16" ht="30.75" thickBot="1">
      <c r="E14" s="104" t="s">
        <v>280</v>
      </c>
      <c r="F14" s="105">
        <f>F13/F9</f>
        <v>0.60242857142857142</v>
      </c>
      <c r="G14" s="106"/>
      <c r="H14" s="107"/>
    </row>
  </sheetData>
  <mergeCells count="2">
    <mergeCell ref="E4:H4"/>
    <mergeCell ref="A4:B4"/>
  </mergeCells>
  <conditionalFormatting sqref="K8:O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4FFBC-1A2D-4355-AA3B-459973447D28}">
  <dimension ref="A1:N8"/>
  <sheetViews>
    <sheetView zoomScale="55" zoomScaleNormal="55" workbookViewId="0">
      <selection activeCell="H5" sqref="H5:I5"/>
    </sheetView>
  </sheetViews>
  <sheetFormatPr defaultRowHeight="15"/>
  <cols>
    <col min="1" max="1" width="22.5703125" customWidth="1"/>
    <col min="2" max="2" width="18.5703125" customWidth="1"/>
    <col min="3" max="3" width="23.7109375" customWidth="1"/>
    <col min="4" max="4" width="13" customWidth="1"/>
    <col min="8" max="8" width="22.5703125" customWidth="1"/>
    <col min="11" max="11" width="25.7109375" customWidth="1"/>
    <col min="12" max="12" width="13" customWidth="1"/>
    <col min="14" max="14" width="18.140625" customWidth="1"/>
  </cols>
  <sheetData>
    <row r="1" spans="1:14" ht="15.75" thickBot="1"/>
    <row r="2" spans="1:14" ht="15.75" thickBot="1">
      <c r="A2" s="278" t="s">
        <v>4</v>
      </c>
      <c r="B2" s="278"/>
      <c r="C2" s="278"/>
      <c r="D2" s="278"/>
      <c r="E2" s="278"/>
      <c r="H2" s="279" t="s">
        <v>5</v>
      </c>
      <c r="I2" s="280"/>
      <c r="K2" s="281" t="s">
        <v>6</v>
      </c>
      <c r="L2" s="282"/>
    </row>
    <row r="3" spans="1:14" ht="75">
      <c r="A3" s="334" t="s">
        <v>281</v>
      </c>
      <c r="B3" s="335"/>
      <c r="C3" s="335"/>
      <c r="D3" s="1"/>
      <c r="E3" s="1"/>
      <c r="F3" s="1"/>
      <c r="G3" s="1"/>
      <c r="H3" s="56" t="s">
        <v>282</v>
      </c>
      <c r="I3" s="57">
        <f>IF(B5="Βενζίνη",1.5,IF(B5="Πετρέλαιο",1.15,IF(B5="Υγραέριο",0.75,)))</f>
        <v>1.5</v>
      </c>
      <c r="K3" s="60" t="s">
        <v>283</v>
      </c>
      <c r="L3" s="57">
        <f>B4*B6/100*I3</f>
        <v>2400</v>
      </c>
      <c r="N3" s="59" t="s">
        <v>284</v>
      </c>
    </row>
    <row r="4" spans="1:14" ht="60.75" thickBot="1">
      <c r="A4" s="10" t="s">
        <v>285</v>
      </c>
      <c r="B4" s="7">
        <v>20000</v>
      </c>
      <c r="C4" s="58" t="s">
        <v>286</v>
      </c>
      <c r="D4" s="68" t="s">
        <v>287</v>
      </c>
      <c r="E4" s="1"/>
      <c r="F4" s="1"/>
      <c r="G4" s="1"/>
      <c r="H4" s="56" t="s">
        <v>288</v>
      </c>
      <c r="I4" s="57">
        <v>18</v>
      </c>
      <c r="K4" s="60" t="s">
        <v>289</v>
      </c>
      <c r="L4" s="57">
        <f>B4*I4/100</f>
        <v>3600</v>
      </c>
    </row>
    <row r="5" spans="1:14" ht="75.75" thickBot="1">
      <c r="A5" s="10" t="s">
        <v>290</v>
      </c>
      <c r="B5" s="46" t="s">
        <v>291</v>
      </c>
      <c r="C5" s="58" t="s">
        <v>292</v>
      </c>
      <c r="D5" s="1"/>
      <c r="E5" s="1"/>
      <c r="F5" s="1"/>
      <c r="G5" s="1"/>
      <c r="H5" s="1"/>
      <c r="I5" s="1"/>
    </row>
    <row r="6" spans="1:14" ht="45.75" thickBot="1">
      <c r="A6" s="10" t="s">
        <v>293</v>
      </c>
      <c r="B6" s="46">
        <v>8</v>
      </c>
      <c r="C6" s="1"/>
      <c r="E6" s="1"/>
      <c r="F6" s="1"/>
      <c r="G6" s="1"/>
      <c r="H6" s="1"/>
      <c r="I6" s="1"/>
    </row>
    <row r="7" spans="1:14">
      <c r="D7" s="1"/>
      <c r="E7" s="1"/>
      <c r="F7" s="1"/>
      <c r="G7" s="1"/>
      <c r="H7" s="1"/>
      <c r="I7" s="1"/>
    </row>
    <row r="8" spans="1:14">
      <c r="D8" s="1"/>
      <c r="E8" s="1"/>
      <c r="F8" s="1"/>
      <c r="G8" s="1"/>
      <c r="H8" s="1"/>
      <c r="I8" s="1"/>
    </row>
  </sheetData>
  <mergeCells count="4">
    <mergeCell ref="A3:C3"/>
    <mergeCell ref="A2:E2"/>
    <mergeCell ref="H2:I2"/>
    <mergeCell ref="K2:L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4BABE6BC-3CA6-488C-AA54-97D518923493}">
          <x14:formula1>
            <xm:f>'Δεδομένα για Λίστες'!$K$3:$K$5</xm:f>
          </x14:formula1>
          <xm:sqref>B5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E0D1-B48B-4FD8-A831-F30AC02480C5}">
  <dimension ref="A1:S12"/>
  <sheetViews>
    <sheetView zoomScale="85" zoomScaleNormal="85" workbookViewId="0">
      <selection activeCell="G28" sqref="G28"/>
    </sheetView>
  </sheetViews>
  <sheetFormatPr defaultRowHeight="15"/>
  <cols>
    <col min="1" max="1" width="22.5703125" customWidth="1"/>
    <col min="2" max="2" width="13.7109375" customWidth="1"/>
    <col min="3" max="3" width="18.5703125" customWidth="1"/>
    <col min="4" max="4" width="14.28515625" customWidth="1"/>
    <col min="5" max="5" width="18.5703125" customWidth="1"/>
    <col min="6" max="6" width="13.5703125" customWidth="1"/>
    <col min="7" max="7" width="22.28515625" customWidth="1"/>
    <col min="8" max="8" width="14.85546875" customWidth="1"/>
    <col min="9" max="9" width="12" customWidth="1"/>
    <col min="11" max="11" width="16.140625" customWidth="1"/>
    <col min="14" max="14" width="25.7109375" customWidth="1"/>
    <col min="15" max="15" width="10.85546875" customWidth="1"/>
    <col min="17" max="17" width="35.5703125" customWidth="1"/>
    <col min="19" max="19" width="12.85546875" customWidth="1"/>
  </cols>
  <sheetData>
    <row r="1" spans="1:19">
      <c r="A1" s="35"/>
      <c r="B1" s="1" t="s">
        <v>0</v>
      </c>
    </row>
    <row r="3" spans="1:19" ht="15.75" thickBot="1"/>
    <row r="4" spans="1:19" ht="15.75" thickBot="1">
      <c r="A4" s="278" t="s">
        <v>4</v>
      </c>
      <c r="B4" s="278"/>
      <c r="C4" s="278"/>
      <c r="D4" s="278"/>
      <c r="E4" s="278"/>
      <c r="F4" s="278"/>
      <c r="G4" s="278"/>
      <c r="H4" s="278"/>
      <c r="K4" s="279" t="s">
        <v>5</v>
      </c>
      <c r="L4" s="280"/>
      <c r="N4" s="281" t="s">
        <v>6</v>
      </c>
      <c r="O4" s="282"/>
      <c r="Q4" t="s">
        <v>294</v>
      </c>
    </row>
    <row r="5" spans="1:19" ht="30.75" customHeight="1" thickBot="1">
      <c r="A5" s="336" t="s">
        <v>295</v>
      </c>
      <c r="B5" s="337"/>
      <c r="C5" s="337"/>
      <c r="D5" s="337"/>
      <c r="E5" s="337"/>
      <c r="F5" s="337"/>
      <c r="G5" s="337"/>
      <c r="H5" s="1"/>
      <c r="I5" s="1"/>
      <c r="J5" s="1"/>
      <c r="K5" s="20" t="s">
        <v>296</v>
      </c>
      <c r="L5" s="117">
        <v>1.7</v>
      </c>
      <c r="N5" s="63" t="s">
        <v>283</v>
      </c>
      <c r="O5" s="64">
        <f>B6*B8/100*L5*B7 +D6*D8/100*L6*D7+F6*F8/100*L7*F7</f>
        <v>2040.0000000000002</v>
      </c>
      <c r="Q5" s="118" t="s">
        <v>297</v>
      </c>
      <c r="R5" s="124">
        <f>(B6*B7+D6*D7+F6*F7)*L8/100</f>
        <v>2700</v>
      </c>
    </row>
    <row r="6" spans="1:19" ht="87.6" customHeight="1" thickBot="1">
      <c r="A6" s="61" t="s">
        <v>298</v>
      </c>
      <c r="B6" s="6">
        <v>1</v>
      </c>
      <c r="C6" s="61" t="s">
        <v>299</v>
      </c>
      <c r="D6" s="6">
        <v>0</v>
      </c>
      <c r="E6" s="61" t="s">
        <v>300</v>
      </c>
      <c r="F6" s="6">
        <v>0</v>
      </c>
      <c r="G6" s="58" t="s">
        <v>301</v>
      </c>
      <c r="H6" s="338" t="s">
        <v>302</v>
      </c>
      <c r="I6" s="339" t="s">
        <v>303</v>
      </c>
      <c r="J6" s="1"/>
      <c r="K6" s="16" t="s">
        <v>304</v>
      </c>
      <c r="L6" s="97">
        <v>1.4</v>
      </c>
      <c r="Q6" s="119" t="s">
        <v>305</v>
      </c>
      <c r="R6" s="120">
        <f>O5</f>
        <v>2040.0000000000002</v>
      </c>
      <c r="S6" s="121" t="s">
        <v>306</v>
      </c>
    </row>
    <row r="7" spans="1:19" ht="45.75" thickBot="1">
      <c r="A7" s="10" t="s">
        <v>307</v>
      </c>
      <c r="B7" s="7">
        <v>15000</v>
      </c>
      <c r="C7" s="10" t="s">
        <v>307</v>
      </c>
      <c r="D7" s="7">
        <v>15000</v>
      </c>
      <c r="E7" s="10" t="s">
        <v>307</v>
      </c>
      <c r="F7" s="7">
        <v>15000</v>
      </c>
      <c r="G7" s="68" t="s">
        <v>308</v>
      </c>
      <c r="H7" s="338"/>
      <c r="I7" s="339"/>
      <c r="J7" s="1"/>
      <c r="K7" s="16" t="s">
        <v>309</v>
      </c>
      <c r="L7" s="97">
        <v>0.85</v>
      </c>
      <c r="Q7" s="119" t="s">
        <v>310</v>
      </c>
      <c r="R7" s="120">
        <f>(B7+D7+F7)*L9/1000000</f>
        <v>6.75</v>
      </c>
      <c r="S7" s="122" t="s">
        <v>25</v>
      </c>
    </row>
    <row r="8" spans="1:19" ht="60.75" thickBot="1">
      <c r="A8" s="10" t="s">
        <v>311</v>
      </c>
      <c r="B8" s="62">
        <v>8</v>
      </c>
      <c r="C8" s="10" t="s">
        <v>312</v>
      </c>
      <c r="D8" s="62">
        <v>6</v>
      </c>
      <c r="E8" s="10" t="s">
        <v>312</v>
      </c>
      <c r="F8" s="62">
        <v>10</v>
      </c>
      <c r="G8" s="58" t="s">
        <v>313</v>
      </c>
      <c r="H8" s="338"/>
      <c r="I8" s="339"/>
      <c r="J8" s="1"/>
      <c r="K8" s="16" t="s">
        <v>288</v>
      </c>
      <c r="L8" s="97">
        <v>18</v>
      </c>
    </row>
    <row r="9" spans="1:19" ht="30.75" thickBot="1">
      <c r="H9" s="1"/>
      <c r="I9" s="1"/>
      <c r="J9" s="1"/>
      <c r="K9" s="18" t="s">
        <v>314</v>
      </c>
      <c r="L9" s="109">
        <v>150</v>
      </c>
      <c r="Q9" s="123" t="s">
        <v>315</v>
      </c>
      <c r="R9" s="125">
        <f>R5/1500</f>
        <v>1.8</v>
      </c>
    </row>
    <row r="10" spans="1:19">
      <c r="G10" s="1"/>
    </row>
    <row r="12" spans="1:19">
      <c r="K12" s="1"/>
      <c r="L12" s="1"/>
    </row>
  </sheetData>
  <mergeCells count="6">
    <mergeCell ref="A4:H4"/>
    <mergeCell ref="K4:L4"/>
    <mergeCell ref="N4:O4"/>
    <mergeCell ref="A5:G5"/>
    <mergeCell ref="H6:H8"/>
    <mergeCell ref="I6:I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3785-E92D-45E5-9FEE-744D6877C8BE}">
  <sheetPr>
    <pageSetUpPr fitToPage="1"/>
  </sheetPr>
  <dimension ref="A1:LF142"/>
  <sheetViews>
    <sheetView zoomScale="55" zoomScaleNormal="55" workbookViewId="0">
      <selection activeCell="J22" sqref="J22:J23"/>
    </sheetView>
  </sheetViews>
  <sheetFormatPr defaultColWidth="9.140625" defaultRowHeight="15"/>
  <cols>
    <col min="1" max="1" width="23.42578125" style="1" customWidth="1"/>
    <col min="2" max="2" width="9.140625" style="1"/>
    <col min="3" max="3" width="14.7109375" style="1" customWidth="1"/>
    <col min="4" max="4" width="12" style="1" customWidth="1"/>
    <col min="5" max="5" width="11.7109375" style="1" customWidth="1"/>
    <col min="6" max="8" width="9.140625" style="1"/>
    <col min="9" max="9" width="13.140625" style="1" customWidth="1"/>
    <col min="10" max="10" width="13.7109375" style="1" customWidth="1"/>
    <col min="11" max="13" width="9.140625" style="1"/>
    <col min="14" max="14" width="13.140625" style="1" customWidth="1"/>
    <col min="15" max="15" width="20" style="1" customWidth="1"/>
    <col min="16" max="16" width="14.85546875" style="1" customWidth="1"/>
    <col min="17" max="17" width="10.42578125" style="1" customWidth="1"/>
    <col min="18" max="18" width="17" style="1" bestFit="1" customWidth="1"/>
    <col min="19" max="43" width="15.28515625" style="1" bestFit="1" customWidth="1"/>
    <col min="44" max="318" width="13.28515625" style="1" bestFit="1" customWidth="1"/>
    <col min="319" max="16384" width="9.140625" style="1"/>
  </cols>
  <sheetData>
    <row r="1" spans="1:318" ht="21">
      <c r="A1" s="181" t="s">
        <v>149</v>
      </c>
      <c r="B1" s="126"/>
      <c r="C1" s="126"/>
    </row>
    <row r="4" spans="1:318" ht="15.75" thickBot="1">
      <c r="R4" s="1">
        <f>IF(A9&gt;0,4000+2000,4000)</f>
        <v>4000</v>
      </c>
      <c r="T4" s="1">
        <f>IF(A9&gt;0,4,2)</f>
        <v>2</v>
      </c>
      <c r="X4" s="1">
        <v>3</v>
      </c>
      <c r="Y4" s="1">
        <v>4</v>
      </c>
    </row>
    <row r="5" spans="1:318" ht="75">
      <c r="A5" s="127" t="s">
        <v>154</v>
      </c>
      <c r="B5" s="128" t="s">
        <v>155</v>
      </c>
      <c r="C5" s="129" t="s">
        <v>156</v>
      </c>
      <c r="D5" s="130" t="s">
        <v>157</v>
      </c>
      <c r="E5" s="130" t="s">
        <v>158</v>
      </c>
      <c r="F5" s="130" t="s">
        <v>159</v>
      </c>
      <c r="G5" s="130" t="s">
        <v>160</v>
      </c>
      <c r="H5" s="130" t="s">
        <v>161</v>
      </c>
      <c r="I5" s="131" t="s">
        <v>162</v>
      </c>
      <c r="J5" s="131" t="s">
        <v>163</v>
      </c>
      <c r="K5" s="130" t="s">
        <v>164</v>
      </c>
      <c r="L5" s="130" t="s">
        <v>165</v>
      </c>
      <c r="M5" s="130" t="s">
        <v>166</v>
      </c>
      <c r="N5" s="130" t="s">
        <v>167</v>
      </c>
      <c r="O5" s="130" t="s">
        <v>168</v>
      </c>
      <c r="P5" s="130" t="s">
        <v>169</v>
      </c>
      <c r="Q5" s="130" t="s">
        <v>170</v>
      </c>
      <c r="R5" s="130" t="s">
        <v>171</v>
      </c>
      <c r="S5" s="130" t="s">
        <v>172</v>
      </c>
      <c r="T5" s="130" t="s">
        <v>173</v>
      </c>
      <c r="U5" s="130" t="s">
        <v>174</v>
      </c>
      <c r="V5" s="130" t="s">
        <v>175</v>
      </c>
      <c r="W5" s="130" t="s">
        <v>176</v>
      </c>
      <c r="X5" s="130" t="s">
        <v>177</v>
      </c>
      <c r="Y5" s="130" t="s">
        <v>178</v>
      </c>
      <c r="Z5" s="130" t="s">
        <v>179</v>
      </c>
      <c r="AA5" s="130" t="s">
        <v>180</v>
      </c>
      <c r="AB5" s="130" t="s">
        <v>181</v>
      </c>
      <c r="AC5" s="131" t="s">
        <v>182</v>
      </c>
    </row>
    <row r="6" spans="1:318" ht="18.75">
      <c r="A6" s="132">
        <v>8000</v>
      </c>
      <c r="B6" s="132">
        <v>700</v>
      </c>
      <c r="C6" s="132">
        <v>1500</v>
      </c>
      <c r="D6" s="168">
        <f>E6/12</f>
        <v>975000</v>
      </c>
      <c r="E6" s="137">
        <v>11700000</v>
      </c>
      <c r="F6" s="138">
        <v>1</v>
      </c>
      <c r="G6" s="132">
        <v>10</v>
      </c>
      <c r="H6" s="133">
        <v>2.8000000000000001E-2</v>
      </c>
      <c r="I6" s="134">
        <v>70</v>
      </c>
      <c r="J6" s="134">
        <v>45</v>
      </c>
      <c r="K6" s="135">
        <v>0.03</v>
      </c>
      <c r="L6" s="136">
        <f>M6*K6*(1-Z6)+H6*F6</f>
        <v>2.8000000000000001E-2</v>
      </c>
      <c r="M6" s="136">
        <f>1-F6</f>
        <v>0</v>
      </c>
      <c r="N6" s="137">
        <f>A6*C6</f>
        <v>12000000</v>
      </c>
      <c r="O6" s="133">
        <v>7.0000000000000001E-3</v>
      </c>
      <c r="P6" s="132">
        <f>IF(A9&gt;0,8,6)</f>
        <v>6</v>
      </c>
      <c r="Q6" s="132">
        <f>IF(J9,1800,0)</f>
        <v>0</v>
      </c>
      <c r="R6" s="132">
        <f>R4*A6/1000</f>
        <v>32000</v>
      </c>
      <c r="S6" s="132">
        <v>2000</v>
      </c>
      <c r="T6" s="132">
        <f>T4*A6</f>
        <v>16000</v>
      </c>
      <c r="U6" s="132">
        <v>2000</v>
      </c>
      <c r="V6" s="132">
        <v>0</v>
      </c>
      <c r="W6" s="138">
        <v>0.03</v>
      </c>
      <c r="X6" s="132">
        <f>X4*A6</f>
        <v>24000</v>
      </c>
      <c r="Y6" s="132">
        <f>Y4*A6 +A9*2</f>
        <v>32000</v>
      </c>
      <c r="Z6" s="135">
        <v>0.22</v>
      </c>
      <c r="AA6" s="135">
        <v>0.95</v>
      </c>
      <c r="AB6" s="135">
        <v>0.05</v>
      </c>
      <c r="AC6" s="134">
        <v>45</v>
      </c>
    </row>
    <row r="7" spans="1:318">
      <c r="A7" s="208">
        <f>A6*B6</f>
        <v>5600000</v>
      </c>
      <c r="B7" s="140">
        <f>A7*0.8</f>
        <v>4480000</v>
      </c>
      <c r="D7" s="1">
        <f>D6/30</f>
        <v>32500</v>
      </c>
      <c r="N7" s="1">
        <f>N6/365*C9</f>
        <v>23013.698630136983</v>
      </c>
    </row>
    <row r="8" spans="1:318" ht="30">
      <c r="A8" s="142" t="s">
        <v>183</v>
      </c>
      <c r="B8" s="143" t="s">
        <v>184</v>
      </c>
      <c r="C8" s="130" t="s">
        <v>185</v>
      </c>
      <c r="D8" s="1">
        <f>D7*0.75</f>
        <v>24375</v>
      </c>
    </row>
    <row r="9" spans="1:318" ht="19.5" thickBot="1">
      <c r="A9" s="144">
        <v>0</v>
      </c>
      <c r="B9" s="145">
        <v>500</v>
      </c>
      <c r="C9" s="138">
        <v>0.7</v>
      </c>
      <c r="D9" s="1">
        <f>D8-250</f>
        <v>24125</v>
      </c>
      <c r="I9" s="146" t="str">
        <f>IF(J9=0,"physical","virtual")</f>
        <v>physical</v>
      </c>
      <c r="J9" s="134">
        <v>0</v>
      </c>
      <c r="K9" s="147" t="s">
        <v>187</v>
      </c>
    </row>
    <row r="10" spans="1:318">
      <c r="A10" s="208">
        <f>A9*B9</f>
        <v>0</v>
      </c>
      <c r="O10" s="198"/>
      <c r="P10" s="161"/>
      <c r="Q10" s="162"/>
      <c r="R10" s="182" t="s">
        <v>160</v>
      </c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83"/>
      <c r="AE10" s="183"/>
      <c r="AF10" s="183"/>
      <c r="AG10" s="183"/>
      <c r="AH10" s="183"/>
      <c r="AI10" s="183"/>
      <c r="AJ10" s="183"/>
      <c r="AK10" s="183"/>
      <c r="AL10" s="183"/>
      <c r="AM10" s="183"/>
      <c r="AN10" s="183"/>
      <c r="AO10" s="183"/>
      <c r="AP10" s="183"/>
      <c r="AQ10" s="184"/>
      <c r="AR10" s="148"/>
      <c r="AW10" s="148"/>
      <c r="AX10" s="148"/>
      <c r="AY10" s="148"/>
      <c r="AZ10" s="148"/>
      <c r="BA10" s="148"/>
      <c r="BB10" s="148"/>
      <c r="BC10" s="148"/>
      <c r="BD10" s="148"/>
      <c r="BE10" s="148"/>
      <c r="BF10" s="148"/>
      <c r="BG10" s="148"/>
      <c r="BH10" s="148"/>
      <c r="BI10" s="148"/>
      <c r="BJ10" s="148"/>
      <c r="BK10" s="148"/>
      <c r="BL10" s="148"/>
      <c r="BM10" s="148"/>
      <c r="BN10" s="148"/>
      <c r="BO10" s="148"/>
      <c r="BP10" s="148"/>
      <c r="BQ10" s="148"/>
      <c r="BR10" s="148"/>
      <c r="BS10" s="148"/>
      <c r="BT10" s="148"/>
      <c r="BU10" s="148"/>
      <c r="BV10" s="148"/>
      <c r="BW10" s="148"/>
      <c r="BX10" s="148"/>
      <c r="BY10" s="148"/>
      <c r="BZ10" s="148"/>
      <c r="CA10" s="148"/>
      <c r="CB10" s="148"/>
      <c r="CC10" s="148"/>
      <c r="CD10" s="148"/>
      <c r="CE10" s="148"/>
      <c r="CF10" s="148"/>
      <c r="CG10" s="148"/>
      <c r="CH10" s="148"/>
      <c r="CI10" s="148"/>
      <c r="CJ10" s="148"/>
      <c r="CK10" s="148"/>
      <c r="CL10" s="148"/>
      <c r="CM10" s="148"/>
      <c r="CN10" s="148"/>
      <c r="CO10" s="148"/>
      <c r="CP10" s="148"/>
      <c r="CQ10" s="148"/>
      <c r="CR10" s="148"/>
      <c r="CS10" s="148"/>
      <c r="CT10" s="148"/>
      <c r="CU10" s="148"/>
      <c r="CV10" s="148"/>
      <c r="CW10" s="148"/>
      <c r="CX10" s="148"/>
      <c r="CY10" s="148"/>
      <c r="CZ10" s="148"/>
      <c r="DA10" s="148"/>
      <c r="DB10" s="148"/>
      <c r="DC10" s="148"/>
      <c r="DD10" s="148"/>
      <c r="DE10" s="148"/>
      <c r="DF10" s="148"/>
      <c r="DG10" s="148"/>
      <c r="DH10" s="148"/>
      <c r="DI10" s="148"/>
      <c r="DJ10" s="148"/>
      <c r="DK10" s="148"/>
      <c r="DL10" s="148"/>
      <c r="DM10" s="148"/>
      <c r="DN10" s="148"/>
      <c r="DO10" s="148"/>
      <c r="DP10" s="148"/>
      <c r="DQ10" s="148"/>
      <c r="DR10" s="148"/>
      <c r="DS10" s="148"/>
      <c r="DT10" s="148"/>
      <c r="DU10" s="148"/>
      <c r="DV10" s="148"/>
      <c r="DW10" s="148"/>
      <c r="DX10" s="148"/>
      <c r="DY10" s="148"/>
      <c r="DZ10" s="148"/>
      <c r="EA10" s="148"/>
      <c r="EB10" s="148"/>
      <c r="EC10" s="148"/>
      <c r="ED10" s="148"/>
      <c r="EE10" s="148"/>
      <c r="EF10" s="148"/>
      <c r="EG10" s="148"/>
      <c r="EH10" s="148"/>
      <c r="EI10" s="148"/>
      <c r="EJ10" s="148"/>
      <c r="EK10" s="148"/>
      <c r="EL10" s="148"/>
      <c r="EM10" s="148"/>
      <c r="EN10" s="148"/>
      <c r="EO10" s="148"/>
      <c r="EP10" s="148"/>
      <c r="EQ10" s="148"/>
      <c r="ER10" s="148"/>
      <c r="ES10" s="148"/>
      <c r="ET10" s="148"/>
      <c r="EU10" s="148"/>
      <c r="EV10" s="148"/>
      <c r="EW10" s="148"/>
      <c r="EX10" s="148"/>
      <c r="EY10" s="148"/>
      <c r="EZ10" s="148"/>
      <c r="FA10" s="148"/>
      <c r="FB10" s="148"/>
      <c r="FC10" s="148"/>
      <c r="FD10" s="148"/>
      <c r="FE10" s="148"/>
      <c r="FF10" s="148"/>
      <c r="FG10" s="148"/>
      <c r="FH10" s="148"/>
      <c r="FI10" s="148"/>
      <c r="FJ10" s="148"/>
      <c r="FK10" s="148"/>
      <c r="FL10" s="148"/>
      <c r="FM10" s="148"/>
      <c r="FN10" s="148"/>
      <c r="FO10" s="148"/>
      <c r="FP10" s="148"/>
      <c r="FQ10" s="148"/>
      <c r="FR10" s="148"/>
      <c r="FS10" s="148"/>
      <c r="FT10" s="148"/>
      <c r="FU10" s="148"/>
      <c r="FV10" s="148"/>
      <c r="FW10" s="148"/>
      <c r="FX10" s="148"/>
      <c r="FY10" s="148"/>
      <c r="FZ10" s="148"/>
      <c r="GA10" s="148"/>
      <c r="GB10" s="148"/>
      <c r="GC10" s="148"/>
      <c r="GD10" s="148"/>
      <c r="GE10" s="148"/>
      <c r="GF10" s="148"/>
      <c r="GG10" s="148"/>
      <c r="GH10" s="148"/>
      <c r="GI10" s="148"/>
      <c r="GJ10" s="148"/>
      <c r="GK10" s="148"/>
      <c r="GL10" s="148"/>
      <c r="GM10" s="148"/>
      <c r="GN10" s="148"/>
      <c r="GO10" s="148"/>
      <c r="GP10" s="148"/>
      <c r="GQ10" s="148"/>
      <c r="GR10" s="148"/>
      <c r="GS10" s="148"/>
      <c r="GT10" s="148"/>
      <c r="GU10" s="148"/>
      <c r="GV10" s="148"/>
      <c r="GW10" s="148"/>
      <c r="GX10" s="148"/>
      <c r="GY10" s="148"/>
      <c r="GZ10" s="148"/>
      <c r="HA10" s="148"/>
      <c r="HB10" s="148"/>
      <c r="HC10" s="148"/>
      <c r="HD10" s="148"/>
      <c r="HE10" s="148"/>
      <c r="HF10" s="148"/>
      <c r="HG10" s="148"/>
      <c r="HH10" s="148"/>
      <c r="HI10" s="148"/>
      <c r="HJ10" s="148"/>
      <c r="HK10" s="148"/>
      <c r="HL10" s="148"/>
      <c r="HM10" s="148"/>
      <c r="HN10" s="148"/>
      <c r="HO10" s="148"/>
      <c r="HP10" s="148"/>
      <c r="HQ10" s="148"/>
      <c r="HR10" s="148"/>
      <c r="HS10" s="148"/>
      <c r="HT10" s="148"/>
      <c r="HU10" s="148"/>
      <c r="HV10" s="148"/>
      <c r="HW10" s="148"/>
      <c r="HX10" s="148"/>
      <c r="HY10" s="148"/>
      <c r="HZ10" s="148"/>
      <c r="IA10" s="148"/>
      <c r="IB10" s="148"/>
      <c r="IC10" s="148"/>
      <c r="ID10" s="148"/>
      <c r="IE10" s="148"/>
      <c r="IF10" s="148"/>
      <c r="IG10" s="148"/>
      <c r="IH10" s="148"/>
      <c r="II10" s="148"/>
      <c r="IJ10" s="148"/>
      <c r="IK10" s="148"/>
      <c r="IL10" s="148"/>
      <c r="IM10" s="148"/>
      <c r="IN10" s="148"/>
      <c r="IO10" s="148"/>
      <c r="IP10" s="148"/>
      <c r="IQ10" s="148"/>
      <c r="IR10" s="148"/>
      <c r="IS10" s="148"/>
      <c r="IT10" s="148"/>
      <c r="IU10" s="148"/>
      <c r="IV10" s="148"/>
      <c r="IW10" s="148"/>
      <c r="IX10" s="148"/>
      <c r="IY10" s="148"/>
      <c r="IZ10" s="148"/>
      <c r="JA10" s="148"/>
      <c r="JB10" s="148"/>
      <c r="JC10" s="148"/>
      <c r="JD10" s="148"/>
      <c r="JE10" s="148"/>
      <c r="JF10" s="148"/>
      <c r="JG10" s="148"/>
      <c r="JH10" s="148"/>
      <c r="JI10" s="148"/>
      <c r="JJ10" s="148"/>
      <c r="JK10" s="148"/>
      <c r="JL10" s="148"/>
      <c r="JM10" s="148"/>
      <c r="JN10" s="148"/>
      <c r="JO10" s="148"/>
      <c r="JP10" s="148"/>
      <c r="JQ10" s="148"/>
      <c r="JR10" s="148"/>
      <c r="JS10" s="148"/>
      <c r="JT10" s="148"/>
      <c r="JU10" s="148"/>
      <c r="JV10" s="148"/>
      <c r="JW10" s="148"/>
      <c r="JX10" s="148"/>
      <c r="JY10" s="148"/>
      <c r="JZ10" s="148"/>
      <c r="KA10" s="148"/>
      <c r="KB10" s="148"/>
      <c r="KC10" s="148"/>
      <c r="KD10" s="148"/>
      <c r="KE10" s="148"/>
      <c r="KF10" s="148"/>
      <c r="KG10" s="148"/>
      <c r="KH10" s="148"/>
      <c r="KI10" s="148"/>
      <c r="KJ10" s="148"/>
      <c r="KK10" s="148"/>
      <c r="KL10" s="148"/>
      <c r="KM10" s="148"/>
      <c r="KN10" s="148"/>
      <c r="KO10" s="148"/>
      <c r="KP10" s="148"/>
      <c r="KQ10" s="148"/>
      <c r="KR10" s="148"/>
      <c r="KS10" s="148"/>
      <c r="KT10" s="148"/>
      <c r="KU10" s="148"/>
      <c r="KV10" s="148"/>
      <c r="KW10" s="148"/>
      <c r="KX10" s="148"/>
      <c r="KY10" s="148"/>
      <c r="KZ10" s="148"/>
      <c r="LA10" s="148"/>
      <c r="LB10" s="148"/>
      <c r="LC10" s="148"/>
      <c r="LD10" s="148"/>
      <c r="LE10" s="148"/>
      <c r="LF10" s="148"/>
    </row>
    <row r="11" spans="1:318" ht="15.75" thickBot="1">
      <c r="I11" s="1" t="s">
        <v>188</v>
      </c>
      <c r="J11" s="1">
        <v>800</v>
      </c>
      <c r="O11" s="139"/>
      <c r="Q11" s="140"/>
      <c r="R11" s="185">
        <v>0</v>
      </c>
      <c r="S11" s="150">
        <v>1</v>
      </c>
      <c r="T11" s="150">
        <v>2</v>
      </c>
      <c r="U11" s="150">
        <v>3</v>
      </c>
      <c r="V11" s="150">
        <v>4</v>
      </c>
      <c r="W11" s="150">
        <v>5</v>
      </c>
      <c r="X11" s="150">
        <v>6</v>
      </c>
      <c r="Y11" s="150">
        <v>7</v>
      </c>
      <c r="Z11" s="150">
        <v>8</v>
      </c>
      <c r="AA11" s="150">
        <v>9</v>
      </c>
      <c r="AB11" s="150">
        <v>10</v>
      </c>
      <c r="AC11" s="150">
        <v>11</v>
      </c>
      <c r="AD11" s="150">
        <v>12</v>
      </c>
      <c r="AE11" s="150">
        <v>13</v>
      </c>
      <c r="AF11" s="150">
        <v>14</v>
      </c>
      <c r="AG11" s="150">
        <v>15</v>
      </c>
      <c r="AH11" s="150">
        <v>16</v>
      </c>
      <c r="AI11" s="150">
        <v>17</v>
      </c>
      <c r="AJ11" s="150">
        <v>18</v>
      </c>
      <c r="AK11" s="150">
        <v>19</v>
      </c>
      <c r="AL11" s="150">
        <v>20</v>
      </c>
      <c r="AM11" s="150">
        <v>21</v>
      </c>
      <c r="AN11" s="150">
        <v>22</v>
      </c>
      <c r="AO11" s="150">
        <v>23</v>
      </c>
      <c r="AP11" s="150">
        <v>24</v>
      </c>
      <c r="AQ11" s="186">
        <v>25</v>
      </c>
      <c r="AR11" s="149" t="s">
        <v>190</v>
      </c>
      <c r="AW11" s="150"/>
      <c r="AX11" s="150"/>
      <c r="AY11" s="150"/>
      <c r="AZ11" s="150"/>
      <c r="BA11" s="150"/>
      <c r="BB11" s="150"/>
      <c r="BC11" s="150"/>
      <c r="BD11" s="150"/>
      <c r="BE11" s="150"/>
      <c r="BF11" s="150"/>
      <c r="BG11" s="150"/>
      <c r="BH11" s="150"/>
      <c r="BI11" s="150"/>
      <c r="BJ11" s="150"/>
      <c r="BK11" s="150"/>
      <c r="BL11" s="150"/>
      <c r="BM11" s="150"/>
      <c r="BN11" s="150"/>
      <c r="BO11" s="150"/>
      <c r="BP11" s="150"/>
      <c r="BQ11" s="150"/>
      <c r="BR11" s="150"/>
      <c r="BS11" s="150"/>
      <c r="BT11" s="150"/>
      <c r="BU11" s="150"/>
      <c r="BV11" s="150"/>
      <c r="BW11" s="150"/>
      <c r="BX11" s="150"/>
      <c r="BY11" s="150"/>
      <c r="BZ11" s="150"/>
      <c r="CA11" s="150"/>
      <c r="CB11" s="150"/>
      <c r="CC11" s="150"/>
      <c r="CD11" s="150"/>
      <c r="CE11" s="150"/>
      <c r="CF11" s="150"/>
      <c r="CG11" s="150"/>
      <c r="CH11" s="150"/>
      <c r="CI11" s="150"/>
      <c r="CJ11" s="150"/>
      <c r="CK11" s="150"/>
      <c r="CL11" s="150"/>
      <c r="CM11" s="150"/>
      <c r="CN11" s="150"/>
      <c r="CO11" s="150"/>
      <c r="CP11" s="150"/>
      <c r="CQ11" s="150"/>
      <c r="CR11" s="150"/>
      <c r="CS11" s="150"/>
      <c r="CT11" s="150"/>
      <c r="CU11" s="150"/>
      <c r="CV11" s="150"/>
      <c r="CW11" s="150"/>
      <c r="CX11" s="150"/>
      <c r="CY11" s="150"/>
      <c r="CZ11" s="150"/>
      <c r="DA11" s="150"/>
      <c r="DB11" s="150"/>
      <c r="DC11" s="150"/>
      <c r="DD11" s="150"/>
      <c r="DE11" s="150"/>
      <c r="DF11" s="150"/>
      <c r="DG11" s="150"/>
      <c r="DH11" s="150"/>
      <c r="DI11" s="150"/>
      <c r="DJ11" s="150"/>
      <c r="DK11" s="150"/>
      <c r="DL11" s="150"/>
      <c r="DM11" s="150"/>
      <c r="DN11" s="150"/>
      <c r="DO11" s="150"/>
      <c r="DP11" s="150"/>
      <c r="DQ11" s="150"/>
      <c r="DR11" s="150"/>
      <c r="DS11" s="150"/>
      <c r="DT11" s="150"/>
      <c r="DU11" s="150"/>
      <c r="DV11" s="150"/>
      <c r="DW11" s="150"/>
      <c r="DX11" s="150"/>
      <c r="DY11" s="150"/>
      <c r="DZ11" s="150"/>
      <c r="EA11" s="150"/>
      <c r="EB11" s="150"/>
      <c r="EC11" s="150"/>
      <c r="ED11" s="150"/>
      <c r="EE11" s="150"/>
      <c r="EF11" s="150"/>
      <c r="EG11" s="150"/>
      <c r="EH11" s="150"/>
      <c r="EI11" s="150"/>
      <c r="EJ11" s="150"/>
      <c r="EK11" s="150"/>
      <c r="EL11" s="150"/>
      <c r="EM11" s="150"/>
      <c r="EN11" s="150"/>
      <c r="EO11" s="150"/>
      <c r="EP11" s="150"/>
      <c r="EQ11" s="150"/>
      <c r="ER11" s="150"/>
      <c r="ES11" s="150"/>
      <c r="ET11" s="150"/>
      <c r="EU11" s="150"/>
      <c r="EV11" s="150"/>
      <c r="EW11" s="150"/>
      <c r="EX11" s="150"/>
      <c r="EY11" s="150"/>
      <c r="EZ11" s="150"/>
      <c r="FA11" s="150"/>
      <c r="FB11" s="150"/>
      <c r="FC11" s="150"/>
      <c r="FD11" s="150"/>
      <c r="FE11" s="150"/>
      <c r="FF11" s="150"/>
      <c r="FG11" s="150"/>
      <c r="FH11" s="150"/>
      <c r="FI11" s="150"/>
      <c r="FJ11" s="150"/>
      <c r="FK11" s="150"/>
      <c r="FL11" s="150"/>
      <c r="FM11" s="150"/>
      <c r="FN11" s="150"/>
      <c r="FO11" s="150"/>
      <c r="FP11" s="150"/>
      <c r="FQ11" s="150"/>
      <c r="FR11" s="150"/>
      <c r="FS11" s="150"/>
      <c r="FT11" s="150"/>
      <c r="FU11" s="150"/>
      <c r="FV11" s="150"/>
      <c r="FW11" s="150"/>
      <c r="FX11" s="150"/>
      <c r="FY11" s="150"/>
      <c r="FZ11" s="150"/>
      <c r="GA11" s="150"/>
      <c r="GB11" s="150"/>
      <c r="GC11" s="150"/>
      <c r="GD11" s="150"/>
      <c r="GE11" s="150"/>
      <c r="GF11" s="150"/>
      <c r="GG11" s="150"/>
      <c r="GH11" s="150"/>
      <c r="GI11" s="150"/>
      <c r="GJ11" s="150"/>
      <c r="GK11" s="150"/>
      <c r="GL11" s="150"/>
      <c r="GM11" s="150"/>
      <c r="GN11" s="150"/>
      <c r="GO11" s="150"/>
      <c r="GP11" s="150"/>
      <c r="GQ11" s="150"/>
      <c r="GR11" s="150"/>
      <c r="GS11" s="150"/>
      <c r="GT11" s="150"/>
      <c r="GU11" s="150"/>
      <c r="GV11" s="150"/>
      <c r="GW11" s="150"/>
      <c r="GX11" s="150"/>
      <c r="GY11" s="150"/>
      <c r="GZ11" s="150"/>
      <c r="HA11" s="150"/>
      <c r="HB11" s="150"/>
      <c r="HC11" s="150"/>
      <c r="HD11" s="150"/>
      <c r="HE11" s="150"/>
      <c r="HF11" s="150"/>
      <c r="HG11" s="150"/>
      <c r="HH11" s="150"/>
      <c r="HI11" s="150"/>
      <c r="HJ11" s="150"/>
      <c r="HK11" s="150"/>
      <c r="HL11" s="150"/>
      <c r="HM11" s="150"/>
      <c r="HN11" s="150"/>
      <c r="HO11" s="150"/>
      <c r="HP11" s="150"/>
      <c r="HQ11" s="150"/>
      <c r="HR11" s="150"/>
      <c r="HS11" s="150"/>
      <c r="HT11" s="150"/>
      <c r="HU11" s="150"/>
      <c r="HV11" s="150"/>
      <c r="HW11" s="150"/>
      <c r="HX11" s="150"/>
      <c r="HY11" s="150"/>
      <c r="HZ11" s="150"/>
      <c r="IA11" s="150"/>
      <c r="IB11" s="150"/>
      <c r="IC11" s="150"/>
      <c r="ID11" s="150"/>
      <c r="IE11" s="150"/>
      <c r="IF11" s="150"/>
      <c r="IG11" s="150"/>
      <c r="IH11" s="150"/>
      <c r="II11" s="150"/>
      <c r="IJ11" s="150"/>
      <c r="IK11" s="150"/>
      <c r="IL11" s="150"/>
      <c r="IM11" s="150"/>
      <c r="IN11" s="150"/>
      <c r="IO11" s="150"/>
      <c r="IP11" s="150"/>
      <c r="IQ11" s="150"/>
      <c r="IR11" s="150"/>
      <c r="IS11" s="150"/>
      <c r="IT11" s="150"/>
      <c r="IU11" s="150"/>
      <c r="IV11" s="150"/>
      <c r="IW11" s="150"/>
      <c r="IX11" s="150"/>
      <c r="IY11" s="150"/>
      <c r="IZ11" s="150"/>
      <c r="JA11" s="150"/>
      <c r="JB11" s="150"/>
      <c r="JC11" s="150"/>
      <c r="JD11" s="150"/>
      <c r="JE11" s="150"/>
      <c r="JF11" s="150"/>
      <c r="JG11" s="150"/>
      <c r="JH11" s="150"/>
      <c r="JI11" s="150"/>
      <c r="JJ11" s="150"/>
      <c r="JK11" s="150"/>
      <c r="JL11" s="150"/>
      <c r="JM11" s="150"/>
      <c r="JN11" s="150"/>
      <c r="JO11" s="150"/>
      <c r="JP11" s="150"/>
      <c r="JQ11" s="150"/>
      <c r="JR11" s="150"/>
      <c r="JS11" s="150"/>
      <c r="JT11" s="150"/>
      <c r="JU11" s="150"/>
      <c r="JV11" s="150"/>
      <c r="JW11" s="150"/>
      <c r="JX11" s="150"/>
      <c r="JY11" s="150"/>
      <c r="JZ11" s="150"/>
      <c r="KA11" s="150"/>
      <c r="KB11" s="150"/>
      <c r="KC11" s="150"/>
      <c r="KD11" s="150"/>
      <c r="KE11" s="150"/>
      <c r="KF11" s="150"/>
      <c r="KG11" s="150"/>
      <c r="KH11" s="150"/>
      <c r="KI11" s="150"/>
      <c r="KJ11" s="150"/>
      <c r="KK11" s="150"/>
      <c r="KL11" s="150"/>
      <c r="KM11" s="150"/>
      <c r="KN11" s="150"/>
      <c r="KO11" s="150"/>
      <c r="KP11" s="150"/>
      <c r="KQ11" s="150"/>
      <c r="KR11" s="150"/>
      <c r="KS11" s="150"/>
      <c r="KT11" s="150"/>
      <c r="KU11" s="150"/>
      <c r="KV11" s="150"/>
      <c r="KW11" s="150"/>
      <c r="KX11" s="150"/>
      <c r="KY11" s="150"/>
      <c r="KZ11" s="150"/>
      <c r="LA11" s="150"/>
      <c r="LB11" s="150"/>
      <c r="LC11" s="150"/>
      <c r="LD11" s="150"/>
      <c r="LE11" s="150"/>
      <c r="LF11" s="150"/>
    </row>
    <row r="12" spans="1:318">
      <c r="A12" s="151" t="s">
        <v>191</v>
      </c>
      <c r="I12" s="1" t="s">
        <v>192</v>
      </c>
      <c r="J12" s="1">
        <v>700</v>
      </c>
      <c r="O12" s="94" t="s">
        <v>193</v>
      </c>
      <c r="Q12" s="140"/>
      <c r="R12" s="139"/>
      <c r="S12" s="152">
        <f>N6</f>
        <v>12000000</v>
      </c>
      <c r="T12" s="152">
        <f>S12*(1-$O$6)</f>
        <v>11916000</v>
      </c>
      <c r="U12" s="152">
        <f t="shared" ref="U12:AQ12" si="0">T12*(1-$O$6)</f>
        <v>11832588</v>
      </c>
      <c r="V12" s="152">
        <f t="shared" si="0"/>
        <v>11749759.884</v>
      </c>
      <c r="W12" s="152">
        <f t="shared" si="0"/>
        <v>11667511.564811999</v>
      </c>
      <c r="X12" s="152">
        <f t="shared" si="0"/>
        <v>11585838.983858315</v>
      </c>
      <c r="Y12" s="152">
        <f t="shared" si="0"/>
        <v>11504738.110971307</v>
      </c>
      <c r="Z12" s="152">
        <f t="shared" si="0"/>
        <v>11424204.944194509</v>
      </c>
      <c r="AA12" s="152">
        <f t="shared" si="0"/>
        <v>11344235.509585148</v>
      </c>
      <c r="AB12" s="152">
        <f t="shared" si="0"/>
        <v>11264825.861018052</v>
      </c>
      <c r="AC12" s="152">
        <f t="shared" si="0"/>
        <v>11185972.079990925</v>
      </c>
      <c r="AD12" s="152">
        <f t="shared" si="0"/>
        <v>11107670.275430989</v>
      </c>
      <c r="AE12" s="152">
        <f t="shared" si="0"/>
        <v>11029916.583502971</v>
      </c>
      <c r="AF12" s="152">
        <f t="shared" si="0"/>
        <v>10952707.16741845</v>
      </c>
      <c r="AG12" s="152">
        <f t="shared" si="0"/>
        <v>10876038.217246521</v>
      </c>
      <c r="AH12" s="152">
        <f t="shared" si="0"/>
        <v>10799905.949725796</v>
      </c>
      <c r="AI12" s="152">
        <f t="shared" si="0"/>
        <v>10724306.608077714</v>
      </c>
      <c r="AJ12" s="152">
        <f t="shared" si="0"/>
        <v>10649236.461821171</v>
      </c>
      <c r="AK12" s="152">
        <f t="shared" si="0"/>
        <v>10574691.806588423</v>
      </c>
      <c r="AL12" s="152">
        <f t="shared" si="0"/>
        <v>10500668.963942304</v>
      </c>
      <c r="AM12" s="152">
        <f t="shared" si="0"/>
        <v>10427164.281194707</v>
      </c>
      <c r="AN12" s="152">
        <f t="shared" si="0"/>
        <v>10354174.131226344</v>
      </c>
      <c r="AO12" s="152">
        <f t="shared" si="0"/>
        <v>10281694.91230776</v>
      </c>
      <c r="AP12" s="152">
        <f t="shared" si="0"/>
        <v>10209723.047921605</v>
      </c>
      <c r="AQ12" s="187">
        <f t="shared" si="0"/>
        <v>10138254.986586154</v>
      </c>
      <c r="AR12" s="65">
        <f t="shared" ref="AR12" si="1">AVERAGE(S12:AQ12)</f>
        <v>11044073.133256845</v>
      </c>
      <c r="AW12" s="152"/>
      <c r="AX12" s="152"/>
      <c r="AY12" s="152"/>
      <c r="AZ12" s="152"/>
      <c r="BA12" s="152"/>
      <c r="BB12" s="152"/>
      <c r="BC12" s="152"/>
      <c r="BD12" s="152"/>
      <c r="BE12" s="152"/>
      <c r="BF12" s="152"/>
      <c r="BG12" s="152"/>
      <c r="BH12" s="152"/>
      <c r="BI12" s="152"/>
      <c r="BJ12" s="152"/>
      <c r="BK12" s="152"/>
      <c r="BL12" s="152"/>
      <c r="BM12" s="152"/>
      <c r="BN12" s="152"/>
      <c r="BO12" s="152"/>
      <c r="BP12" s="152"/>
      <c r="BQ12" s="152"/>
      <c r="BR12" s="152"/>
      <c r="BS12" s="152"/>
      <c r="BT12" s="152"/>
      <c r="BU12" s="152"/>
      <c r="BV12" s="152"/>
      <c r="BW12" s="152"/>
      <c r="BX12" s="152"/>
      <c r="BY12" s="152"/>
      <c r="BZ12" s="152"/>
      <c r="CA12" s="152"/>
      <c r="CB12" s="152"/>
      <c r="CC12" s="152"/>
      <c r="CD12" s="152"/>
      <c r="CE12" s="152"/>
      <c r="CF12" s="152"/>
      <c r="CG12" s="152"/>
      <c r="CH12" s="152"/>
      <c r="CI12" s="152"/>
      <c r="CJ12" s="152"/>
      <c r="CK12" s="152"/>
      <c r="CL12" s="152"/>
      <c r="CM12" s="152"/>
      <c r="CN12" s="152"/>
      <c r="CO12" s="152"/>
      <c r="CP12" s="152"/>
      <c r="CQ12" s="152"/>
      <c r="CR12" s="152"/>
      <c r="CS12" s="152"/>
      <c r="CT12" s="152"/>
      <c r="CU12" s="152"/>
      <c r="CV12" s="152"/>
      <c r="CW12" s="152"/>
      <c r="CX12" s="152"/>
      <c r="CY12" s="152"/>
      <c r="CZ12" s="152"/>
      <c r="DA12" s="152"/>
      <c r="DB12" s="152"/>
      <c r="DC12" s="152"/>
      <c r="DD12" s="152"/>
      <c r="DE12" s="152"/>
      <c r="DF12" s="152"/>
      <c r="DG12" s="152"/>
      <c r="DH12" s="152"/>
      <c r="DI12" s="152"/>
      <c r="DJ12" s="152"/>
      <c r="DK12" s="152"/>
      <c r="DL12" s="152"/>
      <c r="DM12" s="152"/>
      <c r="DN12" s="152"/>
      <c r="DO12" s="152"/>
      <c r="DP12" s="152"/>
      <c r="DQ12" s="152"/>
      <c r="DR12" s="152"/>
      <c r="DS12" s="152"/>
      <c r="DT12" s="152"/>
      <c r="DU12" s="152"/>
      <c r="DV12" s="152"/>
      <c r="DW12" s="152"/>
      <c r="DX12" s="152"/>
      <c r="DY12" s="152"/>
      <c r="DZ12" s="152"/>
      <c r="EA12" s="152"/>
      <c r="EB12" s="152"/>
      <c r="EC12" s="152"/>
      <c r="ED12" s="152"/>
      <c r="EE12" s="152"/>
      <c r="EF12" s="152"/>
      <c r="EG12" s="152"/>
      <c r="EH12" s="152"/>
      <c r="EI12" s="152"/>
      <c r="EJ12" s="152"/>
      <c r="EK12" s="152"/>
      <c r="EL12" s="152"/>
      <c r="EM12" s="152"/>
      <c r="EN12" s="152"/>
      <c r="EO12" s="152"/>
      <c r="EP12" s="152"/>
      <c r="EQ12" s="152"/>
      <c r="ER12" s="152"/>
      <c r="ES12" s="152"/>
      <c r="ET12" s="152"/>
      <c r="EU12" s="152"/>
      <c r="EV12" s="152"/>
      <c r="EW12" s="152"/>
      <c r="EX12" s="152"/>
      <c r="EY12" s="152"/>
      <c r="EZ12" s="152"/>
      <c r="FA12" s="152"/>
      <c r="FB12" s="152"/>
      <c r="FC12" s="152"/>
      <c r="FD12" s="152"/>
      <c r="FE12" s="152"/>
      <c r="FF12" s="152"/>
      <c r="FG12" s="152"/>
      <c r="FH12" s="152"/>
      <c r="FI12" s="152"/>
      <c r="FJ12" s="152"/>
      <c r="FK12" s="152"/>
      <c r="FL12" s="152"/>
      <c r="FM12" s="152"/>
      <c r="FN12" s="152"/>
      <c r="FO12" s="152"/>
      <c r="FP12" s="152"/>
      <c r="FQ12" s="152"/>
      <c r="FR12" s="152"/>
      <c r="FS12" s="152"/>
      <c r="FT12" s="152"/>
      <c r="FU12" s="152"/>
      <c r="FV12" s="152"/>
      <c r="FW12" s="152"/>
      <c r="FX12" s="152"/>
      <c r="FY12" s="152"/>
      <c r="FZ12" s="152"/>
      <c r="GA12" s="152"/>
      <c r="GB12" s="152"/>
      <c r="GC12" s="152"/>
      <c r="GD12" s="152"/>
      <c r="GE12" s="152"/>
      <c r="GF12" s="152"/>
      <c r="GG12" s="152"/>
      <c r="GH12" s="152"/>
      <c r="GI12" s="152"/>
      <c r="GJ12" s="152"/>
      <c r="GK12" s="152"/>
      <c r="GL12" s="152"/>
      <c r="GM12" s="152"/>
      <c r="GN12" s="152"/>
      <c r="GO12" s="152"/>
      <c r="GP12" s="152"/>
      <c r="GQ12" s="152"/>
      <c r="GR12" s="152"/>
      <c r="GS12" s="152"/>
      <c r="GT12" s="152"/>
      <c r="GU12" s="152"/>
      <c r="GV12" s="152"/>
      <c r="GW12" s="152"/>
      <c r="GX12" s="152"/>
      <c r="GY12" s="152"/>
      <c r="GZ12" s="152"/>
      <c r="HA12" s="152"/>
      <c r="HB12" s="152"/>
      <c r="HC12" s="152"/>
      <c r="HD12" s="152"/>
      <c r="HE12" s="152"/>
      <c r="HF12" s="152"/>
      <c r="HG12" s="152"/>
      <c r="HH12" s="152"/>
      <c r="HI12" s="152"/>
      <c r="HJ12" s="152"/>
      <c r="HK12" s="152"/>
      <c r="HL12" s="152"/>
      <c r="HM12" s="152"/>
      <c r="HN12" s="152"/>
      <c r="HO12" s="152"/>
      <c r="HP12" s="152"/>
      <c r="HQ12" s="152"/>
      <c r="HR12" s="152"/>
      <c r="HS12" s="152"/>
      <c r="HT12" s="152"/>
      <c r="HU12" s="152"/>
      <c r="HV12" s="152"/>
      <c r="HW12" s="152"/>
      <c r="HX12" s="152"/>
      <c r="HY12" s="152"/>
      <c r="HZ12" s="152"/>
      <c r="IA12" s="152"/>
      <c r="IB12" s="152"/>
      <c r="IC12" s="152"/>
      <c r="ID12" s="152"/>
      <c r="IE12" s="152"/>
      <c r="IF12" s="152"/>
      <c r="IG12" s="152"/>
      <c r="IH12" s="152"/>
      <c r="II12" s="152"/>
      <c r="IJ12" s="152"/>
      <c r="IK12" s="152"/>
      <c r="IL12" s="152"/>
      <c r="IM12" s="152"/>
      <c r="IN12" s="152"/>
      <c r="IO12" s="152"/>
      <c r="IP12" s="152"/>
      <c r="IQ12" s="152"/>
      <c r="IR12" s="152"/>
      <c r="IS12" s="152"/>
      <c r="IT12" s="152"/>
      <c r="IU12" s="152"/>
      <c r="IV12" s="152"/>
      <c r="IW12" s="152"/>
      <c r="IX12" s="152"/>
      <c r="IY12" s="152"/>
      <c r="IZ12" s="152"/>
      <c r="JA12" s="152"/>
      <c r="JB12" s="152"/>
      <c r="JC12" s="152"/>
      <c r="JD12" s="152"/>
      <c r="JE12" s="152"/>
      <c r="JF12" s="152"/>
      <c r="JG12" s="152"/>
      <c r="JH12" s="152"/>
      <c r="JI12" s="152"/>
      <c r="JJ12" s="152"/>
      <c r="JK12" s="152"/>
      <c r="JL12" s="152"/>
      <c r="JM12" s="152"/>
      <c r="JN12" s="152"/>
      <c r="JO12" s="152"/>
      <c r="JP12" s="152"/>
      <c r="JQ12" s="152"/>
      <c r="JR12" s="152"/>
      <c r="JS12" s="152"/>
      <c r="JT12" s="152"/>
      <c r="JU12" s="152"/>
      <c r="JV12" s="152"/>
      <c r="JW12" s="152"/>
      <c r="JX12" s="152"/>
      <c r="JY12" s="152"/>
      <c r="JZ12" s="152"/>
      <c r="KA12" s="152"/>
      <c r="KB12" s="152"/>
      <c r="KC12" s="152"/>
      <c r="KD12" s="152"/>
      <c r="KE12" s="152"/>
      <c r="KF12" s="152"/>
      <c r="KG12" s="152"/>
      <c r="KH12" s="152"/>
      <c r="KI12" s="152"/>
      <c r="KJ12" s="152"/>
      <c r="KK12" s="152"/>
      <c r="KL12" s="152"/>
      <c r="KM12" s="152"/>
      <c r="KN12" s="152"/>
      <c r="KO12" s="152"/>
      <c r="KP12" s="152"/>
      <c r="KQ12" s="152"/>
      <c r="KR12" s="152"/>
      <c r="KS12" s="152"/>
      <c r="KT12" s="152"/>
      <c r="KU12" s="152"/>
      <c r="KV12" s="152"/>
      <c r="KW12" s="152"/>
      <c r="KX12" s="152"/>
      <c r="KY12" s="152"/>
      <c r="KZ12" s="152"/>
      <c r="LA12" s="152"/>
      <c r="LB12" s="152"/>
      <c r="LC12" s="152"/>
      <c r="LD12" s="152"/>
      <c r="LE12" s="152"/>
      <c r="LF12" s="152"/>
    </row>
    <row r="13" spans="1:318" ht="30">
      <c r="A13" s="151"/>
      <c r="O13" s="94" t="s">
        <v>194</v>
      </c>
      <c r="Q13" s="140"/>
      <c r="R13" s="139"/>
      <c r="S13" s="188">
        <f>$I$6</f>
        <v>70</v>
      </c>
      <c r="T13" s="188">
        <f>MAX(S13*(1-$AB$6), $AC$6)</f>
        <v>66.5</v>
      </c>
      <c r="U13" s="188">
        <f t="shared" ref="U13:AQ13" si="2">MAX(T13*(1-$AB$6), $AC$6)</f>
        <v>63.174999999999997</v>
      </c>
      <c r="V13" s="188">
        <f t="shared" si="2"/>
        <v>60.016249999999992</v>
      </c>
      <c r="W13" s="188">
        <f t="shared" si="2"/>
        <v>57.01543749999999</v>
      </c>
      <c r="X13" s="188">
        <f t="shared" si="2"/>
        <v>54.164665624999991</v>
      </c>
      <c r="Y13" s="188">
        <f t="shared" si="2"/>
        <v>51.456432343749988</v>
      </c>
      <c r="Z13" s="188">
        <f t="shared" si="2"/>
        <v>48.883610726562488</v>
      </c>
      <c r="AA13" s="188">
        <f t="shared" si="2"/>
        <v>46.439430190234361</v>
      </c>
      <c r="AB13" s="188">
        <f t="shared" si="2"/>
        <v>45</v>
      </c>
      <c r="AC13" s="188">
        <f t="shared" si="2"/>
        <v>45</v>
      </c>
      <c r="AD13" s="188">
        <f t="shared" si="2"/>
        <v>45</v>
      </c>
      <c r="AE13" s="188">
        <f t="shared" si="2"/>
        <v>45</v>
      </c>
      <c r="AF13" s="188">
        <f t="shared" si="2"/>
        <v>45</v>
      </c>
      <c r="AG13" s="188">
        <f t="shared" si="2"/>
        <v>45</v>
      </c>
      <c r="AH13" s="188">
        <f t="shared" si="2"/>
        <v>45</v>
      </c>
      <c r="AI13" s="188">
        <f t="shared" si="2"/>
        <v>45</v>
      </c>
      <c r="AJ13" s="188">
        <f t="shared" si="2"/>
        <v>45</v>
      </c>
      <c r="AK13" s="188">
        <f t="shared" si="2"/>
        <v>45</v>
      </c>
      <c r="AL13" s="188">
        <f t="shared" si="2"/>
        <v>45</v>
      </c>
      <c r="AM13" s="188">
        <f t="shared" si="2"/>
        <v>45</v>
      </c>
      <c r="AN13" s="188">
        <f t="shared" si="2"/>
        <v>45</v>
      </c>
      <c r="AO13" s="188">
        <f t="shared" si="2"/>
        <v>45</v>
      </c>
      <c r="AP13" s="188">
        <f t="shared" si="2"/>
        <v>45</v>
      </c>
      <c r="AQ13" s="189">
        <f t="shared" si="2"/>
        <v>45</v>
      </c>
      <c r="AR13" s="65">
        <f>AVERAGE(S13:AQ13)</f>
        <v>49.506033055421874</v>
      </c>
      <c r="AW13" s="152"/>
      <c r="AX13" s="152"/>
      <c r="AY13" s="152"/>
      <c r="AZ13" s="152"/>
      <c r="BA13" s="152"/>
      <c r="BB13" s="152"/>
      <c r="BC13" s="152"/>
      <c r="BD13" s="152"/>
      <c r="BE13" s="152"/>
      <c r="BF13" s="152"/>
      <c r="BG13" s="152"/>
      <c r="BH13" s="152"/>
      <c r="BI13" s="152"/>
      <c r="BJ13" s="152"/>
      <c r="BK13" s="152"/>
      <c r="BL13" s="152"/>
      <c r="BM13" s="152"/>
      <c r="BN13" s="152"/>
      <c r="BO13" s="152"/>
      <c r="BP13" s="152"/>
      <c r="BQ13" s="152"/>
      <c r="BR13" s="152"/>
      <c r="BS13" s="152"/>
      <c r="BT13" s="152"/>
      <c r="BU13" s="152"/>
      <c r="BV13" s="152"/>
      <c r="BW13" s="152"/>
      <c r="BX13" s="152"/>
      <c r="BY13" s="152"/>
      <c r="BZ13" s="152"/>
      <c r="CA13" s="152"/>
      <c r="CB13" s="152"/>
      <c r="CC13" s="152"/>
      <c r="CD13" s="152"/>
      <c r="CE13" s="152"/>
      <c r="CF13" s="152"/>
      <c r="CG13" s="152"/>
      <c r="CH13" s="152"/>
      <c r="CI13" s="152"/>
      <c r="CJ13" s="152"/>
      <c r="CK13" s="152"/>
      <c r="CL13" s="152"/>
      <c r="CM13" s="152"/>
      <c r="CN13" s="152"/>
      <c r="CO13" s="152"/>
      <c r="CP13" s="152"/>
      <c r="CQ13" s="152"/>
      <c r="CR13" s="152"/>
      <c r="CS13" s="152"/>
      <c r="CT13" s="152"/>
      <c r="CU13" s="152"/>
      <c r="CV13" s="152"/>
      <c r="CW13" s="152"/>
      <c r="CX13" s="152"/>
      <c r="CY13" s="152"/>
      <c r="CZ13" s="152"/>
      <c r="DA13" s="152"/>
      <c r="DB13" s="152"/>
      <c r="DC13" s="152"/>
      <c r="DD13" s="152"/>
      <c r="DE13" s="152"/>
      <c r="DF13" s="152"/>
      <c r="DG13" s="152"/>
      <c r="DH13" s="152"/>
      <c r="DI13" s="152"/>
      <c r="DJ13" s="152"/>
      <c r="DK13" s="152"/>
      <c r="DL13" s="152"/>
      <c r="DM13" s="152"/>
      <c r="DN13" s="152"/>
      <c r="DO13" s="152"/>
      <c r="DP13" s="152"/>
      <c r="DQ13" s="152"/>
      <c r="DR13" s="152"/>
      <c r="DS13" s="152"/>
      <c r="DT13" s="152"/>
      <c r="DU13" s="152"/>
      <c r="DV13" s="152"/>
      <c r="DW13" s="152"/>
      <c r="DX13" s="152"/>
      <c r="DY13" s="152"/>
      <c r="DZ13" s="152"/>
      <c r="EA13" s="152"/>
      <c r="EB13" s="152"/>
      <c r="EC13" s="152"/>
      <c r="ED13" s="152"/>
      <c r="EE13" s="152"/>
      <c r="EF13" s="152"/>
      <c r="EG13" s="152"/>
      <c r="EH13" s="152"/>
      <c r="EI13" s="152"/>
      <c r="EJ13" s="152"/>
      <c r="EK13" s="152"/>
      <c r="EL13" s="152"/>
      <c r="EM13" s="152"/>
      <c r="EN13" s="152"/>
      <c r="EO13" s="152"/>
      <c r="EP13" s="152"/>
      <c r="EQ13" s="152"/>
      <c r="ER13" s="152"/>
      <c r="ES13" s="152"/>
      <c r="ET13" s="152"/>
      <c r="EU13" s="152"/>
      <c r="EV13" s="152"/>
      <c r="EW13" s="152"/>
      <c r="EX13" s="152"/>
      <c r="EY13" s="152"/>
      <c r="EZ13" s="152"/>
      <c r="FA13" s="152"/>
      <c r="FB13" s="152"/>
      <c r="FC13" s="152"/>
      <c r="FD13" s="152"/>
      <c r="FE13" s="152"/>
      <c r="FF13" s="152"/>
      <c r="FG13" s="152"/>
      <c r="FH13" s="152"/>
      <c r="FI13" s="152"/>
      <c r="FJ13" s="152"/>
      <c r="FK13" s="152"/>
      <c r="FL13" s="152"/>
      <c r="FM13" s="152"/>
      <c r="FN13" s="152"/>
      <c r="FO13" s="152"/>
      <c r="FP13" s="152"/>
      <c r="FQ13" s="152"/>
      <c r="FR13" s="152"/>
      <c r="FS13" s="152"/>
      <c r="FT13" s="152"/>
      <c r="FU13" s="152"/>
      <c r="FV13" s="152"/>
      <c r="FW13" s="152"/>
      <c r="FX13" s="152"/>
      <c r="FY13" s="152"/>
      <c r="FZ13" s="152"/>
      <c r="GA13" s="152"/>
      <c r="GB13" s="152"/>
      <c r="GC13" s="152"/>
      <c r="GD13" s="152"/>
      <c r="GE13" s="152"/>
      <c r="GF13" s="152"/>
      <c r="GG13" s="152"/>
      <c r="GH13" s="152"/>
      <c r="GI13" s="152"/>
      <c r="GJ13" s="152"/>
      <c r="GK13" s="152"/>
      <c r="GL13" s="152"/>
      <c r="GM13" s="152"/>
      <c r="GN13" s="152"/>
      <c r="GO13" s="152"/>
      <c r="GP13" s="152"/>
      <c r="GQ13" s="152"/>
      <c r="GR13" s="152"/>
      <c r="GS13" s="152"/>
      <c r="GT13" s="152"/>
      <c r="GU13" s="152"/>
      <c r="GV13" s="152"/>
      <c r="GW13" s="152"/>
      <c r="GX13" s="152"/>
      <c r="GY13" s="152"/>
      <c r="GZ13" s="152"/>
      <c r="HA13" s="152"/>
      <c r="HB13" s="152"/>
      <c r="HC13" s="152"/>
      <c r="HD13" s="152"/>
      <c r="HE13" s="152"/>
      <c r="HF13" s="152"/>
      <c r="HG13" s="152"/>
      <c r="HH13" s="152"/>
      <c r="HI13" s="152"/>
      <c r="HJ13" s="152"/>
      <c r="HK13" s="152"/>
      <c r="HL13" s="152"/>
      <c r="HM13" s="152"/>
      <c r="HN13" s="152"/>
      <c r="HO13" s="152"/>
      <c r="HP13" s="152"/>
      <c r="HQ13" s="152"/>
      <c r="HR13" s="152"/>
      <c r="HS13" s="152"/>
      <c r="HT13" s="152"/>
      <c r="HU13" s="152"/>
      <c r="HV13" s="152"/>
      <c r="HW13" s="152"/>
      <c r="HX13" s="152"/>
      <c r="HY13" s="152"/>
      <c r="HZ13" s="152"/>
      <c r="IA13" s="152"/>
      <c r="IB13" s="152"/>
      <c r="IC13" s="152"/>
      <c r="ID13" s="152"/>
      <c r="IE13" s="152"/>
      <c r="IF13" s="152"/>
      <c r="IG13" s="152"/>
      <c r="IH13" s="152"/>
      <c r="II13" s="152"/>
      <c r="IJ13" s="152"/>
      <c r="IK13" s="152"/>
      <c r="IL13" s="152"/>
      <c r="IM13" s="152"/>
      <c r="IN13" s="152"/>
      <c r="IO13" s="152"/>
      <c r="IP13" s="152"/>
      <c r="IQ13" s="152"/>
      <c r="IR13" s="152"/>
      <c r="IS13" s="152"/>
      <c r="IT13" s="152"/>
      <c r="IU13" s="152"/>
      <c r="IV13" s="152"/>
      <c r="IW13" s="152"/>
      <c r="IX13" s="152"/>
      <c r="IY13" s="152"/>
      <c r="IZ13" s="152"/>
      <c r="JA13" s="152"/>
      <c r="JB13" s="152"/>
      <c r="JC13" s="152"/>
      <c r="JD13" s="152"/>
      <c r="JE13" s="152"/>
      <c r="JF13" s="152"/>
      <c r="JG13" s="152"/>
      <c r="JH13" s="152"/>
      <c r="JI13" s="152"/>
      <c r="JJ13" s="152"/>
      <c r="JK13" s="152"/>
      <c r="JL13" s="152"/>
      <c r="JM13" s="152"/>
      <c r="JN13" s="152"/>
      <c r="JO13" s="152"/>
      <c r="JP13" s="152"/>
      <c r="JQ13" s="152"/>
      <c r="JR13" s="152"/>
      <c r="JS13" s="152"/>
      <c r="JT13" s="152"/>
      <c r="JU13" s="152"/>
      <c r="JV13" s="152"/>
      <c r="JW13" s="152"/>
      <c r="JX13" s="152"/>
      <c r="JY13" s="152"/>
      <c r="JZ13" s="152"/>
      <c r="KA13" s="152"/>
      <c r="KB13" s="152"/>
      <c r="KC13" s="152"/>
      <c r="KD13" s="152"/>
      <c r="KE13" s="152"/>
      <c r="KF13" s="152"/>
      <c r="KG13" s="152"/>
      <c r="KH13" s="152"/>
      <c r="KI13" s="152"/>
      <c r="KJ13" s="152"/>
      <c r="KK13" s="152"/>
      <c r="KL13" s="152"/>
      <c r="KM13" s="152"/>
      <c r="KN13" s="152"/>
      <c r="KO13" s="152"/>
      <c r="KP13" s="152"/>
      <c r="KQ13" s="152"/>
      <c r="KR13" s="152"/>
      <c r="KS13" s="152"/>
      <c r="KT13" s="152"/>
      <c r="KU13" s="152"/>
      <c r="KV13" s="152"/>
      <c r="KW13" s="152"/>
      <c r="KX13" s="152"/>
      <c r="KY13" s="152"/>
      <c r="KZ13" s="152"/>
      <c r="LA13" s="152"/>
      <c r="LB13" s="152"/>
      <c r="LC13" s="152"/>
      <c r="LD13" s="152"/>
      <c r="LE13" s="152"/>
      <c r="LF13" s="152"/>
    </row>
    <row r="14" spans="1:318" ht="30">
      <c r="O14" s="94" t="s">
        <v>195</v>
      </c>
      <c r="Q14" s="140"/>
      <c r="R14" s="139"/>
      <c r="S14" s="188">
        <f>($E$6/1000)*S13</f>
        <v>819000</v>
      </c>
      <c r="T14" s="188">
        <f t="shared" ref="T14:AQ14" si="3">($E$6/1000)*T13</f>
        <v>778050</v>
      </c>
      <c r="U14" s="188">
        <f t="shared" si="3"/>
        <v>739147.5</v>
      </c>
      <c r="V14" s="188">
        <f t="shared" si="3"/>
        <v>702190.12499999988</v>
      </c>
      <c r="W14" s="188">
        <f t="shared" si="3"/>
        <v>667080.61874999991</v>
      </c>
      <c r="X14" s="188">
        <f t="shared" si="3"/>
        <v>633726.58781249984</v>
      </c>
      <c r="Y14" s="188">
        <f t="shared" si="3"/>
        <v>602040.25842187484</v>
      </c>
      <c r="Z14" s="188">
        <f t="shared" si="3"/>
        <v>571938.24550078111</v>
      </c>
      <c r="AA14" s="188">
        <f t="shared" si="3"/>
        <v>543341.33322574198</v>
      </c>
      <c r="AB14" s="188">
        <f t="shared" si="3"/>
        <v>526500</v>
      </c>
      <c r="AC14" s="188">
        <f t="shared" si="3"/>
        <v>526500</v>
      </c>
      <c r="AD14" s="188">
        <f t="shared" si="3"/>
        <v>526500</v>
      </c>
      <c r="AE14" s="188">
        <f t="shared" si="3"/>
        <v>526500</v>
      </c>
      <c r="AF14" s="188">
        <f t="shared" si="3"/>
        <v>526500</v>
      </c>
      <c r="AG14" s="188">
        <f t="shared" si="3"/>
        <v>526500</v>
      </c>
      <c r="AH14" s="188">
        <f t="shared" si="3"/>
        <v>526500</v>
      </c>
      <c r="AI14" s="188">
        <f t="shared" si="3"/>
        <v>526500</v>
      </c>
      <c r="AJ14" s="188">
        <f t="shared" si="3"/>
        <v>526500</v>
      </c>
      <c r="AK14" s="188">
        <f t="shared" si="3"/>
        <v>526500</v>
      </c>
      <c r="AL14" s="188">
        <f t="shared" si="3"/>
        <v>526500</v>
      </c>
      <c r="AM14" s="188">
        <f t="shared" si="3"/>
        <v>526500</v>
      </c>
      <c r="AN14" s="188">
        <f t="shared" si="3"/>
        <v>526500</v>
      </c>
      <c r="AO14" s="188">
        <f t="shared" si="3"/>
        <v>526500</v>
      </c>
      <c r="AP14" s="188">
        <f t="shared" si="3"/>
        <v>526500</v>
      </c>
      <c r="AQ14" s="189">
        <f t="shared" si="3"/>
        <v>526500</v>
      </c>
      <c r="AR14" s="65">
        <f>AVERAGE(S14:AQ14)</f>
        <v>579220.58674843586</v>
      </c>
      <c r="AW14" s="152"/>
      <c r="AX14" s="152"/>
      <c r="AY14" s="152"/>
      <c r="AZ14" s="152"/>
      <c r="BA14" s="152"/>
      <c r="BB14" s="152"/>
      <c r="BC14" s="152"/>
      <c r="BD14" s="152"/>
      <c r="BE14" s="152"/>
      <c r="BF14" s="152"/>
      <c r="BG14" s="152"/>
      <c r="BH14" s="152"/>
      <c r="BI14" s="152"/>
      <c r="BJ14" s="152"/>
      <c r="BK14" s="152"/>
      <c r="BL14" s="152"/>
      <c r="BM14" s="152"/>
      <c r="BN14" s="152"/>
      <c r="BO14" s="152"/>
      <c r="BP14" s="152"/>
      <c r="BQ14" s="152"/>
      <c r="BR14" s="152"/>
      <c r="BS14" s="152"/>
      <c r="BT14" s="152"/>
      <c r="BU14" s="152"/>
      <c r="BV14" s="152"/>
      <c r="BW14" s="152"/>
      <c r="BX14" s="152"/>
      <c r="BY14" s="152"/>
      <c r="BZ14" s="152"/>
      <c r="CA14" s="152"/>
      <c r="CB14" s="152"/>
      <c r="CC14" s="152"/>
      <c r="CD14" s="152"/>
      <c r="CE14" s="152"/>
      <c r="CF14" s="152"/>
      <c r="CG14" s="152"/>
      <c r="CH14" s="152"/>
      <c r="CI14" s="152"/>
      <c r="CJ14" s="152"/>
      <c r="CK14" s="152"/>
      <c r="CL14" s="152"/>
      <c r="CM14" s="152"/>
      <c r="CN14" s="152"/>
      <c r="CO14" s="152"/>
      <c r="CP14" s="152"/>
      <c r="CQ14" s="152"/>
      <c r="CR14" s="152"/>
      <c r="CS14" s="152"/>
      <c r="CT14" s="152"/>
      <c r="CU14" s="152"/>
      <c r="CV14" s="152"/>
      <c r="CW14" s="152"/>
      <c r="CX14" s="152"/>
      <c r="CY14" s="152"/>
      <c r="CZ14" s="152"/>
      <c r="DA14" s="152"/>
      <c r="DB14" s="152"/>
      <c r="DC14" s="152"/>
      <c r="DD14" s="152"/>
      <c r="DE14" s="152"/>
      <c r="DF14" s="152"/>
      <c r="DG14" s="152"/>
      <c r="DH14" s="152"/>
      <c r="DI14" s="152"/>
      <c r="DJ14" s="152"/>
      <c r="DK14" s="152"/>
      <c r="DL14" s="152"/>
      <c r="DM14" s="152"/>
      <c r="DN14" s="152"/>
      <c r="DO14" s="152"/>
      <c r="DP14" s="152"/>
      <c r="DQ14" s="152"/>
      <c r="DR14" s="152"/>
      <c r="DS14" s="152"/>
      <c r="DT14" s="152"/>
      <c r="DU14" s="152"/>
      <c r="DV14" s="152"/>
      <c r="DW14" s="152"/>
      <c r="DX14" s="152"/>
      <c r="DY14" s="152"/>
      <c r="DZ14" s="152"/>
      <c r="EA14" s="152"/>
      <c r="EB14" s="152"/>
      <c r="EC14" s="152"/>
      <c r="ED14" s="152"/>
      <c r="EE14" s="152"/>
      <c r="EF14" s="152"/>
      <c r="EG14" s="152"/>
      <c r="EH14" s="152"/>
      <c r="EI14" s="152"/>
      <c r="EJ14" s="152"/>
      <c r="EK14" s="152"/>
      <c r="EL14" s="152"/>
      <c r="EM14" s="152"/>
      <c r="EN14" s="152"/>
      <c r="EO14" s="152"/>
      <c r="EP14" s="152"/>
      <c r="EQ14" s="152"/>
      <c r="ER14" s="152"/>
      <c r="ES14" s="152"/>
      <c r="ET14" s="152"/>
      <c r="EU14" s="152"/>
      <c r="EV14" s="152"/>
      <c r="EW14" s="152"/>
      <c r="EX14" s="152"/>
      <c r="EY14" s="152"/>
      <c r="EZ14" s="152"/>
      <c r="FA14" s="152"/>
      <c r="FB14" s="152"/>
      <c r="FC14" s="152"/>
      <c r="FD14" s="152"/>
      <c r="FE14" s="152"/>
      <c r="FF14" s="152"/>
      <c r="FG14" s="152"/>
      <c r="FH14" s="152"/>
      <c r="FI14" s="152"/>
      <c r="FJ14" s="152"/>
      <c r="FK14" s="152"/>
      <c r="FL14" s="152"/>
      <c r="FM14" s="152"/>
      <c r="FN14" s="152"/>
      <c r="FO14" s="152"/>
      <c r="FP14" s="152"/>
      <c r="FQ14" s="152"/>
      <c r="FR14" s="152"/>
      <c r="FS14" s="152"/>
      <c r="FT14" s="152"/>
      <c r="FU14" s="152"/>
      <c r="FV14" s="152"/>
      <c r="FW14" s="152"/>
      <c r="FX14" s="152"/>
      <c r="FY14" s="152"/>
      <c r="FZ14" s="152"/>
      <c r="GA14" s="152"/>
      <c r="GB14" s="152"/>
      <c r="GC14" s="152"/>
      <c r="GD14" s="152"/>
      <c r="GE14" s="152"/>
      <c r="GF14" s="152"/>
      <c r="GG14" s="152"/>
      <c r="GH14" s="152"/>
      <c r="GI14" s="152"/>
      <c r="GJ14" s="152"/>
      <c r="GK14" s="152"/>
      <c r="GL14" s="152"/>
      <c r="GM14" s="152"/>
      <c r="GN14" s="152"/>
      <c r="GO14" s="152"/>
      <c r="GP14" s="152"/>
      <c r="GQ14" s="152"/>
      <c r="GR14" s="152"/>
      <c r="GS14" s="152"/>
      <c r="GT14" s="152"/>
      <c r="GU14" s="152"/>
      <c r="GV14" s="152"/>
      <c r="GW14" s="152"/>
      <c r="GX14" s="152"/>
      <c r="GY14" s="152"/>
      <c r="GZ14" s="152"/>
      <c r="HA14" s="152"/>
      <c r="HB14" s="152"/>
      <c r="HC14" s="152"/>
      <c r="HD14" s="152"/>
      <c r="HE14" s="152"/>
      <c r="HF14" s="152"/>
      <c r="HG14" s="152"/>
      <c r="HH14" s="152"/>
      <c r="HI14" s="152"/>
      <c r="HJ14" s="152"/>
      <c r="HK14" s="152"/>
      <c r="HL14" s="152"/>
      <c r="HM14" s="152"/>
      <c r="HN14" s="152"/>
      <c r="HO14" s="152"/>
      <c r="HP14" s="152"/>
      <c r="HQ14" s="152"/>
      <c r="HR14" s="152"/>
      <c r="HS14" s="152"/>
      <c r="HT14" s="152"/>
      <c r="HU14" s="152"/>
      <c r="HV14" s="152"/>
      <c r="HW14" s="152"/>
      <c r="HX14" s="152"/>
      <c r="HY14" s="152"/>
      <c r="HZ14" s="152"/>
      <c r="IA14" s="152"/>
      <c r="IB14" s="152"/>
      <c r="IC14" s="152"/>
      <c r="ID14" s="152"/>
      <c r="IE14" s="152"/>
      <c r="IF14" s="152"/>
      <c r="IG14" s="152"/>
      <c r="IH14" s="152"/>
      <c r="II14" s="152"/>
      <c r="IJ14" s="152"/>
      <c r="IK14" s="152"/>
      <c r="IL14" s="152"/>
      <c r="IM14" s="152"/>
      <c r="IN14" s="152"/>
      <c r="IO14" s="152"/>
      <c r="IP14" s="152"/>
      <c r="IQ14" s="152"/>
      <c r="IR14" s="152"/>
      <c r="IS14" s="152"/>
      <c r="IT14" s="152"/>
      <c r="IU14" s="152"/>
      <c r="IV14" s="152"/>
      <c r="IW14" s="152"/>
      <c r="IX14" s="152"/>
      <c r="IY14" s="152"/>
      <c r="IZ14" s="152"/>
      <c r="JA14" s="152"/>
      <c r="JB14" s="152"/>
      <c r="JC14" s="152"/>
      <c r="JD14" s="152"/>
      <c r="JE14" s="152"/>
      <c r="JF14" s="152"/>
      <c r="JG14" s="152"/>
      <c r="JH14" s="152"/>
      <c r="JI14" s="152"/>
      <c r="JJ14" s="152"/>
      <c r="JK14" s="152"/>
      <c r="JL14" s="152"/>
      <c r="JM14" s="152"/>
      <c r="JN14" s="152"/>
      <c r="JO14" s="152"/>
      <c r="JP14" s="152"/>
      <c r="JQ14" s="152"/>
      <c r="JR14" s="152"/>
      <c r="JS14" s="152"/>
      <c r="JT14" s="152"/>
      <c r="JU14" s="152"/>
      <c r="JV14" s="152"/>
      <c r="JW14" s="152"/>
      <c r="JX14" s="152"/>
      <c r="JY14" s="152"/>
      <c r="JZ14" s="152"/>
      <c r="KA14" s="152"/>
      <c r="KB14" s="152"/>
      <c r="KC14" s="152"/>
      <c r="KD14" s="152"/>
      <c r="KE14" s="152"/>
      <c r="KF14" s="152"/>
      <c r="KG14" s="152"/>
      <c r="KH14" s="152"/>
      <c r="KI14" s="152"/>
      <c r="KJ14" s="152"/>
      <c r="KK14" s="152"/>
      <c r="KL14" s="152"/>
      <c r="KM14" s="152"/>
      <c r="KN14" s="152"/>
      <c r="KO14" s="152"/>
      <c r="KP14" s="152"/>
      <c r="KQ14" s="152"/>
      <c r="KR14" s="152"/>
      <c r="KS14" s="152"/>
      <c r="KT14" s="152"/>
      <c r="KU14" s="152"/>
      <c r="KV14" s="152"/>
      <c r="KW14" s="152"/>
      <c r="KX14" s="152"/>
      <c r="KY14" s="152"/>
      <c r="KZ14" s="152"/>
      <c r="LA14" s="152"/>
      <c r="LB14" s="152"/>
      <c r="LC14" s="152"/>
      <c r="LD14" s="152"/>
      <c r="LE14" s="152"/>
      <c r="LF14" s="152"/>
    </row>
    <row r="15" spans="1:318" ht="45">
      <c r="A15" s="153" t="s">
        <v>196</v>
      </c>
      <c r="D15" s="58" t="s">
        <v>197</v>
      </c>
      <c r="E15" s="58" t="s">
        <v>198</v>
      </c>
      <c r="N15" s="152">
        <f>S14+S15</f>
        <v>1345500</v>
      </c>
      <c r="O15" s="94" t="s">
        <v>199</v>
      </c>
      <c r="Q15" s="140"/>
      <c r="R15" s="139"/>
      <c r="S15" s="188">
        <f t="shared" ref="S15:AQ15" si="4">($E$6/1000)*$J$6</f>
        <v>526500</v>
      </c>
      <c r="T15" s="188">
        <f t="shared" si="4"/>
        <v>526500</v>
      </c>
      <c r="U15" s="188">
        <f t="shared" si="4"/>
        <v>526500</v>
      </c>
      <c r="V15" s="188">
        <f t="shared" si="4"/>
        <v>526500</v>
      </c>
      <c r="W15" s="188">
        <f t="shared" si="4"/>
        <v>526500</v>
      </c>
      <c r="X15" s="188">
        <f t="shared" si="4"/>
        <v>526500</v>
      </c>
      <c r="Y15" s="188">
        <f t="shared" si="4"/>
        <v>526500</v>
      </c>
      <c r="Z15" s="188">
        <f t="shared" si="4"/>
        <v>526500</v>
      </c>
      <c r="AA15" s="188">
        <f t="shared" si="4"/>
        <v>526500</v>
      </c>
      <c r="AB15" s="188">
        <f t="shared" si="4"/>
        <v>526500</v>
      </c>
      <c r="AC15" s="188">
        <f t="shared" si="4"/>
        <v>526500</v>
      </c>
      <c r="AD15" s="188">
        <f t="shared" si="4"/>
        <v>526500</v>
      </c>
      <c r="AE15" s="188">
        <f t="shared" si="4"/>
        <v>526500</v>
      </c>
      <c r="AF15" s="188">
        <f t="shared" si="4"/>
        <v>526500</v>
      </c>
      <c r="AG15" s="188">
        <f t="shared" si="4"/>
        <v>526500</v>
      </c>
      <c r="AH15" s="188">
        <f t="shared" si="4"/>
        <v>526500</v>
      </c>
      <c r="AI15" s="188">
        <f t="shared" si="4"/>
        <v>526500</v>
      </c>
      <c r="AJ15" s="188">
        <f t="shared" si="4"/>
        <v>526500</v>
      </c>
      <c r="AK15" s="188">
        <f t="shared" si="4"/>
        <v>526500</v>
      </c>
      <c r="AL15" s="188">
        <f t="shared" si="4"/>
        <v>526500</v>
      </c>
      <c r="AM15" s="188">
        <f t="shared" si="4"/>
        <v>526500</v>
      </c>
      <c r="AN15" s="188">
        <f t="shared" si="4"/>
        <v>526500</v>
      </c>
      <c r="AO15" s="188">
        <f t="shared" si="4"/>
        <v>526500</v>
      </c>
      <c r="AP15" s="188">
        <f t="shared" si="4"/>
        <v>526500</v>
      </c>
      <c r="AQ15" s="189">
        <f t="shared" si="4"/>
        <v>526500</v>
      </c>
      <c r="AR15" s="65">
        <f t="shared" ref="AR15:AR18" si="5">AVERAGE(S15:AQ15)</f>
        <v>526500</v>
      </c>
      <c r="AW15" s="152"/>
      <c r="AX15" s="152"/>
      <c r="AY15" s="152"/>
      <c r="AZ15" s="152"/>
      <c r="BA15" s="152"/>
      <c r="BB15" s="152"/>
      <c r="BC15" s="152"/>
      <c r="BD15" s="152"/>
      <c r="BE15" s="152"/>
      <c r="BF15" s="152"/>
      <c r="BG15" s="152"/>
      <c r="BH15" s="152"/>
      <c r="BI15" s="152"/>
      <c r="BJ15" s="152"/>
      <c r="BK15" s="152"/>
      <c r="BL15" s="152"/>
      <c r="BM15" s="152"/>
      <c r="BN15" s="152"/>
      <c r="BO15" s="152"/>
      <c r="BP15" s="152"/>
      <c r="BQ15" s="152"/>
      <c r="BR15" s="152"/>
      <c r="BS15" s="152"/>
      <c r="BT15" s="152"/>
      <c r="BU15" s="152"/>
      <c r="BV15" s="152"/>
      <c r="BW15" s="152"/>
      <c r="BX15" s="152"/>
      <c r="BY15" s="152"/>
      <c r="BZ15" s="152"/>
      <c r="CA15" s="152"/>
      <c r="CB15" s="152"/>
      <c r="CC15" s="152"/>
      <c r="CD15" s="152"/>
      <c r="CE15" s="152"/>
      <c r="CF15" s="152"/>
      <c r="CG15" s="152"/>
      <c r="CH15" s="152"/>
      <c r="CI15" s="152"/>
      <c r="CJ15" s="152"/>
      <c r="CK15" s="152"/>
      <c r="CL15" s="152"/>
      <c r="CM15" s="152"/>
      <c r="CN15" s="152"/>
      <c r="CO15" s="152"/>
      <c r="CP15" s="152"/>
      <c r="CQ15" s="152"/>
      <c r="CR15" s="152"/>
      <c r="CS15" s="152"/>
      <c r="CT15" s="152"/>
      <c r="CU15" s="152"/>
      <c r="CV15" s="152"/>
      <c r="CW15" s="152"/>
      <c r="CX15" s="152"/>
      <c r="CY15" s="152"/>
      <c r="CZ15" s="152"/>
      <c r="DA15" s="152"/>
      <c r="DB15" s="152"/>
      <c r="DC15" s="152"/>
      <c r="DD15" s="152"/>
      <c r="DE15" s="152"/>
      <c r="DF15" s="152"/>
      <c r="DG15" s="152"/>
      <c r="DH15" s="152"/>
      <c r="DI15" s="152"/>
      <c r="DJ15" s="152"/>
      <c r="DK15" s="152"/>
      <c r="DL15" s="152"/>
      <c r="DM15" s="152"/>
      <c r="DN15" s="152"/>
      <c r="DO15" s="152"/>
      <c r="DP15" s="152"/>
      <c r="DQ15" s="152"/>
      <c r="DR15" s="152"/>
      <c r="DS15" s="152"/>
      <c r="DT15" s="152"/>
      <c r="DU15" s="152"/>
      <c r="DV15" s="152"/>
      <c r="DW15" s="152"/>
      <c r="DX15" s="152"/>
      <c r="DY15" s="152"/>
      <c r="DZ15" s="152"/>
      <c r="EA15" s="152"/>
      <c r="EB15" s="152"/>
      <c r="EC15" s="152"/>
      <c r="ED15" s="152"/>
      <c r="EE15" s="152"/>
      <c r="EF15" s="152"/>
      <c r="EG15" s="152"/>
      <c r="EH15" s="152"/>
      <c r="EI15" s="152"/>
      <c r="EJ15" s="152"/>
      <c r="EK15" s="152"/>
      <c r="EL15" s="152"/>
      <c r="EM15" s="152"/>
      <c r="EN15" s="152"/>
      <c r="EO15" s="152"/>
      <c r="EP15" s="152"/>
      <c r="EQ15" s="152"/>
      <c r="ER15" s="152"/>
      <c r="ES15" s="152"/>
      <c r="ET15" s="152"/>
      <c r="EU15" s="152"/>
      <c r="EV15" s="152"/>
      <c r="EW15" s="152"/>
      <c r="EX15" s="152"/>
      <c r="EY15" s="152"/>
      <c r="EZ15" s="152"/>
      <c r="FA15" s="152"/>
      <c r="FB15" s="152"/>
      <c r="FC15" s="152"/>
      <c r="FD15" s="152"/>
      <c r="FE15" s="152"/>
      <c r="FF15" s="152"/>
      <c r="FG15" s="152"/>
      <c r="FH15" s="152"/>
      <c r="FI15" s="152"/>
      <c r="FJ15" s="152"/>
      <c r="FK15" s="152"/>
      <c r="FL15" s="152"/>
      <c r="FM15" s="152"/>
      <c r="FN15" s="152"/>
      <c r="FO15" s="152"/>
      <c r="FP15" s="152"/>
      <c r="FQ15" s="152"/>
      <c r="FR15" s="152"/>
      <c r="FS15" s="152"/>
      <c r="FT15" s="152"/>
      <c r="FU15" s="152"/>
      <c r="FV15" s="152"/>
      <c r="FW15" s="152"/>
      <c r="FX15" s="152"/>
      <c r="FY15" s="152"/>
      <c r="FZ15" s="152"/>
      <c r="GA15" s="152"/>
      <c r="GB15" s="152"/>
      <c r="GC15" s="152"/>
      <c r="GD15" s="152"/>
      <c r="GE15" s="152"/>
      <c r="GF15" s="152"/>
      <c r="GG15" s="152"/>
      <c r="GH15" s="152"/>
      <c r="GI15" s="152"/>
      <c r="GJ15" s="152"/>
      <c r="GK15" s="152"/>
      <c r="GL15" s="152"/>
      <c r="GM15" s="152"/>
      <c r="GN15" s="152"/>
      <c r="GO15" s="152"/>
      <c r="GP15" s="152"/>
      <c r="GQ15" s="152"/>
      <c r="GR15" s="152"/>
      <c r="GS15" s="152"/>
      <c r="GT15" s="152"/>
      <c r="GU15" s="152"/>
      <c r="GV15" s="152"/>
      <c r="GW15" s="152"/>
      <c r="GX15" s="152"/>
      <c r="GY15" s="152"/>
      <c r="GZ15" s="152"/>
      <c r="HA15" s="152"/>
      <c r="HB15" s="152"/>
      <c r="HC15" s="152"/>
      <c r="HD15" s="152"/>
      <c r="HE15" s="152"/>
      <c r="HF15" s="152"/>
      <c r="HG15" s="152"/>
      <c r="HH15" s="152"/>
      <c r="HI15" s="152"/>
      <c r="HJ15" s="152"/>
      <c r="HK15" s="152"/>
      <c r="HL15" s="152"/>
      <c r="HM15" s="152"/>
      <c r="HN15" s="152"/>
      <c r="HO15" s="152"/>
      <c r="HP15" s="152"/>
      <c r="HQ15" s="152"/>
      <c r="HR15" s="152"/>
      <c r="HS15" s="152"/>
      <c r="HT15" s="152"/>
      <c r="HU15" s="152"/>
      <c r="HV15" s="152"/>
      <c r="HW15" s="152"/>
      <c r="HX15" s="152"/>
      <c r="HY15" s="152"/>
      <c r="HZ15" s="152"/>
      <c r="IA15" s="152"/>
      <c r="IB15" s="152"/>
      <c r="IC15" s="152"/>
      <c r="ID15" s="152"/>
      <c r="IE15" s="152"/>
      <c r="IF15" s="152"/>
      <c r="IG15" s="152"/>
      <c r="IH15" s="152"/>
      <c r="II15" s="152"/>
      <c r="IJ15" s="152"/>
      <c r="IK15" s="152"/>
      <c r="IL15" s="152"/>
      <c r="IM15" s="152"/>
      <c r="IN15" s="152"/>
      <c r="IO15" s="152"/>
      <c r="IP15" s="152"/>
      <c r="IQ15" s="152"/>
      <c r="IR15" s="152"/>
      <c r="IS15" s="152"/>
      <c r="IT15" s="152"/>
      <c r="IU15" s="152"/>
      <c r="IV15" s="152"/>
      <c r="IW15" s="152"/>
      <c r="IX15" s="152"/>
      <c r="IY15" s="152"/>
      <c r="IZ15" s="152"/>
      <c r="JA15" s="152"/>
      <c r="JB15" s="152"/>
      <c r="JC15" s="152"/>
      <c r="JD15" s="152"/>
      <c r="JE15" s="152"/>
      <c r="JF15" s="152"/>
      <c r="JG15" s="152"/>
      <c r="JH15" s="152"/>
      <c r="JI15" s="152"/>
      <c r="JJ15" s="152"/>
      <c r="JK15" s="152"/>
      <c r="JL15" s="152"/>
      <c r="JM15" s="152"/>
      <c r="JN15" s="152"/>
      <c r="JO15" s="152"/>
      <c r="JP15" s="152"/>
      <c r="JQ15" s="152"/>
      <c r="JR15" s="152"/>
      <c r="JS15" s="152"/>
      <c r="JT15" s="152"/>
      <c r="JU15" s="152"/>
      <c r="JV15" s="152"/>
      <c r="JW15" s="152"/>
      <c r="JX15" s="152"/>
      <c r="JY15" s="152"/>
      <c r="JZ15" s="152"/>
      <c r="KA15" s="152"/>
      <c r="KB15" s="152"/>
      <c r="KC15" s="152"/>
      <c r="KD15" s="152"/>
      <c r="KE15" s="152"/>
      <c r="KF15" s="152"/>
      <c r="KG15" s="152"/>
      <c r="KH15" s="152"/>
      <c r="KI15" s="152"/>
      <c r="KJ15" s="152"/>
      <c r="KK15" s="152"/>
      <c r="KL15" s="152"/>
      <c r="KM15" s="152"/>
      <c r="KN15" s="152"/>
      <c r="KO15" s="152"/>
      <c r="KP15" s="152"/>
      <c r="KQ15" s="152"/>
      <c r="KR15" s="152"/>
      <c r="KS15" s="152"/>
      <c r="KT15" s="152"/>
      <c r="KU15" s="152"/>
      <c r="KV15" s="152"/>
      <c r="KW15" s="152"/>
      <c r="KX15" s="152"/>
      <c r="KY15" s="152"/>
      <c r="KZ15" s="152"/>
      <c r="LA15" s="152"/>
      <c r="LB15" s="152"/>
      <c r="LC15" s="152"/>
      <c r="LD15" s="152"/>
      <c r="LE15" s="152"/>
      <c r="LF15" s="152"/>
    </row>
    <row r="16" spans="1:318" ht="30">
      <c r="A16" s="96" t="s">
        <v>200</v>
      </c>
      <c r="B16" s="1">
        <f>A6*C6/365</f>
        <v>32876.71232876712</v>
      </c>
      <c r="D16" s="141">
        <v>0.9</v>
      </c>
      <c r="E16" s="1">
        <f>E6/365</f>
        <v>32054.794520547945</v>
      </c>
      <c r="J16" s="152"/>
      <c r="O16" s="94" t="s">
        <v>201</v>
      </c>
      <c r="Q16" s="140"/>
      <c r="R16" s="139"/>
      <c r="S16" s="188">
        <f t="shared" ref="S16:AQ16" si="6">S12*S13/1000</f>
        <v>840000</v>
      </c>
      <c r="T16" s="188">
        <f t="shared" si="6"/>
        <v>792414</v>
      </c>
      <c r="U16" s="188">
        <f t="shared" si="6"/>
        <v>747523.74690000003</v>
      </c>
      <c r="V16" s="188">
        <f t="shared" si="6"/>
        <v>705176.52663811494</v>
      </c>
      <c r="W16" s="188">
        <f t="shared" si="6"/>
        <v>665228.27640406566</v>
      </c>
      <c r="X16" s="188">
        <f t="shared" si="6"/>
        <v>627543.09454577533</v>
      </c>
      <c r="Y16" s="188">
        <f t="shared" si="6"/>
        <v>591992.77823975706</v>
      </c>
      <c r="Z16" s="188">
        <f t="shared" si="6"/>
        <v>558456.38735247497</v>
      </c>
      <c r="AA16" s="188">
        <f t="shared" si="6"/>
        <v>526819.83300895721</v>
      </c>
      <c r="AB16" s="188">
        <f t="shared" si="6"/>
        <v>506917.16374581237</v>
      </c>
      <c r="AC16" s="188">
        <f t="shared" si="6"/>
        <v>503368.7435995916</v>
      </c>
      <c r="AD16" s="188">
        <f t="shared" si="6"/>
        <v>499845.16239439446</v>
      </c>
      <c r="AE16" s="188">
        <f t="shared" si="6"/>
        <v>496346.24625763367</v>
      </c>
      <c r="AF16" s="188">
        <f t="shared" si="6"/>
        <v>492871.8225338303</v>
      </c>
      <c r="AG16" s="188">
        <f t="shared" si="6"/>
        <v>489421.71977609349</v>
      </c>
      <c r="AH16" s="188">
        <f t="shared" si="6"/>
        <v>485995.76773766085</v>
      </c>
      <c r="AI16" s="188">
        <f t="shared" si="6"/>
        <v>482593.79736349714</v>
      </c>
      <c r="AJ16" s="188">
        <f t="shared" si="6"/>
        <v>479215.64078195265</v>
      </c>
      <c r="AK16" s="188">
        <f t="shared" si="6"/>
        <v>475861.13129647897</v>
      </c>
      <c r="AL16" s="188">
        <f t="shared" si="6"/>
        <v>472530.10337740369</v>
      </c>
      <c r="AM16" s="188">
        <f t="shared" si="6"/>
        <v>469222.39265376178</v>
      </c>
      <c r="AN16" s="188">
        <f t="shared" si="6"/>
        <v>465937.83590518543</v>
      </c>
      <c r="AO16" s="188">
        <f t="shared" si="6"/>
        <v>462676.27105384914</v>
      </c>
      <c r="AP16" s="188">
        <f t="shared" si="6"/>
        <v>459437.53715647227</v>
      </c>
      <c r="AQ16" s="189">
        <f t="shared" si="6"/>
        <v>456221.47439637693</v>
      </c>
      <c r="AR16" s="65">
        <f t="shared" si="5"/>
        <v>550144.69812476553</v>
      </c>
      <c r="AW16" s="152"/>
      <c r="AX16" s="152"/>
      <c r="AY16" s="152"/>
      <c r="AZ16" s="152"/>
      <c r="BA16" s="152"/>
      <c r="BB16" s="152"/>
      <c r="BC16" s="152"/>
      <c r="BD16" s="152"/>
      <c r="BE16" s="152"/>
      <c r="BF16" s="152"/>
      <c r="BG16" s="152"/>
      <c r="BH16" s="152"/>
      <c r="BI16" s="152"/>
      <c r="BJ16" s="152"/>
      <c r="BK16" s="152"/>
      <c r="BL16" s="152"/>
      <c r="BM16" s="152"/>
      <c r="BN16" s="152"/>
      <c r="BO16" s="152"/>
      <c r="BP16" s="152"/>
      <c r="BQ16" s="152"/>
      <c r="BR16" s="152"/>
      <c r="BS16" s="152"/>
      <c r="BT16" s="152"/>
      <c r="BU16" s="152"/>
      <c r="BV16" s="152"/>
      <c r="BW16" s="152"/>
      <c r="BX16" s="152"/>
      <c r="BY16" s="152"/>
      <c r="BZ16" s="152"/>
      <c r="CA16" s="152"/>
      <c r="CB16" s="152"/>
      <c r="CC16" s="152"/>
      <c r="CD16" s="152"/>
      <c r="CE16" s="152"/>
      <c r="CF16" s="152"/>
      <c r="CG16" s="152"/>
      <c r="CH16" s="152"/>
      <c r="CI16" s="152"/>
      <c r="CJ16" s="152"/>
      <c r="CK16" s="152"/>
      <c r="CL16" s="152"/>
      <c r="CM16" s="152"/>
      <c r="CN16" s="152"/>
      <c r="CO16" s="152"/>
      <c r="CP16" s="152"/>
      <c r="CQ16" s="152"/>
      <c r="CR16" s="152"/>
      <c r="CS16" s="152"/>
      <c r="CT16" s="152"/>
      <c r="CU16" s="152"/>
      <c r="CV16" s="152"/>
      <c r="CW16" s="152"/>
      <c r="CX16" s="152"/>
      <c r="CY16" s="152"/>
      <c r="CZ16" s="152"/>
      <c r="DA16" s="152"/>
      <c r="DB16" s="152"/>
      <c r="DC16" s="152"/>
      <c r="DD16" s="152"/>
      <c r="DE16" s="152"/>
      <c r="DF16" s="152"/>
      <c r="DG16" s="152"/>
      <c r="DH16" s="152"/>
      <c r="DI16" s="152"/>
      <c r="DJ16" s="152"/>
      <c r="DK16" s="152"/>
      <c r="DL16" s="152"/>
      <c r="DM16" s="152"/>
      <c r="DN16" s="152"/>
      <c r="DO16" s="152"/>
      <c r="DP16" s="152"/>
      <c r="DQ16" s="152"/>
      <c r="DR16" s="152"/>
      <c r="DS16" s="152"/>
      <c r="DT16" s="152"/>
      <c r="DU16" s="152"/>
      <c r="DV16" s="152"/>
      <c r="DW16" s="152"/>
      <c r="DX16" s="152"/>
      <c r="DY16" s="152"/>
      <c r="DZ16" s="152"/>
      <c r="EA16" s="152"/>
      <c r="EB16" s="152"/>
      <c r="EC16" s="152"/>
      <c r="ED16" s="152"/>
      <c r="EE16" s="152"/>
      <c r="EF16" s="152"/>
      <c r="EG16" s="152"/>
      <c r="EH16" s="152"/>
      <c r="EI16" s="152"/>
      <c r="EJ16" s="152"/>
      <c r="EK16" s="152"/>
      <c r="EL16" s="152"/>
      <c r="EM16" s="152"/>
      <c r="EN16" s="152"/>
      <c r="EO16" s="152"/>
      <c r="EP16" s="152"/>
      <c r="EQ16" s="152"/>
      <c r="ER16" s="152"/>
      <c r="ES16" s="152"/>
      <c r="ET16" s="152"/>
      <c r="EU16" s="152"/>
      <c r="EV16" s="152"/>
      <c r="EW16" s="152"/>
      <c r="EX16" s="152"/>
      <c r="EY16" s="152"/>
      <c r="EZ16" s="152"/>
      <c r="FA16" s="152"/>
      <c r="FB16" s="152"/>
      <c r="FC16" s="152"/>
      <c r="FD16" s="152"/>
      <c r="FE16" s="152"/>
      <c r="FF16" s="152"/>
      <c r="FG16" s="152"/>
      <c r="FH16" s="152"/>
      <c r="FI16" s="152"/>
      <c r="FJ16" s="152"/>
      <c r="FK16" s="152"/>
      <c r="FL16" s="152"/>
      <c r="FM16" s="152"/>
      <c r="FN16" s="152"/>
      <c r="FO16" s="152"/>
      <c r="FP16" s="152"/>
      <c r="FQ16" s="152"/>
      <c r="FR16" s="152"/>
      <c r="FS16" s="152"/>
      <c r="FT16" s="152"/>
      <c r="FU16" s="152"/>
      <c r="FV16" s="152"/>
      <c r="FW16" s="152"/>
      <c r="FX16" s="152"/>
      <c r="FY16" s="152"/>
      <c r="FZ16" s="152"/>
      <c r="GA16" s="152"/>
      <c r="GB16" s="152"/>
      <c r="GC16" s="152"/>
      <c r="GD16" s="152"/>
      <c r="GE16" s="152"/>
      <c r="GF16" s="152"/>
      <c r="GG16" s="152"/>
      <c r="GH16" s="152"/>
      <c r="GI16" s="152"/>
      <c r="GJ16" s="152"/>
      <c r="GK16" s="152"/>
      <c r="GL16" s="152"/>
      <c r="GM16" s="152"/>
      <c r="GN16" s="152"/>
      <c r="GO16" s="152"/>
      <c r="GP16" s="152"/>
      <c r="GQ16" s="152"/>
      <c r="GR16" s="152"/>
      <c r="GS16" s="152"/>
      <c r="GT16" s="152"/>
      <c r="GU16" s="152"/>
      <c r="GV16" s="152"/>
      <c r="GW16" s="152"/>
      <c r="GX16" s="152"/>
      <c r="GY16" s="152"/>
      <c r="GZ16" s="152"/>
      <c r="HA16" s="152"/>
      <c r="HB16" s="152"/>
      <c r="HC16" s="152"/>
      <c r="HD16" s="152"/>
      <c r="HE16" s="152"/>
      <c r="HF16" s="152"/>
      <c r="HG16" s="152"/>
      <c r="HH16" s="152"/>
      <c r="HI16" s="152"/>
      <c r="HJ16" s="152"/>
      <c r="HK16" s="152"/>
      <c r="HL16" s="152"/>
      <c r="HM16" s="152"/>
      <c r="HN16" s="152"/>
      <c r="HO16" s="152"/>
      <c r="HP16" s="152"/>
      <c r="HQ16" s="152"/>
      <c r="HR16" s="152"/>
      <c r="HS16" s="152"/>
      <c r="HT16" s="152"/>
      <c r="HU16" s="152"/>
      <c r="HV16" s="152"/>
      <c r="HW16" s="152"/>
      <c r="HX16" s="152"/>
      <c r="HY16" s="152"/>
      <c r="HZ16" s="152"/>
      <c r="IA16" s="152"/>
      <c r="IB16" s="152"/>
      <c r="IC16" s="152"/>
      <c r="ID16" s="152"/>
      <c r="IE16" s="152"/>
      <c r="IF16" s="152"/>
      <c r="IG16" s="152"/>
      <c r="IH16" s="152"/>
      <c r="II16" s="152"/>
      <c r="IJ16" s="152"/>
      <c r="IK16" s="152"/>
      <c r="IL16" s="152"/>
      <c r="IM16" s="152"/>
      <c r="IN16" s="152"/>
      <c r="IO16" s="152"/>
      <c r="IP16" s="152"/>
      <c r="IQ16" s="152"/>
      <c r="IR16" s="152"/>
      <c r="IS16" s="152"/>
      <c r="IT16" s="152"/>
      <c r="IU16" s="152"/>
      <c r="IV16" s="152"/>
      <c r="IW16" s="152"/>
      <c r="IX16" s="152"/>
      <c r="IY16" s="152"/>
      <c r="IZ16" s="152"/>
      <c r="JA16" s="152"/>
      <c r="JB16" s="152"/>
      <c r="JC16" s="152"/>
      <c r="JD16" s="152"/>
      <c r="JE16" s="152"/>
      <c r="JF16" s="152"/>
      <c r="JG16" s="152"/>
      <c r="JH16" s="152"/>
      <c r="JI16" s="152"/>
      <c r="JJ16" s="152"/>
      <c r="JK16" s="152"/>
      <c r="JL16" s="152"/>
      <c r="JM16" s="152"/>
      <c r="JN16" s="152"/>
      <c r="JO16" s="152"/>
      <c r="JP16" s="152"/>
      <c r="JQ16" s="152"/>
      <c r="JR16" s="152"/>
      <c r="JS16" s="152"/>
      <c r="JT16" s="152"/>
      <c r="JU16" s="152"/>
      <c r="JV16" s="152"/>
      <c r="JW16" s="152"/>
      <c r="JX16" s="152"/>
      <c r="JY16" s="152"/>
      <c r="JZ16" s="152"/>
      <c r="KA16" s="152"/>
      <c r="KB16" s="152"/>
      <c r="KC16" s="152"/>
      <c r="KD16" s="152"/>
      <c r="KE16" s="152"/>
      <c r="KF16" s="152"/>
      <c r="KG16" s="152"/>
      <c r="KH16" s="152"/>
      <c r="KI16" s="152"/>
      <c r="KJ16" s="152"/>
      <c r="KK16" s="152"/>
      <c r="KL16" s="152"/>
      <c r="KM16" s="152"/>
      <c r="KN16" s="152"/>
      <c r="KO16" s="152"/>
      <c r="KP16" s="152"/>
      <c r="KQ16" s="152"/>
      <c r="KR16" s="152"/>
      <c r="KS16" s="152"/>
      <c r="KT16" s="152"/>
      <c r="KU16" s="152"/>
      <c r="KV16" s="152"/>
      <c r="KW16" s="152"/>
      <c r="KX16" s="152"/>
      <c r="KY16" s="152"/>
      <c r="KZ16" s="152"/>
      <c r="LA16" s="152"/>
      <c r="LB16" s="152"/>
      <c r="LC16" s="152"/>
      <c r="LD16" s="152"/>
      <c r="LE16" s="152"/>
      <c r="LF16" s="152"/>
    </row>
    <row r="17" spans="1:318" ht="30.75" thickBot="1">
      <c r="A17" s="96" t="s">
        <v>202</v>
      </c>
      <c r="B17" s="1">
        <f>B16*C9</f>
        <v>23013.698630136983</v>
      </c>
      <c r="J17" s="170"/>
      <c r="O17" s="94" t="s">
        <v>203</v>
      </c>
      <c r="Q17" s="140"/>
      <c r="R17" s="139"/>
      <c r="S17" s="188">
        <f t="shared" ref="S17:AQ17" si="7">(1-$J$9)*$B$21/1000*365*$J$6</f>
        <v>377999.99999999994</v>
      </c>
      <c r="T17" s="188">
        <f t="shared" si="7"/>
        <v>377999.99999999994</v>
      </c>
      <c r="U17" s="188">
        <f t="shared" si="7"/>
        <v>377999.99999999994</v>
      </c>
      <c r="V17" s="188">
        <f t="shared" si="7"/>
        <v>377999.99999999994</v>
      </c>
      <c r="W17" s="188">
        <f t="shared" si="7"/>
        <v>377999.99999999994</v>
      </c>
      <c r="X17" s="188">
        <f t="shared" si="7"/>
        <v>377999.99999999994</v>
      </c>
      <c r="Y17" s="188">
        <f t="shared" si="7"/>
        <v>377999.99999999994</v>
      </c>
      <c r="Z17" s="188">
        <f t="shared" si="7"/>
        <v>377999.99999999994</v>
      </c>
      <c r="AA17" s="188">
        <f t="shared" si="7"/>
        <v>377999.99999999994</v>
      </c>
      <c r="AB17" s="188">
        <f t="shared" si="7"/>
        <v>377999.99999999994</v>
      </c>
      <c r="AC17" s="188">
        <f t="shared" si="7"/>
        <v>377999.99999999994</v>
      </c>
      <c r="AD17" s="188">
        <f t="shared" si="7"/>
        <v>377999.99999999994</v>
      </c>
      <c r="AE17" s="188">
        <f t="shared" si="7"/>
        <v>377999.99999999994</v>
      </c>
      <c r="AF17" s="188">
        <f t="shared" si="7"/>
        <v>377999.99999999994</v>
      </c>
      <c r="AG17" s="188">
        <f t="shared" si="7"/>
        <v>377999.99999999994</v>
      </c>
      <c r="AH17" s="188">
        <f t="shared" si="7"/>
        <v>377999.99999999994</v>
      </c>
      <c r="AI17" s="188">
        <f t="shared" si="7"/>
        <v>377999.99999999994</v>
      </c>
      <c r="AJ17" s="188">
        <f t="shared" si="7"/>
        <v>377999.99999999994</v>
      </c>
      <c r="AK17" s="188">
        <f t="shared" si="7"/>
        <v>377999.99999999994</v>
      </c>
      <c r="AL17" s="188">
        <f t="shared" si="7"/>
        <v>377999.99999999994</v>
      </c>
      <c r="AM17" s="188">
        <f t="shared" si="7"/>
        <v>377999.99999999994</v>
      </c>
      <c r="AN17" s="188">
        <f t="shared" si="7"/>
        <v>377999.99999999994</v>
      </c>
      <c r="AO17" s="188">
        <f t="shared" si="7"/>
        <v>377999.99999999994</v>
      </c>
      <c r="AP17" s="188">
        <f t="shared" si="7"/>
        <v>377999.99999999994</v>
      </c>
      <c r="AQ17" s="189">
        <f t="shared" si="7"/>
        <v>377999.99999999994</v>
      </c>
      <c r="AR17" s="65">
        <f t="shared" si="5"/>
        <v>377999.99999999994</v>
      </c>
      <c r="AW17" s="152"/>
      <c r="AX17" s="152"/>
      <c r="AY17" s="152"/>
      <c r="AZ17" s="152"/>
      <c r="BA17" s="152"/>
      <c r="BB17" s="152"/>
      <c r="BC17" s="152"/>
      <c r="BD17" s="152"/>
      <c r="BE17" s="152"/>
      <c r="BF17" s="152"/>
      <c r="BG17" s="152"/>
      <c r="BH17" s="152"/>
      <c r="BI17" s="152"/>
      <c r="BJ17" s="152"/>
      <c r="BK17" s="152"/>
      <c r="BL17" s="152"/>
      <c r="BM17" s="152"/>
      <c r="BN17" s="152"/>
      <c r="BO17" s="152"/>
      <c r="BP17" s="152"/>
      <c r="BQ17" s="152"/>
      <c r="BR17" s="152"/>
      <c r="BS17" s="152"/>
      <c r="BT17" s="152"/>
      <c r="BU17" s="152"/>
      <c r="BV17" s="152"/>
      <c r="BW17" s="152"/>
      <c r="BX17" s="152"/>
      <c r="BY17" s="152"/>
      <c r="BZ17" s="152"/>
      <c r="CA17" s="152"/>
      <c r="CB17" s="152"/>
      <c r="CC17" s="152"/>
      <c r="CD17" s="152"/>
      <c r="CE17" s="152"/>
      <c r="CF17" s="152"/>
      <c r="CG17" s="152"/>
      <c r="CH17" s="152"/>
      <c r="CI17" s="152"/>
      <c r="CJ17" s="152"/>
      <c r="CK17" s="152"/>
      <c r="CL17" s="152"/>
      <c r="CM17" s="152"/>
      <c r="CN17" s="152"/>
      <c r="CO17" s="152"/>
      <c r="CP17" s="152"/>
      <c r="CQ17" s="152"/>
      <c r="CR17" s="152"/>
      <c r="CS17" s="152"/>
      <c r="CT17" s="152"/>
      <c r="CU17" s="152"/>
      <c r="CV17" s="152"/>
      <c r="CW17" s="152"/>
      <c r="CX17" s="152"/>
      <c r="CY17" s="152"/>
      <c r="CZ17" s="152"/>
      <c r="DA17" s="152"/>
      <c r="DB17" s="152"/>
      <c r="DC17" s="152"/>
      <c r="DD17" s="152"/>
      <c r="DE17" s="152"/>
      <c r="DF17" s="152"/>
      <c r="DG17" s="152"/>
      <c r="DH17" s="152"/>
      <c r="DI17" s="152"/>
      <c r="DJ17" s="152"/>
      <c r="DK17" s="152"/>
      <c r="DL17" s="152"/>
      <c r="DM17" s="152"/>
      <c r="DN17" s="152"/>
      <c r="DO17" s="152"/>
      <c r="DP17" s="152"/>
      <c r="DQ17" s="152"/>
      <c r="DR17" s="152"/>
      <c r="DS17" s="152"/>
      <c r="DT17" s="152"/>
      <c r="DU17" s="152"/>
      <c r="DV17" s="152"/>
      <c r="DW17" s="152"/>
      <c r="DX17" s="152"/>
      <c r="DY17" s="152"/>
      <c r="DZ17" s="152"/>
      <c r="EA17" s="152"/>
      <c r="EB17" s="152"/>
      <c r="EC17" s="152"/>
      <c r="ED17" s="152"/>
      <c r="EE17" s="152"/>
      <c r="EF17" s="152"/>
      <c r="EG17" s="152"/>
      <c r="EH17" s="152"/>
      <c r="EI17" s="152"/>
      <c r="EJ17" s="152"/>
      <c r="EK17" s="152"/>
      <c r="EL17" s="152"/>
      <c r="EM17" s="152"/>
      <c r="EN17" s="152"/>
      <c r="EO17" s="152"/>
      <c r="EP17" s="152"/>
      <c r="EQ17" s="152"/>
      <c r="ER17" s="152"/>
      <c r="ES17" s="152"/>
      <c r="ET17" s="152"/>
      <c r="EU17" s="152"/>
      <c r="EV17" s="152"/>
      <c r="EW17" s="152"/>
      <c r="EX17" s="152"/>
      <c r="EY17" s="152"/>
      <c r="EZ17" s="152"/>
      <c r="FA17" s="152"/>
      <c r="FB17" s="152"/>
      <c r="FC17" s="152"/>
      <c r="FD17" s="152"/>
      <c r="FE17" s="152"/>
      <c r="FF17" s="152"/>
      <c r="FG17" s="152"/>
      <c r="FH17" s="152"/>
      <c r="FI17" s="152"/>
      <c r="FJ17" s="152"/>
      <c r="FK17" s="152"/>
      <c r="FL17" s="152"/>
      <c r="FM17" s="152"/>
      <c r="FN17" s="152"/>
      <c r="FO17" s="152"/>
      <c r="FP17" s="152"/>
      <c r="FQ17" s="152"/>
      <c r="FR17" s="152"/>
      <c r="FS17" s="152"/>
      <c r="FT17" s="152"/>
      <c r="FU17" s="152"/>
      <c r="FV17" s="152"/>
      <c r="FW17" s="152"/>
      <c r="FX17" s="152"/>
      <c r="FY17" s="152"/>
      <c r="FZ17" s="152"/>
      <c r="GA17" s="152"/>
      <c r="GB17" s="152"/>
      <c r="GC17" s="152"/>
      <c r="GD17" s="152"/>
      <c r="GE17" s="152"/>
      <c r="GF17" s="152"/>
      <c r="GG17" s="152"/>
      <c r="GH17" s="152"/>
      <c r="GI17" s="152"/>
      <c r="GJ17" s="152"/>
      <c r="GK17" s="152"/>
      <c r="GL17" s="152"/>
      <c r="GM17" s="152"/>
      <c r="GN17" s="152"/>
      <c r="GO17" s="152"/>
      <c r="GP17" s="152"/>
      <c r="GQ17" s="152"/>
      <c r="GR17" s="152"/>
      <c r="GS17" s="152"/>
      <c r="GT17" s="152"/>
      <c r="GU17" s="152"/>
      <c r="GV17" s="152"/>
      <c r="GW17" s="152"/>
      <c r="GX17" s="152"/>
      <c r="GY17" s="152"/>
      <c r="GZ17" s="152"/>
      <c r="HA17" s="152"/>
      <c r="HB17" s="152"/>
      <c r="HC17" s="152"/>
      <c r="HD17" s="152"/>
      <c r="HE17" s="152"/>
      <c r="HF17" s="152"/>
      <c r="HG17" s="152"/>
      <c r="HH17" s="152"/>
      <c r="HI17" s="152"/>
      <c r="HJ17" s="152"/>
      <c r="HK17" s="152"/>
      <c r="HL17" s="152"/>
      <c r="HM17" s="152"/>
      <c r="HN17" s="152"/>
      <c r="HO17" s="152"/>
      <c r="HP17" s="152"/>
      <c r="HQ17" s="152"/>
      <c r="HR17" s="152"/>
      <c r="HS17" s="152"/>
      <c r="HT17" s="152"/>
      <c r="HU17" s="152"/>
      <c r="HV17" s="152"/>
      <c r="HW17" s="152"/>
      <c r="HX17" s="152"/>
      <c r="HY17" s="152"/>
      <c r="HZ17" s="152"/>
      <c r="IA17" s="152"/>
      <c r="IB17" s="152"/>
      <c r="IC17" s="152"/>
      <c r="ID17" s="152"/>
      <c r="IE17" s="152"/>
      <c r="IF17" s="152"/>
      <c r="IG17" s="152"/>
      <c r="IH17" s="152"/>
      <c r="II17" s="152"/>
      <c r="IJ17" s="152"/>
      <c r="IK17" s="152"/>
      <c r="IL17" s="152"/>
      <c r="IM17" s="152"/>
      <c r="IN17" s="152"/>
      <c r="IO17" s="152"/>
      <c r="IP17" s="152"/>
      <c r="IQ17" s="152"/>
      <c r="IR17" s="152"/>
      <c r="IS17" s="152"/>
      <c r="IT17" s="152"/>
      <c r="IU17" s="152"/>
      <c r="IV17" s="152"/>
      <c r="IW17" s="152"/>
      <c r="IX17" s="152"/>
      <c r="IY17" s="152"/>
      <c r="IZ17" s="152"/>
      <c r="JA17" s="152"/>
      <c r="JB17" s="152"/>
      <c r="JC17" s="152"/>
      <c r="JD17" s="152"/>
      <c r="JE17" s="152"/>
      <c r="JF17" s="152"/>
      <c r="JG17" s="152"/>
      <c r="JH17" s="152"/>
      <c r="JI17" s="152"/>
      <c r="JJ17" s="152"/>
      <c r="JK17" s="152"/>
      <c r="JL17" s="152"/>
      <c r="JM17" s="152"/>
      <c r="JN17" s="152"/>
      <c r="JO17" s="152"/>
      <c r="JP17" s="152"/>
      <c r="JQ17" s="152"/>
      <c r="JR17" s="152"/>
      <c r="JS17" s="152"/>
      <c r="JT17" s="152"/>
      <c r="JU17" s="152"/>
      <c r="JV17" s="152"/>
      <c r="JW17" s="152"/>
      <c r="JX17" s="152"/>
      <c r="JY17" s="152"/>
      <c r="JZ17" s="152"/>
      <c r="KA17" s="152"/>
      <c r="KB17" s="152"/>
      <c r="KC17" s="152"/>
      <c r="KD17" s="152"/>
      <c r="KE17" s="152"/>
      <c r="KF17" s="152"/>
      <c r="KG17" s="152"/>
      <c r="KH17" s="152"/>
      <c r="KI17" s="152"/>
      <c r="KJ17" s="152"/>
      <c r="KK17" s="152"/>
      <c r="KL17" s="152"/>
      <c r="KM17" s="152"/>
      <c r="KN17" s="152"/>
      <c r="KO17" s="152"/>
      <c r="KP17" s="152"/>
      <c r="KQ17" s="152"/>
      <c r="KR17" s="152"/>
      <c r="KS17" s="152"/>
      <c r="KT17" s="152"/>
      <c r="KU17" s="152"/>
      <c r="KV17" s="152"/>
      <c r="KW17" s="152"/>
      <c r="KX17" s="152"/>
      <c r="KY17" s="152"/>
      <c r="KZ17" s="152"/>
      <c r="LA17" s="152"/>
      <c r="LB17" s="152"/>
      <c r="LC17" s="152"/>
      <c r="LD17" s="152"/>
      <c r="LE17" s="152"/>
      <c r="LF17" s="152"/>
    </row>
    <row r="18" spans="1:318" ht="30.75" thickBot="1">
      <c r="A18" s="96" t="s">
        <v>204</v>
      </c>
      <c r="B18" s="1">
        <f>B16-B17</f>
        <v>9863.0136986301368</v>
      </c>
      <c r="O18" s="81" t="s">
        <v>205</v>
      </c>
      <c r="P18" s="193"/>
      <c r="Q18" s="199"/>
      <c r="R18" s="192"/>
      <c r="S18" s="195">
        <f>S16+S17</f>
        <v>1218000</v>
      </c>
      <c r="T18" s="195">
        <f t="shared" ref="T18:AQ18" si="8">T16+T17</f>
        <v>1170414</v>
      </c>
      <c r="U18" s="195">
        <f t="shared" si="8"/>
        <v>1125523.7468999999</v>
      </c>
      <c r="V18" s="195">
        <f t="shared" si="8"/>
        <v>1083176.5266381148</v>
      </c>
      <c r="W18" s="195">
        <f t="shared" si="8"/>
        <v>1043228.2764040655</v>
      </c>
      <c r="X18" s="195">
        <f t="shared" si="8"/>
        <v>1005543.0945457753</v>
      </c>
      <c r="Y18" s="195">
        <f t="shared" si="8"/>
        <v>969992.77823975706</v>
      </c>
      <c r="Z18" s="195">
        <f t="shared" si="8"/>
        <v>936456.38735247497</v>
      </c>
      <c r="AA18" s="195">
        <f t="shared" si="8"/>
        <v>904819.8330089571</v>
      </c>
      <c r="AB18" s="195">
        <f t="shared" si="8"/>
        <v>884917.16374581237</v>
      </c>
      <c r="AC18" s="195">
        <f t="shared" si="8"/>
        <v>881368.74359959154</v>
      </c>
      <c r="AD18" s="195">
        <f t="shared" si="8"/>
        <v>877845.1623943944</v>
      </c>
      <c r="AE18" s="195">
        <f t="shared" si="8"/>
        <v>874346.24625763367</v>
      </c>
      <c r="AF18" s="195">
        <f t="shared" si="8"/>
        <v>870871.8225338303</v>
      </c>
      <c r="AG18" s="195">
        <f t="shared" si="8"/>
        <v>867421.71977609349</v>
      </c>
      <c r="AH18" s="195">
        <f t="shared" si="8"/>
        <v>863995.76773766079</v>
      </c>
      <c r="AI18" s="195">
        <f t="shared" si="8"/>
        <v>860593.79736349708</v>
      </c>
      <c r="AJ18" s="195">
        <f t="shared" si="8"/>
        <v>857215.64078195253</v>
      </c>
      <c r="AK18" s="195">
        <f t="shared" si="8"/>
        <v>853861.13129647891</v>
      </c>
      <c r="AL18" s="195">
        <f t="shared" si="8"/>
        <v>850530.10337740369</v>
      </c>
      <c r="AM18" s="195">
        <f t="shared" si="8"/>
        <v>847222.39265376166</v>
      </c>
      <c r="AN18" s="195">
        <f t="shared" si="8"/>
        <v>843937.83590518543</v>
      </c>
      <c r="AO18" s="195">
        <f t="shared" si="8"/>
        <v>840676.27105384902</v>
      </c>
      <c r="AP18" s="195">
        <f t="shared" si="8"/>
        <v>837437.53715647222</v>
      </c>
      <c r="AQ18" s="196">
        <f t="shared" si="8"/>
        <v>834221.47439637687</v>
      </c>
      <c r="AR18" s="65">
        <f t="shared" si="5"/>
        <v>928144.69812476588</v>
      </c>
      <c r="AW18" s="154"/>
      <c r="AX18" s="154"/>
      <c r="AY18" s="154"/>
      <c r="AZ18" s="154"/>
      <c r="BA18" s="154"/>
      <c r="BB18" s="154"/>
      <c r="BC18" s="154"/>
      <c r="BD18" s="154"/>
      <c r="BE18" s="154"/>
      <c r="BF18" s="154"/>
      <c r="BG18" s="154"/>
      <c r="BH18" s="154"/>
      <c r="BI18" s="154"/>
      <c r="BJ18" s="154"/>
      <c r="BK18" s="154"/>
      <c r="BL18" s="154"/>
      <c r="BM18" s="154"/>
      <c r="BN18" s="154"/>
      <c r="BO18" s="154"/>
      <c r="BP18" s="154"/>
      <c r="BQ18" s="154"/>
      <c r="BR18" s="154"/>
      <c r="BS18" s="154"/>
      <c r="BT18" s="154"/>
      <c r="BU18" s="154"/>
      <c r="BV18" s="154"/>
      <c r="BW18" s="154"/>
      <c r="BX18" s="154"/>
      <c r="BY18" s="154"/>
      <c r="BZ18" s="154"/>
      <c r="CA18" s="154"/>
      <c r="CB18" s="154"/>
      <c r="CC18" s="154"/>
      <c r="CD18" s="154"/>
      <c r="CE18" s="154"/>
      <c r="CF18" s="154"/>
      <c r="CG18" s="154"/>
      <c r="CH18" s="154"/>
      <c r="CI18" s="154"/>
      <c r="CJ18" s="154"/>
      <c r="CK18" s="154"/>
      <c r="CL18" s="154"/>
      <c r="CM18" s="154"/>
      <c r="CN18" s="154"/>
      <c r="CO18" s="154"/>
      <c r="CP18" s="154"/>
      <c r="CQ18" s="154"/>
      <c r="CR18" s="154"/>
      <c r="CS18" s="154"/>
      <c r="CT18" s="154"/>
      <c r="CU18" s="154"/>
      <c r="CV18" s="154"/>
      <c r="CW18" s="154"/>
      <c r="CX18" s="154"/>
      <c r="CY18" s="154"/>
      <c r="CZ18" s="154"/>
      <c r="DA18" s="154"/>
      <c r="DB18" s="154"/>
      <c r="DC18" s="154"/>
      <c r="DD18" s="154"/>
      <c r="DE18" s="154"/>
      <c r="DF18" s="154"/>
      <c r="DG18" s="154"/>
      <c r="DH18" s="154"/>
      <c r="DI18" s="154"/>
      <c r="DJ18" s="154"/>
      <c r="DK18" s="154"/>
      <c r="DL18" s="154"/>
      <c r="DM18" s="154"/>
      <c r="DN18" s="154"/>
      <c r="DO18" s="154"/>
      <c r="DP18" s="154"/>
      <c r="DQ18" s="154"/>
      <c r="DR18" s="154"/>
      <c r="DS18" s="154"/>
      <c r="DT18" s="154"/>
      <c r="DU18" s="154"/>
      <c r="DV18" s="154"/>
      <c r="DW18" s="154"/>
      <c r="DX18" s="154"/>
      <c r="DY18" s="154"/>
      <c r="DZ18" s="154"/>
      <c r="EA18" s="154"/>
      <c r="EB18" s="154"/>
      <c r="EC18" s="154"/>
      <c r="ED18" s="154"/>
      <c r="EE18" s="154"/>
      <c r="EF18" s="154"/>
      <c r="EG18" s="154"/>
      <c r="EH18" s="154"/>
      <c r="EI18" s="154"/>
      <c r="EJ18" s="154"/>
      <c r="EK18" s="154"/>
      <c r="EL18" s="154"/>
      <c r="EM18" s="154"/>
      <c r="EN18" s="154"/>
      <c r="EO18" s="154"/>
      <c r="EP18" s="154"/>
      <c r="EQ18" s="154"/>
      <c r="ER18" s="154"/>
      <c r="ES18" s="154"/>
      <c r="ET18" s="154"/>
      <c r="EU18" s="154"/>
      <c r="EV18" s="154"/>
      <c r="EW18" s="154"/>
      <c r="EX18" s="154"/>
      <c r="EY18" s="154"/>
      <c r="EZ18" s="154"/>
      <c r="FA18" s="154"/>
      <c r="FB18" s="154"/>
      <c r="FC18" s="154"/>
      <c r="FD18" s="154"/>
      <c r="FE18" s="154"/>
      <c r="FF18" s="154"/>
      <c r="FG18" s="154"/>
      <c r="FH18" s="154"/>
      <c r="FI18" s="154"/>
      <c r="FJ18" s="154"/>
      <c r="FK18" s="154"/>
      <c r="FL18" s="154"/>
      <c r="FM18" s="154"/>
      <c r="FN18" s="154"/>
      <c r="FO18" s="154"/>
      <c r="FP18" s="154"/>
      <c r="FQ18" s="154"/>
      <c r="FR18" s="154"/>
      <c r="FS18" s="154"/>
      <c r="FT18" s="154"/>
      <c r="FU18" s="154"/>
      <c r="FV18" s="154"/>
      <c r="FW18" s="154"/>
      <c r="FX18" s="154"/>
      <c r="FY18" s="154"/>
      <c r="FZ18" s="154"/>
      <c r="GA18" s="154"/>
      <c r="GB18" s="154"/>
      <c r="GC18" s="154"/>
      <c r="GD18" s="154"/>
      <c r="GE18" s="154"/>
      <c r="GF18" s="154"/>
      <c r="GG18" s="154"/>
      <c r="GH18" s="154"/>
      <c r="GI18" s="154"/>
      <c r="GJ18" s="154"/>
      <c r="GK18" s="154"/>
      <c r="GL18" s="154"/>
      <c r="GM18" s="154"/>
      <c r="GN18" s="154"/>
      <c r="GO18" s="154"/>
      <c r="GP18" s="154"/>
      <c r="GQ18" s="154"/>
      <c r="GR18" s="154"/>
      <c r="GS18" s="154"/>
      <c r="GT18" s="154"/>
      <c r="GU18" s="154"/>
      <c r="GV18" s="154"/>
      <c r="GW18" s="154"/>
      <c r="GX18" s="154"/>
      <c r="GY18" s="154"/>
      <c r="GZ18" s="154"/>
      <c r="HA18" s="154"/>
      <c r="HB18" s="154"/>
      <c r="HC18" s="154"/>
      <c r="HD18" s="154"/>
      <c r="HE18" s="154"/>
      <c r="HF18" s="154"/>
      <c r="HG18" s="154"/>
      <c r="HH18" s="154"/>
      <c r="HI18" s="154"/>
      <c r="HJ18" s="154"/>
      <c r="HK18" s="154"/>
      <c r="HL18" s="154"/>
      <c r="HM18" s="154"/>
      <c r="HN18" s="154"/>
      <c r="HO18" s="154"/>
      <c r="HP18" s="154"/>
      <c r="HQ18" s="154"/>
      <c r="HR18" s="154"/>
      <c r="HS18" s="154"/>
      <c r="HT18" s="154"/>
      <c r="HU18" s="154"/>
      <c r="HV18" s="154"/>
      <c r="HW18" s="154"/>
      <c r="HX18" s="154"/>
      <c r="HY18" s="154"/>
      <c r="HZ18" s="154"/>
      <c r="IA18" s="154"/>
      <c r="IB18" s="154"/>
      <c r="IC18" s="154"/>
      <c r="ID18" s="154"/>
      <c r="IE18" s="154"/>
      <c r="IF18" s="154"/>
      <c r="IG18" s="154"/>
      <c r="IH18" s="154"/>
      <c r="II18" s="154"/>
      <c r="IJ18" s="154"/>
      <c r="IK18" s="154"/>
      <c r="IL18" s="154"/>
      <c r="IM18" s="154"/>
      <c r="IN18" s="154"/>
      <c r="IO18" s="154"/>
      <c r="IP18" s="154"/>
      <c r="IQ18" s="154"/>
      <c r="IR18" s="154"/>
      <c r="IS18" s="154"/>
      <c r="IT18" s="154"/>
      <c r="IU18" s="154"/>
      <c r="IV18" s="154"/>
      <c r="IW18" s="154"/>
      <c r="IX18" s="154"/>
      <c r="IY18" s="154"/>
      <c r="IZ18" s="154"/>
      <c r="JA18" s="154"/>
      <c r="JB18" s="154"/>
      <c r="JC18" s="154"/>
      <c r="JD18" s="154"/>
      <c r="JE18" s="154"/>
      <c r="JF18" s="154"/>
      <c r="JG18" s="154"/>
      <c r="JH18" s="154"/>
      <c r="JI18" s="154"/>
      <c r="JJ18" s="154"/>
      <c r="JK18" s="154"/>
      <c r="JL18" s="154"/>
      <c r="JM18" s="154"/>
      <c r="JN18" s="154"/>
      <c r="JO18" s="154"/>
      <c r="JP18" s="154"/>
      <c r="JQ18" s="154"/>
      <c r="JR18" s="154"/>
      <c r="JS18" s="154"/>
      <c r="JT18" s="154"/>
      <c r="JU18" s="154"/>
      <c r="JV18" s="154"/>
      <c r="JW18" s="154"/>
      <c r="JX18" s="154"/>
      <c r="JY18" s="154"/>
      <c r="JZ18" s="154"/>
      <c r="KA18" s="154"/>
      <c r="KB18" s="154"/>
      <c r="KC18" s="154"/>
      <c r="KD18" s="154"/>
      <c r="KE18" s="154"/>
      <c r="KF18" s="154"/>
      <c r="KG18" s="154"/>
      <c r="KH18" s="154"/>
      <c r="KI18" s="154"/>
      <c r="KJ18" s="154"/>
      <c r="KK18" s="154"/>
      <c r="KL18" s="154"/>
      <c r="KM18" s="154"/>
      <c r="KN18" s="154"/>
      <c r="KO18" s="154"/>
      <c r="KP18" s="154"/>
      <c r="KQ18" s="154"/>
      <c r="KR18" s="154"/>
      <c r="KS18" s="154"/>
      <c r="KT18" s="154"/>
      <c r="KU18" s="154"/>
      <c r="KV18" s="154"/>
      <c r="KW18" s="154"/>
      <c r="KX18" s="154"/>
      <c r="KY18" s="154"/>
      <c r="KZ18" s="154"/>
      <c r="LA18" s="154"/>
      <c r="LB18" s="154"/>
      <c r="LC18" s="154"/>
      <c r="LD18" s="154"/>
      <c r="LE18" s="154"/>
      <c r="LF18" s="154"/>
    </row>
    <row r="19" spans="1:318" ht="30.75" thickBot="1">
      <c r="A19" s="96" t="s">
        <v>206</v>
      </c>
      <c r="B19" s="1">
        <f>A9</f>
        <v>0</v>
      </c>
      <c r="O19" s="104" t="s">
        <v>207</v>
      </c>
      <c r="P19" s="42"/>
      <c r="Q19" s="43"/>
      <c r="R19" s="190"/>
      <c r="S19" s="171">
        <f>(S14+S15)-S18</f>
        <v>127500</v>
      </c>
      <c r="T19" s="171">
        <f t="shared" ref="T19:AQ19" si="9">(T14+T15)-T18</f>
        <v>134136</v>
      </c>
      <c r="U19" s="171">
        <f t="shared" si="9"/>
        <v>140123.75310000009</v>
      </c>
      <c r="V19" s="171">
        <f t="shared" si="9"/>
        <v>145513.59836188518</v>
      </c>
      <c r="W19" s="171">
        <f t="shared" si="9"/>
        <v>150352.34234593436</v>
      </c>
      <c r="X19" s="171">
        <f t="shared" si="9"/>
        <v>154683.49326672452</v>
      </c>
      <c r="Y19" s="171">
        <f t="shared" si="9"/>
        <v>158547.48018211778</v>
      </c>
      <c r="Z19" s="171">
        <f t="shared" si="9"/>
        <v>161981.85814830614</v>
      </c>
      <c r="AA19" s="171">
        <f t="shared" si="9"/>
        <v>165021.50021678489</v>
      </c>
      <c r="AB19" s="171">
        <f t="shared" si="9"/>
        <v>168082.83625418763</v>
      </c>
      <c r="AC19" s="171">
        <f t="shared" si="9"/>
        <v>171631.25640040846</v>
      </c>
      <c r="AD19" s="171">
        <f t="shared" si="9"/>
        <v>175154.8376056056</v>
      </c>
      <c r="AE19" s="171">
        <f t="shared" si="9"/>
        <v>178653.75374236633</v>
      </c>
      <c r="AF19" s="171">
        <f t="shared" si="9"/>
        <v>182128.1774661697</v>
      </c>
      <c r="AG19" s="171">
        <f t="shared" si="9"/>
        <v>185578.28022390651</v>
      </c>
      <c r="AH19" s="171">
        <f t="shared" si="9"/>
        <v>189004.23226233921</v>
      </c>
      <c r="AI19" s="171">
        <f t="shared" si="9"/>
        <v>192406.20263650292</v>
      </c>
      <c r="AJ19" s="171">
        <f t="shared" si="9"/>
        <v>195784.35921804747</v>
      </c>
      <c r="AK19" s="171">
        <f t="shared" si="9"/>
        <v>199138.86870352109</v>
      </c>
      <c r="AL19" s="171">
        <f t="shared" si="9"/>
        <v>202469.89662259631</v>
      </c>
      <c r="AM19" s="171">
        <f t="shared" si="9"/>
        <v>205777.60734623834</v>
      </c>
      <c r="AN19" s="171">
        <f t="shared" si="9"/>
        <v>209062.16409481457</v>
      </c>
      <c r="AO19" s="171">
        <f t="shared" si="9"/>
        <v>212323.72894615098</v>
      </c>
      <c r="AP19" s="171">
        <f t="shared" si="9"/>
        <v>215562.46284352778</v>
      </c>
      <c r="AQ19" s="191">
        <f t="shared" si="9"/>
        <v>218778.52560362313</v>
      </c>
      <c r="AR19" s="152">
        <f>AVERAGE(S19:AQ19)</f>
        <v>177575.88862367038</v>
      </c>
      <c r="AW19" s="152"/>
      <c r="AX19" s="152"/>
      <c r="AY19" s="152"/>
      <c r="AZ19" s="152"/>
      <c r="BA19" s="152"/>
      <c r="BB19" s="152"/>
      <c r="BC19" s="152"/>
      <c r="BD19" s="152"/>
      <c r="BE19" s="152"/>
      <c r="BF19" s="152"/>
      <c r="BG19" s="152"/>
      <c r="BH19" s="152"/>
      <c r="BI19" s="152"/>
      <c r="BJ19" s="152"/>
      <c r="BK19" s="152"/>
      <c r="BL19" s="152"/>
      <c r="BM19" s="152"/>
      <c r="BN19" s="152"/>
      <c r="BO19" s="152"/>
      <c r="BP19" s="152"/>
      <c r="BQ19" s="152"/>
      <c r="BR19" s="152"/>
      <c r="BS19" s="152"/>
      <c r="BT19" s="152"/>
      <c r="BU19" s="152"/>
      <c r="BV19" s="152"/>
      <c r="BW19" s="152"/>
      <c r="BX19" s="152"/>
      <c r="BY19" s="152"/>
      <c r="BZ19" s="152"/>
      <c r="CA19" s="152"/>
      <c r="CB19" s="152"/>
      <c r="CC19" s="152"/>
      <c r="CD19" s="152"/>
      <c r="CE19" s="152"/>
      <c r="CF19" s="152"/>
      <c r="CG19" s="152"/>
      <c r="CH19" s="152"/>
      <c r="CI19" s="152"/>
      <c r="CJ19" s="152"/>
      <c r="CK19" s="152"/>
      <c r="CL19" s="152"/>
      <c r="CM19" s="152"/>
      <c r="CN19" s="152"/>
      <c r="CO19" s="152"/>
      <c r="CP19" s="152"/>
      <c r="CQ19" s="152"/>
      <c r="CR19" s="152"/>
      <c r="CS19" s="152"/>
      <c r="CT19" s="152"/>
      <c r="CU19" s="152"/>
      <c r="CV19" s="152"/>
      <c r="CW19" s="152"/>
      <c r="CX19" s="152"/>
      <c r="CY19" s="152"/>
      <c r="CZ19" s="152"/>
      <c r="DA19" s="152"/>
      <c r="DB19" s="152"/>
      <c r="DC19" s="152"/>
      <c r="DD19" s="152"/>
      <c r="DE19" s="152"/>
      <c r="DF19" s="152"/>
      <c r="DG19" s="152"/>
      <c r="DH19" s="152"/>
      <c r="DI19" s="152"/>
      <c r="DJ19" s="152"/>
      <c r="DK19" s="152"/>
      <c r="DL19" s="152"/>
      <c r="DM19" s="152"/>
      <c r="DN19" s="152"/>
      <c r="DO19" s="152"/>
      <c r="DP19" s="152"/>
      <c r="DQ19" s="152"/>
      <c r="DR19" s="152"/>
      <c r="DS19" s="152"/>
      <c r="DT19" s="152"/>
      <c r="DU19" s="152"/>
      <c r="DV19" s="152"/>
      <c r="DW19" s="152"/>
      <c r="DX19" s="152"/>
      <c r="DY19" s="152"/>
      <c r="DZ19" s="152"/>
      <c r="EA19" s="152"/>
      <c r="EB19" s="152"/>
      <c r="EC19" s="152"/>
      <c r="ED19" s="152"/>
      <c r="EE19" s="152"/>
      <c r="EF19" s="152"/>
      <c r="EG19" s="152"/>
      <c r="EH19" s="152"/>
      <c r="EI19" s="152"/>
      <c r="EJ19" s="152"/>
      <c r="EK19" s="152"/>
      <c r="EL19" s="152"/>
      <c r="EM19" s="152"/>
      <c r="EN19" s="152"/>
      <c r="EO19" s="152"/>
      <c r="EP19" s="152"/>
      <c r="EQ19" s="152"/>
      <c r="ER19" s="152"/>
      <c r="ES19" s="152"/>
      <c r="ET19" s="152"/>
      <c r="EU19" s="152"/>
      <c r="EV19" s="152"/>
      <c r="EW19" s="152"/>
      <c r="EX19" s="152"/>
      <c r="EY19" s="152"/>
      <c r="EZ19" s="152"/>
      <c r="FA19" s="152"/>
      <c r="FB19" s="152"/>
      <c r="FC19" s="152"/>
      <c r="FD19" s="152"/>
      <c r="FE19" s="152"/>
      <c r="FF19" s="152"/>
      <c r="FG19" s="152"/>
      <c r="FH19" s="152"/>
      <c r="FI19" s="152"/>
      <c r="FJ19" s="152"/>
      <c r="FK19" s="152"/>
      <c r="FL19" s="152"/>
      <c r="FM19" s="152"/>
      <c r="FN19" s="152"/>
      <c r="FO19" s="152"/>
      <c r="FP19" s="152"/>
      <c r="FQ19" s="152"/>
      <c r="FR19" s="152"/>
      <c r="FS19" s="152"/>
      <c r="FT19" s="152"/>
      <c r="FU19" s="152"/>
      <c r="FV19" s="152"/>
      <c r="FW19" s="152"/>
      <c r="FX19" s="152"/>
      <c r="FY19" s="152"/>
      <c r="FZ19" s="152"/>
      <c r="GA19" s="152"/>
      <c r="GB19" s="152"/>
      <c r="GC19" s="152"/>
      <c r="GD19" s="152"/>
      <c r="GE19" s="152"/>
      <c r="GF19" s="152"/>
      <c r="GG19" s="152"/>
      <c r="GH19" s="152"/>
      <c r="GI19" s="152"/>
      <c r="GJ19" s="152"/>
      <c r="GK19" s="152"/>
      <c r="GL19" s="152"/>
      <c r="GM19" s="152"/>
      <c r="GN19" s="152"/>
      <c r="GO19" s="152"/>
      <c r="GP19" s="152"/>
      <c r="GQ19" s="152"/>
      <c r="GR19" s="152"/>
      <c r="GS19" s="152"/>
      <c r="GT19" s="152"/>
      <c r="GU19" s="152"/>
      <c r="GV19" s="152"/>
      <c r="GW19" s="152"/>
      <c r="GX19" s="152"/>
      <c r="GY19" s="152"/>
      <c r="GZ19" s="152"/>
      <c r="HA19" s="152"/>
      <c r="HB19" s="152"/>
      <c r="HC19" s="152"/>
      <c r="HD19" s="152"/>
      <c r="HE19" s="152"/>
      <c r="HF19" s="152"/>
      <c r="HG19" s="152"/>
      <c r="HH19" s="152"/>
      <c r="HI19" s="152"/>
      <c r="HJ19" s="152"/>
      <c r="HK19" s="152"/>
      <c r="HL19" s="152"/>
      <c r="HM19" s="152"/>
      <c r="HN19" s="152"/>
      <c r="HO19" s="152"/>
      <c r="HP19" s="152"/>
      <c r="HQ19" s="152"/>
      <c r="HR19" s="152"/>
      <c r="HS19" s="152"/>
      <c r="HT19" s="152"/>
      <c r="HU19" s="152"/>
      <c r="HV19" s="152"/>
      <c r="HW19" s="152"/>
      <c r="HX19" s="152"/>
      <c r="HY19" s="152"/>
      <c r="HZ19" s="152"/>
      <c r="IA19" s="152"/>
      <c r="IB19" s="152"/>
      <c r="IC19" s="152"/>
      <c r="ID19" s="152"/>
      <c r="IE19" s="152"/>
      <c r="IF19" s="152"/>
      <c r="IG19" s="152"/>
      <c r="IH19" s="152"/>
      <c r="II19" s="152"/>
      <c r="IJ19" s="152"/>
      <c r="IK19" s="152"/>
      <c r="IL19" s="152"/>
      <c r="IM19" s="152"/>
      <c r="IN19" s="152"/>
      <c r="IO19" s="152"/>
      <c r="IP19" s="152"/>
      <c r="IQ19" s="152"/>
      <c r="IR19" s="152"/>
      <c r="IS19" s="152"/>
      <c r="IT19" s="152"/>
      <c r="IU19" s="152"/>
      <c r="IV19" s="152"/>
      <c r="IW19" s="152"/>
      <c r="IX19" s="152"/>
      <c r="IY19" s="152"/>
      <c r="IZ19" s="152"/>
      <c r="JA19" s="152"/>
      <c r="JB19" s="152"/>
      <c r="JC19" s="152"/>
      <c r="JD19" s="152"/>
      <c r="JE19" s="152"/>
      <c r="JF19" s="152"/>
      <c r="JG19" s="152"/>
      <c r="JH19" s="152"/>
      <c r="JI19" s="152"/>
      <c r="JJ19" s="152"/>
      <c r="JK19" s="152"/>
      <c r="JL19" s="152"/>
      <c r="JM19" s="152"/>
      <c r="JN19" s="152"/>
      <c r="JO19" s="152"/>
      <c r="JP19" s="152"/>
      <c r="JQ19" s="152"/>
      <c r="JR19" s="152"/>
      <c r="JS19" s="152"/>
      <c r="JT19" s="152"/>
      <c r="JU19" s="152"/>
      <c r="JV19" s="152"/>
      <c r="JW19" s="152"/>
      <c r="JX19" s="152"/>
      <c r="JY19" s="152"/>
      <c r="JZ19" s="152"/>
      <c r="KA19" s="152"/>
      <c r="KB19" s="152"/>
      <c r="KC19" s="152"/>
      <c r="KD19" s="152"/>
      <c r="KE19" s="152"/>
      <c r="KF19" s="152"/>
      <c r="KG19" s="152"/>
      <c r="KH19" s="152"/>
      <c r="KI19" s="152"/>
      <c r="KJ19" s="152"/>
      <c r="KK19" s="152"/>
      <c r="KL19" s="152"/>
      <c r="KM19" s="152"/>
      <c r="KN19" s="152"/>
      <c r="KO19" s="152"/>
      <c r="KP19" s="152"/>
      <c r="KQ19" s="152"/>
      <c r="KR19" s="152"/>
      <c r="KS19" s="152"/>
      <c r="KT19" s="152"/>
      <c r="KU19" s="152"/>
      <c r="KV19" s="152"/>
      <c r="KW19" s="152"/>
      <c r="KX19" s="152"/>
      <c r="KY19" s="152"/>
      <c r="KZ19" s="152"/>
      <c r="LA19" s="152"/>
      <c r="LB19" s="152"/>
      <c r="LC19" s="152"/>
      <c r="LD19" s="152"/>
      <c r="LE19" s="152"/>
      <c r="LF19" s="152"/>
    </row>
    <row r="20" spans="1:318">
      <c r="A20" s="96" t="s">
        <v>208</v>
      </c>
      <c r="B20" s="1">
        <f>MIN(B19,B18)</f>
        <v>0</v>
      </c>
      <c r="O20" s="139"/>
      <c r="Q20" s="140"/>
      <c r="R20" s="139"/>
      <c r="S20" s="152"/>
      <c r="T20" s="152"/>
      <c r="U20" s="152"/>
      <c r="V20" s="152"/>
      <c r="W20" s="152"/>
      <c r="X20" s="152"/>
      <c r="Y20" s="152"/>
      <c r="Z20" s="152"/>
      <c r="AA20" s="152"/>
      <c r="AB20" s="152"/>
      <c r="AC20" s="152"/>
      <c r="AD20" s="152"/>
      <c r="AE20" s="152"/>
      <c r="AF20" s="152"/>
      <c r="AG20" s="152"/>
      <c r="AH20" s="152"/>
      <c r="AI20" s="152"/>
      <c r="AJ20" s="152"/>
      <c r="AK20" s="152"/>
      <c r="AL20" s="152"/>
      <c r="AM20" s="152"/>
      <c r="AN20" s="152"/>
      <c r="AO20" s="152"/>
      <c r="AP20" s="152"/>
      <c r="AQ20" s="187"/>
      <c r="AR20" s="152" t="e">
        <f t="shared" ref="AR20:AR27" si="10">AVERAGE(S20:AQ20)</f>
        <v>#DIV/0!</v>
      </c>
      <c r="AW20" s="152"/>
      <c r="AX20" s="152"/>
      <c r="AY20" s="152"/>
      <c r="AZ20" s="152"/>
      <c r="BA20" s="152"/>
      <c r="BB20" s="152"/>
      <c r="BC20" s="152"/>
      <c r="BD20" s="152"/>
      <c r="BE20" s="152"/>
      <c r="BF20" s="152"/>
      <c r="BG20" s="152"/>
      <c r="BH20" s="152"/>
      <c r="BI20" s="152"/>
      <c r="BJ20" s="152"/>
      <c r="BK20" s="152"/>
      <c r="BL20" s="152"/>
      <c r="BM20" s="152"/>
      <c r="BN20" s="152"/>
      <c r="BO20" s="152"/>
      <c r="BP20" s="152"/>
      <c r="BQ20" s="152"/>
      <c r="BR20" s="152"/>
      <c r="BS20" s="152"/>
      <c r="BT20" s="152"/>
      <c r="BU20" s="152"/>
      <c r="BV20" s="152"/>
      <c r="BW20" s="152"/>
      <c r="BX20" s="152"/>
      <c r="BY20" s="152"/>
      <c r="BZ20" s="152"/>
      <c r="CA20" s="152"/>
      <c r="CB20" s="152"/>
      <c r="CC20" s="152"/>
      <c r="CD20" s="152"/>
      <c r="CE20" s="152"/>
      <c r="CF20" s="152"/>
      <c r="CG20" s="152"/>
      <c r="CH20" s="152"/>
      <c r="CI20" s="152"/>
      <c r="CJ20" s="152"/>
      <c r="CK20" s="152"/>
      <c r="CL20" s="152"/>
      <c r="CM20" s="152"/>
      <c r="CN20" s="152"/>
      <c r="CO20" s="152"/>
      <c r="CP20" s="152"/>
      <c r="CQ20" s="152"/>
      <c r="CR20" s="152"/>
      <c r="CS20" s="152"/>
      <c r="CT20" s="152"/>
      <c r="CU20" s="152"/>
      <c r="CV20" s="152"/>
      <c r="CW20" s="152"/>
      <c r="CX20" s="152"/>
      <c r="CY20" s="152"/>
      <c r="CZ20" s="152"/>
      <c r="DA20" s="152"/>
      <c r="DB20" s="152"/>
      <c r="DC20" s="152"/>
      <c r="DD20" s="152"/>
      <c r="DE20" s="152"/>
      <c r="DF20" s="152"/>
      <c r="DG20" s="152"/>
      <c r="DH20" s="152"/>
      <c r="DI20" s="152"/>
      <c r="DJ20" s="152"/>
      <c r="DK20" s="152"/>
      <c r="DL20" s="152"/>
      <c r="DM20" s="152"/>
      <c r="DN20" s="152"/>
      <c r="DO20" s="152"/>
      <c r="DP20" s="152"/>
      <c r="DQ20" s="152"/>
      <c r="DR20" s="152"/>
      <c r="DS20" s="152"/>
      <c r="DT20" s="152"/>
      <c r="DU20" s="152"/>
      <c r="DV20" s="152"/>
      <c r="DW20" s="152"/>
      <c r="DX20" s="152"/>
      <c r="DY20" s="152"/>
      <c r="DZ20" s="152"/>
      <c r="EA20" s="152"/>
      <c r="EB20" s="152"/>
      <c r="EC20" s="152"/>
      <c r="ED20" s="152"/>
      <c r="EE20" s="152"/>
      <c r="EF20" s="152"/>
      <c r="EG20" s="152"/>
      <c r="EH20" s="152"/>
      <c r="EI20" s="152"/>
      <c r="EJ20" s="152"/>
      <c r="EK20" s="152"/>
      <c r="EL20" s="152"/>
      <c r="EM20" s="152"/>
      <c r="EN20" s="152"/>
      <c r="EO20" s="152"/>
      <c r="EP20" s="152"/>
      <c r="EQ20" s="152"/>
      <c r="ER20" s="152"/>
      <c r="ES20" s="152"/>
      <c r="ET20" s="152"/>
      <c r="EU20" s="152"/>
      <c r="EV20" s="152"/>
      <c r="EW20" s="152"/>
      <c r="EX20" s="152"/>
      <c r="EY20" s="152"/>
      <c r="EZ20" s="152"/>
      <c r="FA20" s="152"/>
      <c r="FB20" s="152"/>
      <c r="FC20" s="152"/>
      <c r="FD20" s="152"/>
      <c r="FE20" s="152"/>
      <c r="FF20" s="152"/>
      <c r="FG20" s="152"/>
      <c r="FH20" s="152"/>
      <c r="FI20" s="152"/>
      <c r="FJ20" s="152"/>
      <c r="FK20" s="152"/>
      <c r="FL20" s="152"/>
      <c r="FM20" s="152"/>
      <c r="FN20" s="152"/>
      <c r="FO20" s="152"/>
      <c r="FP20" s="152"/>
      <c r="FQ20" s="152"/>
      <c r="FR20" s="152"/>
      <c r="FS20" s="152"/>
      <c r="FT20" s="152"/>
      <c r="FU20" s="152"/>
      <c r="FV20" s="152"/>
      <c r="FW20" s="152"/>
      <c r="FX20" s="152"/>
      <c r="FY20" s="152"/>
      <c r="FZ20" s="152"/>
      <c r="GA20" s="152"/>
      <c r="GB20" s="152"/>
      <c r="GC20" s="152"/>
      <c r="GD20" s="152"/>
      <c r="GE20" s="152"/>
      <c r="GF20" s="152"/>
      <c r="GG20" s="152"/>
      <c r="GH20" s="152"/>
      <c r="GI20" s="152"/>
      <c r="GJ20" s="152"/>
      <c r="GK20" s="152"/>
      <c r="GL20" s="152"/>
      <c r="GM20" s="152"/>
      <c r="GN20" s="152"/>
      <c r="GO20" s="152"/>
      <c r="GP20" s="152"/>
      <c r="GQ20" s="152"/>
      <c r="GR20" s="152"/>
      <c r="GS20" s="152"/>
      <c r="GT20" s="152"/>
      <c r="GU20" s="152"/>
      <c r="GV20" s="152"/>
      <c r="GW20" s="152"/>
      <c r="GX20" s="152"/>
      <c r="GY20" s="152"/>
      <c r="GZ20" s="152"/>
      <c r="HA20" s="152"/>
      <c r="HB20" s="152"/>
      <c r="HC20" s="152"/>
      <c r="HD20" s="152"/>
      <c r="HE20" s="152"/>
      <c r="HF20" s="152"/>
      <c r="HG20" s="152"/>
      <c r="HH20" s="152"/>
      <c r="HI20" s="152"/>
      <c r="HJ20" s="152"/>
      <c r="HK20" s="152"/>
      <c r="HL20" s="152"/>
      <c r="HM20" s="152"/>
      <c r="HN20" s="152"/>
      <c r="HO20" s="152"/>
      <c r="HP20" s="152"/>
      <c r="HQ20" s="152"/>
      <c r="HR20" s="152"/>
      <c r="HS20" s="152"/>
      <c r="HT20" s="152"/>
      <c r="HU20" s="152"/>
      <c r="HV20" s="152"/>
      <c r="HW20" s="152"/>
      <c r="HX20" s="152"/>
      <c r="HY20" s="152"/>
      <c r="HZ20" s="152"/>
      <c r="IA20" s="152"/>
      <c r="IB20" s="152"/>
      <c r="IC20" s="152"/>
      <c r="ID20" s="152"/>
      <c r="IE20" s="152"/>
      <c r="IF20" s="152"/>
      <c r="IG20" s="152"/>
      <c r="IH20" s="152"/>
      <c r="II20" s="152"/>
      <c r="IJ20" s="152"/>
      <c r="IK20" s="152"/>
      <c r="IL20" s="152"/>
      <c r="IM20" s="152"/>
      <c r="IN20" s="152"/>
      <c r="IO20" s="152"/>
      <c r="IP20" s="152"/>
      <c r="IQ20" s="152"/>
      <c r="IR20" s="152"/>
      <c r="IS20" s="152"/>
      <c r="IT20" s="152"/>
      <c r="IU20" s="152"/>
      <c r="IV20" s="152"/>
      <c r="IW20" s="152"/>
      <c r="IX20" s="152"/>
      <c r="IY20" s="152"/>
      <c r="IZ20" s="152"/>
      <c r="JA20" s="152"/>
      <c r="JB20" s="152"/>
      <c r="JC20" s="152"/>
      <c r="JD20" s="152"/>
      <c r="JE20" s="152"/>
      <c r="JF20" s="152"/>
      <c r="JG20" s="152"/>
      <c r="JH20" s="152"/>
      <c r="JI20" s="152"/>
      <c r="JJ20" s="152"/>
      <c r="JK20" s="152"/>
      <c r="JL20" s="152"/>
      <c r="JM20" s="152"/>
      <c r="JN20" s="152"/>
      <c r="JO20" s="152"/>
      <c r="JP20" s="152"/>
      <c r="JQ20" s="152"/>
      <c r="JR20" s="152"/>
      <c r="JS20" s="152"/>
      <c r="JT20" s="152"/>
      <c r="JU20" s="152"/>
      <c r="JV20" s="152"/>
      <c r="JW20" s="152"/>
      <c r="JX20" s="152"/>
      <c r="JY20" s="152"/>
      <c r="JZ20" s="152"/>
      <c r="KA20" s="152"/>
      <c r="KB20" s="152"/>
      <c r="KC20" s="152"/>
      <c r="KD20" s="152"/>
      <c r="KE20" s="152"/>
      <c r="KF20" s="152"/>
      <c r="KG20" s="152"/>
      <c r="KH20" s="152"/>
      <c r="KI20" s="152"/>
      <c r="KJ20" s="152"/>
      <c r="KK20" s="152"/>
      <c r="KL20" s="152"/>
      <c r="KM20" s="152"/>
      <c r="KN20" s="152"/>
      <c r="KO20" s="152"/>
      <c r="KP20" s="152"/>
      <c r="KQ20" s="152"/>
      <c r="KR20" s="152"/>
      <c r="KS20" s="152"/>
      <c r="KT20" s="152"/>
      <c r="KU20" s="152"/>
      <c r="KV20" s="152"/>
      <c r="KW20" s="152"/>
      <c r="KX20" s="152"/>
      <c r="KY20" s="152"/>
      <c r="KZ20" s="152"/>
      <c r="LA20" s="152"/>
      <c r="LB20" s="152"/>
      <c r="LC20" s="152"/>
      <c r="LD20" s="152"/>
      <c r="LE20" s="152"/>
      <c r="LF20" s="152"/>
    </row>
    <row r="21" spans="1:318" ht="30">
      <c r="A21" s="96" t="s">
        <v>209</v>
      </c>
      <c r="B21" s="1">
        <f>B17+B20*D16</f>
        <v>23013.698630136983</v>
      </c>
      <c r="O21" s="139"/>
      <c r="Q21" s="140"/>
      <c r="R21" s="139"/>
      <c r="S21" s="152"/>
      <c r="T21" s="152"/>
      <c r="U21" s="152"/>
      <c r="V21" s="152"/>
      <c r="W21" s="152"/>
      <c r="X21" s="152"/>
      <c r="Y21" s="152"/>
      <c r="Z21" s="152"/>
      <c r="AA21" s="152"/>
      <c r="AB21" s="152"/>
      <c r="AC21" s="152"/>
      <c r="AD21" s="152"/>
      <c r="AE21" s="152"/>
      <c r="AF21" s="152"/>
      <c r="AG21" s="152"/>
      <c r="AH21" s="152"/>
      <c r="AI21" s="152"/>
      <c r="AJ21" s="152"/>
      <c r="AK21" s="152"/>
      <c r="AL21" s="152"/>
      <c r="AM21" s="152"/>
      <c r="AN21" s="152"/>
      <c r="AO21" s="152"/>
      <c r="AP21" s="152"/>
      <c r="AQ21" s="187"/>
      <c r="AR21" s="152" t="e">
        <f t="shared" si="10"/>
        <v>#DIV/0!</v>
      </c>
      <c r="AW21" s="152"/>
      <c r="AX21" s="152"/>
      <c r="AY21" s="152"/>
      <c r="AZ21" s="152"/>
      <c r="BA21" s="152"/>
      <c r="BB21" s="152"/>
      <c r="BC21" s="152"/>
      <c r="BD21" s="152"/>
      <c r="BE21" s="152"/>
      <c r="BF21" s="152"/>
      <c r="BG21" s="152"/>
      <c r="BH21" s="152"/>
      <c r="BI21" s="152"/>
      <c r="BJ21" s="152"/>
      <c r="BK21" s="152"/>
      <c r="BL21" s="152"/>
      <c r="BM21" s="152"/>
      <c r="BN21" s="152"/>
      <c r="BO21" s="152"/>
      <c r="BP21" s="152"/>
      <c r="BQ21" s="152"/>
      <c r="BR21" s="152"/>
      <c r="BS21" s="152"/>
      <c r="BT21" s="152"/>
      <c r="BU21" s="152"/>
      <c r="BV21" s="152"/>
      <c r="BW21" s="152"/>
      <c r="BX21" s="152"/>
      <c r="BY21" s="152"/>
      <c r="BZ21" s="152"/>
      <c r="CA21" s="152"/>
      <c r="CB21" s="152"/>
      <c r="CC21" s="152"/>
      <c r="CD21" s="152"/>
      <c r="CE21" s="152"/>
      <c r="CF21" s="152"/>
      <c r="CG21" s="152"/>
      <c r="CH21" s="152"/>
      <c r="CI21" s="152"/>
      <c r="CJ21" s="152"/>
      <c r="CK21" s="152"/>
      <c r="CL21" s="152"/>
      <c r="CM21" s="152"/>
      <c r="CN21" s="152"/>
      <c r="CO21" s="152"/>
      <c r="CP21" s="152"/>
      <c r="CQ21" s="152"/>
      <c r="CR21" s="152"/>
      <c r="CS21" s="152"/>
      <c r="CT21" s="152"/>
      <c r="CU21" s="152"/>
      <c r="CV21" s="152"/>
      <c r="CW21" s="152"/>
      <c r="CX21" s="152"/>
      <c r="CY21" s="152"/>
      <c r="CZ21" s="152"/>
      <c r="DA21" s="152"/>
      <c r="DB21" s="152"/>
      <c r="DC21" s="152"/>
      <c r="DD21" s="152"/>
      <c r="DE21" s="152"/>
      <c r="DF21" s="152"/>
      <c r="DG21" s="152"/>
      <c r="DH21" s="152"/>
      <c r="DI21" s="152"/>
      <c r="DJ21" s="152"/>
      <c r="DK21" s="152"/>
      <c r="DL21" s="152"/>
      <c r="DM21" s="152"/>
      <c r="DN21" s="152"/>
      <c r="DO21" s="152"/>
      <c r="DP21" s="152"/>
      <c r="DQ21" s="152"/>
      <c r="DR21" s="152"/>
      <c r="DS21" s="152"/>
      <c r="DT21" s="152"/>
      <c r="DU21" s="152"/>
      <c r="DV21" s="152"/>
      <c r="DW21" s="152"/>
      <c r="DX21" s="152"/>
      <c r="DY21" s="152"/>
      <c r="DZ21" s="152"/>
      <c r="EA21" s="152"/>
      <c r="EB21" s="152"/>
      <c r="EC21" s="152"/>
      <c r="ED21" s="152"/>
      <c r="EE21" s="152"/>
      <c r="EF21" s="152"/>
      <c r="EG21" s="152"/>
      <c r="EH21" s="152"/>
      <c r="EI21" s="152"/>
      <c r="EJ21" s="152"/>
      <c r="EK21" s="152"/>
      <c r="EL21" s="152"/>
      <c r="EM21" s="152"/>
      <c r="EN21" s="152"/>
      <c r="EO21" s="152"/>
      <c r="EP21" s="152"/>
      <c r="EQ21" s="152"/>
      <c r="ER21" s="152"/>
      <c r="ES21" s="152"/>
      <c r="ET21" s="152"/>
      <c r="EU21" s="152"/>
      <c r="EV21" s="152"/>
      <c r="EW21" s="152"/>
      <c r="EX21" s="152"/>
      <c r="EY21" s="152"/>
      <c r="EZ21" s="152"/>
      <c r="FA21" s="152"/>
      <c r="FB21" s="152"/>
      <c r="FC21" s="152"/>
      <c r="FD21" s="152"/>
      <c r="FE21" s="152"/>
      <c r="FF21" s="152"/>
      <c r="FG21" s="152"/>
      <c r="FH21" s="152"/>
      <c r="FI21" s="152"/>
      <c r="FJ21" s="152"/>
      <c r="FK21" s="152"/>
      <c r="FL21" s="152"/>
      <c r="FM21" s="152"/>
      <c r="FN21" s="152"/>
      <c r="FO21" s="152"/>
      <c r="FP21" s="152"/>
      <c r="FQ21" s="152"/>
      <c r="FR21" s="152"/>
      <c r="FS21" s="152"/>
      <c r="FT21" s="152"/>
      <c r="FU21" s="152"/>
      <c r="FV21" s="152"/>
      <c r="FW21" s="152"/>
      <c r="FX21" s="152"/>
      <c r="FY21" s="152"/>
      <c r="FZ21" s="152"/>
      <c r="GA21" s="152"/>
      <c r="GB21" s="152"/>
      <c r="GC21" s="152"/>
      <c r="GD21" s="152"/>
      <c r="GE21" s="152"/>
      <c r="GF21" s="152"/>
      <c r="GG21" s="152"/>
      <c r="GH21" s="152"/>
      <c r="GI21" s="152"/>
      <c r="GJ21" s="152"/>
      <c r="GK21" s="152"/>
      <c r="GL21" s="152"/>
      <c r="GM21" s="152"/>
      <c r="GN21" s="152"/>
      <c r="GO21" s="152"/>
      <c r="GP21" s="152"/>
      <c r="GQ21" s="152"/>
      <c r="GR21" s="152"/>
      <c r="GS21" s="152"/>
      <c r="GT21" s="152"/>
      <c r="GU21" s="152"/>
      <c r="GV21" s="152"/>
      <c r="GW21" s="152"/>
      <c r="GX21" s="152"/>
      <c r="GY21" s="152"/>
      <c r="GZ21" s="152"/>
      <c r="HA21" s="152"/>
      <c r="HB21" s="152"/>
      <c r="HC21" s="152"/>
      <c r="HD21" s="152"/>
      <c r="HE21" s="152"/>
      <c r="HF21" s="152"/>
      <c r="HG21" s="152"/>
      <c r="HH21" s="152"/>
      <c r="HI21" s="152"/>
      <c r="HJ21" s="152"/>
      <c r="HK21" s="152"/>
      <c r="HL21" s="152"/>
      <c r="HM21" s="152"/>
      <c r="HN21" s="152"/>
      <c r="HO21" s="152"/>
      <c r="HP21" s="152"/>
      <c r="HQ21" s="152"/>
      <c r="HR21" s="152"/>
      <c r="HS21" s="152"/>
      <c r="HT21" s="152"/>
      <c r="HU21" s="152"/>
      <c r="HV21" s="152"/>
      <c r="HW21" s="152"/>
      <c r="HX21" s="152"/>
      <c r="HY21" s="152"/>
      <c r="HZ21" s="152"/>
      <c r="IA21" s="152"/>
      <c r="IB21" s="152"/>
      <c r="IC21" s="152"/>
      <c r="ID21" s="152"/>
      <c r="IE21" s="152"/>
      <c r="IF21" s="152"/>
      <c r="IG21" s="152"/>
      <c r="IH21" s="152"/>
      <c r="II21" s="152"/>
      <c r="IJ21" s="152"/>
      <c r="IK21" s="152"/>
      <c r="IL21" s="152"/>
      <c r="IM21" s="152"/>
      <c r="IN21" s="152"/>
      <c r="IO21" s="152"/>
      <c r="IP21" s="152"/>
      <c r="IQ21" s="152"/>
      <c r="IR21" s="152"/>
      <c r="IS21" s="152"/>
      <c r="IT21" s="152"/>
      <c r="IU21" s="152"/>
      <c r="IV21" s="152"/>
      <c r="IW21" s="152"/>
      <c r="IX21" s="152"/>
      <c r="IY21" s="152"/>
      <c r="IZ21" s="152"/>
      <c r="JA21" s="152"/>
      <c r="JB21" s="152"/>
      <c r="JC21" s="152"/>
      <c r="JD21" s="152"/>
      <c r="JE21" s="152"/>
      <c r="JF21" s="152"/>
      <c r="JG21" s="152"/>
      <c r="JH21" s="152"/>
      <c r="JI21" s="152"/>
      <c r="JJ21" s="152"/>
      <c r="JK21" s="152"/>
      <c r="JL21" s="152"/>
      <c r="JM21" s="152"/>
      <c r="JN21" s="152"/>
      <c r="JO21" s="152"/>
      <c r="JP21" s="152"/>
      <c r="JQ21" s="152"/>
      <c r="JR21" s="152"/>
      <c r="JS21" s="152"/>
      <c r="JT21" s="152"/>
      <c r="JU21" s="152"/>
      <c r="JV21" s="152"/>
      <c r="JW21" s="152"/>
      <c r="JX21" s="152"/>
      <c r="JY21" s="152"/>
      <c r="JZ21" s="152"/>
      <c r="KA21" s="152"/>
      <c r="KB21" s="152"/>
      <c r="KC21" s="152"/>
      <c r="KD21" s="152"/>
      <c r="KE21" s="152"/>
      <c r="KF21" s="152"/>
      <c r="KG21" s="152"/>
      <c r="KH21" s="152"/>
      <c r="KI21" s="152"/>
      <c r="KJ21" s="152"/>
      <c r="KK21" s="152"/>
      <c r="KL21" s="152"/>
      <c r="KM21" s="152"/>
      <c r="KN21" s="152"/>
      <c r="KO21" s="152"/>
      <c r="KP21" s="152"/>
      <c r="KQ21" s="152"/>
      <c r="KR21" s="152"/>
      <c r="KS21" s="152"/>
      <c r="KT21" s="152"/>
      <c r="KU21" s="152"/>
      <c r="KV21" s="152"/>
      <c r="KW21" s="152"/>
      <c r="KX21" s="152"/>
      <c r="KY21" s="152"/>
      <c r="KZ21" s="152"/>
      <c r="LA21" s="152"/>
      <c r="LB21" s="152"/>
      <c r="LC21" s="152"/>
      <c r="LD21" s="152"/>
      <c r="LE21" s="152"/>
      <c r="LF21" s="152"/>
    </row>
    <row r="22" spans="1:318" ht="30">
      <c r="A22" s="96" t="s">
        <v>210</v>
      </c>
      <c r="B22" s="155">
        <f>B21/B16</f>
        <v>0.7</v>
      </c>
      <c r="M22" s="152"/>
      <c r="O22" s="200" t="s">
        <v>211</v>
      </c>
      <c r="Q22" s="140"/>
      <c r="R22" s="139"/>
      <c r="S22" s="188">
        <f>$P$6*$A$6</f>
        <v>48000</v>
      </c>
      <c r="T22" s="188">
        <f>S22*(1+$W$6)</f>
        <v>49440</v>
      </c>
      <c r="U22" s="188">
        <f t="shared" ref="U22:AJ23" si="11">T22*(1+$W$6)</f>
        <v>50923.200000000004</v>
      </c>
      <c r="V22" s="188">
        <f t="shared" si="11"/>
        <v>52450.896000000008</v>
      </c>
      <c r="W22" s="188">
        <f t="shared" si="11"/>
        <v>54024.422880000013</v>
      </c>
      <c r="X22" s="188">
        <f t="shared" si="11"/>
        <v>55645.155566400012</v>
      </c>
      <c r="Y22" s="188">
        <f t="shared" si="11"/>
        <v>57314.510233392015</v>
      </c>
      <c r="Z22" s="188">
        <f t="shared" si="11"/>
        <v>59033.945540393775</v>
      </c>
      <c r="AA22" s="188">
        <f t="shared" si="11"/>
        <v>60804.96390660559</v>
      </c>
      <c r="AB22" s="188">
        <f t="shared" si="11"/>
        <v>62629.112823803756</v>
      </c>
      <c r="AC22" s="188">
        <f t="shared" si="11"/>
        <v>64507.986208517868</v>
      </c>
      <c r="AD22" s="188">
        <f t="shared" si="11"/>
        <v>66443.225794773403</v>
      </c>
      <c r="AE22" s="188">
        <f t="shared" si="11"/>
        <v>68436.522568616609</v>
      </c>
      <c r="AF22" s="188">
        <f t="shared" si="11"/>
        <v>70489.618245675112</v>
      </c>
      <c r="AG22" s="188">
        <f t="shared" si="11"/>
        <v>72604.306793045369</v>
      </c>
      <c r="AH22" s="188">
        <f t="shared" si="11"/>
        <v>74782.435996836735</v>
      </c>
      <c r="AI22" s="188">
        <f t="shared" si="11"/>
        <v>77025.909076741838</v>
      </c>
      <c r="AJ22" s="188">
        <f t="shared" si="11"/>
        <v>79336.686349044103</v>
      </c>
      <c r="AK22" s="188">
        <f t="shared" ref="AK22:AQ23" si="12">AJ22*(1+$W$6)</f>
        <v>81716.786939515427</v>
      </c>
      <c r="AL22" s="188">
        <f t="shared" si="12"/>
        <v>84168.29054770089</v>
      </c>
      <c r="AM22" s="188">
        <f t="shared" si="12"/>
        <v>86693.339264131922</v>
      </c>
      <c r="AN22" s="188">
        <f t="shared" si="12"/>
        <v>89294.139442055879</v>
      </c>
      <c r="AO22" s="188">
        <f t="shared" si="12"/>
        <v>91972.963625317556</v>
      </c>
      <c r="AP22" s="188">
        <f t="shared" si="12"/>
        <v>94732.15253407709</v>
      </c>
      <c r="AQ22" s="189">
        <f t="shared" si="12"/>
        <v>97574.117110099411</v>
      </c>
      <c r="AR22" s="152">
        <f t="shared" si="10"/>
        <v>70001.78749786978</v>
      </c>
      <c r="AW22" s="152"/>
      <c r="AX22" s="152"/>
      <c r="AY22" s="152"/>
      <c r="AZ22" s="152"/>
      <c r="BA22" s="152"/>
      <c r="BB22" s="152"/>
      <c r="BC22" s="152"/>
      <c r="BD22" s="152"/>
      <c r="BE22" s="152"/>
      <c r="BF22" s="152"/>
      <c r="BG22" s="152"/>
      <c r="BH22" s="152"/>
      <c r="BI22" s="152"/>
      <c r="BJ22" s="152"/>
      <c r="BK22" s="152"/>
      <c r="BL22" s="152"/>
      <c r="BM22" s="152"/>
      <c r="BN22" s="152"/>
      <c r="BO22" s="152"/>
      <c r="BP22" s="152"/>
      <c r="BQ22" s="152"/>
      <c r="BR22" s="152"/>
      <c r="BS22" s="152"/>
      <c r="BT22" s="152"/>
      <c r="BU22" s="152"/>
      <c r="BV22" s="152"/>
      <c r="BW22" s="152"/>
      <c r="BX22" s="152"/>
      <c r="BY22" s="152"/>
      <c r="BZ22" s="152"/>
      <c r="CA22" s="152"/>
      <c r="CB22" s="152"/>
      <c r="CC22" s="152"/>
      <c r="CD22" s="152"/>
      <c r="CE22" s="152"/>
      <c r="CF22" s="152"/>
      <c r="CG22" s="152"/>
      <c r="CH22" s="152"/>
      <c r="CI22" s="152"/>
      <c r="CJ22" s="152"/>
      <c r="CK22" s="152"/>
      <c r="CL22" s="152"/>
      <c r="CM22" s="152"/>
      <c r="CN22" s="152"/>
      <c r="CO22" s="152"/>
      <c r="CP22" s="152"/>
      <c r="CQ22" s="152"/>
      <c r="CR22" s="152"/>
      <c r="CS22" s="152"/>
      <c r="CT22" s="152"/>
      <c r="CU22" s="152"/>
      <c r="CV22" s="152"/>
      <c r="CW22" s="152"/>
      <c r="CX22" s="152"/>
      <c r="CY22" s="152"/>
      <c r="CZ22" s="152"/>
      <c r="DA22" s="152"/>
      <c r="DB22" s="152"/>
      <c r="DC22" s="152"/>
      <c r="DD22" s="152"/>
      <c r="DE22" s="152"/>
      <c r="DF22" s="152"/>
      <c r="DG22" s="152"/>
      <c r="DH22" s="152"/>
      <c r="DI22" s="152"/>
      <c r="DJ22" s="152"/>
      <c r="DK22" s="152"/>
      <c r="DL22" s="152"/>
      <c r="DM22" s="152"/>
      <c r="DN22" s="152"/>
      <c r="DO22" s="152"/>
      <c r="DP22" s="152"/>
      <c r="DQ22" s="152"/>
      <c r="DR22" s="152"/>
      <c r="DS22" s="152"/>
      <c r="DT22" s="152"/>
      <c r="DU22" s="152"/>
      <c r="DV22" s="152"/>
      <c r="DW22" s="152"/>
      <c r="DX22" s="152"/>
      <c r="DY22" s="152"/>
      <c r="DZ22" s="152"/>
      <c r="EA22" s="152"/>
      <c r="EB22" s="152"/>
      <c r="EC22" s="152"/>
      <c r="ED22" s="152"/>
      <c r="EE22" s="152"/>
      <c r="EF22" s="152"/>
      <c r="EG22" s="152"/>
      <c r="EH22" s="152"/>
      <c r="EI22" s="152"/>
      <c r="EJ22" s="152"/>
      <c r="EK22" s="152"/>
      <c r="EL22" s="152"/>
      <c r="EM22" s="152"/>
      <c r="EN22" s="152"/>
      <c r="EO22" s="152"/>
      <c r="EP22" s="152"/>
      <c r="EQ22" s="152"/>
      <c r="ER22" s="152"/>
      <c r="ES22" s="152"/>
      <c r="ET22" s="152"/>
      <c r="EU22" s="152"/>
      <c r="EV22" s="152"/>
      <c r="EW22" s="152"/>
      <c r="EX22" s="152"/>
      <c r="EY22" s="152"/>
      <c r="EZ22" s="152"/>
      <c r="FA22" s="152"/>
      <c r="FB22" s="152"/>
      <c r="FC22" s="152"/>
      <c r="FD22" s="152"/>
      <c r="FE22" s="152"/>
      <c r="FF22" s="152"/>
      <c r="FG22" s="152"/>
      <c r="FH22" s="152"/>
      <c r="FI22" s="152"/>
      <c r="FJ22" s="152"/>
      <c r="FK22" s="152"/>
      <c r="FL22" s="152"/>
      <c r="FM22" s="152"/>
      <c r="FN22" s="152"/>
      <c r="FO22" s="152"/>
      <c r="FP22" s="152"/>
      <c r="FQ22" s="152"/>
      <c r="FR22" s="152"/>
      <c r="FS22" s="152"/>
      <c r="FT22" s="152"/>
      <c r="FU22" s="152"/>
      <c r="FV22" s="152"/>
      <c r="FW22" s="152"/>
      <c r="FX22" s="152"/>
      <c r="FY22" s="152"/>
      <c r="FZ22" s="152"/>
      <c r="GA22" s="152"/>
      <c r="GB22" s="152"/>
      <c r="GC22" s="152"/>
      <c r="GD22" s="152"/>
      <c r="GE22" s="152"/>
      <c r="GF22" s="152"/>
      <c r="GG22" s="152"/>
      <c r="GH22" s="152"/>
      <c r="GI22" s="152"/>
      <c r="GJ22" s="152"/>
      <c r="GK22" s="152"/>
      <c r="GL22" s="152"/>
      <c r="GM22" s="152"/>
      <c r="GN22" s="152"/>
      <c r="GO22" s="152"/>
      <c r="GP22" s="152"/>
      <c r="GQ22" s="152"/>
      <c r="GR22" s="152"/>
      <c r="GS22" s="152"/>
      <c r="GT22" s="152"/>
      <c r="GU22" s="152"/>
      <c r="GV22" s="152"/>
      <c r="GW22" s="152"/>
      <c r="GX22" s="152"/>
      <c r="GY22" s="152"/>
      <c r="GZ22" s="152"/>
      <c r="HA22" s="152"/>
      <c r="HB22" s="152"/>
      <c r="HC22" s="152"/>
      <c r="HD22" s="152"/>
      <c r="HE22" s="152"/>
      <c r="HF22" s="152"/>
      <c r="HG22" s="152"/>
      <c r="HH22" s="152"/>
      <c r="HI22" s="152"/>
      <c r="HJ22" s="152"/>
      <c r="HK22" s="152"/>
      <c r="HL22" s="152"/>
      <c r="HM22" s="152"/>
      <c r="HN22" s="152"/>
      <c r="HO22" s="152"/>
      <c r="HP22" s="152"/>
      <c r="HQ22" s="152"/>
      <c r="HR22" s="152"/>
      <c r="HS22" s="152"/>
      <c r="HT22" s="152"/>
      <c r="HU22" s="152"/>
      <c r="HV22" s="152"/>
      <c r="HW22" s="152"/>
      <c r="HX22" s="152"/>
      <c r="HY22" s="152"/>
      <c r="HZ22" s="152"/>
      <c r="IA22" s="152"/>
      <c r="IB22" s="152"/>
      <c r="IC22" s="152"/>
      <c r="ID22" s="152"/>
      <c r="IE22" s="152"/>
      <c r="IF22" s="152"/>
      <c r="IG22" s="152"/>
      <c r="IH22" s="152"/>
      <c r="II22" s="152"/>
      <c r="IJ22" s="152"/>
      <c r="IK22" s="152"/>
      <c r="IL22" s="152"/>
      <c r="IM22" s="152"/>
      <c r="IN22" s="152"/>
      <c r="IO22" s="152"/>
      <c r="IP22" s="152"/>
      <c r="IQ22" s="152"/>
      <c r="IR22" s="152"/>
      <c r="IS22" s="152"/>
      <c r="IT22" s="152"/>
      <c r="IU22" s="152"/>
      <c r="IV22" s="152"/>
      <c r="IW22" s="152"/>
      <c r="IX22" s="152"/>
      <c r="IY22" s="152"/>
      <c r="IZ22" s="152"/>
      <c r="JA22" s="152"/>
      <c r="JB22" s="152"/>
      <c r="JC22" s="152"/>
      <c r="JD22" s="152"/>
      <c r="JE22" s="152"/>
      <c r="JF22" s="152"/>
      <c r="JG22" s="152"/>
      <c r="JH22" s="152"/>
      <c r="JI22" s="152"/>
      <c r="JJ22" s="152"/>
      <c r="JK22" s="152"/>
      <c r="JL22" s="152"/>
      <c r="JM22" s="152"/>
      <c r="JN22" s="152"/>
      <c r="JO22" s="152"/>
      <c r="JP22" s="152"/>
      <c r="JQ22" s="152"/>
      <c r="JR22" s="152"/>
      <c r="JS22" s="152"/>
      <c r="JT22" s="152"/>
      <c r="JU22" s="152"/>
      <c r="JV22" s="152"/>
      <c r="JW22" s="152"/>
      <c r="JX22" s="152"/>
      <c r="JY22" s="152"/>
      <c r="JZ22" s="152"/>
      <c r="KA22" s="152"/>
      <c r="KB22" s="152"/>
      <c r="KC22" s="152"/>
      <c r="KD22" s="152"/>
      <c r="KE22" s="152"/>
      <c r="KF22" s="152"/>
      <c r="KG22" s="152"/>
      <c r="KH22" s="152"/>
      <c r="KI22" s="152"/>
      <c r="KJ22" s="152"/>
      <c r="KK22" s="152"/>
      <c r="KL22" s="152"/>
      <c r="KM22" s="152"/>
      <c r="KN22" s="152"/>
      <c r="KO22" s="152"/>
      <c r="KP22" s="152"/>
      <c r="KQ22" s="152"/>
      <c r="KR22" s="152"/>
      <c r="KS22" s="152"/>
      <c r="KT22" s="152"/>
      <c r="KU22" s="152"/>
      <c r="KV22" s="152"/>
      <c r="KW22" s="152"/>
      <c r="KX22" s="152"/>
      <c r="KY22" s="152"/>
      <c r="KZ22" s="152"/>
      <c r="LA22" s="152"/>
      <c r="LB22" s="152"/>
      <c r="LC22" s="152"/>
      <c r="LD22" s="152"/>
      <c r="LE22" s="152"/>
      <c r="LF22" s="152"/>
    </row>
    <row r="23" spans="1:318">
      <c r="O23" s="200" t="s">
        <v>212</v>
      </c>
      <c r="Q23" s="140"/>
      <c r="R23" s="139"/>
      <c r="S23" s="188">
        <f>$T$6</f>
        <v>16000</v>
      </c>
      <c r="T23" s="188">
        <f>S23*(1+$W$6)</f>
        <v>16480</v>
      </c>
      <c r="U23" s="188">
        <f t="shared" si="11"/>
        <v>16974.400000000001</v>
      </c>
      <c r="V23" s="188">
        <f t="shared" si="11"/>
        <v>17483.632000000001</v>
      </c>
      <c r="W23" s="188">
        <f t="shared" si="11"/>
        <v>18008.140960000001</v>
      </c>
      <c r="X23" s="188">
        <f t="shared" si="11"/>
        <v>18548.385188800003</v>
      </c>
      <c r="Y23" s="188">
        <f t="shared" si="11"/>
        <v>19104.836744464003</v>
      </c>
      <c r="Z23" s="188">
        <f t="shared" si="11"/>
        <v>19677.981846797924</v>
      </c>
      <c r="AA23" s="188">
        <f t="shared" si="11"/>
        <v>20268.321302201861</v>
      </c>
      <c r="AB23" s="188">
        <f t="shared" si="11"/>
        <v>20876.370941267916</v>
      </c>
      <c r="AC23" s="188">
        <f t="shared" si="11"/>
        <v>21502.662069505954</v>
      </c>
      <c r="AD23" s="188">
        <f t="shared" si="11"/>
        <v>22147.741931591132</v>
      </c>
      <c r="AE23" s="188">
        <f t="shared" si="11"/>
        <v>22812.174189538866</v>
      </c>
      <c r="AF23" s="188">
        <f t="shared" si="11"/>
        <v>23496.539415225034</v>
      </c>
      <c r="AG23" s="188">
        <f t="shared" si="11"/>
        <v>24201.435597681786</v>
      </c>
      <c r="AH23" s="188">
        <f t="shared" si="11"/>
        <v>24927.478665612241</v>
      </c>
      <c r="AI23" s="188">
        <f t="shared" si="11"/>
        <v>25675.303025580608</v>
      </c>
      <c r="AJ23" s="188">
        <f t="shared" si="11"/>
        <v>26445.562116348028</v>
      </c>
      <c r="AK23" s="188">
        <f t="shared" si="12"/>
        <v>27238.928979838471</v>
      </c>
      <c r="AL23" s="188">
        <f t="shared" si="12"/>
        <v>28056.096849233625</v>
      </c>
      <c r="AM23" s="188">
        <f t="shared" si="12"/>
        <v>28897.779754710635</v>
      </c>
      <c r="AN23" s="188">
        <f t="shared" si="12"/>
        <v>29764.713147351955</v>
      </c>
      <c r="AO23" s="188">
        <f t="shared" si="12"/>
        <v>30657.654541772514</v>
      </c>
      <c r="AP23" s="188">
        <f t="shared" si="12"/>
        <v>31577.384178025692</v>
      </c>
      <c r="AQ23" s="189">
        <f t="shared" si="12"/>
        <v>32524.705703366464</v>
      </c>
      <c r="AR23" s="152">
        <f t="shared" si="10"/>
        <v>23333.929165956586</v>
      </c>
      <c r="AW23" s="152"/>
      <c r="AX23" s="152"/>
      <c r="AY23" s="152"/>
      <c r="AZ23" s="152"/>
      <c r="BA23" s="152"/>
      <c r="BB23" s="152"/>
      <c r="BC23" s="152"/>
      <c r="BD23" s="152"/>
      <c r="BE23" s="152"/>
      <c r="BF23" s="152"/>
      <c r="BG23" s="152"/>
      <c r="BH23" s="152"/>
      <c r="BI23" s="152"/>
      <c r="BJ23" s="152"/>
      <c r="BK23" s="152"/>
      <c r="BL23" s="152"/>
      <c r="BM23" s="152"/>
      <c r="BN23" s="152"/>
      <c r="BO23" s="152"/>
      <c r="BP23" s="152"/>
      <c r="BQ23" s="152"/>
      <c r="BR23" s="152"/>
      <c r="BS23" s="152"/>
      <c r="BT23" s="152"/>
      <c r="BU23" s="152"/>
      <c r="BV23" s="152"/>
      <c r="BW23" s="152"/>
      <c r="BX23" s="152"/>
      <c r="BY23" s="152"/>
      <c r="BZ23" s="152"/>
      <c r="CA23" s="152"/>
      <c r="CB23" s="152"/>
      <c r="CC23" s="152"/>
      <c r="CD23" s="152"/>
      <c r="CE23" s="152"/>
      <c r="CF23" s="152"/>
      <c r="CG23" s="152"/>
      <c r="CH23" s="152"/>
      <c r="CI23" s="152"/>
      <c r="CJ23" s="152"/>
      <c r="CK23" s="152"/>
      <c r="CL23" s="152"/>
      <c r="CM23" s="152"/>
      <c r="CN23" s="152"/>
      <c r="CO23" s="152"/>
      <c r="CP23" s="152"/>
      <c r="CQ23" s="152"/>
      <c r="CR23" s="152"/>
      <c r="CS23" s="152"/>
      <c r="CT23" s="152"/>
      <c r="CU23" s="152"/>
      <c r="CV23" s="152"/>
      <c r="CW23" s="152"/>
      <c r="CX23" s="152"/>
      <c r="CY23" s="152"/>
      <c r="CZ23" s="152"/>
      <c r="DA23" s="152"/>
      <c r="DB23" s="152"/>
      <c r="DC23" s="152"/>
      <c r="DD23" s="152"/>
      <c r="DE23" s="152"/>
      <c r="DF23" s="152"/>
      <c r="DG23" s="152"/>
      <c r="DH23" s="152"/>
      <c r="DI23" s="152"/>
      <c r="DJ23" s="152"/>
      <c r="DK23" s="152"/>
      <c r="DL23" s="152"/>
      <c r="DM23" s="152"/>
      <c r="DN23" s="152"/>
      <c r="DO23" s="152"/>
      <c r="DP23" s="152"/>
      <c r="DQ23" s="152"/>
      <c r="DR23" s="152"/>
      <c r="DS23" s="152"/>
      <c r="DT23" s="152"/>
      <c r="DU23" s="152"/>
      <c r="DV23" s="152"/>
      <c r="DW23" s="152"/>
      <c r="DX23" s="152"/>
      <c r="DY23" s="152"/>
      <c r="DZ23" s="152"/>
      <c r="EA23" s="152"/>
      <c r="EB23" s="152"/>
      <c r="EC23" s="152"/>
      <c r="ED23" s="152"/>
      <c r="EE23" s="152"/>
      <c r="EF23" s="152"/>
      <c r="EG23" s="152"/>
      <c r="EH23" s="152"/>
      <c r="EI23" s="152"/>
      <c r="EJ23" s="152"/>
      <c r="EK23" s="152"/>
      <c r="EL23" s="152"/>
      <c r="EM23" s="152"/>
      <c r="EN23" s="152"/>
      <c r="EO23" s="152"/>
      <c r="EP23" s="152"/>
      <c r="EQ23" s="152"/>
      <c r="ER23" s="152"/>
      <c r="ES23" s="152"/>
      <c r="ET23" s="152"/>
      <c r="EU23" s="152"/>
      <c r="EV23" s="152"/>
      <c r="EW23" s="152"/>
      <c r="EX23" s="152"/>
      <c r="EY23" s="152"/>
      <c r="EZ23" s="152"/>
      <c r="FA23" s="152"/>
      <c r="FB23" s="152"/>
      <c r="FC23" s="152"/>
      <c r="FD23" s="152"/>
      <c r="FE23" s="152"/>
      <c r="FF23" s="152"/>
      <c r="FG23" s="152"/>
      <c r="FH23" s="152"/>
      <c r="FI23" s="152"/>
      <c r="FJ23" s="152"/>
      <c r="FK23" s="152"/>
      <c r="FL23" s="152"/>
      <c r="FM23" s="152"/>
      <c r="FN23" s="152"/>
      <c r="FO23" s="152"/>
      <c r="FP23" s="152"/>
      <c r="FQ23" s="152"/>
      <c r="FR23" s="152"/>
      <c r="FS23" s="152"/>
      <c r="FT23" s="152"/>
      <c r="FU23" s="152"/>
      <c r="FV23" s="152"/>
      <c r="FW23" s="152"/>
      <c r="FX23" s="152"/>
      <c r="FY23" s="152"/>
      <c r="FZ23" s="152"/>
      <c r="GA23" s="152"/>
      <c r="GB23" s="152"/>
      <c r="GC23" s="152"/>
      <c r="GD23" s="152"/>
      <c r="GE23" s="152"/>
      <c r="GF23" s="152"/>
      <c r="GG23" s="152"/>
      <c r="GH23" s="152"/>
      <c r="GI23" s="152"/>
      <c r="GJ23" s="152"/>
      <c r="GK23" s="152"/>
      <c r="GL23" s="152"/>
      <c r="GM23" s="152"/>
      <c r="GN23" s="152"/>
      <c r="GO23" s="152"/>
      <c r="GP23" s="152"/>
      <c r="GQ23" s="152"/>
      <c r="GR23" s="152"/>
      <c r="GS23" s="152"/>
      <c r="GT23" s="152"/>
      <c r="GU23" s="152"/>
      <c r="GV23" s="152"/>
      <c r="GW23" s="152"/>
      <c r="GX23" s="152"/>
      <c r="GY23" s="152"/>
      <c r="GZ23" s="152"/>
      <c r="HA23" s="152"/>
      <c r="HB23" s="152"/>
      <c r="HC23" s="152"/>
      <c r="HD23" s="152"/>
      <c r="HE23" s="152"/>
      <c r="HF23" s="152"/>
      <c r="HG23" s="152"/>
      <c r="HH23" s="152"/>
      <c r="HI23" s="152"/>
      <c r="HJ23" s="152"/>
      <c r="HK23" s="152"/>
      <c r="HL23" s="152"/>
      <c r="HM23" s="152"/>
      <c r="HN23" s="152"/>
      <c r="HO23" s="152"/>
      <c r="HP23" s="152"/>
      <c r="HQ23" s="152"/>
      <c r="HR23" s="152"/>
      <c r="HS23" s="152"/>
      <c r="HT23" s="152"/>
      <c r="HU23" s="152"/>
      <c r="HV23" s="152"/>
      <c r="HW23" s="152"/>
      <c r="HX23" s="152"/>
      <c r="HY23" s="152"/>
      <c r="HZ23" s="152"/>
      <c r="IA23" s="152"/>
      <c r="IB23" s="152"/>
      <c r="IC23" s="152"/>
      <c r="ID23" s="152"/>
      <c r="IE23" s="152"/>
      <c r="IF23" s="152"/>
      <c r="IG23" s="152"/>
      <c r="IH23" s="152"/>
      <c r="II23" s="152"/>
      <c r="IJ23" s="152"/>
      <c r="IK23" s="152"/>
      <c r="IL23" s="152"/>
      <c r="IM23" s="152"/>
      <c r="IN23" s="152"/>
      <c r="IO23" s="152"/>
      <c r="IP23" s="152"/>
      <c r="IQ23" s="152"/>
      <c r="IR23" s="152"/>
      <c r="IS23" s="152"/>
      <c r="IT23" s="152"/>
      <c r="IU23" s="152"/>
      <c r="IV23" s="152"/>
      <c r="IW23" s="152"/>
      <c r="IX23" s="152"/>
      <c r="IY23" s="152"/>
      <c r="IZ23" s="152"/>
      <c r="JA23" s="152"/>
      <c r="JB23" s="152"/>
      <c r="JC23" s="152"/>
      <c r="JD23" s="152"/>
      <c r="JE23" s="152"/>
      <c r="JF23" s="152"/>
      <c r="JG23" s="152"/>
      <c r="JH23" s="152"/>
      <c r="JI23" s="152"/>
      <c r="JJ23" s="152"/>
      <c r="JK23" s="152"/>
      <c r="JL23" s="152"/>
      <c r="JM23" s="152"/>
      <c r="JN23" s="152"/>
      <c r="JO23" s="152"/>
      <c r="JP23" s="152"/>
      <c r="JQ23" s="152"/>
      <c r="JR23" s="152"/>
      <c r="JS23" s="152"/>
      <c r="JT23" s="152"/>
      <c r="JU23" s="152"/>
      <c r="JV23" s="152"/>
      <c r="JW23" s="152"/>
      <c r="JX23" s="152"/>
      <c r="JY23" s="152"/>
      <c r="JZ23" s="152"/>
      <c r="KA23" s="152"/>
      <c r="KB23" s="152"/>
      <c r="KC23" s="152"/>
      <c r="KD23" s="152"/>
      <c r="KE23" s="152"/>
      <c r="KF23" s="152"/>
      <c r="KG23" s="152"/>
      <c r="KH23" s="152"/>
      <c r="KI23" s="152"/>
      <c r="KJ23" s="152"/>
      <c r="KK23" s="152"/>
      <c r="KL23" s="152"/>
      <c r="KM23" s="152"/>
      <c r="KN23" s="152"/>
      <c r="KO23" s="152"/>
      <c r="KP23" s="152"/>
      <c r="KQ23" s="152"/>
      <c r="KR23" s="152"/>
      <c r="KS23" s="152"/>
      <c r="KT23" s="152"/>
      <c r="KU23" s="152"/>
      <c r="KV23" s="152"/>
      <c r="KW23" s="152"/>
      <c r="KX23" s="152"/>
      <c r="KY23" s="152"/>
      <c r="KZ23" s="152"/>
      <c r="LA23" s="152"/>
      <c r="LB23" s="152"/>
      <c r="LC23" s="152"/>
      <c r="LD23" s="152"/>
      <c r="LE23" s="152"/>
      <c r="LF23" s="152"/>
    </row>
    <row r="24" spans="1:318">
      <c r="O24" s="200" t="s">
        <v>213</v>
      </c>
      <c r="Q24" s="140"/>
      <c r="R24" s="139"/>
      <c r="S24" s="188">
        <f>$Q$6</f>
        <v>0</v>
      </c>
      <c r="T24" s="188">
        <f t="shared" ref="T24:AQ24" si="13">$Q$6</f>
        <v>0</v>
      </c>
      <c r="U24" s="188">
        <f t="shared" si="13"/>
        <v>0</v>
      </c>
      <c r="V24" s="188">
        <f t="shared" si="13"/>
        <v>0</v>
      </c>
      <c r="W24" s="188">
        <f t="shared" si="13"/>
        <v>0</v>
      </c>
      <c r="X24" s="188">
        <f t="shared" si="13"/>
        <v>0</v>
      </c>
      <c r="Y24" s="188">
        <f t="shared" si="13"/>
        <v>0</v>
      </c>
      <c r="Z24" s="188">
        <f t="shared" si="13"/>
        <v>0</v>
      </c>
      <c r="AA24" s="188">
        <f t="shared" si="13"/>
        <v>0</v>
      </c>
      <c r="AB24" s="188">
        <f t="shared" si="13"/>
        <v>0</v>
      </c>
      <c r="AC24" s="188">
        <f t="shared" si="13"/>
        <v>0</v>
      </c>
      <c r="AD24" s="188">
        <f t="shared" si="13"/>
        <v>0</v>
      </c>
      <c r="AE24" s="188">
        <f t="shared" si="13"/>
        <v>0</v>
      </c>
      <c r="AF24" s="188">
        <f t="shared" si="13"/>
        <v>0</v>
      </c>
      <c r="AG24" s="188">
        <f t="shared" si="13"/>
        <v>0</v>
      </c>
      <c r="AH24" s="188">
        <f t="shared" si="13"/>
        <v>0</v>
      </c>
      <c r="AI24" s="188">
        <f t="shared" si="13"/>
        <v>0</v>
      </c>
      <c r="AJ24" s="188">
        <f t="shared" si="13"/>
        <v>0</v>
      </c>
      <c r="AK24" s="188">
        <f t="shared" si="13"/>
        <v>0</v>
      </c>
      <c r="AL24" s="188">
        <f t="shared" si="13"/>
        <v>0</v>
      </c>
      <c r="AM24" s="188">
        <f t="shared" si="13"/>
        <v>0</v>
      </c>
      <c r="AN24" s="188">
        <f t="shared" si="13"/>
        <v>0</v>
      </c>
      <c r="AO24" s="188">
        <f t="shared" si="13"/>
        <v>0</v>
      </c>
      <c r="AP24" s="188">
        <f t="shared" si="13"/>
        <v>0</v>
      </c>
      <c r="AQ24" s="189">
        <f t="shared" si="13"/>
        <v>0</v>
      </c>
      <c r="AR24" s="152">
        <f t="shared" si="10"/>
        <v>0</v>
      </c>
      <c r="AW24" s="152"/>
      <c r="AX24" s="152"/>
      <c r="AY24" s="152"/>
      <c r="AZ24" s="152"/>
      <c r="BA24" s="152"/>
      <c r="BB24" s="152"/>
      <c r="BC24" s="152"/>
      <c r="BD24" s="152"/>
      <c r="BE24" s="152"/>
      <c r="BF24" s="152"/>
      <c r="BG24" s="152"/>
      <c r="BH24" s="152"/>
      <c r="BI24" s="152"/>
      <c r="BJ24" s="152"/>
      <c r="BK24" s="152"/>
      <c r="BL24" s="152"/>
      <c r="BM24" s="152"/>
      <c r="BN24" s="152"/>
      <c r="BO24" s="152"/>
      <c r="BP24" s="152"/>
      <c r="BQ24" s="152"/>
      <c r="BR24" s="152"/>
      <c r="BS24" s="152"/>
      <c r="BT24" s="152"/>
      <c r="BU24" s="152"/>
      <c r="BV24" s="152"/>
      <c r="BW24" s="152"/>
      <c r="BX24" s="152"/>
      <c r="BY24" s="152"/>
      <c r="BZ24" s="152"/>
      <c r="CA24" s="152"/>
      <c r="CB24" s="152"/>
      <c r="CC24" s="152"/>
      <c r="CD24" s="152"/>
      <c r="CE24" s="152"/>
      <c r="CF24" s="152"/>
      <c r="CG24" s="152"/>
      <c r="CH24" s="152"/>
      <c r="CI24" s="152"/>
      <c r="CJ24" s="152"/>
      <c r="CK24" s="152"/>
      <c r="CL24" s="152"/>
      <c r="CM24" s="152"/>
      <c r="CN24" s="152"/>
      <c r="CO24" s="152"/>
      <c r="CP24" s="152"/>
      <c r="CQ24" s="152"/>
      <c r="CR24" s="152"/>
      <c r="CS24" s="152"/>
      <c r="CT24" s="152"/>
      <c r="CU24" s="152"/>
      <c r="CV24" s="152"/>
      <c r="CW24" s="152"/>
      <c r="CX24" s="152"/>
      <c r="CY24" s="152"/>
      <c r="CZ24" s="152"/>
      <c r="DA24" s="152"/>
      <c r="DB24" s="152"/>
      <c r="DC24" s="152"/>
      <c r="DD24" s="152"/>
      <c r="DE24" s="152"/>
      <c r="DF24" s="152"/>
      <c r="DG24" s="152"/>
      <c r="DH24" s="152"/>
      <c r="DI24" s="152"/>
      <c r="DJ24" s="152"/>
      <c r="DK24" s="152"/>
      <c r="DL24" s="152"/>
      <c r="DM24" s="152"/>
      <c r="DN24" s="152"/>
      <c r="DO24" s="152"/>
      <c r="DP24" s="152"/>
      <c r="DQ24" s="152"/>
      <c r="DR24" s="152"/>
      <c r="DS24" s="152"/>
      <c r="DT24" s="152"/>
      <c r="DU24" s="152"/>
      <c r="DV24" s="152"/>
      <c r="DW24" s="152"/>
      <c r="DX24" s="152"/>
      <c r="DY24" s="152"/>
      <c r="DZ24" s="152"/>
      <c r="EA24" s="152"/>
      <c r="EB24" s="152"/>
      <c r="EC24" s="152"/>
      <c r="ED24" s="152"/>
      <c r="EE24" s="152"/>
      <c r="EF24" s="152"/>
      <c r="EG24" s="152"/>
      <c r="EH24" s="152"/>
      <c r="EI24" s="152"/>
      <c r="EJ24" s="152"/>
      <c r="EK24" s="152"/>
      <c r="EL24" s="152"/>
      <c r="EM24" s="152"/>
      <c r="EN24" s="152"/>
      <c r="EO24" s="152"/>
      <c r="EP24" s="152"/>
      <c r="EQ24" s="152"/>
      <c r="ER24" s="152"/>
      <c r="ES24" s="152"/>
      <c r="ET24" s="152"/>
      <c r="EU24" s="152"/>
      <c r="EV24" s="152"/>
      <c r="EW24" s="152"/>
      <c r="EX24" s="152"/>
      <c r="EY24" s="152"/>
      <c r="EZ24" s="152"/>
      <c r="FA24" s="152"/>
      <c r="FB24" s="152"/>
      <c r="FC24" s="152"/>
      <c r="FD24" s="152"/>
      <c r="FE24" s="152"/>
      <c r="FF24" s="152"/>
      <c r="FG24" s="152"/>
      <c r="FH24" s="152"/>
      <c r="FI24" s="152"/>
      <c r="FJ24" s="152"/>
      <c r="FK24" s="152"/>
      <c r="FL24" s="152"/>
      <c r="FM24" s="152"/>
      <c r="FN24" s="152"/>
      <c r="FO24" s="152"/>
      <c r="FP24" s="152"/>
      <c r="FQ24" s="152"/>
      <c r="FR24" s="152"/>
      <c r="FS24" s="152"/>
      <c r="FT24" s="152"/>
      <c r="FU24" s="152"/>
      <c r="FV24" s="152"/>
      <c r="FW24" s="152"/>
      <c r="FX24" s="152"/>
      <c r="FY24" s="152"/>
      <c r="FZ24" s="152"/>
      <c r="GA24" s="152"/>
      <c r="GB24" s="152"/>
      <c r="GC24" s="152"/>
      <c r="GD24" s="152"/>
      <c r="GE24" s="152"/>
      <c r="GF24" s="152"/>
      <c r="GG24" s="152"/>
      <c r="GH24" s="152"/>
      <c r="GI24" s="152"/>
      <c r="GJ24" s="152"/>
      <c r="GK24" s="152"/>
      <c r="GL24" s="152"/>
      <c r="GM24" s="152"/>
      <c r="GN24" s="152"/>
      <c r="GO24" s="152"/>
      <c r="GP24" s="152"/>
      <c r="GQ24" s="152"/>
      <c r="GR24" s="152"/>
      <c r="GS24" s="152"/>
      <c r="GT24" s="152"/>
      <c r="GU24" s="152"/>
      <c r="GV24" s="152"/>
      <c r="GW24" s="152"/>
      <c r="GX24" s="152"/>
      <c r="GY24" s="152"/>
      <c r="GZ24" s="152"/>
      <c r="HA24" s="152"/>
      <c r="HB24" s="152"/>
      <c r="HC24" s="152"/>
      <c r="HD24" s="152"/>
      <c r="HE24" s="152"/>
      <c r="HF24" s="152"/>
      <c r="HG24" s="152"/>
      <c r="HH24" s="152"/>
      <c r="HI24" s="152"/>
      <c r="HJ24" s="152"/>
      <c r="HK24" s="152"/>
      <c r="HL24" s="152"/>
      <c r="HM24" s="152"/>
      <c r="HN24" s="152"/>
      <c r="HO24" s="152"/>
      <c r="HP24" s="152"/>
      <c r="HQ24" s="152"/>
      <c r="HR24" s="152"/>
      <c r="HS24" s="152"/>
      <c r="HT24" s="152"/>
      <c r="HU24" s="152"/>
      <c r="HV24" s="152"/>
      <c r="HW24" s="152"/>
      <c r="HX24" s="152"/>
      <c r="HY24" s="152"/>
      <c r="HZ24" s="152"/>
      <c r="IA24" s="152"/>
      <c r="IB24" s="152"/>
      <c r="IC24" s="152"/>
      <c r="ID24" s="152"/>
      <c r="IE24" s="152"/>
      <c r="IF24" s="152"/>
      <c r="IG24" s="152"/>
      <c r="IH24" s="152"/>
      <c r="II24" s="152"/>
      <c r="IJ24" s="152"/>
      <c r="IK24" s="152"/>
      <c r="IL24" s="152"/>
      <c r="IM24" s="152"/>
      <c r="IN24" s="152"/>
      <c r="IO24" s="152"/>
      <c r="IP24" s="152"/>
      <c r="IQ24" s="152"/>
      <c r="IR24" s="152"/>
      <c r="IS24" s="152"/>
      <c r="IT24" s="152"/>
      <c r="IU24" s="152"/>
      <c r="IV24" s="152"/>
      <c r="IW24" s="152"/>
      <c r="IX24" s="152"/>
      <c r="IY24" s="152"/>
      <c r="IZ24" s="152"/>
      <c r="JA24" s="152"/>
      <c r="JB24" s="152"/>
      <c r="JC24" s="152"/>
      <c r="JD24" s="152"/>
      <c r="JE24" s="152"/>
      <c r="JF24" s="152"/>
      <c r="JG24" s="152"/>
      <c r="JH24" s="152"/>
      <c r="JI24" s="152"/>
      <c r="JJ24" s="152"/>
      <c r="JK24" s="152"/>
      <c r="JL24" s="152"/>
      <c r="JM24" s="152"/>
      <c r="JN24" s="152"/>
      <c r="JO24" s="152"/>
      <c r="JP24" s="152"/>
      <c r="JQ24" s="152"/>
      <c r="JR24" s="152"/>
      <c r="JS24" s="152"/>
      <c r="JT24" s="152"/>
      <c r="JU24" s="152"/>
      <c r="JV24" s="152"/>
      <c r="JW24" s="152"/>
      <c r="JX24" s="152"/>
      <c r="JY24" s="152"/>
      <c r="JZ24" s="152"/>
      <c r="KA24" s="152"/>
      <c r="KB24" s="152"/>
      <c r="KC24" s="152"/>
      <c r="KD24" s="152"/>
      <c r="KE24" s="152"/>
      <c r="KF24" s="152"/>
      <c r="KG24" s="152"/>
      <c r="KH24" s="152"/>
      <c r="KI24" s="152"/>
      <c r="KJ24" s="152"/>
      <c r="KK24" s="152"/>
      <c r="KL24" s="152"/>
      <c r="KM24" s="152"/>
      <c r="KN24" s="152"/>
      <c r="KO24" s="152"/>
      <c r="KP24" s="152"/>
      <c r="KQ24" s="152"/>
      <c r="KR24" s="152"/>
      <c r="KS24" s="152"/>
      <c r="KT24" s="152"/>
      <c r="KU24" s="152"/>
      <c r="KV24" s="152"/>
      <c r="KW24" s="152"/>
      <c r="KX24" s="152"/>
      <c r="KY24" s="152"/>
      <c r="KZ24" s="152"/>
      <c r="LA24" s="152"/>
      <c r="LB24" s="152"/>
      <c r="LC24" s="152"/>
      <c r="LD24" s="152"/>
      <c r="LE24" s="152"/>
      <c r="LF24" s="152"/>
    </row>
    <row r="25" spans="1:318" ht="15.75" thickBot="1">
      <c r="O25" s="200" t="s">
        <v>214</v>
      </c>
      <c r="Q25" s="140"/>
      <c r="R25" s="139"/>
      <c r="S25" s="188">
        <f>$U$6</f>
        <v>2000</v>
      </c>
      <c r="T25" s="188">
        <f>S25*(1+$W$6)</f>
        <v>2060</v>
      </c>
      <c r="U25" s="188">
        <f t="shared" ref="U25:AQ25" si="14">T25*(1+$W$6)</f>
        <v>2121.8000000000002</v>
      </c>
      <c r="V25" s="188">
        <f t="shared" si="14"/>
        <v>2185.4540000000002</v>
      </c>
      <c r="W25" s="188">
        <f t="shared" si="14"/>
        <v>2251.0176200000001</v>
      </c>
      <c r="X25" s="188">
        <f t="shared" si="14"/>
        <v>2318.5481486000003</v>
      </c>
      <c r="Y25" s="188">
        <f t="shared" si="14"/>
        <v>2388.1045930580003</v>
      </c>
      <c r="Z25" s="188">
        <f t="shared" si="14"/>
        <v>2459.7477308497405</v>
      </c>
      <c r="AA25" s="188">
        <f t="shared" si="14"/>
        <v>2533.5401627752326</v>
      </c>
      <c r="AB25" s="188">
        <f t="shared" si="14"/>
        <v>2609.5463676584895</v>
      </c>
      <c r="AC25" s="188">
        <f t="shared" si="14"/>
        <v>2687.8327586882442</v>
      </c>
      <c r="AD25" s="188">
        <f t="shared" si="14"/>
        <v>2768.4677414488915</v>
      </c>
      <c r="AE25" s="188">
        <f t="shared" si="14"/>
        <v>2851.5217736923582</v>
      </c>
      <c r="AF25" s="188">
        <f t="shared" si="14"/>
        <v>2937.0674269031292</v>
      </c>
      <c r="AG25" s="188">
        <f t="shared" si="14"/>
        <v>3025.1794497102233</v>
      </c>
      <c r="AH25" s="188">
        <f t="shared" si="14"/>
        <v>3115.9348332015302</v>
      </c>
      <c r="AI25" s="188">
        <f t="shared" si="14"/>
        <v>3209.412878197576</v>
      </c>
      <c r="AJ25" s="188">
        <f t="shared" si="14"/>
        <v>3305.6952645435035</v>
      </c>
      <c r="AK25" s="188">
        <f t="shared" si="14"/>
        <v>3404.8661224798088</v>
      </c>
      <c r="AL25" s="188">
        <f t="shared" si="14"/>
        <v>3507.0121061542031</v>
      </c>
      <c r="AM25" s="188">
        <f t="shared" si="14"/>
        <v>3612.2224693388293</v>
      </c>
      <c r="AN25" s="188">
        <f t="shared" si="14"/>
        <v>3720.5891434189944</v>
      </c>
      <c r="AO25" s="188">
        <f t="shared" si="14"/>
        <v>3832.2068177215642</v>
      </c>
      <c r="AP25" s="188">
        <f t="shared" si="14"/>
        <v>3947.1730222532115</v>
      </c>
      <c r="AQ25" s="189">
        <f t="shared" si="14"/>
        <v>4065.588212920808</v>
      </c>
      <c r="AR25" s="152">
        <f t="shared" si="10"/>
        <v>2916.7411457445733</v>
      </c>
      <c r="AW25" s="154"/>
      <c r="AX25" s="154"/>
      <c r="AY25" s="154"/>
      <c r="AZ25" s="154"/>
      <c r="BA25" s="154"/>
      <c r="BB25" s="154"/>
      <c r="BC25" s="154"/>
      <c r="BD25" s="154"/>
      <c r="BE25" s="154"/>
      <c r="BF25" s="154"/>
      <c r="BG25" s="154"/>
      <c r="BH25" s="154"/>
      <c r="BI25" s="154"/>
      <c r="BJ25" s="154"/>
      <c r="BK25" s="154"/>
      <c r="BL25" s="154"/>
      <c r="BM25" s="154"/>
      <c r="BN25" s="154"/>
      <c r="BO25" s="154"/>
      <c r="BP25" s="154"/>
      <c r="BQ25" s="154"/>
      <c r="BR25" s="154"/>
      <c r="BS25" s="154"/>
      <c r="BT25" s="154"/>
      <c r="BU25" s="154"/>
      <c r="BV25" s="154"/>
      <c r="BW25" s="154"/>
      <c r="BX25" s="154"/>
      <c r="BY25" s="154"/>
      <c r="BZ25" s="154"/>
      <c r="CA25" s="154"/>
      <c r="CB25" s="154"/>
      <c r="CC25" s="154"/>
      <c r="CD25" s="154"/>
      <c r="CE25" s="154"/>
      <c r="CF25" s="154"/>
      <c r="CG25" s="154"/>
      <c r="CH25" s="154"/>
      <c r="CI25" s="154"/>
      <c r="CJ25" s="154"/>
      <c r="CK25" s="154"/>
      <c r="CL25" s="154"/>
      <c r="CM25" s="154"/>
      <c r="CN25" s="154"/>
      <c r="CO25" s="154"/>
      <c r="CP25" s="154"/>
      <c r="CQ25" s="154"/>
      <c r="CR25" s="154"/>
      <c r="CS25" s="154"/>
      <c r="CT25" s="154"/>
      <c r="CU25" s="154"/>
      <c r="CV25" s="154"/>
      <c r="CW25" s="154"/>
      <c r="CX25" s="154"/>
      <c r="CY25" s="154"/>
      <c r="CZ25" s="154"/>
      <c r="DA25" s="154"/>
      <c r="DB25" s="154"/>
      <c r="DC25" s="154"/>
      <c r="DD25" s="154"/>
      <c r="DE25" s="154"/>
      <c r="DF25" s="154"/>
      <c r="DG25" s="154"/>
      <c r="DH25" s="154"/>
      <c r="DI25" s="154"/>
      <c r="DJ25" s="154"/>
      <c r="DK25" s="154"/>
      <c r="DL25" s="154"/>
      <c r="DM25" s="154"/>
      <c r="DN25" s="154"/>
      <c r="DO25" s="154"/>
      <c r="DP25" s="154"/>
      <c r="DQ25" s="154"/>
      <c r="DR25" s="154"/>
      <c r="DS25" s="154"/>
      <c r="DT25" s="154"/>
      <c r="DU25" s="154"/>
      <c r="DV25" s="154"/>
      <c r="DW25" s="154"/>
      <c r="DX25" s="154"/>
      <c r="DY25" s="154"/>
      <c r="DZ25" s="154"/>
      <c r="EA25" s="154"/>
      <c r="EB25" s="154"/>
      <c r="EC25" s="154"/>
      <c r="ED25" s="154"/>
      <c r="EE25" s="154"/>
      <c r="EF25" s="154"/>
      <c r="EG25" s="154"/>
      <c r="EH25" s="154"/>
      <c r="EI25" s="154"/>
      <c r="EJ25" s="154"/>
      <c r="EK25" s="154"/>
      <c r="EL25" s="154"/>
      <c r="EM25" s="154"/>
      <c r="EN25" s="154"/>
      <c r="EO25" s="154"/>
      <c r="EP25" s="154"/>
      <c r="EQ25" s="154"/>
      <c r="ER25" s="154"/>
      <c r="ES25" s="154"/>
      <c r="ET25" s="154"/>
      <c r="EU25" s="154"/>
      <c r="EV25" s="154"/>
      <c r="EW25" s="154"/>
      <c r="EX25" s="154"/>
      <c r="EY25" s="154"/>
      <c r="EZ25" s="154"/>
      <c r="FA25" s="154"/>
      <c r="FB25" s="154"/>
      <c r="FC25" s="154"/>
      <c r="FD25" s="154"/>
      <c r="FE25" s="154"/>
      <c r="FF25" s="154"/>
      <c r="FG25" s="154"/>
      <c r="FH25" s="154"/>
      <c r="FI25" s="154"/>
      <c r="FJ25" s="154"/>
      <c r="FK25" s="154"/>
      <c r="FL25" s="154"/>
      <c r="FM25" s="154"/>
      <c r="FN25" s="154"/>
      <c r="FO25" s="154"/>
      <c r="FP25" s="154"/>
      <c r="FQ25" s="154"/>
      <c r="FR25" s="154"/>
      <c r="FS25" s="154"/>
      <c r="FT25" s="154"/>
      <c r="FU25" s="154"/>
      <c r="FV25" s="154"/>
      <c r="FW25" s="154"/>
      <c r="FX25" s="154"/>
      <c r="FY25" s="154"/>
      <c r="FZ25" s="154"/>
      <c r="GA25" s="154"/>
      <c r="GB25" s="154"/>
      <c r="GC25" s="154"/>
      <c r="GD25" s="154"/>
      <c r="GE25" s="154"/>
      <c r="GF25" s="154"/>
      <c r="GG25" s="154"/>
      <c r="GH25" s="154"/>
      <c r="GI25" s="154"/>
      <c r="GJ25" s="154"/>
      <c r="GK25" s="154"/>
      <c r="GL25" s="154"/>
      <c r="GM25" s="154"/>
      <c r="GN25" s="154"/>
      <c r="GO25" s="154"/>
      <c r="GP25" s="154"/>
      <c r="GQ25" s="154"/>
      <c r="GR25" s="154"/>
      <c r="GS25" s="154"/>
      <c r="GT25" s="154"/>
      <c r="GU25" s="154"/>
      <c r="GV25" s="154"/>
      <c r="GW25" s="154"/>
      <c r="GX25" s="154"/>
      <c r="GY25" s="154"/>
      <c r="GZ25" s="154"/>
      <c r="HA25" s="154"/>
      <c r="HB25" s="154"/>
      <c r="HC25" s="154"/>
      <c r="HD25" s="154"/>
      <c r="HE25" s="154"/>
      <c r="HF25" s="154"/>
      <c r="HG25" s="154"/>
      <c r="HH25" s="154"/>
      <c r="HI25" s="154"/>
      <c r="HJ25" s="154"/>
      <c r="HK25" s="154"/>
      <c r="HL25" s="154"/>
      <c r="HM25" s="154"/>
      <c r="HN25" s="154"/>
      <c r="HO25" s="154"/>
      <c r="HP25" s="154"/>
      <c r="HQ25" s="154"/>
      <c r="HR25" s="154"/>
      <c r="HS25" s="154"/>
      <c r="HT25" s="154"/>
      <c r="HU25" s="154"/>
      <c r="HV25" s="154"/>
      <c r="HW25" s="154"/>
      <c r="HX25" s="154"/>
      <c r="HY25" s="154"/>
      <c r="HZ25" s="154"/>
      <c r="IA25" s="154"/>
      <c r="IB25" s="154"/>
      <c r="IC25" s="154"/>
      <c r="ID25" s="154"/>
      <c r="IE25" s="154"/>
      <c r="IF25" s="154"/>
      <c r="IG25" s="154"/>
      <c r="IH25" s="154"/>
      <c r="II25" s="154"/>
      <c r="IJ25" s="154"/>
      <c r="IK25" s="154"/>
      <c r="IL25" s="154"/>
      <c r="IM25" s="154"/>
      <c r="IN25" s="154"/>
      <c r="IO25" s="154"/>
      <c r="IP25" s="154"/>
      <c r="IQ25" s="154"/>
      <c r="IR25" s="154"/>
      <c r="IS25" s="154"/>
      <c r="IT25" s="154"/>
      <c r="IU25" s="154"/>
      <c r="IV25" s="154"/>
      <c r="IW25" s="154"/>
      <c r="IX25" s="154"/>
      <c r="IY25" s="154"/>
      <c r="IZ25" s="154"/>
      <c r="JA25" s="154"/>
      <c r="JB25" s="154"/>
      <c r="JC25" s="154"/>
      <c r="JD25" s="154"/>
      <c r="JE25" s="154"/>
      <c r="JF25" s="154"/>
      <c r="JG25" s="154"/>
      <c r="JH25" s="154"/>
      <c r="JI25" s="154"/>
      <c r="JJ25" s="154"/>
      <c r="JK25" s="154"/>
      <c r="JL25" s="154"/>
      <c r="JM25" s="154"/>
      <c r="JN25" s="154"/>
      <c r="JO25" s="154"/>
      <c r="JP25" s="154"/>
      <c r="JQ25" s="154"/>
      <c r="JR25" s="154"/>
      <c r="JS25" s="154"/>
      <c r="JT25" s="154"/>
      <c r="JU25" s="154"/>
      <c r="JV25" s="154"/>
      <c r="JW25" s="154"/>
      <c r="JX25" s="154"/>
      <c r="JY25" s="154"/>
      <c r="JZ25" s="154"/>
      <c r="KA25" s="154"/>
      <c r="KB25" s="154"/>
      <c r="KC25" s="154"/>
      <c r="KD25" s="154"/>
      <c r="KE25" s="154"/>
      <c r="KF25" s="154"/>
      <c r="KG25" s="154"/>
      <c r="KH25" s="154"/>
      <c r="KI25" s="154"/>
      <c r="KJ25" s="154"/>
      <c r="KK25" s="154"/>
      <c r="KL25" s="154"/>
      <c r="KM25" s="154"/>
      <c r="KN25" s="154"/>
      <c r="KO25" s="154"/>
      <c r="KP25" s="154"/>
      <c r="KQ25" s="154"/>
      <c r="KR25" s="154"/>
      <c r="KS25" s="154"/>
      <c r="KT25" s="154"/>
      <c r="KU25" s="154"/>
      <c r="KV25" s="154"/>
      <c r="KW25" s="154"/>
      <c r="KX25" s="154"/>
      <c r="KY25" s="154"/>
      <c r="KZ25" s="154"/>
      <c r="LA25" s="154"/>
      <c r="LB25" s="154"/>
      <c r="LC25" s="154"/>
      <c r="LD25" s="154"/>
      <c r="LE25" s="154"/>
      <c r="LF25" s="154"/>
    </row>
    <row r="26" spans="1:318" ht="15.75" thickBot="1">
      <c r="O26" s="201" t="s">
        <v>215</v>
      </c>
      <c r="P26" s="42"/>
      <c r="Q26" s="43"/>
      <c r="R26" s="190"/>
      <c r="S26" s="171">
        <f>$V$6</f>
        <v>0</v>
      </c>
      <c r="T26" s="171">
        <f t="shared" ref="T26:AQ26" si="15">$V$6</f>
        <v>0</v>
      </c>
      <c r="U26" s="171">
        <f t="shared" si="15"/>
        <v>0</v>
      </c>
      <c r="V26" s="171">
        <f t="shared" si="15"/>
        <v>0</v>
      </c>
      <c r="W26" s="171">
        <f t="shared" si="15"/>
        <v>0</v>
      </c>
      <c r="X26" s="171">
        <f t="shared" si="15"/>
        <v>0</v>
      </c>
      <c r="Y26" s="171">
        <f t="shared" si="15"/>
        <v>0</v>
      </c>
      <c r="Z26" s="171">
        <f t="shared" si="15"/>
        <v>0</v>
      </c>
      <c r="AA26" s="171">
        <f t="shared" si="15"/>
        <v>0</v>
      </c>
      <c r="AB26" s="171">
        <f t="shared" si="15"/>
        <v>0</v>
      </c>
      <c r="AC26" s="171">
        <f t="shared" si="15"/>
        <v>0</v>
      </c>
      <c r="AD26" s="171">
        <f t="shared" si="15"/>
        <v>0</v>
      </c>
      <c r="AE26" s="171">
        <f t="shared" si="15"/>
        <v>0</v>
      </c>
      <c r="AF26" s="171">
        <f t="shared" si="15"/>
        <v>0</v>
      </c>
      <c r="AG26" s="171">
        <f t="shared" si="15"/>
        <v>0</v>
      </c>
      <c r="AH26" s="171">
        <f t="shared" si="15"/>
        <v>0</v>
      </c>
      <c r="AI26" s="171">
        <f t="shared" si="15"/>
        <v>0</v>
      </c>
      <c r="AJ26" s="171">
        <f t="shared" si="15"/>
        <v>0</v>
      </c>
      <c r="AK26" s="171">
        <f t="shared" si="15"/>
        <v>0</v>
      </c>
      <c r="AL26" s="171">
        <f t="shared" si="15"/>
        <v>0</v>
      </c>
      <c r="AM26" s="171">
        <f t="shared" si="15"/>
        <v>0</v>
      </c>
      <c r="AN26" s="171">
        <f t="shared" si="15"/>
        <v>0</v>
      </c>
      <c r="AO26" s="171">
        <f t="shared" si="15"/>
        <v>0</v>
      </c>
      <c r="AP26" s="171">
        <f t="shared" si="15"/>
        <v>0</v>
      </c>
      <c r="AQ26" s="191">
        <f t="shared" si="15"/>
        <v>0</v>
      </c>
      <c r="AR26" s="152">
        <f t="shared" si="10"/>
        <v>0</v>
      </c>
      <c r="AW26" s="152"/>
      <c r="AX26" s="152"/>
      <c r="AY26" s="152"/>
      <c r="AZ26" s="152"/>
      <c r="BA26" s="152"/>
      <c r="BB26" s="152"/>
      <c r="BC26" s="152"/>
      <c r="BD26" s="152"/>
      <c r="BE26" s="152"/>
      <c r="BF26" s="152"/>
      <c r="BG26" s="152"/>
      <c r="BH26" s="152"/>
      <c r="BI26" s="152"/>
      <c r="BJ26" s="152"/>
      <c r="BK26" s="152"/>
      <c r="BL26" s="152"/>
      <c r="BM26" s="152"/>
      <c r="BN26" s="152"/>
      <c r="BO26" s="152"/>
      <c r="BP26" s="152"/>
      <c r="BQ26" s="152"/>
      <c r="BR26" s="152"/>
      <c r="BS26" s="152"/>
      <c r="BT26" s="152"/>
      <c r="BU26" s="152"/>
      <c r="BV26" s="152"/>
      <c r="BW26" s="152"/>
      <c r="BX26" s="152"/>
      <c r="BY26" s="152"/>
      <c r="BZ26" s="152"/>
      <c r="CA26" s="152"/>
      <c r="CB26" s="152"/>
      <c r="CC26" s="152"/>
      <c r="CD26" s="152"/>
      <c r="CE26" s="152"/>
      <c r="CF26" s="152"/>
      <c r="CG26" s="152"/>
      <c r="CH26" s="152"/>
      <c r="CI26" s="152"/>
      <c r="CJ26" s="152"/>
      <c r="CK26" s="152"/>
      <c r="CL26" s="152"/>
      <c r="CM26" s="152"/>
      <c r="CN26" s="152"/>
      <c r="CO26" s="152"/>
      <c r="CP26" s="152"/>
      <c r="CQ26" s="152"/>
      <c r="CR26" s="152"/>
      <c r="CS26" s="152"/>
      <c r="CT26" s="152"/>
      <c r="CU26" s="152"/>
      <c r="CV26" s="152"/>
      <c r="CW26" s="152"/>
      <c r="CX26" s="152"/>
      <c r="CY26" s="152"/>
      <c r="CZ26" s="152"/>
      <c r="DA26" s="152"/>
      <c r="DB26" s="152"/>
      <c r="DC26" s="152"/>
      <c r="DD26" s="152"/>
      <c r="DE26" s="152"/>
      <c r="DF26" s="152"/>
      <c r="DG26" s="152"/>
      <c r="DH26" s="152"/>
      <c r="DI26" s="152"/>
      <c r="DJ26" s="152"/>
      <c r="DK26" s="152"/>
      <c r="DL26" s="152"/>
      <c r="DM26" s="152"/>
      <c r="DN26" s="152"/>
      <c r="DO26" s="152"/>
      <c r="DP26" s="152"/>
      <c r="DQ26" s="152"/>
      <c r="DR26" s="152"/>
      <c r="DS26" s="152"/>
      <c r="DT26" s="152"/>
      <c r="DU26" s="152"/>
      <c r="DV26" s="152"/>
      <c r="DW26" s="152"/>
      <c r="DX26" s="152"/>
      <c r="DY26" s="152"/>
      <c r="DZ26" s="152"/>
      <c r="EA26" s="152"/>
      <c r="EB26" s="152"/>
      <c r="EC26" s="152"/>
      <c r="ED26" s="152"/>
      <c r="EE26" s="152"/>
      <c r="EF26" s="152"/>
      <c r="EG26" s="152"/>
      <c r="EH26" s="152"/>
      <c r="EI26" s="152"/>
      <c r="EJ26" s="152"/>
      <c r="EK26" s="152"/>
      <c r="EL26" s="152"/>
      <c r="EM26" s="152"/>
      <c r="EN26" s="152"/>
      <c r="EO26" s="152"/>
      <c r="EP26" s="152"/>
      <c r="EQ26" s="152"/>
      <c r="ER26" s="152"/>
      <c r="ES26" s="152"/>
      <c r="ET26" s="152"/>
      <c r="EU26" s="152"/>
      <c r="EV26" s="152"/>
      <c r="EW26" s="152"/>
      <c r="EX26" s="152"/>
      <c r="EY26" s="152"/>
      <c r="EZ26" s="152"/>
      <c r="FA26" s="152"/>
      <c r="FB26" s="152"/>
      <c r="FC26" s="152"/>
      <c r="FD26" s="152"/>
      <c r="FE26" s="152"/>
      <c r="FF26" s="152"/>
      <c r="FG26" s="152"/>
      <c r="FH26" s="152"/>
      <c r="FI26" s="152"/>
      <c r="FJ26" s="152"/>
      <c r="FK26" s="152"/>
      <c r="FL26" s="152"/>
      <c r="FM26" s="152"/>
      <c r="FN26" s="152"/>
      <c r="FO26" s="152"/>
      <c r="FP26" s="152"/>
      <c r="FQ26" s="152"/>
      <c r="FR26" s="152"/>
      <c r="FS26" s="152"/>
      <c r="FT26" s="152"/>
      <c r="FU26" s="152"/>
      <c r="FV26" s="152"/>
      <c r="FW26" s="152"/>
      <c r="FX26" s="152"/>
      <c r="FY26" s="152"/>
      <c r="FZ26" s="152"/>
      <c r="GA26" s="152"/>
      <c r="GB26" s="152"/>
      <c r="GC26" s="152"/>
      <c r="GD26" s="152"/>
      <c r="GE26" s="152"/>
      <c r="GF26" s="152"/>
      <c r="GG26" s="152"/>
      <c r="GH26" s="152"/>
      <c r="GI26" s="152"/>
      <c r="GJ26" s="152"/>
      <c r="GK26" s="152"/>
      <c r="GL26" s="152"/>
      <c r="GM26" s="152"/>
      <c r="GN26" s="152"/>
      <c r="GO26" s="152"/>
      <c r="GP26" s="152"/>
      <c r="GQ26" s="152"/>
      <c r="GR26" s="152"/>
      <c r="GS26" s="152"/>
      <c r="GT26" s="152"/>
      <c r="GU26" s="152"/>
      <c r="GV26" s="152"/>
      <c r="GW26" s="152"/>
      <c r="GX26" s="152"/>
      <c r="GY26" s="152"/>
      <c r="GZ26" s="152"/>
      <c r="HA26" s="152"/>
      <c r="HB26" s="152"/>
      <c r="HC26" s="152"/>
      <c r="HD26" s="152"/>
      <c r="HE26" s="152"/>
      <c r="HF26" s="152"/>
      <c r="HG26" s="152"/>
      <c r="HH26" s="152"/>
      <c r="HI26" s="152"/>
      <c r="HJ26" s="152"/>
      <c r="HK26" s="152"/>
      <c r="HL26" s="152"/>
      <c r="HM26" s="152"/>
      <c r="HN26" s="152"/>
      <c r="HO26" s="152"/>
      <c r="HP26" s="152"/>
      <c r="HQ26" s="152"/>
      <c r="HR26" s="152"/>
      <c r="HS26" s="152"/>
      <c r="HT26" s="152"/>
      <c r="HU26" s="152"/>
      <c r="HV26" s="152"/>
      <c r="HW26" s="152"/>
      <c r="HX26" s="152"/>
      <c r="HY26" s="152"/>
      <c r="HZ26" s="152"/>
      <c r="IA26" s="152"/>
      <c r="IB26" s="152"/>
      <c r="IC26" s="152"/>
      <c r="ID26" s="152"/>
      <c r="IE26" s="152"/>
      <c r="IF26" s="152"/>
      <c r="IG26" s="152"/>
      <c r="IH26" s="152"/>
      <c r="II26" s="152"/>
      <c r="IJ26" s="152"/>
      <c r="IK26" s="152"/>
      <c r="IL26" s="152"/>
      <c r="IM26" s="152"/>
      <c r="IN26" s="152"/>
      <c r="IO26" s="152"/>
      <c r="IP26" s="152"/>
      <c r="IQ26" s="152"/>
      <c r="IR26" s="152"/>
      <c r="IS26" s="152"/>
      <c r="IT26" s="152"/>
      <c r="IU26" s="152"/>
      <c r="IV26" s="152"/>
      <c r="IW26" s="152"/>
      <c r="IX26" s="152"/>
      <c r="IY26" s="152"/>
      <c r="IZ26" s="152"/>
      <c r="JA26" s="152"/>
      <c r="JB26" s="152"/>
      <c r="JC26" s="152"/>
      <c r="JD26" s="152"/>
      <c r="JE26" s="152"/>
      <c r="JF26" s="152"/>
      <c r="JG26" s="152"/>
      <c r="JH26" s="152"/>
      <c r="JI26" s="152"/>
      <c r="JJ26" s="152"/>
      <c r="JK26" s="152"/>
      <c r="JL26" s="152"/>
      <c r="JM26" s="152"/>
      <c r="JN26" s="152"/>
      <c r="JO26" s="152"/>
      <c r="JP26" s="152"/>
      <c r="JQ26" s="152"/>
      <c r="JR26" s="152"/>
      <c r="JS26" s="152"/>
      <c r="JT26" s="152"/>
      <c r="JU26" s="152"/>
      <c r="JV26" s="152"/>
      <c r="JW26" s="152"/>
      <c r="JX26" s="152"/>
      <c r="JY26" s="152"/>
      <c r="JZ26" s="152"/>
      <c r="KA26" s="152"/>
      <c r="KB26" s="152"/>
      <c r="KC26" s="152"/>
      <c r="KD26" s="152"/>
      <c r="KE26" s="152"/>
      <c r="KF26" s="152"/>
      <c r="KG26" s="152"/>
      <c r="KH26" s="152"/>
      <c r="KI26" s="152"/>
      <c r="KJ26" s="152"/>
      <c r="KK26" s="152"/>
      <c r="KL26" s="152"/>
      <c r="KM26" s="152"/>
      <c r="KN26" s="152"/>
      <c r="KO26" s="152"/>
      <c r="KP26" s="152"/>
      <c r="KQ26" s="152"/>
      <c r="KR26" s="152"/>
      <c r="KS26" s="152"/>
      <c r="KT26" s="152"/>
      <c r="KU26" s="152"/>
      <c r="KV26" s="152"/>
      <c r="KW26" s="152"/>
      <c r="KX26" s="152"/>
      <c r="KY26" s="152"/>
      <c r="KZ26" s="152"/>
      <c r="LA26" s="152"/>
      <c r="LB26" s="152"/>
      <c r="LC26" s="152"/>
      <c r="LD26" s="152"/>
      <c r="LE26" s="152"/>
      <c r="LF26" s="152"/>
    </row>
    <row r="27" spans="1:318" ht="15.75" thickBot="1">
      <c r="O27" s="197" t="s">
        <v>216</v>
      </c>
      <c r="P27" s="193"/>
      <c r="Q27" s="199"/>
      <c r="R27" s="192"/>
      <c r="S27" s="195">
        <f>S22+S23+S24+S25+S26</f>
        <v>66000</v>
      </c>
      <c r="T27" s="195">
        <f t="shared" ref="T27:AQ27" si="16">T22+T23+T24+T25+T26</f>
        <v>67980</v>
      </c>
      <c r="U27" s="195">
        <f t="shared" si="16"/>
        <v>70019.400000000009</v>
      </c>
      <c r="V27" s="195">
        <f t="shared" si="16"/>
        <v>72119.982000000004</v>
      </c>
      <c r="W27" s="195">
        <f t="shared" si="16"/>
        <v>74283.581460000016</v>
      </c>
      <c r="X27" s="195">
        <f t="shared" si="16"/>
        <v>76512.088903800017</v>
      </c>
      <c r="Y27" s="195">
        <f t="shared" si="16"/>
        <v>78807.451570914011</v>
      </c>
      <c r="Z27" s="195">
        <f t="shared" si="16"/>
        <v>81171.675118041443</v>
      </c>
      <c r="AA27" s="195">
        <f t="shared" si="16"/>
        <v>83606.825371582672</v>
      </c>
      <c r="AB27" s="195">
        <f t="shared" si="16"/>
        <v>86115.030132730157</v>
      </c>
      <c r="AC27" s="195">
        <f t="shared" si="16"/>
        <v>88698.481036712066</v>
      </c>
      <c r="AD27" s="195">
        <f t="shared" si="16"/>
        <v>91359.435467813426</v>
      </c>
      <c r="AE27" s="195">
        <f t="shared" si="16"/>
        <v>94100.21853184783</v>
      </c>
      <c r="AF27" s="195">
        <f t="shared" si="16"/>
        <v>96923.225087803279</v>
      </c>
      <c r="AG27" s="195">
        <f t="shared" si="16"/>
        <v>99830.921840437382</v>
      </c>
      <c r="AH27" s="195">
        <f t="shared" si="16"/>
        <v>102825.84949565052</v>
      </c>
      <c r="AI27" s="195">
        <f t="shared" si="16"/>
        <v>105910.62498052002</v>
      </c>
      <c r="AJ27" s="195">
        <f t="shared" si="16"/>
        <v>109087.94372993564</v>
      </c>
      <c r="AK27" s="195">
        <f t="shared" si="16"/>
        <v>112360.58204183371</v>
      </c>
      <c r="AL27" s="195">
        <f t="shared" si="16"/>
        <v>115731.39950308872</v>
      </c>
      <c r="AM27" s="195">
        <f t="shared" si="16"/>
        <v>119203.34148818138</v>
      </c>
      <c r="AN27" s="195">
        <f t="shared" si="16"/>
        <v>122779.44173282683</v>
      </c>
      <c r="AO27" s="195">
        <f t="shared" si="16"/>
        <v>126462.82498481164</v>
      </c>
      <c r="AP27" s="195">
        <f t="shared" si="16"/>
        <v>130256.70973435599</v>
      </c>
      <c r="AQ27" s="196">
        <f t="shared" si="16"/>
        <v>134164.41102638669</v>
      </c>
      <c r="AR27" s="152">
        <f t="shared" si="10"/>
        <v>96252.457809570929</v>
      </c>
      <c r="AW27" s="152"/>
      <c r="AX27" s="152"/>
      <c r="AY27" s="152"/>
      <c r="AZ27" s="152"/>
      <c r="BA27" s="152"/>
      <c r="BB27" s="152"/>
      <c r="BC27" s="152"/>
      <c r="BD27" s="152"/>
      <c r="BE27" s="152"/>
      <c r="BF27" s="152"/>
      <c r="BG27" s="152"/>
      <c r="BH27" s="152"/>
      <c r="BI27" s="152"/>
      <c r="BJ27" s="152"/>
      <c r="BK27" s="152"/>
      <c r="BL27" s="152"/>
      <c r="BM27" s="152"/>
      <c r="BN27" s="152"/>
      <c r="BO27" s="152"/>
      <c r="BP27" s="152"/>
      <c r="BQ27" s="152"/>
      <c r="BR27" s="152"/>
      <c r="BS27" s="152"/>
      <c r="BT27" s="152"/>
      <c r="BU27" s="152"/>
      <c r="BV27" s="152"/>
      <c r="BW27" s="152"/>
      <c r="BX27" s="152"/>
      <c r="BY27" s="152"/>
      <c r="BZ27" s="152"/>
      <c r="CA27" s="152"/>
      <c r="CB27" s="152"/>
      <c r="CC27" s="152"/>
      <c r="CD27" s="152"/>
      <c r="CE27" s="152"/>
      <c r="CF27" s="152"/>
      <c r="CG27" s="152"/>
      <c r="CH27" s="152"/>
      <c r="CI27" s="152"/>
      <c r="CJ27" s="152"/>
      <c r="CK27" s="152"/>
      <c r="CL27" s="152"/>
      <c r="CM27" s="152"/>
      <c r="CN27" s="152"/>
      <c r="CO27" s="152"/>
      <c r="CP27" s="152"/>
      <c r="CQ27" s="152"/>
      <c r="CR27" s="152"/>
      <c r="CS27" s="152"/>
      <c r="CT27" s="152"/>
      <c r="CU27" s="152"/>
      <c r="CV27" s="152"/>
      <c r="CW27" s="152"/>
      <c r="CX27" s="152"/>
      <c r="CY27" s="152"/>
      <c r="CZ27" s="152"/>
      <c r="DA27" s="152"/>
      <c r="DB27" s="152"/>
      <c r="DC27" s="152"/>
      <c r="DD27" s="152"/>
      <c r="DE27" s="152"/>
      <c r="DF27" s="152"/>
      <c r="DG27" s="152"/>
      <c r="DH27" s="152"/>
      <c r="DI27" s="152"/>
      <c r="DJ27" s="152"/>
      <c r="DK27" s="152"/>
      <c r="DL27" s="152"/>
      <c r="DM27" s="152"/>
      <c r="DN27" s="152"/>
      <c r="DO27" s="152"/>
      <c r="DP27" s="152"/>
      <c r="DQ27" s="152"/>
      <c r="DR27" s="152"/>
      <c r="DS27" s="152"/>
      <c r="DT27" s="152"/>
      <c r="DU27" s="152"/>
      <c r="DV27" s="152"/>
      <c r="DW27" s="152"/>
      <c r="DX27" s="152"/>
      <c r="DY27" s="152"/>
      <c r="DZ27" s="152"/>
      <c r="EA27" s="152"/>
      <c r="EB27" s="152"/>
      <c r="EC27" s="152"/>
      <c r="ED27" s="152"/>
      <c r="EE27" s="152"/>
      <c r="EF27" s="152"/>
      <c r="EG27" s="152"/>
      <c r="EH27" s="152"/>
      <c r="EI27" s="152"/>
      <c r="EJ27" s="152"/>
      <c r="EK27" s="152"/>
      <c r="EL27" s="152"/>
      <c r="EM27" s="152"/>
      <c r="EN27" s="152"/>
      <c r="EO27" s="152"/>
      <c r="EP27" s="152"/>
      <c r="EQ27" s="152"/>
      <c r="ER27" s="152"/>
      <c r="ES27" s="152"/>
      <c r="ET27" s="152"/>
      <c r="EU27" s="152"/>
      <c r="EV27" s="152"/>
      <c r="EW27" s="152"/>
      <c r="EX27" s="152"/>
      <c r="EY27" s="152"/>
      <c r="EZ27" s="152"/>
      <c r="FA27" s="152"/>
      <c r="FB27" s="152"/>
      <c r="FC27" s="152"/>
      <c r="FD27" s="152"/>
      <c r="FE27" s="152"/>
      <c r="FF27" s="152"/>
      <c r="FG27" s="152"/>
      <c r="FH27" s="152"/>
      <c r="FI27" s="152"/>
      <c r="FJ27" s="152"/>
      <c r="FK27" s="152"/>
      <c r="FL27" s="152"/>
      <c r="FM27" s="152"/>
      <c r="FN27" s="152"/>
      <c r="FO27" s="152"/>
      <c r="FP27" s="152"/>
      <c r="FQ27" s="152"/>
      <c r="FR27" s="152"/>
      <c r="FS27" s="152"/>
      <c r="FT27" s="152"/>
      <c r="FU27" s="152"/>
      <c r="FV27" s="152"/>
      <c r="FW27" s="152"/>
      <c r="FX27" s="152"/>
      <c r="FY27" s="152"/>
      <c r="FZ27" s="152"/>
      <c r="GA27" s="152"/>
      <c r="GB27" s="152"/>
      <c r="GC27" s="152"/>
      <c r="GD27" s="152"/>
      <c r="GE27" s="152"/>
      <c r="GF27" s="152"/>
      <c r="GG27" s="152"/>
      <c r="GH27" s="152"/>
      <c r="GI27" s="152"/>
      <c r="GJ27" s="152"/>
      <c r="GK27" s="152"/>
      <c r="GL27" s="152"/>
      <c r="GM27" s="152"/>
      <c r="GN27" s="152"/>
      <c r="GO27" s="152"/>
      <c r="GP27" s="152"/>
      <c r="GQ27" s="152"/>
      <c r="GR27" s="152"/>
      <c r="GS27" s="152"/>
      <c r="GT27" s="152"/>
      <c r="GU27" s="152"/>
      <c r="GV27" s="152"/>
      <c r="GW27" s="152"/>
      <c r="GX27" s="152"/>
      <c r="GY27" s="152"/>
      <c r="GZ27" s="152"/>
      <c r="HA27" s="152"/>
      <c r="HB27" s="152"/>
      <c r="HC27" s="152"/>
      <c r="HD27" s="152"/>
      <c r="HE27" s="152"/>
      <c r="HF27" s="152"/>
      <c r="HG27" s="152"/>
      <c r="HH27" s="152"/>
      <c r="HI27" s="152"/>
      <c r="HJ27" s="152"/>
      <c r="HK27" s="152"/>
      <c r="HL27" s="152"/>
      <c r="HM27" s="152"/>
      <c r="HN27" s="152"/>
      <c r="HO27" s="152"/>
      <c r="HP27" s="152"/>
      <c r="HQ27" s="152"/>
      <c r="HR27" s="152"/>
      <c r="HS27" s="152"/>
      <c r="HT27" s="152"/>
      <c r="HU27" s="152"/>
      <c r="HV27" s="152"/>
      <c r="HW27" s="152"/>
      <c r="HX27" s="152"/>
      <c r="HY27" s="152"/>
      <c r="HZ27" s="152"/>
      <c r="IA27" s="152"/>
      <c r="IB27" s="152"/>
      <c r="IC27" s="152"/>
      <c r="ID27" s="152"/>
      <c r="IE27" s="152"/>
      <c r="IF27" s="152"/>
      <c r="IG27" s="152"/>
      <c r="IH27" s="152"/>
      <c r="II27" s="152"/>
      <c r="IJ27" s="152"/>
      <c r="IK27" s="152"/>
      <c r="IL27" s="152"/>
      <c r="IM27" s="152"/>
      <c r="IN27" s="152"/>
      <c r="IO27" s="152"/>
      <c r="IP27" s="152"/>
      <c r="IQ27" s="152"/>
      <c r="IR27" s="152"/>
      <c r="IS27" s="152"/>
      <c r="IT27" s="152"/>
      <c r="IU27" s="152"/>
      <c r="IV27" s="152"/>
      <c r="IW27" s="152"/>
      <c r="IX27" s="152"/>
      <c r="IY27" s="152"/>
      <c r="IZ27" s="152"/>
      <c r="JA27" s="152"/>
      <c r="JB27" s="152"/>
      <c r="JC27" s="152"/>
      <c r="JD27" s="152"/>
      <c r="JE27" s="152"/>
      <c r="JF27" s="152"/>
      <c r="JG27" s="152"/>
      <c r="JH27" s="152"/>
      <c r="JI27" s="152"/>
      <c r="JJ27" s="152"/>
      <c r="JK27" s="152"/>
      <c r="JL27" s="152"/>
      <c r="JM27" s="152"/>
      <c r="JN27" s="152"/>
      <c r="JO27" s="152"/>
      <c r="JP27" s="152"/>
      <c r="JQ27" s="152"/>
      <c r="JR27" s="152"/>
      <c r="JS27" s="152"/>
      <c r="JT27" s="152"/>
      <c r="JU27" s="152"/>
      <c r="JV27" s="152"/>
      <c r="JW27" s="152"/>
      <c r="JX27" s="152"/>
      <c r="JY27" s="152"/>
      <c r="JZ27" s="152"/>
      <c r="KA27" s="152"/>
      <c r="KB27" s="152"/>
      <c r="KC27" s="152"/>
      <c r="KD27" s="152"/>
      <c r="KE27" s="152"/>
      <c r="KF27" s="152"/>
      <c r="KG27" s="152"/>
      <c r="KH27" s="152"/>
      <c r="KI27" s="152"/>
      <c r="KJ27" s="152"/>
      <c r="KK27" s="152"/>
      <c r="KL27" s="152"/>
      <c r="KM27" s="152"/>
      <c r="KN27" s="152"/>
      <c r="KO27" s="152"/>
      <c r="KP27" s="152"/>
      <c r="KQ27" s="152"/>
      <c r="KR27" s="152"/>
      <c r="KS27" s="152"/>
      <c r="KT27" s="152"/>
      <c r="KU27" s="152"/>
      <c r="KV27" s="152"/>
      <c r="KW27" s="152"/>
      <c r="KX27" s="152"/>
      <c r="KY27" s="152"/>
      <c r="KZ27" s="152"/>
      <c r="LA27" s="152"/>
      <c r="LB27" s="152"/>
      <c r="LC27" s="152"/>
      <c r="LD27" s="152"/>
      <c r="LE27" s="152"/>
      <c r="LF27" s="152"/>
    </row>
    <row r="28" spans="1:318" ht="18.75">
      <c r="A28" s="323" t="s">
        <v>217</v>
      </c>
      <c r="B28" s="323"/>
      <c r="C28" s="323"/>
      <c r="D28" s="323"/>
      <c r="O28" s="139"/>
      <c r="Q28" s="140"/>
      <c r="R28" s="139"/>
      <c r="S28" s="188"/>
      <c r="T28" s="188"/>
      <c r="U28" s="188"/>
      <c r="V28" s="188"/>
      <c r="W28" s="188"/>
      <c r="X28" s="188"/>
      <c r="Y28" s="188"/>
      <c r="Z28" s="188"/>
      <c r="AA28" s="188"/>
      <c r="AB28" s="188"/>
      <c r="AC28" s="188"/>
      <c r="AD28" s="188"/>
      <c r="AE28" s="188"/>
      <c r="AF28" s="188"/>
      <c r="AG28" s="188"/>
      <c r="AH28" s="188"/>
      <c r="AI28" s="188"/>
      <c r="AJ28" s="188"/>
      <c r="AK28" s="188"/>
      <c r="AL28" s="188"/>
      <c r="AM28" s="188"/>
      <c r="AN28" s="188"/>
      <c r="AO28" s="188"/>
      <c r="AP28" s="188"/>
      <c r="AQ28" s="189"/>
      <c r="AW28" s="152"/>
      <c r="AX28" s="152"/>
      <c r="AY28" s="152"/>
      <c r="AZ28" s="152"/>
      <c r="BA28" s="152"/>
      <c r="BB28" s="152"/>
      <c r="BC28" s="152"/>
      <c r="BD28" s="152"/>
      <c r="BE28" s="152"/>
      <c r="BF28" s="152"/>
      <c r="BG28" s="152"/>
      <c r="BH28" s="152"/>
      <c r="BI28" s="152"/>
      <c r="BJ28" s="152"/>
      <c r="BK28" s="152"/>
      <c r="BL28" s="152"/>
      <c r="BM28" s="152"/>
      <c r="BN28" s="152"/>
      <c r="BO28" s="152"/>
      <c r="BP28" s="152"/>
      <c r="BQ28" s="152"/>
      <c r="BR28" s="152"/>
      <c r="BS28" s="152"/>
      <c r="BT28" s="152"/>
      <c r="BU28" s="152"/>
      <c r="BV28" s="152"/>
      <c r="BW28" s="152"/>
      <c r="BX28" s="152"/>
      <c r="BY28" s="152"/>
      <c r="BZ28" s="152"/>
      <c r="CA28" s="152"/>
      <c r="CB28" s="152"/>
      <c r="CC28" s="152"/>
      <c r="CD28" s="152"/>
      <c r="CE28" s="152"/>
      <c r="CF28" s="152"/>
      <c r="CG28" s="152"/>
      <c r="CH28" s="152"/>
      <c r="CI28" s="152"/>
      <c r="CJ28" s="152"/>
      <c r="CK28" s="152"/>
      <c r="CL28" s="152"/>
      <c r="CM28" s="152"/>
      <c r="CN28" s="152"/>
      <c r="CO28" s="152"/>
      <c r="CP28" s="152"/>
      <c r="CQ28" s="152"/>
      <c r="CR28" s="152"/>
      <c r="CS28" s="152"/>
      <c r="CT28" s="152"/>
      <c r="CU28" s="152"/>
      <c r="CV28" s="152"/>
      <c r="CW28" s="152"/>
      <c r="CX28" s="152"/>
      <c r="CY28" s="152"/>
      <c r="CZ28" s="152"/>
      <c r="DA28" s="152"/>
      <c r="DB28" s="152"/>
      <c r="DC28" s="152"/>
      <c r="DD28" s="152"/>
      <c r="DE28" s="152"/>
      <c r="DF28" s="152"/>
      <c r="DG28" s="152"/>
      <c r="DH28" s="152"/>
      <c r="DI28" s="152"/>
      <c r="DJ28" s="152"/>
      <c r="DK28" s="152"/>
      <c r="DL28" s="152"/>
      <c r="DM28" s="152"/>
      <c r="DN28" s="152"/>
      <c r="DO28" s="152"/>
      <c r="DP28" s="152"/>
      <c r="DQ28" s="152"/>
      <c r="DR28" s="152"/>
      <c r="DS28" s="152"/>
      <c r="DT28" s="152"/>
      <c r="DU28" s="152"/>
      <c r="DV28" s="152"/>
      <c r="DW28" s="152"/>
      <c r="DX28" s="152"/>
      <c r="DY28" s="152"/>
      <c r="DZ28" s="152"/>
      <c r="EA28" s="152"/>
      <c r="EB28" s="152"/>
      <c r="EC28" s="152"/>
      <c r="ED28" s="152"/>
      <c r="EE28" s="152"/>
      <c r="EF28" s="152"/>
      <c r="EG28" s="152"/>
      <c r="EH28" s="152"/>
      <c r="EI28" s="152"/>
      <c r="EJ28" s="152"/>
      <c r="EK28" s="152"/>
      <c r="EL28" s="152"/>
      <c r="EM28" s="152"/>
      <c r="EN28" s="152"/>
      <c r="EO28" s="152"/>
      <c r="EP28" s="152"/>
      <c r="EQ28" s="152"/>
      <c r="ER28" s="152"/>
      <c r="ES28" s="152"/>
      <c r="ET28" s="152"/>
      <c r="EU28" s="152"/>
      <c r="EV28" s="152"/>
      <c r="EW28" s="152"/>
      <c r="EX28" s="152"/>
      <c r="EY28" s="152"/>
      <c r="EZ28" s="152"/>
      <c r="FA28" s="152"/>
      <c r="FB28" s="152"/>
      <c r="FC28" s="152"/>
      <c r="FD28" s="152"/>
      <c r="FE28" s="152"/>
      <c r="FF28" s="152"/>
      <c r="FG28" s="152"/>
      <c r="FH28" s="152"/>
      <c r="FI28" s="152"/>
      <c r="FJ28" s="152"/>
      <c r="FK28" s="152"/>
      <c r="FL28" s="152"/>
      <c r="FM28" s="152"/>
      <c r="FN28" s="152"/>
      <c r="FO28" s="152"/>
      <c r="FP28" s="152"/>
      <c r="FQ28" s="152"/>
      <c r="FR28" s="152"/>
      <c r="FS28" s="152"/>
      <c r="FT28" s="152"/>
      <c r="FU28" s="152"/>
      <c r="FV28" s="152"/>
      <c r="FW28" s="152"/>
      <c r="FX28" s="152"/>
      <c r="FY28" s="152"/>
      <c r="FZ28" s="152"/>
      <c r="GA28" s="152"/>
      <c r="GB28" s="152"/>
      <c r="GC28" s="152"/>
      <c r="GD28" s="152"/>
      <c r="GE28" s="152"/>
      <c r="GF28" s="152"/>
      <c r="GG28" s="152"/>
      <c r="GH28" s="152"/>
      <c r="GI28" s="152"/>
      <c r="GJ28" s="152"/>
      <c r="GK28" s="152"/>
      <c r="GL28" s="152"/>
      <c r="GM28" s="152"/>
      <c r="GN28" s="152"/>
      <c r="GO28" s="152"/>
      <c r="GP28" s="152"/>
      <c r="GQ28" s="152"/>
      <c r="GR28" s="152"/>
      <c r="GS28" s="152"/>
      <c r="GT28" s="152"/>
      <c r="GU28" s="152"/>
      <c r="GV28" s="152"/>
      <c r="GW28" s="152"/>
      <c r="GX28" s="152"/>
      <c r="GY28" s="152"/>
      <c r="GZ28" s="152"/>
      <c r="HA28" s="152"/>
      <c r="HB28" s="152"/>
      <c r="HC28" s="152"/>
      <c r="HD28" s="152"/>
      <c r="HE28" s="152"/>
      <c r="HF28" s="152"/>
      <c r="HG28" s="152"/>
      <c r="HH28" s="152"/>
      <c r="HI28" s="152"/>
      <c r="HJ28" s="152"/>
      <c r="HK28" s="152"/>
      <c r="HL28" s="152"/>
      <c r="HM28" s="152"/>
      <c r="HN28" s="152"/>
      <c r="HO28" s="152"/>
      <c r="HP28" s="152"/>
      <c r="HQ28" s="152"/>
      <c r="HR28" s="152"/>
      <c r="HS28" s="152"/>
      <c r="HT28" s="152"/>
      <c r="HU28" s="152"/>
      <c r="HV28" s="152"/>
      <c r="HW28" s="152"/>
      <c r="HX28" s="152"/>
      <c r="HY28" s="152"/>
      <c r="HZ28" s="152"/>
      <c r="IA28" s="152"/>
      <c r="IB28" s="152"/>
      <c r="IC28" s="152"/>
      <c r="ID28" s="152"/>
      <c r="IE28" s="152"/>
      <c r="IF28" s="152"/>
      <c r="IG28" s="152"/>
      <c r="IH28" s="152"/>
      <c r="II28" s="152"/>
      <c r="IJ28" s="152"/>
      <c r="IK28" s="152"/>
      <c r="IL28" s="152"/>
      <c r="IM28" s="152"/>
      <c r="IN28" s="152"/>
      <c r="IO28" s="152"/>
      <c r="IP28" s="152"/>
      <c r="IQ28" s="152"/>
      <c r="IR28" s="152"/>
      <c r="IS28" s="152"/>
      <c r="IT28" s="152"/>
      <c r="IU28" s="152"/>
      <c r="IV28" s="152"/>
      <c r="IW28" s="152"/>
      <c r="IX28" s="152"/>
      <c r="IY28" s="152"/>
      <c r="IZ28" s="152"/>
      <c r="JA28" s="152"/>
      <c r="JB28" s="152"/>
      <c r="JC28" s="152"/>
      <c r="JD28" s="152"/>
      <c r="JE28" s="152"/>
      <c r="JF28" s="152"/>
      <c r="JG28" s="152"/>
      <c r="JH28" s="152"/>
      <c r="JI28" s="152"/>
      <c r="JJ28" s="152"/>
      <c r="JK28" s="152"/>
      <c r="JL28" s="152"/>
      <c r="JM28" s="152"/>
      <c r="JN28" s="152"/>
      <c r="JO28" s="152"/>
      <c r="JP28" s="152"/>
      <c r="JQ28" s="152"/>
      <c r="JR28" s="152"/>
      <c r="JS28" s="152"/>
      <c r="JT28" s="152"/>
      <c r="JU28" s="152"/>
      <c r="JV28" s="152"/>
      <c r="JW28" s="152"/>
      <c r="JX28" s="152"/>
      <c r="JY28" s="152"/>
      <c r="JZ28" s="152"/>
      <c r="KA28" s="152"/>
      <c r="KB28" s="152"/>
      <c r="KC28" s="152"/>
      <c r="KD28" s="152"/>
      <c r="KE28" s="152"/>
      <c r="KF28" s="152"/>
      <c r="KG28" s="152"/>
      <c r="KH28" s="152"/>
      <c r="KI28" s="152"/>
      <c r="KJ28" s="152"/>
      <c r="KK28" s="152"/>
      <c r="KL28" s="152"/>
      <c r="KM28" s="152"/>
      <c r="KN28" s="152"/>
      <c r="KO28" s="152"/>
      <c r="KP28" s="152"/>
      <c r="KQ28" s="152"/>
      <c r="KR28" s="152"/>
      <c r="KS28" s="152"/>
      <c r="KT28" s="152"/>
      <c r="KU28" s="152"/>
      <c r="KV28" s="152"/>
      <c r="KW28" s="152"/>
      <c r="KX28" s="152"/>
      <c r="KY28" s="152"/>
      <c r="KZ28" s="152"/>
      <c r="LA28" s="152"/>
      <c r="LB28" s="152"/>
      <c r="LC28" s="152"/>
      <c r="LD28" s="152"/>
      <c r="LE28" s="152"/>
      <c r="LF28" s="152"/>
    </row>
    <row r="29" spans="1:318" ht="30">
      <c r="A29" s="156"/>
      <c r="B29" s="156"/>
      <c r="C29" s="156"/>
      <c r="D29" s="156"/>
      <c r="O29" s="202" t="s">
        <v>218</v>
      </c>
      <c r="Q29" s="140"/>
      <c r="R29" s="139"/>
      <c r="S29" s="188">
        <f t="shared" ref="S29:AQ29" si="17">S19+S27</f>
        <v>193500</v>
      </c>
      <c r="T29" s="188">
        <f t="shared" si="17"/>
        <v>202116</v>
      </c>
      <c r="U29" s="188">
        <f t="shared" si="17"/>
        <v>210143.15310000011</v>
      </c>
      <c r="V29" s="188">
        <f t="shared" si="17"/>
        <v>217633.58036188519</v>
      </c>
      <c r="W29" s="188">
        <f t="shared" si="17"/>
        <v>224635.92380593438</v>
      </c>
      <c r="X29" s="188">
        <f t="shared" si="17"/>
        <v>231195.58217052452</v>
      </c>
      <c r="Y29" s="188">
        <f t="shared" si="17"/>
        <v>237354.93175303179</v>
      </c>
      <c r="Z29" s="188">
        <f t="shared" si="17"/>
        <v>243153.5332663476</v>
      </c>
      <c r="AA29" s="188">
        <f t="shared" si="17"/>
        <v>248628.32558836756</v>
      </c>
      <c r="AB29" s="188">
        <f t="shared" si="17"/>
        <v>254197.86638691777</v>
      </c>
      <c r="AC29" s="188">
        <f t="shared" si="17"/>
        <v>260329.73743712052</v>
      </c>
      <c r="AD29" s="188">
        <f t="shared" si="17"/>
        <v>266514.273073419</v>
      </c>
      <c r="AE29" s="188">
        <f t="shared" si="17"/>
        <v>272753.97227421415</v>
      </c>
      <c r="AF29" s="188">
        <f t="shared" si="17"/>
        <v>279051.40255397296</v>
      </c>
      <c r="AG29" s="188">
        <f t="shared" si="17"/>
        <v>285409.2020643439</v>
      </c>
      <c r="AH29" s="188">
        <f t="shared" si="17"/>
        <v>291830.08175798971</v>
      </c>
      <c r="AI29" s="188">
        <f t="shared" si="17"/>
        <v>298316.82761702291</v>
      </c>
      <c r="AJ29" s="188">
        <f t="shared" si="17"/>
        <v>304872.30294798309</v>
      </c>
      <c r="AK29" s="188">
        <f t="shared" si="17"/>
        <v>311499.45074535481</v>
      </c>
      <c r="AL29" s="188">
        <f t="shared" si="17"/>
        <v>318201.29612568504</v>
      </c>
      <c r="AM29" s="188">
        <f t="shared" si="17"/>
        <v>324980.94883441972</v>
      </c>
      <c r="AN29" s="188">
        <f t="shared" si="17"/>
        <v>331841.60582764138</v>
      </c>
      <c r="AO29" s="188">
        <f t="shared" si="17"/>
        <v>338786.55393096263</v>
      </c>
      <c r="AP29" s="188">
        <f t="shared" si="17"/>
        <v>345819.17257788376</v>
      </c>
      <c r="AQ29" s="189">
        <f t="shared" si="17"/>
        <v>352942.93663000979</v>
      </c>
      <c r="AW29" s="152"/>
      <c r="AX29" s="152"/>
      <c r="AY29" s="152"/>
      <c r="AZ29" s="152"/>
      <c r="BA29" s="152"/>
      <c r="BB29" s="152"/>
      <c r="BC29" s="152"/>
      <c r="BD29" s="152"/>
      <c r="BE29" s="152"/>
      <c r="BF29" s="152"/>
      <c r="BG29" s="152"/>
      <c r="BH29" s="152"/>
      <c r="BI29" s="152"/>
      <c r="BJ29" s="152"/>
      <c r="BK29" s="152"/>
      <c r="BL29" s="152"/>
      <c r="BM29" s="152"/>
      <c r="BN29" s="152"/>
      <c r="BO29" s="152"/>
      <c r="BP29" s="152"/>
      <c r="BQ29" s="152"/>
      <c r="BR29" s="152"/>
      <c r="BS29" s="152"/>
      <c r="BT29" s="152"/>
      <c r="BU29" s="152"/>
      <c r="BV29" s="152"/>
      <c r="BW29" s="152"/>
      <c r="BX29" s="152"/>
      <c r="BY29" s="152"/>
      <c r="BZ29" s="152"/>
      <c r="CA29" s="152"/>
      <c r="CB29" s="152"/>
      <c r="CC29" s="152"/>
      <c r="CD29" s="152"/>
      <c r="CE29" s="152"/>
      <c r="CF29" s="152"/>
      <c r="CG29" s="152"/>
      <c r="CH29" s="152"/>
      <c r="CI29" s="152"/>
      <c r="CJ29" s="152"/>
      <c r="CK29" s="152"/>
      <c r="CL29" s="152"/>
      <c r="CM29" s="152"/>
      <c r="CN29" s="152"/>
      <c r="CO29" s="152"/>
      <c r="CP29" s="152"/>
      <c r="CQ29" s="152"/>
      <c r="CR29" s="152"/>
      <c r="CS29" s="152"/>
      <c r="CT29" s="152"/>
      <c r="CU29" s="152"/>
      <c r="CV29" s="152"/>
      <c r="CW29" s="152"/>
      <c r="CX29" s="152"/>
      <c r="CY29" s="152"/>
      <c r="CZ29" s="152"/>
      <c r="DA29" s="152"/>
      <c r="DB29" s="152"/>
      <c r="DC29" s="152"/>
      <c r="DD29" s="152"/>
      <c r="DE29" s="152"/>
      <c r="DF29" s="152"/>
      <c r="DG29" s="152"/>
      <c r="DH29" s="152"/>
      <c r="DI29" s="152"/>
      <c r="DJ29" s="152"/>
      <c r="DK29" s="152"/>
      <c r="DL29" s="152"/>
      <c r="DM29" s="152"/>
      <c r="DN29" s="152"/>
      <c r="DO29" s="152"/>
      <c r="DP29" s="152"/>
      <c r="DQ29" s="152"/>
      <c r="DR29" s="152"/>
      <c r="DS29" s="152"/>
      <c r="DT29" s="152"/>
      <c r="DU29" s="152"/>
      <c r="DV29" s="152"/>
      <c r="DW29" s="152"/>
      <c r="DX29" s="152"/>
      <c r="DY29" s="152"/>
      <c r="DZ29" s="152"/>
      <c r="EA29" s="152"/>
      <c r="EB29" s="152"/>
      <c r="EC29" s="152"/>
      <c r="ED29" s="152"/>
      <c r="EE29" s="152"/>
      <c r="EF29" s="152"/>
      <c r="EG29" s="152"/>
      <c r="EH29" s="152"/>
      <c r="EI29" s="152"/>
      <c r="EJ29" s="152"/>
      <c r="EK29" s="152"/>
      <c r="EL29" s="152"/>
      <c r="EM29" s="152"/>
      <c r="EN29" s="152"/>
      <c r="EO29" s="152"/>
      <c r="EP29" s="152"/>
      <c r="EQ29" s="152"/>
      <c r="ER29" s="152"/>
      <c r="ES29" s="152"/>
      <c r="ET29" s="152"/>
      <c r="EU29" s="152"/>
      <c r="EV29" s="152"/>
      <c r="EW29" s="152"/>
      <c r="EX29" s="152"/>
      <c r="EY29" s="152"/>
      <c r="EZ29" s="152"/>
      <c r="FA29" s="152"/>
      <c r="FB29" s="152"/>
      <c r="FC29" s="152"/>
      <c r="FD29" s="152"/>
      <c r="FE29" s="152"/>
      <c r="FF29" s="152"/>
      <c r="FG29" s="152"/>
      <c r="FH29" s="152"/>
      <c r="FI29" s="152"/>
      <c r="FJ29" s="152"/>
      <c r="FK29" s="152"/>
      <c r="FL29" s="152"/>
      <c r="FM29" s="152"/>
      <c r="FN29" s="152"/>
      <c r="FO29" s="152"/>
      <c r="FP29" s="152"/>
      <c r="FQ29" s="152"/>
      <c r="FR29" s="152"/>
      <c r="FS29" s="152"/>
      <c r="FT29" s="152"/>
      <c r="FU29" s="152"/>
      <c r="FV29" s="152"/>
      <c r="FW29" s="152"/>
      <c r="FX29" s="152"/>
      <c r="FY29" s="152"/>
      <c r="FZ29" s="152"/>
      <c r="GA29" s="152"/>
      <c r="GB29" s="152"/>
      <c r="GC29" s="152"/>
      <c r="GD29" s="152"/>
      <c r="GE29" s="152"/>
      <c r="GF29" s="152"/>
      <c r="GG29" s="152"/>
      <c r="GH29" s="152"/>
      <c r="GI29" s="152"/>
      <c r="GJ29" s="152"/>
      <c r="GK29" s="152"/>
      <c r="GL29" s="152"/>
      <c r="GM29" s="152"/>
      <c r="GN29" s="152"/>
      <c r="GO29" s="152"/>
      <c r="GP29" s="152"/>
      <c r="GQ29" s="152"/>
      <c r="GR29" s="152"/>
      <c r="GS29" s="152"/>
      <c r="GT29" s="152"/>
      <c r="GU29" s="152"/>
      <c r="GV29" s="152"/>
      <c r="GW29" s="152"/>
      <c r="GX29" s="152"/>
      <c r="GY29" s="152"/>
      <c r="GZ29" s="152"/>
      <c r="HA29" s="152"/>
      <c r="HB29" s="152"/>
      <c r="HC29" s="152"/>
      <c r="HD29" s="152"/>
      <c r="HE29" s="152"/>
      <c r="HF29" s="152"/>
      <c r="HG29" s="152"/>
      <c r="HH29" s="152"/>
      <c r="HI29" s="152"/>
      <c r="HJ29" s="152"/>
      <c r="HK29" s="152"/>
      <c r="HL29" s="152"/>
      <c r="HM29" s="152"/>
      <c r="HN29" s="152"/>
      <c r="HO29" s="152"/>
      <c r="HP29" s="152"/>
      <c r="HQ29" s="152"/>
      <c r="HR29" s="152"/>
      <c r="HS29" s="152"/>
      <c r="HT29" s="152"/>
      <c r="HU29" s="152"/>
      <c r="HV29" s="152"/>
      <c r="HW29" s="152"/>
      <c r="HX29" s="152"/>
      <c r="HY29" s="152"/>
      <c r="HZ29" s="152"/>
      <c r="IA29" s="152"/>
      <c r="IB29" s="152"/>
      <c r="IC29" s="152"/>
      <c r="ID29" s="152"/>
      <c r="IE29" s="152"/>
      <c r="IF29" s="152"/>
      <c r="IG29" s="152"/>
      <c r="IH29" s="152"/>
      <c r="II29" s="152"/>
      <c r="IJ29" s="152"/>
      <c r="IK29" s="152"/>
      <c r="IL29" s="152"/>
      <c r="IM29" s="152"/>
      <c r="IN29" s="152"/>
      <c r="IO29" s="152"/>
      <c r="IP29" s="152"/>
      <c r="IQ29" s="152"/>
      <c r="IR29" s="152"/>
      <c r="IS29" s="152"/>
      <c r="IT29" s="152"/>
      <c r="IU29" s="152"/>
      <c r="IV29" s="152"/>
      <c r="IW29" s="152"/>
      <c r="IX29" s="152"/>
      <c r="IY29" s="152"/>
      <c r="IZ29" s="152"/>
      <c r="JA29" s="152"/>
      <c r="JB29" s="152"/>
      <c r="JC29" s="152"/>
      <c r="JD29" s="152"/>
      <c r="JE29" s="152"/>
      <c r="JF29" s="152"/>
      <c r="JG29" s="152"/>
      <c r="JH29" s="152"/>
      <c r="JI29" s="152"/>
      <c r="JJ29" s="152"/>
      <c r="JK29" s="152"/>
      <c r="JL29" s="152"/>
      <c r="JM29" s="152"/>
      <c r="JN29" s="152"/>
      <c r="JO29" s="152"/>
      <c r="JP29" s="152"/>
      <c r="JQ29" s="152"/>
      <c r="JR29" s="152"/>
      <c r="JS29" s="152"/>
      <c r="JT29" s="152"/>
      <c r="JU29" s="152"/>
      <c r="JV29" s="152"/>
      <c r="JW29" s="152"/>
      <c r="JX29" s="152"/>
      <c r="JY29" s="152"/>
      <c r="JZ29" s="152"/>
      <c r="KA29" s="152"/>
      <c r="KB29" s="152"/>
      <c r="KC29" s="152"/>
      <c r="KD29" s="152"/>
      <c r="KE29" s="152"/>
      <c r="KF29" s="152"/>
      <c r="KG29" s="152"/>
      <c r="KH29" s="152"/>
      <c r="KI29" s="152"/>
      <c r="KJ29" s="152"/>
      <c r="KK29" s="152"/>
      <c r="KL29" s="152"/>
      <c r="KM29" s="152"/>
      <c r="KN29" s="152"/>
      <c r="KO29" s="152"/>
      <c r="KP29" s="152"/>
      <c r="KQ29" s="152"/>
      <c r="KR29" s="152"/>
      <c r="KS29" s="152"/>
      <c r="KT29" s="152"/>
      <c r="KU29" s="152"/>
      <c r="KV29" s="152"/>
      <c r="KW29" s="152"/>
      <c r="KX29" s="152"/>
      <c r="KY29" s="152"/>
      <c r="KZ29" s="152"/>
      <c r="LA29" s="152"/>
      <c r="LB29" s="152"/>
      <c r="LC29" s="152"/>
      <c r="LD29" s="152"/>
      <c r="LE29" s="152"/>
      <c r="LF29" s="152"/>
    </row>
    <row r="30" spans="1:318" ht="15.75" thickBot="1">
      <c r="A30" s="156"/>
      <c r="B30" s="156"/>
      <c r="C30" s="156"/>
      <c r="D30" s="156"/>
      <c r="O30" s="139"/>
      <c r="Q30" s="140"/>
      <c r="R30" s="139"/>
      <c r="S30" s="188"/>
      <c r="T30" s="188"/>
      <c r="U30" s="188"/>
      <c r="V30" s="188"/>
      <c r="W30" s="188"/>
      <c r="X30" s="188"/>
      <c r="Y30" s="188"/>
      <c r="Z30" s="188"/>
      <c r="AA30" s="188"/>
      <c r="AB30" s="188"/>
      <c r="AC30" s="188"/>
      <c r="AD30" s="188"/>
      <c r="AE30" s="188"/>
      <c r="AF30" s="188"/>
      <c r="AG30" s="188"/>
      <c r="AH30" s="188"/>
      <c r="AI30" s="188"/>
      <c r="AJ30" s="188"/>
      <c r="AK30" s="188"/>
      <c r="AL30" s="188"/>
      <c r="AM30" s="188"/>
      <c r="AN30" s="188"/>
      <c r="AO30" s="188"/>
      <c r="AP30" s="188"/>
      <c r="AQ30" s="189"/>
      <c r="AW30" s="154"/>
      <c r="AX30" s="154"/>
      <c r="AY30" s="154"/>
      <c r="AZ30" s="154"/>
      <c r="BA30" s="154"/>
      <c r="BB30" s="154"/>
      <c r="BC30" s="154"/>
      <c r="BD30" s="154"/>
      <c r="BE30" s="154"/>
      <c r="BF30" s="154"/>
      <c r="BG30" s="154"/>
      <c r="BH30" s="154"/>
      <c r="BI30" s="154"/>
      <c r="BJ30" s="154"/>
      <c r="BK30" s="154"/>
      <c r="BL30" s="154"/>
      <c r="BM30" s="154"/>
      <c r="BN30" s="154"/>
      <c r="BO30" s="154"/>
      <c r="BP30" s="154"/>
      <c r="BQ30" s="154"/>
      <c r="BR30" s="154"/>
      <c r="BS30" s="154"/>
      <c r="BT30" s="154"/>
      <c r="BU30" s="154"/>
      <c r="BV30" s="154"/>
      <c r="BW30" s="154"/>
      <c r="BX30" s="154"/>
      <c r="BY30" s="154"/>
      <c r="BZ30" s="154"/>
      <c r="CA30" s="154"/>
      <c r="CB30" s="154"/>
      <c r="CC30" s="154"/>
      <c r="CD30" s="154"/>
      <c r="CE30" s="154"/>
      <c r="CF30" s="154"/>
      <c r="CG30" s="154"/>
      <c r="CH30" s="154"/>
      <c r="CI30" s="154"/>
      <c r="CJ30" s="154"/>
      <c r="CK30" s="154"/>
      <c r="CL30" s="154"/>
      <c r="CM30" s="154"/>
      <c r="CN30" s="154"/>
      <c r="CO30" s="154"/>
      <c r="CP30" s="154"/>
      <c r="CQ30" s="154"/>
      <c r="CR30" s="154"/>
      <c r="CS30" s="154"/>
      <c r="CT30" s="154"/>
      <c r="CU30" s="154"/>
      <c r="CV30" s="154"/>
      <c r="CW30" s="154"/>
      <c r="CX30" s="154"/>
      <c r="CY30" s="154"/>
      <c r="CZ30" s="154"/>
      <c r="DA30" s="154"/>
      <c r="DB30" s="154"/>
      <c r="DC30" s="154"/>
      <c r="DD30" s="154"/>
      <c r="DE30" s="154"/>
      <c r="DF30" s="154"/>
      <c r="DG30" s="154"/>
      <c r="DH30" s="154"/>
      <c r="DI30" s="154"/>
      <c r="DJ30" s="154"/>
      <c r="DK30" s="154"/>
      <c r="DL30" s="154"/>
      <c r="DM30" s="154"/>
      <c r="DN30" s="154"/>
      <c r="DO30" s="154"/>
      <c r="DP30" s="154"/>
      <c r="DQ30" s="154"/>
      <c r="DR30" s="154"/>
      <c r="DS30" s="154"/>
      <c r="DT30" s="154"/>
      <c r="DU30" s="154"/>
      <c r="DV30" s="154"/>
      <c r="DW30" s="154"/>
      <c r="DX30" s="154"/>
      <c r="DY30" s="154"/>
      <c r="DZ30" s="154"/>
      <c r="EA30" s="154"/>
      <c r="EB30" s="154"/>
      <c r="EC30" s="154"/>
      <c r="ED30" s="154"/>
      <c r="EE30" s="154"/>
      <c r="EF30" s="154"/>
      <c r="EG30" s="154"/>
      <c r="EH30" s="154"/>
      <c r="EI30" s="154"/>
      <c r="EJ30" s="154"/>
      <c r="EK30" s="154"/>
      <c r="EL30" s="154"/>
      <c r="EM30" s="154"/>
      <c r="EN30" s="154"/>
      <c r="EO30" s="154"/>
      <c r="EP30" s="154"/>
      <c r="EQ30" s="154"/>
      <c r="ER30" s="154"/>
      <c r="ES30" s="154"/>
      <c r="ET30" s="154"/>
      <c r="EU30" s="154"/>
      <c r="EV30" s="154"/>
      <c r="EW30" s="154"/>
      <c r="EX30" s="154"/>
      <c r="EY30" s="154"/>
      <c r="EZ30" s="154"/>
      <c r="FA30" s="154"/>
      <c r="FB30" s="154"/>
      <c r="FC30" s="154"/>
      <c r="FD30" s="154"/>
      <c r="FE30" s="154"/>
      <c r="FF30" s="154"/>
      <c r="FG30" s="154"/>
      <c r="FH30" s="154"/>
      <c r="FI30" s="154"/>
      <c r="FJ30" s="154"/>
      <c r="FK30" s="154"/>
      <c r="FL30" s="154"/>
      <c r="FM30" s="154"/>
      <c r="FN30" s="154"/>
      <c r="FO30" s="154"/>
      <c r="FP30" s="154"/>
      <c r="FQ30" s="154"/>
      <c r="FR30" s="154"/>
      <c r="FS30" s="154"/>
      <c r="FT30" s="154"/>
      <c r="FU30" s="154"/>
      <c r="FV30" s="154"/>
      <c r="FW30" s="154"/>
      <c r="FX30" s="154"/>
      <c r="FY30" s="154"/>
      <c r="FZ30" s="154"/>
      <c r="GA30" s="154"/>
      <c r="GB30" s="154"/>
      <c r="GC30" s="154"/>
      <c r="GD30" s="154"/>
      <c r="GE30" s="154"/>
      <c r="GF30" s="154"/>
      <c r="GG30" s="154"/>
      <c r="GH30" s="154"/>
      <c r="GI30" s="154"/>
      <c r="GJ30" s="154"/>
      <c r="GK30" s="154"/>
      <c r="GL30" s="154"/>
      <c r="GM30" s="154"/>
      <c r="GN30" s="154"/>
      <c r="GO30" s="154"/>
      <c r="GP30" s="154"/>
      <c r="GQ30" s="154"/>
      <c r="GR30" s="154"/>
      <c r="GS30" s="154"/>
      <c r="GT30" s="154"/>
      <c r="GU30" s="154"/>
      <c r="GV30" s="154"/>
      <c r="GW30" s="154"/>
      <c r="GX30" s="154"/>
      <c r="GY30" s="154"/>
      <c r="GZ30" s="154"/>
      <c r="HA30" s="154"/>
      <c r="HB30" s="154"/>
      <c r="HC30" s="154"/>
      <c r="HD30" s="154"/>
      <c r="HE30" s="154"/>
      <c r="HF30" s="154"/>
      <c r="HG30" s="154"/>
      <c r="HH30" s="154"/>
      <c r="HI30" s="154"/>
      <c r="HJ30" s="154"/>
      <c r="HK30" s="154"/>
      <c r="HL30" s="154"/>
      <c r="HM30" s="154"/>
      <c r="HN30" s="154"/>
      <c r="HO30" s="154"/>
      <c r="HP30" s="154"/>
      <c r="HQ30" s="154"/>
      <c r="HR30" s="154"/>
      <c r="HS30" s="154"/>
      <c r="HT30" s="154"/>
      <c r="HU30" s="154"/>
      <c r="HV30" s="154"/>
      <c r="HW30" s="154"/>
      <c r="HX30" s="154"/>
      <c r="HY30" s="154"/>
      <c r="HZ30" s="154"/>
      <c r="IA30" s="154"/>
      <c r="IB30" s="154"/>
      <c r="IC30" s="154"/>
      <c r="ID30" s="154"/>
      <c r="IE30" s="154"/>
      <c r="IF30" s="154"/>
      <c r="IG30" s="154"/>
      <c r="IH30" s="154"/>
      <c r="II30" s="154"/>
      <c r="IJ30" s="154"/>
      <c r="IK30" s="154"/>
      <c r="IL30" s="154"/>
      <c r="IM30" s="154"/>
      <c r="IN30" s="154"/>
      <c r="IO30" s="154"/>
      <c r="IP30" s="154"/>
      <c r="IQ30" s="154"/>
      <c r="IR30" s="154"/>
      <c r="IS30" s="154"/>
      <c r="IT30" s="154"/>
      <c r="IU30" s="154"/>
      <c r="IV30" s="154"/>
      <c r="IW30" s="154"/>
      <c r="IX30" s="154"/>
      <c r="IY30" s="154"/>
      <c r="IZ30" s="154"/>
      <c r="JA30" s="154"/>
      <c r="JB30" s="154"/>
      <c r="JC30" s="154"/>
      <c r="JD30" s="154"/>
      <c r="JE30" s="154"/>
      <c r="JF30" s="154"/>
      <c r="JG30" s="154"/>
      <c r="JH30" s="154"/>
      <c r="JI30" s="154"/>
      <c r="JJ30" s="154"/>
      <c r="JK30" s="154"/>
      <c r="JL30" s="154"/>
      <c r="JM30" s="154"/>
      <c r="JN30" s="154"/>
      <c r="JO30" s="154"/>
      <c r="JP30" s="154"/>
      <c r="JQ30" s="154"/>
      <c r="JR30" s="154"/>
      <c r="JS30" s="154"/>
      <c r="JT30" s="154"/>
      <c r="JU30" s="154"/>
      <c r="JV30" s="154"/>
      <c r="JW30" s="154"/>
      <c r="JX30" s="154"/>
      <c r="JY30" s="154"/>
      <c r="JZ30" s="154"/>
      <c r="KA30" s="154"/>
      <c r="KB30" s="154"/>
      <c r="KC30" s="154"/>
      <c r="KD30" s="154"/>
      <c r="KE30" s="154"/>
      <c r="KF30" s="154"/>
      <c r="KG30" s="154"/>
      <c r="KH30" s="154"/>
      <c r="KI30" s="154"/>
      <c r="KJ30" s="154"/>
      <c r="KK30" s="154"/>
      <c r="KL30" s="154"/>
      <c r="KM30" s="154"/>
      <c r="KN30" s="154"/>
      <c r="KO30" s="154"/>
      <c r="KP30" s="154"/>
      <c r="KQ30" s="154"/>
      <c r="KR30" s="154"/>
      <c r="KS30" s="154"/>
      <c r="KT30" s="154"/>
      <c r="KU30" s="154"/>
      <c r="KV30" s="154"/>
      <c r="KW30" s="154"/>
      <c r="KX30" s="154"/>
      <c r="KY30" s="154"/>
      <c r="KZ30" s="154"/>
      <c r="LA30" s="154"/>
      <c r="LB30" s="154"/>
      <c r="LC30" s="154"/>
      <c r="LD30" s="154"/>
      <c r="LE30" s="154"/>
      <c r="LF30" s="154"/>
    </row>
    <row r="31" spans="1:318" ht="15.75" thickBot="1">
      <c r="A31" s="156" t="s">
        <v>219</v>
      </c>
      <c r="B31" s="156">
        <f>A6*B6</f>
        <v>5600000</v>
      </c>
      <c r="C31" s="157" t="s">
        <v>220</v>
      </c>
      <c r="D31" s="158">
        <f>F6*(B31+B32+B33+B34)</f>
        <v>5690000</v>
      </c>
      <c r="O31" s="197" t="s">
        <v>221</v>
      </c>
      <c r="P31" s="193"/>
      <c r="Q31" s="199"/>
      <c r="R31" s="194"/>
      <c r="S31" s="195">
        <f t="shared" ref="S31:AQ31" si="18">S18-S27</f>
        <v>1152000</v>
      </c>
      <c r="T31" s="195">
        <f t="shared" si="18"/>
        <v>1102434</v>
      </c>
      <c r="U31" s="195">
        <f t="shared" si="18"/>
        <v>1055504.3469</v>
      </c>
      <c r="V31" s="195">
        <f t="shared" si="18"/>
        <v>1011056.5446381149</v>
      </c>
      <c r="W31" s="195">
        <f t="shared" si="18"/>
        <v>968944.69494406553</v>
      </c>
      <c r="X31" s="195">
        <f t="shared" si="18"/>
        <v>929031.00564197532</v>
      </c>
      <c r="Y31" s="195">
        <f t="shared" si="18"/>
        <v>891185.32666884304</v>
      </c>
      <c r="Z31" s="195">
        <f t="shared" si="18"/>
        <v>855284.71223443351</v>
      </c>
      <c r="AA31" s="195">
        <f t="shared" si="18"/>
        <v>821213.00763737445</v>
      </c>
      <c r="AB31" s="195">
        <f t="shared" si="18"/>
        <v>798802.13361308223</v>
      </c>
      <c r="AC31" s="195">
        <f t="shared" si="18"/>
        <v>792670.26256287948</v>
      </c>
      <c r="AD31" s="195">
        <f t="shared" si="18"/>
        <v>786485.726926581</v>
      </c>
      <c r="AE31" s="195">
        <f t="shared" si="18"/>
        <v>780246.02772578585</v>
      </c>
      <c r="AF31" s="195">
        <f t="shared" si="18"/>
        <v>773948.59744602698</v>
      </c>
      <c r="AG31" s="195">
        <f t="shared" si="18"/>
        <v>767590.79793565616</v>
      </c>
      <c r="AH31" s="195">
        <f t="shared" si="18"/>
        <v>761169.91824201029</v>
      </c>
      <c r="AI31" s="195">
        <f t="shared" si="18"/>
        <v>754683.17238297709</v>
      </c>
      <c r="AJ31" s="195">
        <f t="shared" si="18"/>
        <v>748127.69705201685</v>
      </c>
      <c r="AK31" s="195">
        <f t="shared" si="18"/>
        <v>741500.54925464524</v>
      </c>
      <c r="AL31" s="195">
        <f t="shared" si="18"/>
        <v>734798.70387431502</v>
      </c>
      <c r="AM31" s="195">
        <f t="shared" si="18"/>
        <v>728019.05116558028</v>
      </c>
      <c r="AN31" s="195">
        <f t="shared" si="18"/>
        <v>721158.39417235856</v>
      </c>
      <c r="AO31" s="195">
        <f t="shared" si="18"/>
        <v>714213.44606903743</v>
      </c>
      <c r="AP31" s="195">
        <f t="shared" si="18"/>
        <v>707180.82742211618</v>
      </c>
      <c r="AQ31" s="196">
        <f t="shared" si="18"/>
        <v>700057.06336999021</v>
      </c>
      <c r="AW31" s="152"/>
      <c r="AX31" s="152"/>
      <c r="AY31" s="152"/>
      <c r="AZ31" s="152"/>
      <c r="BA31" s="152"/>
      <c r="BB31" s="152"/>
      <c r="BC31" s="152"/>
      <c r="BD31" s="152"/>
      <c r="BE31" s="152"/>
      <c r="BF31" s="152"/>
      <c r="BG31" s="152"/>
      <c r="BH31" s="152"/>
      <c r="BI31" s="152"/>
      <c r="BJ31" s="152"/>
      <c r="BK31" s="152"/>
      <c r="BL31" s="152"/>
      <c r="BM31" s="152"/>
      <c r="BN31" s="152"/>
      <c r="BO31" s="152"/>
      <c r="BP31" s="152"/>
      <c r="BQ31" s="152"/>
      <c r="BR31" s="152"/>
      <c r="BS31" s="152"/>
      <c r="BT31" s="152"/>
      <c r="BU31" s="152"/>
      <c r="BV31" s="152"/>
      <c r="BW31" s="152"/>
      <c r="BX31" s="152"/>
      <c r="BY31" s="152"/>
      <c r="BZ31" s="152"/>
      <c r="CA31" s="152"/>
      <c r="CB31" s="152"/>
      <c r="CC31" s="152"/>
      <c r="CD31" s="152"/>
      <c r="CE31" s="152"/>
      <c r="CF31" s="152"/>
      <c r="CG31" s="152"/>
      <c r="CH31" s="152"/>
      <c r="CI31" s="152"/>
      <c r="CJ31" s="152"/>
      <c r="CK31" s="152"/>
      <c r="CL31" s="152"/>
      <c r="CM31" s="152"/>
      <c r="CN31" s="152"/>
      <c r="CO31" s="152"/>
      <c r="CP31" s="152"/>
      <c r="CQ31" s="152"/>
      <c r="CR31" s="152"/>
      <c r="CS31" s="152"/>
      <c r="CT31" s="152"/>
      <c r="CU31" s="152"/>
      <c r="CV31" s="152"/>
      <c r="CW31" s="152"/>
      <c r="CX31" s="152"/>
      <c r="CY31" s="152"/>
      <c r="CZ31" s="152"/>
      <c r="DA31" s="152"/>
      <c r="DB31" s="152"/>
      <c r="DC31" s="152"/>
      <c r="DD31" s="152"/>
      <c r="DE31" s="152"/>
      <c r="DF31" s="152"/>
      <c r="DG31" s="152"/>
      <c r="DH31" s="152"/>
      <c r="DI31" s="152"/>
      <c r="DJ31" s="152"/>
      <c r="DK31" s="152"/>
      <c r="DL31" s="152"/>
      <c r="DM31" s="152"/>
      <c r="DN31" s="152"/>
      <c r="DO31" s="152"/>
      <c r="DP31" s="152"/>
      <c r="DQ31" s="152"/>
      <c r="DR31" s="152"/>
      <c r="DS31" s="152"/>
      <c r="DT31" s="152"/>
      <c r="DU31" s="152"/>
      <c r="DV31" s="152"/>
      <c r="DW31" s="152"/>
      <c r="DX31" s="152"/>
      <c r="DY31" s="152"/>
      <c r="DZ31" s="152"/>
      <c r="EA31" s="152"/>
      <c r="EB31" s="152"/>
      <c r="EC31" s="152"/>
      <c r="ED31" s="152"/>
      <c r="EE31" s="152"/>
      <c r="EF31" s="152"/>
      <c r="EG31" s="152"/>
      <c r="EH31" s="152"/>
      <c r="EI31" s="152"/>
      <c r="EJ31" s="152"/>
      <c r="EK31" s="152"/>
      <c r="EL31" s="152"/>
      <c r="EM31" s="152"/>
      <c r="EN31" s="152"/>
      <c r="EO31" s="152"/>
      <c r="EP31" s="152"/>
      <c r="EQ31" s="152"/>
      <c r="ER31" s="152"/>
      <c r="ES31" s="152"/>
      <c r="ET31" s="152"/>
      <c r="EU31" s="152"/>
      <c r="EV31" s="152"/>
      <c r="EW31" s="152"/>
      <c r="EX31" s="152"/>
      <c r="EY31" s="152"/>
      <c r="EZ31" s="152"/>
      <c r="FA31" s="152"/>
      <c r="FB31" s="152"/>
      <c r="FC31" s="152"/>
      <c r="FD31" s="152"/>
      <c r="FE31" s="152"/>
      <c r="FF31" s="152"/>
      <c r="FG31" s="152"/>
      <c r="FH31" s="152"/>
      <c r="FI31" s="152"/>
      <c r="FJ31" s="152"/>
      <c r="FK31" s="152"/>
      <c r="FL31" s="152"/>
      <c r="FM31" s="152"/>
      <c r="FN31" s="152"/>
      <c r="FO31" s="152"/>
      <c r="FP31" s="152"/>
      <c r="FQ31" s="152"/>
      <c r="FR31" s="152"/>
      <c r="FS31" s="152"/>
      <c r="FT31" s="152"/>
      <c r="FU31" s="152"/>
      <c r="FV31" s="152"/>
      <c r="FW31" s="152"/>
      <c r="FX31" s="152"/>
      <c r="FY31" s="152"/>
      <c r="FZ31" s="152"/>
      <c r="GA31" s="152"/>
      <c r="GB31" s="152"/>
      <c r="GC31" s="152"/>
      <c r="GD31" s="152"/>
      <c r="GE31" s="152"/>
      <c r="GF31" s="152"/>
      <c r="GG31" s="152"/>
      <c r="GH31" s="152"/>
      <c r="GI31" s="152"/>
      <c r="GJ31" s="152"/>
      <c r="GK31" s="152"/>
      <c r="GL31" s="152"/>
      <c r="GM31" s="152"/>
      <c r="GN31" s="152"/>
      <c r="GO31" s="152"/>
      <c r="GP31" s="152"/>
      <c r="GQ31" s="152"/>
      <c r="GR31" s="152"/>
      <c r="GS31" s="152"/>
      <c r="GT31" s="152"/>
      <c r="GU31" s="152"/>
      <c r="GV31" s="152"/>
      <c r="GW31" s="152"/>
      <c r="GX31" s="152"/>
      <c r="GY31" s="152"/>
      <c r="GZ31" s="152"/>
      <c r="HA31" s="152"/>
      <c r="HB31" s="152"/>
      <c r="HC31" s="152"/>
      <c r="HD31" s="152"/>
      <c r="HE31" s="152"/>
      <c r="HF31" s="152"/>
      <c r="HG31" s="152"/>
      <c r="HH31" s="152"/>
      <c r="HI31" s="152"/>
      <c r="HJ31" s="152"/>
      <c r="HK31" s="152"/>
      <c r="HL31" s="152"/>
      <c r="HM31" s="152"/>
      <c r="HN31" s="152"/>
      <c r="HO31" s="152"/>
      <c r="HP31" s="152"/>
      <c r="HQ31" s="152"/>
      <c r="HR31" s="152"/>
      <c r="HS31" s="152"/>
      <c r="HT31" s="152"/>
      <c r="HU31" s="152"/>
      <c r="HV31" s="152"/>
      <c r="HW31" s="152"/>
      <c r="HX31" s="152"/>
      <c r="HY31" s="152"/>
      <c r="HZ31" s="152"/>
      <c r="IA31" s="152"/>
      <c r="IB31" s="152"/>
      <c r="IC31" s="152"/>
      <c r="ID31" s="152"/>
      <c r="IE31" s="152"/>
      <c r="IF31" s="152"/>
      <c r="IG31" s="152"/>
      <c r="IH31" s="152"/>
      <c r="II31" s="152"/>
      <c r="IJ31" s="152"/>
      <c r="IK31" s="152"/>
      <c r="IL31" s="152"/>
      <c r="IM31" s="152"/>
      <c r="IN31" s="152"/>
      <c r="IO31" s="152"/>
      <c r="IP31" s="152"/>
      <c r="IQ31" s="152"/>
      <c r="IR31" s="152"/>
      <c r="IS31" s="152"/>
      <c r="IT31" s="152"/>
      <c r="IU31" s="152"/>
      <c r="IV31" s="152"/>
      <c r="IW31" s="152"/>
      <c r="IX31" s="152"/>
      <c r="IY31" s="152"/>
      <c r="IZ31" s="152"/>
      <c r="JA31" s="152"/>
      <c r="JB31" s="152"/>
      <c r="JC31" s="152"/>
      <c r="JD31" s="152"/>
      <c r="JE31" s="152"/>
      <c r="JF31" s="152"/>
      <c r="JG31" s="152"/>
      <c r="JH31" s="152"/>
      <c r="JI31" s="152"/>
      <c r="JJ31" s="152"/>
      <c r="JK31" s="152"/>
      <c r="JL31" s="152"/>
      <c r="JM31" s="152"/>
      <c r="JN31" s="152"/>
      <c r="JO31" s="152"/>
      <c r="JP31" s="152"/>
      <c r="JQ31" s="152"/>
      <c r="JR31" s="152"/>
      <c r="JS31" s="152"/>
      <c r="JT31" s="152"/>
      <c r="JU31" s="152"/>
      <c r="JV31" s="152"/>
      <c r="JW31" s="152"/>
      <c r="JX31" s="152"/>
      <c r="JY31" s="152"/>
      <c r="JZ31" s="152"/>
      <c r="KA31" s="152"/>
      <c r="KB31" s="152"/>
      <c r="KC31" s="152"/>
      <c r="KD31" s="152"/>
      <c r="KE31" s="152"/>
      <c r="KF31" s="152"/>
      <c r="KG31" s="152"/>
      <c r="KH31" s="152"/>
      <c r="KI31" s="152"/>
      <c r="KJ31" s="152"/>
      <c r="KK31" s="152"/>
      <c r="KL31" s="152"/>
      <c r="KM31" s="152"/>
      <c r="KN31" s="152"/>
      <c r="KO31" s="152"/>
      <c r="KP31" s="152"/>
      <c r="KQ31" s="152"/>
      <c r="KR31" s="152"/>
      <c r="KS31" s="152"/>
      <c r="KT31" s="152"/>
      <c r="KU31" s="152"/>
      <c r="KV31" s="152"/>
      <c r="KW31" s="152"/>
      <c r="KX31" s="152"/>
      <c r="KY31" s="152"/>
      <c r="KZ31" s="152"/>
      <c r="LA31" s="152"/>
      <c r="LB31" s="152"/>
      <c r="LC31" s="152"/>
      <c r="LD31" s="152"/>
      <c r="LE31" s="152"/>
      <c r="LF31" s="152"/>
    </row>
    <row r="32" spans="1:318">
      <c r="A32" s="156" t="s">
        <v>222</v>
      </c>
      <c r="B32" s="156">
        <f>R6</f>
        <v>32000</v>
      </c>
      <c r="C32" s="157" t="s">
        <v>223</v>
      </c>
      <c r="D32" s="156">
        <f>(1-F6)*(B31+B32+B33+B34)</f>
        <v>0</v>
      </c>
      <c r="E32" s="1">
        <f>D31+D32</f>
        <v>5690000</v>
      </c>
      <c r="O32" s="139"/>
      <c r="Q32" s="140"/>
      <c r="R32" s="139"/>
      <c r="S32" s="188"/>
      <c r="T32" s="188"/>
      <c r="U32" s="188"/>
      <c r="V32" s="188"/>
      <c r="W32" s="188"/>
      <c r="X32" s="188"/>
      <c r="Y32" s="188"/>
      <c r="Z32" s="188"/>
      <c r="AA32" s="188"/>
      <c r="AB32" s="188"/>
      <c r="AC32" s="188"/>
      <c r="AD32" s="188"/>
      <c r="AE32" s="188"/>
      <c r="AF32" s="188"/>
      <c r="AG32" s="188"/>
      <c r="AH32" s="188"/>
      <c r="AI32" s="188"/>
      <c r="AJ32" s="188"/>
      <c r="AK32" s="188"/>
      <c r="AL32" s="188"/>
      <c r="AM32" s="188"/>
      <c r="AN32" s="188"/>
      <c r="AO32" s="188"/>
      <c r="AP32" s="188"/>
      <c r="AQ32" s="189"/>
      <c r="AW32" s="152"/>
      <c r="AX32" s="152"/>
      <c r="AY32" s="152"/>
      <c r="AZ32" s="152"/>
      <c r="BA32" s="152"/>
      <c r="BB32" s="152"/>
      <c r="BC32" s="152"/>
      <c r="BD32" s="152"/>
      <c r="BE32" s="152"/>
      <c r="BF32" s="152"/>
      <c r="BG32" s="152"/>
      <c r="BH32" s="152"/>
      <c r="BI32" s="152"/>
      <c r="BJ32" s="152"/>
      <c r="BK32" s="152"/>
      <c r="BL32" s="152"/>
      <c r="BM32" s="152"/>
      <c r="BN32" s="152"/>
      <c r="BO32" s="152"/>
      <c r="BP32" s="152"/>
      <c r="BQ32" s="152"/>
      <c r="BR32" s="152"/>
      <c r="BS32" s="152"/>
      <c r="BT32" s="152"/>
      <c r="BU32" s="152"/>
      <c r="BV32" s="152"/>
      <c r="BW32" s="152"/>
      <c r="BX32" s="152"/>
      <c r="BY32" s="152"/>
      <c r="BZ32" s="152"/>
      <c r="CA32" s="152"/>
      <c r="CB32" s="152"/>
      <c r="CC32" s="152"/>
      <c r="CD32" s="152"/>
      <c r="CE32" s="152"/>
      <c r="CF32" s="152"/>
      <c r="CG32" s="152"/>
      <c r="CH32" s="152"/>
      <c r="CI32" s="152"/>
      <c r="CJ32" s="152"/>
      <c r="CK32" s="152"/>
      <c r="CL32" s="152"/>
      <c r="CM32" s="152"/>
      <c r="CN32" s="152"/>
      <c r="CO32" s="152"/>
      <c r="CP32" s="152"/>
      <c r="CQ32" s="152"/>
      <c r="CR32" s="152"/>
      <c r="CS32" s="152"/>
      <c r="CT32" s="152"/>
      <c r="CU32" s="152"/>
      <c r="CV32" s="152"/>
      <c r="CW32" s="152"/>
      <c r="CX32" s="152"/>
      <c r="CY32" s="152"/>
      <c r="CZ32" s="152"/>
      <c r="DA32" s="152"/>
      <c r="DB32" s="152"/>
      <c r="DC32" s="152"/>
      <c r="DD32" s="152"/>
      <c r="DE32" s="152"/>
      <c r="DF32" s="152"/>
      <c r="DG32" s="152"/>
      <c r="DH32" s="152"/>
      <c r="DI32" s="152"/>
      <c r="DJ32" s="152"/>
      <c r="DK32" s="152"/>
      <c r="DL32" s="152"/>
      <c r="DM32" s="152"/>
      <c r="DN32" s="152"/>
      <c r="DO32" s="152"/>
      <c r="DP32" s="152"/>
      <c r="DQ32" s="152"/>
      <c r="DR32" s="152"/>
      <c r="DS32" s="152"/>
      <c r="DT32" s="152"/>
      <c r="DU32" s="152"/>
      <c r="DV32" s="152"/>
      <c r="DW32" s="152"/>
      <c r="DX32" s="152"/>
      <c r="DY32" s="152"/>
      <c r="DZ32" s="152"/>
      <c r="EA32" s="152"/>
      <c r="EB32" s="152"/>
      <c r="EC32" s="152"/>
      <c r="ED32" s="152"/>
      <c r="EE32" s="152"/>
      <c r="EF32" s="152"/>
      <c r="EG32" s="152"/>
      <c r="EH32" s="152"/>
      <c r="EI32" s="152"/>
      <c r="EJ32" s="152"/>
      <c r="EK32" s="152"/>
      <c r="EL32" s="152"/>
      <c r="EM32" s="152"/>
      <c r="EN32" s="152"/>
      <c r="EO32" s="152"/>
      <c r="EP32" s="152"/>
      <c r="EQ32" s="152"/>
      <c r="ER32" s="152"/>
      <c r="ES32" s="152"/>
      <c r="ET32" s="152"/>
      <c r="EU32" s="152"/>
      <c r="EV32" s="152"/>
      <c r="EW32" s="152"/>
      <c r="EX32" s="152"/>
      <c r="EY32" s="152"/>
      <c r="EZ32" s="152"/>
      <c r="FA32" s="152"/>
      <c r="FB32" s="152"/>
      <c r="FC32" s="152"/>
      <c r="FD32" s="152"/>
      <c r="FE32" s="152"/>
      <c r="FF32" s="152"/>
      <c r="FG32" s="152"/>
      <c r="FH32" s="152"/>
      <c r="FI32" s="152"/>
      <c r="FJ32" s="152"/>
      <c r="FK32" s="152"/>
      <c r="FL32" s="152"/>
      <c r="FM32" s="152"/>
      <c r="FN32" s="152"/>
      <c r="FO32" s="152"/>
      <c r="FP32" s="152"/>
      <c r="FQ32" s="152"/>
      <c r="FR32" s="152"/>
      <c r="FS32" s="152"/>
      <c r="FT32" s="152"/>
      <c r="FU32" s="152"/>
      <c r="FV32" s="152"/>
      <c r="FW32" s="152"/>
      <c r="FX32" s="152"/>
      <c r="FY32" s="152"/>
      <c r="FZ32" s="152"/>
      <c r="GA32" s="152"/>
      <c r="GB32" s="152"/>
      <c r="GC32" s="152"/>
      <c r="GD32" s="152"/>
      <c r="GE32" s="152"/>
      <c r="GF32" s="152"/>
      <c r="GG32" s="152"/>
      <c r="GH32" s="152"/>
      <c r="GI32" s="152"/>
      <c r="GJ32" s="152"/>
      <c r="GK32" s="152"/>
      <c r="GL32" s="152"/>
      <c r="GM32" s="152"/>
      <c r="GN32" s="152"/>
      <c r="GO32" s="152"/>
      <c r="GP32" s="152"/>
      <c r="GQ32" s="152"/>
      <c r="GR32" s="152"/>
      <c r="GS32" s="152"/>
      <c r="GT32" s="152"/>
      <c r="GU32" s="152"/>
      <c r="GV32" s="152"/>
      <c r="GW32" s="152"/>
      <c r="GX32" s="152"/>
      <c r="GY32" s="152"/>
      <c r="GZ32" s="152"/>
      <c r="HA32" s="152"/>
      <c r="HB32" s="152"/>
      <c r="HC32" s="152"/>
      <c r="HD32" s="152"/>
      <c r="HE32" s="152"/>
      <c r="HF32" s="152"/>
      <c r="HG32" s="152"/>
      <c r="HH32" s="152"/>
      <c r="HI32" s="152"/>
      <c r="HJ32" s="152"/>
      <c r="HK32" s="152"/>
      <c r="HL32" s="152"/>
      <c r="HM32" s="152"/>
      <c r="HN32" s="152"/>
      <c r="HO32" s="152"/>
      <c r="HP32" s="152"/>
      <c r="HQ32" s="152"/>
      <c r="HR32" s="152"/>
      <c r="HS32" s="152"/>
      <c r="HT32" s="152"/>
      <c r="HU32" s="152"/>
      <c r="HV32" s="152"/>
      <c r="HW32" s="152"/>
      <c r="HX32" s="152"/>
      <c r="HY32" s="152"/>
      <c r="HZ32" s="152"/>
      <c r="IA32" s="152"/>
      <c r="IB32" s="152"/>
      <c r="IC32" s="152"/>
      <c r="ID32" s="152"/>
      <c r="IE32" s="152"/>
      <c r="IF32" s="152"/>
      <c r="IG32" s="152"/>
      <c r="IH32" s="152"/>
      <c r="II32" s="152"/>
      <c r="IJ32" s="152"/>
      <c r="IK32" s="152"/>
      <c r="IL32" s="152"/>
      <c r="IM32" s="152"/>
      <c r="IN32" s="152"/>
      <c r="IO32" s="152"/>
      <c r="IP32" s="152"/>
      <c r="IQ32" s="152"/>
      <c r="IR32" s="152"/>
      <c r="IS32" s="152"/>
      <c r="IT32" s="152"/>
      <c r="IU32" s="152"/>
      <c r="IV32" s="152"/>
      <c r="IW32" s="152"/>
      <c r="IX32" s="152"/>
      <c r="IY32" s="152"/>
      <c r="IZ32" s="152"/>
      <c r="JA32" s="152"/>
      <c r="JB32" s="152"/>
      <c r="JC32" s="152"/>
      <c r="JD32" s="152"/>
      <c r="JE32" s="152"/>
      <c r="JF32" s="152"/>
      <c r="JG32" s="152"/>
      <c r="JH32" s="152"/>
      <c r="JI32" s="152"/>
      <c r="JJ32" s="152"/>
      <c r="JK32" s="152"/>
      <c r="JL32" s="152"/>
      <c r="JM32" s="152"/>
      <c r="JN32" s="152"/>
      <c r="JO32" s="152"/>
      <c r="JP32" s="152"/>
      <c r="JQ32" s="152"/>
      <c r="JR32" s="152"/>
      <c r="JS32" s="152"/>
      <c r="JT32" s="152"/>
      <c r="JU32" s="152"/>
      <c r="JV32" s="152"/>
      <c r="JW32" s="152"/>
      <c r="JX32" s="152"/>
      <c r="JY32" s="152"/>
      <c r="JZ32" s="152"/>
      <c r="KA32" s="152"/>
      <c r="KB32" s="152"/>
      <c r="KC32" s="152"/>
      <c r="KD32" s="152"/>
      <c r="KE32" s="152"/>
      <c r="KF32" s="152"/>
      <c r="KG32" s="152"/>
      <c r="KH32" s="152"/>
      <c r="KI32" s="152"/>
      <c r="KJ32" s="152"/>
      <c r="KK32" s="152"/>
      <c r="KL32" s="152"/>
      <c r="KM32" s="152"/>
      <c r="KN32" s="152"/>
      <c r="KO32" s="152"/>
      <c r="KP32" s="152"/>
      <c r="KQ32" s="152"/>
      <c r="KR32" s="152"/>
      <c r="KS32" s="152"/>
      <c r="KT32" s="152"/>
      <c r="KU32" s="152"/>
      <c r="KV32" s="152"/>
      <c r="KW32" s="152"/>
      <c r="KX32" s="152"/>
      <c r="KY32" s="152"/>
      <c r="KZ32" s="152"/>
      <c r="LA32" s="152"/>
      <c r="LB32" s="152"/>
      <c r="LC32" s="152"/>
      <c r="LD32" s="152"/>
      <c r="LE32" s="152"/>
      <c r="LF32" s="152"/>
    </row>
    <row r="33" spans="1:318">
      <c r="A33" s="156" t="s">
        <v>224</v>
      </c>
      <c r="B33" s="156">
        <f>S6</f>
        <v>2000</v>
      </c>
      <c r="C33" s="157"/>
      <c r="D33" s="156"/>
      <c r="O33" s="139" t="s">
        <v>225</v>
      </c>
      <c r="Q33" s="140"/>
      <c r="R33" s="139"/>
      <c r="S33" s="188">
        <f>($A$6*$B$6+(1-$J$9)*$A$9*$B$9+$R$6+$S$6+$X$6+$Y$6)*85%*10%</f>
        <v>483650</v>
      </c>
      <c r="T33" s="188">
        <f t="shared" ref="T33:AB33" si="19">($A$6*$B$6+(1-$J$9)*$A$9*$B$9+$R$6+$S$6+$X$6+$Y$6)*85%*10%</f>
        <v>483650</v>
      </c>
      <c r="U33" s="188">
        <f t="shared" si="19"/>
        <v>483650</v>
      </c>
      <c r="V33" s="188">
        <f t="shared" si="19"/>
        <v>483650</v>
      </c>
      <c r="W33" s="188">
        <f t="shared" si="19"/>
        <v>483650</v>
      </c>
      <c r="X33" s="188">
        <f t="shared" si="19"/>
        <v>483650</v>
      </c>
      <c r="Y33" s="188">
        <f t="shared" si="19"/>
        <v>483650</v>
      </c>
      <c r="Z33" s="188">
        <f t="shared" si="19"/>
        <v>483650</v>
      </c>
      <c r="AA33" s="188">
        <f t="shared" si="19"/>
        <v>483650</v>
      </c>
      <c r="AB33" s="188">
        <f t="shared" si="19"/>
        <v>483650</v>
      </c>
      <c r="AC33" s="188"/>
      <c r="AD33" s="188"/>
      <c r="AE33" s="188"/>
      <c r="AF33" s="188"/>
      <c r="AG33" s="188"/>
      <c r="AH33" s="188"/>
      <c r="AI33" s="188"/>
      <c r="AJ33" s="188"/>
      <c r="AK33" s="188"/>
      <c r="AL33" s="188"/>
      <c r="AM33" s="188"/>
      <c r="AN33" s="188"/>
      <c r="AO33" s="188"/>
      <c r="AP33" s="188"/>
      <c r="AQ33" s="189"/>
      <c r="AW33" s="152"/>
      <c r="AX33" s="152"/>
      <c r="AY33" s="152"/>
      <c r="AZ33" s="152"/>
      <c r="BA33" s="152"/>
      <c r="BB33" s="152"/>
      <c r="BC33" s="152"/>
      <c r="BD33" s="152"/>
      <c r="BE33" s="152"/>
      <c r="BF33" s="152"/>
      <c r="BG33" s="152"/>
      <c r="BH33" s="152"/>
      <c r="BI33" s="152"/>
      <c r="BJ33" s="152"/>
      <c r="BK33" s="152"/>
      <c r="BL33" s="152"/>
      <c r="BM33" s="152"/>
      <c r="BN33" s="152"/>
      <c r="BO33" s="152"/>
      <c r="BP33" s="152"/>
      <c r="BQ33" s="152"/>
      <c r="BR33" s="152"/>
      <c r="BS33" s="152"/>
      <c r="BT33" s="152"/>
      <c r="BU33" s="152"/>
      <c r="BV33" s="152"/>
      <c r="BW33" s="152"/>
      <c r="BX33" s="152"/>
      <c r="BY33" s="152"/>
      <c r="BZ33" s="152"/>
      <c r="CA33" s="152"/>
      <c r="CB33" s="152"/>
      <c r="CC33" s="152"/>
      <c r="CD33" s="152"/>
      <c r="CE33" s="152"/>
      <c r="CF33" s="152"/>
      <c r="CG33" s="152"/>
      <c r="CH33" s="152"/>
      <c r="CI33" s="152"/>
      <c r="CJ33" s="152"/>
      <c r="CK33" s="152"/>
      <c r="CL33" s="152"/>
      <c r="CM33" s="152"/>
      <c r="CN33" s="152"/>
      <c r="CO33" s="152"/>
      <c r="CP33" s="152"/>
      <c r="CQ33" s="152"/>
      <c r="CR33" s="152"/>
      <c r="CS33" s="152"/>
      <c r="CT33" s="152"/>
      <c r="CU33" s="152"/>
      <c r="CV33" s="152"/>
      <c r="CW33" s="152"/>
      <c r="CX33" s="152"/>
      <c r="CY33" s="152"/>
      <c r="CZ33" s="152"/>
      <c r="DA33" s="152"/>
      <c r="DB33" s="152"/>
      <c r="DC33" s="152"/>
      <c r="DD33" s="152"/>
      <c r="DE33" s="152"/>
      <c r="DF33" s="152"/>
      <c r="DG33" s="152"/>
      <c r="DH33" s="152"/>
      <c r="DI33" s="152"/>
      <c r="DJ33" s="152"/>
      <c r="DK33" s="152"/>
      <c r="DL33" s="152"/>
      <c r="DM33" s="152"/>
      <c r="DN33" s="152"/>
      <c r="DO33" s="152"/>
      <c r="DP33" s="152"/>
      <c r="DQ33" s="152"/>
      <c r="DR33" s="152"/>
      <c r="DS33" s="152"/>
      <c r="DT33" s="152"/>
      <c r="DU33" s="152"/>
      <c r="DV33" s="152"/>
      <c r="DW33" s="152"/>
      <c r="DX33" s="152"/>
      <c r="DY33" s="152"/>
      <c r="DZ33" s="152"/>
      <c r="EA33" s="152"/>
      <c r="EB33" s="152"/>
      <c r="EC33" s="152"/>
      <c r="ED33" s="152"/>
      <c r="EE33" s="152"/>
      <c r="EF33" s="152"/>
      <c r="EG33" s="152"/>
      <c r="EH33" s="152"/>
      <c r="EI33" s="152"/>
      <c r="EJ33" s="152"/>
      <c r="EK33" s="152"/>
      <c r="EL33" s="152"/>
      <c r="EM33" s="152"/>
      <c r="EN33" s="152"/>
      <c r="EO33" s="152"/>
      <c r="EP33" s="152"/>
      <c r="EQ33" s="152"/>
      <c r="ER33" s="152"/>
      <c r="ES33" s="152"/>
      <c r="ET33" s="152"/>
      <c r="EU33" s="152"/>
      <c r="EV33" s="152"/>
      <c r="EW33" s="152"/>
      <c r="EX33" s="152"/>
      <c r="EY33" s="152"/>
      <c r="EZ33" s="152"/>
      <c r="FA33" s="152"/>
      <c r="FB33" s="152"/>
      <c r="FC33" s="152"/>
      <c r="FD33" s="152"/>
      <c r="FE33" s="152"/>
      <c r="FF33" s="152"/>
      <c r="FG33" s="152"/>
      <c r="FH33" s="152"/>
      <c r="FI33" s="152"/>
      <c r="FJ33" s="152"/>
      <c r="FK33" s="152"/>
      <c r="FL33" s="152"/>
      <c r="FM33" s="152"/>
      <c r="FN33" s="152"/>
      <c r="FO33" s="152"/>
      <c r="FP33" s="152"/>
      <c r="FQ33" s="152"/>
      <c r="FR33" s="152"/>
      <c r="FS33" s="152"/>
      <c r="FT33" s="152"/>
      <c r="FU33" s="152"/>
      <c r="FV33" s="152"/>
      <c r="FW33" s="152"/>
      <c r="FX33" s="152"/>
      <c r="FY33" s="152"/>
      <c r="FZ33" s="152"/>
      <c r="GA33" s="152"/>
      <c r="GB33" s="152"/>
      <c r="GC33" s="152"/>
      <c r="GD33" s="152"/>
      <c r="GE33" s="152"/>
      <c r="GF33" s="152"/>
      <c r="GG33" s="152"/>
      <c r="GH33" s="152"/>
      <c r="GI33" s="152"/>
      <c r="GJ33" s="152"/>
      <c r="GK33" s="152"/>
      <c r="GL33" s="152"/>
      <c r="GM33" s="152"/>
      <c r="GN33" s="152"/>
      <c r="GO33" s="152"/>
      <c r="GP33" s="152"/>
      <c r="GQ33" s="152"/>
      <c r="GR33" s="152"/>
      <c r="GS33" s="152"/>
      <c r="GT33" s="152"/>
      <c r="GU33" s="152"/>
      <c r="GV33" s="152"/>
      <c r="GW33" s="152"/>
      <c r="GX33" s="152"/>
      <c r="GY33" s="152"/>
      <c r="GZ33" s="152"/>
      <c r="HA33" s="152"/>
      <c r="HB33" s="152"/>
      <c r="HC33" s="152"/>
      <c r="HD33" s="152"/>
      <c r="HE33" s="152"/>
      <c r="HF33" s="152"/>
      <c r="HG33" s="152"/>
      <c r="HH33" s="152"/>
      <c r="HI33" s="152"/>
      <c r="HJ33" s="152"/>
      <c r="HK33" s="152"/>
      <c r="HL33" s="152"/>
      <c r="HM33" s="152"/>
      <c r="HN33" s="152"/>
      <c r="HO33" s="152"/>
      <c r="HP33" s="152"/>
      <c r="HQ33" s="152"/>
      <c r="HR33" s="152"/>
      <c r="HS33" s="152"/>
      <c r="HT33" s="152"/>
      <c r="HU33" s="152"/>
      <c r="HV33" s="152"/>
      <c r="HW33" s="152"/>
      <c r="HX33" s="152"/>
      <c r="HY33" s="152"/>
      <c r="HZ33" s="152"/>
      <c r="IA33" s="152"/>
      <c r="IB33" s="152"/>
      <c r="IC33" s="152"/>
      <c r="ID33" s="152"/>
      <c r="IE33" s="152"/>
      <c r="IF33" s="152"/>
      <c r="IG33" s="152"/>
      <c r="IH33" s="152"/>
      <c r="II33" s="152"/>
      <c r="IJ33" s="152"/>
      <c r="IK33" s="152"/>
      <c r="IL33" s="152"/>
      <c r="IM33" s="152"/>
      <c r="IN33" s="152"/>
      <c r="IO33" s="152"/>
      <c r="IP33" s="152"/>
      <c r="IQ33" s="152"/>
      <c r="IR33" s="152"/>
      <c r="IS33" s="152"/>
      <c r="IT33" s="152"/>
      <c r="IU33" s="152"/>
      <c r="IV33" s="152"/>
      <c r="IW33" s="152"/>
      <c r="IX33" s="152"/>
      <c r="IY33" s="152"/>
      <c r="IZ33" s="152"/>
      <c r="JA33" s="152"/>
      <c r="JB33" s="152"/>
      <c r="JC33" s="152"/>
      <c r="JD33" s="152"/>
      <c r="JE33" s="152"/>
      <c r="JF33" s="152"/>
      <c r="JG33" s="152"/>
      <c r="JH33" s="152"/>
      <c r="JI33" s="152"/>
      <c r="JJ33" s="152"/>
      <c r="JK33" s="152"/>
      <c r="JL33" s="152"/>
      <c r="JM33" s="152"/>
      <c r="JN33" s="152"/>
      <c r="JO33" s="152"/>
      <c r="JP33" s="152"/>
      <c r="JQ33" s="152"/>
      <c r="JR33" s="152"/>
      <c r="JS33" s="152"/>
      <c r="JT33" s="152"/>
      <c r="JU33" s="152"/>
      <c r="JV33" s="152"/>
      <c r="JW33" s="152"/>
      <c r="JX33" s="152"/>
      <c r="JY33" s="152"/>
      <c r="JZ33" s="152"/>
      <c r="KA33" s="152"/>
      <c r="KB33" s="152"/>
      <c r="KC33" s="152"/>
      <c r="KD33" s="152"/>
      <c r="KE33" s="152"/>
      <c r="KF33" s="152"/>
      <c r="KG33" s="152"/>
      <c r="KH33" s="152"/>
      <c r="KI33" s="152"/>
      <c r="KJ33" s="152"/>
      <c r="KK33" s="152"/>
      <c r="KL33" s="152"/>
      <c r="KM33" s="152"/>
      <c r="KN33" s="152"/>
      <c r="KO33" s="152"/>
      <c r="KP33" s="152"/>
      <c r="KQ33" s="152"/>
      <c r="KR33" s="152"/>
      <c r="KS33" s="152"/>
      <c r="KT33" s="152"/>
      <c r="KU33" s="152"/>
      <c r="KV33" s="152"/>
      <c r="KW33" s="152"/>
      <c r="KX33" s="152"/>
      <c r="KY33" s="152"/>
      <c r="KZ33" s="152"/>
      <c r="LA33" s="152"/>
      <c r="LB33" s="152"/>
      <c r="LC33" s="152"/>
      <c r="LD33" s="152"/>
      <c r="LE33" s="152"/>
      <c r="LF33" s="152"/>
    </row>
    <row r="34" spans="1:318" ht="30">
      <c r="A34" s="159" t="s">
        <v>226</v>
      </c>
      <c r="B34" s="156">
        <f>X6+Y6</f>
        <v>56000</v>
      </c>
      <c r="C34" s="157"/>
      <c r="D34" s="156"/>
      <c r="O34" s="139" t="s">
        <v>227</v>
      </c>
      <c r="Q34" s="140"/>
      <c r="R34" s="139"/>
      <c r="S34" s="188">
        <f>($A$6*$B$6+(1-$J$9)*$A$9*$B$9+$S$6+$X$6+$Y$6)*15%*4%</f>
        <v>33948</v>
      </c>
      <c r="T34" s="188">
        <f t="shared" ref="T34:AQ34" si="20">($A$6*$B$6+(1-$J$9)*$A$9*$B$9+$S$6+$X$6+$Y$6)*15%*4%</f>
        <v>33948</v>
      </c>
      <c r="U34" s="188">
        <f t="shared" si="20"/>
        <v>33948</v>
      </c>
      <c r="V34" s="188">
        <f t="shared" si="20"/>
        <v>33948</v>
      </c>
      <c r="W34" s="188">
        <f t="shared" si="20"/>
        <v>33948</v>
      </c>
      <c r="X34" s="188">
        <f t="shared" si="20"/>
        <v>33948</v>
      </c>
      <c r="Y34" s="188">
        <f t="shared" si="20"/>
        <v>33948</v>
      </c>
      <c r="Z34" s="188">
        <f t="shared" si="20"/>
        <v>33948</v>
      </c>
      <c r="AA34" s="188">
        <f t="shared" si="20"/>
        <v>33948</v>
      </c>
      <c r="AB34" s="188">
        <f t="shared" si="20"/>
        <v>33948</v>
      </c>
      <c r="AC34" s="188">
        <f t="shared" si="20"/>
        <v>33948</v>
      </c>
      <c r="AD34" s="188">
        <f t="shared" si="20"/>
        <v>33948</v>
      </c>
      <c r="AE34" s="188">
        <f t="shared" si="20"/>
        <v>33948</v>
      </c>
      <c r="AF34" s="188">
        <f t="shared" si="20"/>
        <v>33948</v>
      </c>
      <c r="AG34" s="188">
        <f t="shared" si="20"/>
        <v>33948</v>
      </c>
      <c r="AH34" s="188">
        <f t="shared" si="20"/>
        <v>33948</v>
      </c>
      <c r="AI34" s="188">
        <f t="shared" si="20"/>
        <v>33948</v>
      </c>
      <c r="AJ34" s="188">
        <f t="shared" si="20"/>
        <v>33948</v>
      </c>
      <c r="AK34" s="188">
        <f t="shared" si="20"/>
        <v>33948</v>
      </c>
      <c r="AL34" s="188">
        <f t="shared" si="20"/>
        <v>33948</v>
      </c>
      <c r="AM34" s="188">
        <f t="shared" si="20"/>
        <v>33948</v>
      </c>
      <c r="AN34" s="188">
        <f t="shared" si="20"/>
        <v>33948</v>
      </c>
      <c r="AO34" s="188">
        <f t="shared" si="20"/>
        <v>33948</v>
      </c>
      <c r="AP34" s="188">
        <f t="shared" si="20"/>
        <v>33948</v>
      </c>
      <c r="AQ34" s="189">
        <f t="shared" si="20"/>
        <v>33948</v>
      </c>
      <c r="AW34" s="152"/>
      <c r="AX34" s="152"/>
      <c r="AY34" s="152"/>
      <c r="AZ34" s="152"/>
      <c r="BA34" s="152"/>
      <c r="BB34" s="152"/>
      <c r="BC34" s="152"/>
      <c r="BD34" s="152"/>
      <c r="BE34" s="152"/>
      <c r="BF34" s="152"/>
      <c r="BG34" s="152"/>
      <c r="BH34" s="152"/>
      <c r="BI34" s="152"/>
      <c r="BJ34" s="152"/>
      <c r="BK34" s="152"/>
      <c r="BL34" s="152"/>
      <c r="BM34" s="152"/>
      <c r="BN34" s="152"/>
      <c r="BO34" s="152"/>
      <c r="BP34" s="152"/>
      <c r="BQ34" s="152"/>
      <c r="BR34" s="152"/>
      <c r="BS34" s="152"/>
      <c r="BT34" s="152"/>
      <c r="BU34" s="152"/>
      <c r="BV34" s="152"/>
      <c r="BW34" s="152"/>
      <c r="BX34" s="152"/>
      <c r="BY34" s="152"/>
      <c r="BZ34" s="152"/>
      <c r="CA34" s="152"/>
      <c r="CB34" s="152"/>
      <c r="CC34" s="152"/>
      <c r="CD34" s="152"/>
      <c r="CE34" s="152"/>
      <c r="CF34" s="152"/>
      <c r="CG34" s="152"/>
      <c r="CH34" s="152"/>
      <c r="CI34" s="152"/>
      <c r="CJ34" s="152"/>
      <c r="CK34" s="152"/>
      <c r="CL34" s="152"/>
      <c r="CM34" s="152"/>
      <c r="CN34" s="152"/>
      <c r="CO34" s="152"/>
      <c r="CP34" s="152"/>
      <c r="CQ34" s="152"/>
      <c r="CR34" s="152"/>
      <c r="CS34" s="152"/>
      <c r="CT34" s="152"/>
      <c r="CU34" s="152"/>
      <c r="CV34" s="152"/>
      <c r="CW34" s="152"/>
      <c r="CX34" s="152"/>
      <c r="CY34" s="152"/>
      <c r="CZ34" s="152"/>
      <c r="DA34" s="152"/>
      <c r="DB34" s="152"/>
      <c r="DC34" s="152"/>
      <c r="DD34" s="152"/>
      <c r="DE34" s="152"/>
      <c r="DF34" s="152"/>
      <c r="DG34" s="152"/>
      <c r="DH34" s="152"/>
      <c r="DI34" s="152"/>
      <c r="DJ34" s="152"/>
      <c r="DK34" s="152"/>
      <c r="DL34" s="152"/>
      <c r="DM34" s="152"/>
      <c r="DN34" s="152"/>
      <c r="DO34" s="152"/>
      <c r="DP34" s="152"/>
      <c r="DQ34" s="152"/>
      <c r="DR34" s="152"/>
      <c r="DS34" s="152"/>
      <c r="DT34" s="152"/>
      <c r="DU34" s="152"/>
      <c r="DV34" s="152"/>
      <c r="DW34" s="152"/>
      <c r="DX34" s="152"/>
      <c r="DY34" s="152"/>
      <c r="DZ34" s="152"/>
      <c r="EA34" s="152"/>
      <c r="EB34" s="152"/>
      <c r="EC34" s="152"/>
      <c r="ED34" s="152"/>
      <c r="EE34" s="152"/>
      <c r="EF34" s="152"/>
      <c r="EG34" s="152"/>
      <c r="EH34" s="152"/>
      <c r="EI34" s="152"/>
      <c r="EJ34" s="152"/>
      <c r="EK34" s="152"/>
      <c r="EL34" s="152"/>
      <c r="EM34" s="152"/>
      <c r="EN34" s="152"/>
      <c r="EO34" s="152"/>
      <c r="EP34" s="152"/>
      <c r="EQ34" s="152"/>
      <c r="ER34" s="152"/>
      <c r="ES34" s="152"/>
      <c r="ET34" s="152"/>
      <c r="EU34" s="152"/>
      <c r="EV34" s="152"/>
      <c r="EW34" s="152"/>
      <c r="EX34" s="152"/>
      <c r="EY34" s="152"/>
      <c r="EZ34" s="152"/>
      <c r="FA34" s="152"/>
      <c r="FB34" s="152"/>
      <c r="FC34" s="152"/>
      <c r="FD34" s="152"/>
      <c r="FE34" s="152"/>
      <c r="FF34" s="152"/>
      <c r="FG34" s="152"/>
      <c r="FH34" s="152"/>
      <c r="FI34" s="152"/>
      <c r="FJ34" s="152"/>
      <c r="FK34" s="152"/>
      <c r="FL34" s="152"/>
      <c r="FM34" s="152"/>
      <c r="FN34" s="152"/>
      <c r="FO34" s="152"/>
      <c r="FP34" s="152"/>
      <c r="FQ34" s="152"/>
      <c r="FR34" s="152"/>
      <c r="FS34" s="152"/>
      <c r="FT34" s="152"/>
      <c r="FU34" s="152"/>
      <c r="FV34" s="152"/>
      <c r="FW34" s="152"/>
      <c r="FX34" s="152"/>
      <c r="FY34" s="152"/>
      <c r="FZ34" s="152"/>
      <c r="GA34" s="152"/>
      <c r="GB34" s="152"/>
      <c r="GC34" s="152"/>
      <c r="GD34" s="152"/>
      <c r="GE34" s="152"/>
      <c r="GF34" s="152"/>
      <c r="GG34" s="152"/>
      <c r="GH34" s="152"/>
      <c r="GI34" s="152"/>
      <c r="GJ34" s="152"/>
      <c r="GK34" s="152"/>
      <c r="GL34" s="152"/>
      <c r="GM34" s="152"/>
      <c r="GN34" s="152"/>
      <c r="GO34" s="152"/>
      <c r="GP34" s="152"/>
      <c r="GQ34" s="152"/>
      <c r="GR34" s="152"/>
      <c r="GS34" s="152"/>
      <c r="GT34" s="152"/>
      <c r="GU34" s="152"/>
      <c r="GV34" s="152"/>
      <c r="GW34" s="152"/>
      <c r="GX34" s="152"/>
      <c r="GY34" s="152"/>
      <c r="GZ34" s="152"/>
      <c r="HA34" s="152"/>
      <c r="HB34" s="152"/>
      <c r="HC34" s="152"/>
      <c r="HD34" s="152"/>
      <c r="HE34" s="152"/>
      <c r="HF34" s="152"/>
      <c r="HG34" s="152"/>
      <c r="HH34" s="152"/>
      <c r="HI34" s="152"/>
      <c r="HJ34" s="152"/>
      <c r="HK34" s="152"/>
      <c r="HL34" s="152"/>
      <c r="HM34" s="152"/>
      <c r="HN34" s="152"/>
      <c r="HO34" s="152"/>
      <c r="HP34" s="152"/>
      <c r="HQ34" s="152"/>
      <c r="HR34" s="152"/>
      <c r="HS34" s="152"/>
      <c r="HT34" s="152"/>
      <c r="HU34" s="152"/>
      <c r="HV34" s="152"/>
      <c r="HW34" s="152"/>
      <c r="HX34" s="152"/>
      <c r="HY34" s="152"/>
      <c r="HZ34" s="152"/>
      <c r="IA34" s="152"/>
      <c r="IB34" s="152"/>
      <c r="IC34" s="152"/>
      <c r="ID34" s="152"/>
      <c r="IE34" s="152"/>
      <c r="IF34" s="152"/>
      <c r="IG34" s="152"/>
      <c r="IH34" s="152"/>
      <c r="II34" s="152"/>
      <c r="IJ34" s="152"/>
      <c r="IK34" s="152"/>
      <c r="IL34" s="152"/>
      <c r="IM34" s="152"/>
      <c r="IN34" s="152"/>
      <c r="IO34" s="152"/>
      <c r="IP34" s="152"/>
      <c r="IQ34" s="152"/>
      <c r="IR34" s="152"/>
      <c r="IS34" s="152"/>
      <c r="IT34" s="152"/>
      <c r="IU34" s="152"/>
      <c r="IV34" s="152"/>
      <c r="IW34" s="152"/>
      <c r="IX34" s="152"/>
      <c r="IY34" s="152"/>
      <c r="IZ34" s="152"/>
      <c r="JA34" s="152"/>
      <c r="JB34" s="152"/>
      <c r="JC34" s="152"/>
      <c r="JD34" s="152"/>
      <c r="JE34" s="152"/>
      <c r="JF34" s="152"/>
      <c r="JG34" s="152"/>
      <c r="JH34" s="152"/>
      <c r="JI34" s="152"/>
      <c r="JJ34" s="152"/>
      <c r="JK34" s="152"/>
      <c r="JL34" s="152"/>
      <c r="JM34" s="152"/>
      <c r="JN34" s="152"/>
      <c r="JO34" s="152"/>
      <c r="JP34" s="152"/>
      <c r="JQ34" s="152"/>
      <c r="JR34" s="152"/>
      <c r="JS34" s="152"/>
      <c r="JT34" s="152"/>
      <c r="JU34" s="152"/>
      <c r="JV34" s="152"/>
      <c r="JW34" s="152"/>
      <c r="JX34" s="152"/>
      <c r="JY34" s="152"/>
      <c r="JZ34" s="152"/>
      <c r="KA34" s="152"/>
      <c r="KB34" s="152"/>
      <c r="KC34" s="152"/>
      <c r="KD34" s="152"/>
      <c r="KE34" s="152"/>
      <c r="KF34" s="152"/>
      <c r="KG34" s="152"/>
      <c r="KH34" s="152"/>
      <c r="KI34" s="152"/>
      <c r="KJ34" s="152"/>
      <c r="KK34" s="152"/>
      <c r="KL34" s="152"/>
      <c r="KM34" s="152"/>
      <c r="KN34" s="152"/>
      <c r="KO34" s="152"/>
      <c r="KP34" s="152"/>
      <c r="KQ34" s="152"/>
      <c r="KR34" s="152"/>
      <c r="KS34" s="152"/>
      <c r="KT34" s="152"/>
      <c r="KU34" s="152"/>
      <c r="KV34" s="152"/>
      <c r="KW34" s="152"/>
      <c r="KX34" s="152"/>
      <c r="KY34" s="152"/>
      <c r="KZ34" s="152"/>
      <c r="LA34" s="152"/>
      <c r="LB34" s="152"/>
      <c r="LC34" s="152"/>
      <c r="LD34" s="152"/>
      <c r="LE34" s="152"/>
      <c r="LF34" s="152"/>
    </row>
    <row r="35" spans="1:318" ht="15.75" thickBot="1">
      <c r="A35" s="156" t="s">
        <v>228</v>
      </c>
      <c r="B35" s="160">
        <f>F6</f>
        <v>1</v>
      </c>
      <c r="C35" s="157"/>
      <c r="D35" s="156"/>
      <c r="O35" s="139"/>
      <c r="Q35" s="140"/>
      <c r="R35" s="139"/>
      <c r="S35" s="188"/>
      <c r="T35" s="188"/>
      <c r="U35" s="188"/>
      <c r="V35" s="188"/>
      <c r="W35" s="188"/>
      <c r="X35" s="188"/>
      <c r="Y35" s="188"/>
      <c r="Z35" s="188"/>
      <c r="AA35" s="188"/>
      <c r="AB35" s="188"/>
      <c r="AC35" s="188"/>
      <c r="AD35" s="188"/>
      <c r="AE35" s="188"/>
      <c r="AF35" s="188"/>
      <c r="AG35" s="188"/>
      <c r="AH35" s="188"/>
      <c r="AI35" s="188"/>
      <c r="AJ35" s="188"/>
      <c r="AK35" s="188"/>
      <c r="AL35" s="188"/>
      <c r="AM35" s="188"/>
      <c r="AN35" s="188"/>
      <c r="AO35" s="188"/>
      <c r="AP35" s="188"/>
      <c r="AQ35" s="189"/>
      <c r="AW35" s="154"/>
      <c r="AX35" s="154"/>
      <c r="AY35" s="154"/>
      <c r="AZ35" s="154"/>
      <c r="BA35" s="154"/>
      <c r="BB35" s="154"/>
      <c r="BC35" s="154"/>
      <c r="BD35" s="154"/>
      <c r="BE35" s="154"/>
      <c r="BF35" s="154"/>
      <c r="BG35" s="154"/>
      <c r="BH35" s="154"/>
      <c r="BI35" s="154"/>
      <c r="BJ35" s="154"/>
      <c r="BK35" s="154"/>
      <c r="BL35" s="154"/>
      <c r="BM35" s="154"/>
      <c r="BN35" s="154"/>
      <c r="BO35" s="154"/>
      <c r="BP35" s="154"/>
      <c r="BQ35" s="154"/>
      <c r="BR35" s="154"/>
      <c r="BS35" s="154"/>
      <c r="BT35" s="154"/>
      <c r="BU35" s="154"/>
      <c r="BV35" s="154"/>
      <c r="BW35" s="154"/>
      <c r="BX35" s="154"/>
      <c r="BY35" s="154"/>
      <c r="BZ35" s="154"/>
      <c r="CA35" s="154"/>
      <c r="CB35" s="154"/>
      <c r="CC35" s="154"/>
      <c r="CD35" s="154"/>
      <c r="CE35" s="154"/>
      <c r="CF35" s="154"/>
      <c r="CG35" s="154"/>
      <c r="CH35" s="154"/>
      <c r="CI35" s="154"/>
      <c r="CJ35" s="154"/>
      <c r="CK35" s="154"/>
      <c r="CL35" s="154"/>
      <c r="CM35" s="154"/>
      <c r="CN35" s="154"/>
      <c r="CO35" s="154"/>
      <c r="CP35" s="154"/>
      <c r="CQ35" s="154"/>
      <c r="CR35" s="154"/>
      <c r="CS35" s="154"/>
      <c r="CT35" s="154"/>
      <c r="CU35" s="154"/>
      <c r="CV35" s="154"/>
      <c r="CW35" s="154"/>
      <c r="CX35" s="154"/>
      <c r="CY35" s="154"/>
      <c r="CZ35" s="154"/>
      <c r="DA35" s="154"/>
      <c r="DB35" s="154"/>
      <c r="DC35" s="154"/>
      <c r="DD35" s="154"/>
      <c r="DE35" s="154"/>
      <c r="DF35" s="154"/>
      <c r="DG35" s="154"/>
      <c r="DH35" s="154"/>
      <c r="DI35" s="154"/>
      <c r="DJ35" s="154"/>
      <c r="DK35" s="154"/>
      <c r="DL35" s="154"/>
      <c r="DM35" s="154"/>
      <c r="DN35" s="154"/>
      <c r="DO35" s="154"/>
      <c r="DP35" s="154"/>
      <c r="DQ35" s="154"/>
      <c r="DR35" s="154"/>
      <c r="DS35" s="154"/>
      <c r="DT35" s="154"/>
      <c r="DU35" s="154"/>
      <c r="DV35" s="154"/>
      <c r="DW35" s="154"/>
      <c r="DX35" s="154"/>
      <c r="DY35" s="154"/>
      <c r="DZ35" s="154"/>
      <c r="EA35" s="154"/>
      <c r="EB35" s="154"/>
      <c r="EC35" s="154"/>
      <c r="ED35" s="154"/>
      <c r="EE35" s="154"/>
      <c r="EF35" s="154"/>
      <c r="EG35" s="154"/>
      <c r="EH35" s="154"/>
      <c r="EI35" s="154"/>
      <c r="EJ35" s="154"/>
      <c r="EK35" s="154"/>
      <c r="EL35" s="154"/>
      <c r="EM35" s="154"/>
      <c r="EN35" s="154"/>
      <c r="EO35" s="154"/>
      <c r="EP35" s="154"/>
      <c r="EQ35" s="154"/>
      <c r="ER35" s="154"/>
      <c r="ES35" s="154"/>
      <c r="ET35" s="154"/>
      <c r="EU35" s="154"/>
      <c r="EV35" s="154"/>
      <c r="EW35" s="154"/>
      <c r="EX35" s="154"/>
      <c r="EY35" s="154"/>
      <c r="EZ35" s="154"/>
      <c r="FA35" s="154"/>
      <c r="FB35" s="154"/>
      <c r="FC35" s="154"/>
      <c r="FD35" s="154"/>
      <c r="FE35" s="154"/>
      <c r="FF35" s="154"/>
      <c r="FG35" s="154"/>
      <c r="FH35" s="154"/>
      <c r="FI35" s="154"/>
      <c r="FJ35" s="154"/>
      <c r="FK35" s="154"/>
      <c r="FL35" s="154"/>
      <c r="FM35" s="154"/>
      <c r="FN35" s="154"/>
      <c r="FO35" s="154"/>
      <c r="FP35" s="154"/>
      <c r="FQ35" s="154"/>
      <c r="FR35" s="154"/>
      <c r="FS35" s="154"/>
      <c r="FT35" s="154"/>
      <c r="FU35" s="154"/>
      <c r="FV35" s="154"/>
      <c r="FW35" s="154"/>
      <c r="FX35" s="154"/>
      <c r="FY35" s="154"/>
      <c r="FZ35" s="154"/>
      <c r="GA35" s="154"/>
      <c r="GB35" s="154"/>
      <c r="GC35" s="154"/>
      <c r="GD35" s="154"/>
      <c r="GE35" s="154"/>
      <c r="GF35" s="154"/>
      <c r="GG35" s="154"/>
      <c r="GH35" s="154"/>
      <c r="GI35" s="154"/>
      <c r="GJ35" s="154"/>
      <c r="GK35" s="154"/>
      <c r="GL35" s="154"/>
      <c r="GM35" s="154"/>
      <c r="GN35" s="154"/>
      <c r="GO35" s="154"/>
      <c r="GP35" s="154"/>
      <c r="GQ35" s="154"/>
      <c r="GR35" s="154"/>
      <c r="GS35" s="154"/>
      <c r="GT35" s="154"/>
      <c r="GU35" s="154"/>
      <c r="GV35" s="154"/>
      <c r="GW35" s="154"/>
      <c r="GX35" s="154"/>
      <c r="GY35" s="154"/>
      <c r="GZ35" s="154"/>
      <c r="HA35" s="154"/>
      <c r="HB35" s="154"/>
      <c r="HC35" s="154"/>
      <c r="HD35" s="154"/>
      <c r="HE35" s="154"/>
      <c r="HF35" s="154"/>
      <c r="HG35" s="154"/>
      <c r="HH35" s="154"/>
      <c r="HI35" s="154"/>
      <c r="HJ35" s="154"/>
      <c r="HK35" s="154"/>
      <c r="HL35" s="154"/>
      <c r="HM35" s="154"/>
      <c r="HN35" s="154"/>
      <c r="HO35" s="154"/>
      <c r="HP35" s="154"/>
      <c r="HQ35" s="154"/>
      <c r="HR35" s="154"/>
      <c r="HS35" s="154"/>
      <c r="HT35" s="154"/>
      <c r="HU35" s="154"/>
      <c r="HV35" s="154"/>
      <c r="HW35" s="154"/>
      <c r="HX35" s="154"/>
      <c r="HY35" s="154"/>
      <c r="HZ35" s="154"/>
      <c r="IA35" s="154"/>
      <c r="IB35" s="154"/>
      <c r="IC35" s="154"/>
      <c r="ID35" s="154"/>
      <c r="IE35" s="154"/>
      <c r="IF35" s="154"/>
      <c r="IG35" s="154"/>
      <c r="IH35" s="154"/>
      <c r="II35" s="154"/>
      <c r="IJ35" s="154"/>
      <c r="IK35" s="154"/>
      <c r="IL35" s="154"/>
      <c r="IM35" s="154"/>
      <c r="IN35" s="154"/>
      <c r="IO35" s="154"/>
      <c r="IP35" s="154"/>
      <c r="IQ35" s="154"/>
      <c r="IR35" s="154"/>
      <c r="IS35" s="154"/>
      <c r="IT35" s="154"/>
      <c r="IU35" s="154"/>
      <c r="IV35" s="154"/>
      <c r="IW35" s="154"/>
      <c r="IX35" s="154"/>
      <c r="IY35" s="154"/>
      <c r="IZ35" s="154"/>
      <c r="JA35" s="154"/>
      <c r="JB35" s="154"/>
      <c r="JC35" s="154"/>
      <c r="JD35" s="154"/>
      <c r="JE35" s="154"/>
      <c r="JF35" s="154"/>
      <c r="JG35" s="154"/>
      <c r="JH35" s="154"/>
      <c r="JI35" s="154"/>
      <c r="JJ35" s="154"/>
      <c r="JK35" s="154"/>
      <c r="JL35" s="154"/>
      <c r="JM35" s="154"/>
      <c r="JN35" s="154"/>
      <c r="JO35" s="154"/>
      <c r="JP35" s="154"/>
      <c r="JQ35" s="154"/>
      <c r="JR35" s="154"/>
      <c r="JS35" s="154"/>
      <c r="JT35" s="154"/>
      <c r="JU35" s="154"/>
      <c r="JV35" s="154"/>
      <c r="JW35" s="154"/>
      <c r="JX35" s="154"/>
      <c r="JY35" s="154"/>
      <c r="JZ35" s="154"/>
      <c r="KA35" s="154"/>
      <c r="KB35" s="154"/>
      <c r="KC35" s="154"/>
      <c r="KD35" s="154"/>
      <c r="KE35" s="154"/>
      <c r="KF35" s="154"/>
      <c r="KG35" s="154"/>
      <c r="KH35" s="154"/>
      <c r="KI35" s="154"/>
      <c r="KJ35" s="154"/>
      <c r="KK35" s="154"/>
      <c r="KL35" s="154"/>
      <c r="KM35" s="154"/>
      <c r="KN35" s="154"/>
      <c r="KO35" s="154"/>
      <c r="KP35" s="154"/>
      <c r="KQ35" s="154"/>
      <c r="KR35" s="154"/>
      <c r="KS35" s="154"/>
      <c r="KT35" s="154"/>
      <c r="KU35" s="154"/>
      <c r="KV35" s="154"/>
      <c r="KW35" s="154"/>
      <c r="KX35" s="154"/>
      <c r="KY35" s="154"/>
      <c r="KZ35" s="154"/>
      <c r="LA35" s="154"/>
      <c r="LB35" s="154"/>
      <c r="LC35" s="154"/>
      <c r="LD35" s="154"/>
      <c r="LE35" s="154"/>
      <c r="LF35" s="154"/>
    </row>
    <row r="36" spans="1:318" ht="15.75" thickBot="1">
      <c r="O36" s="192" t="s">
        <v>229</v>
      </c>
      <c r="P36" s="193"/>
      <c r="Q36" s="199"/>
      <c r="R36" s="194"/>
      <c r="S36" s="195">
        <f>S31-S33-S34</f>
        <v>634402</v>
      </c>
      <c r="T36" s="195">
        <f t="shared" ref="T36:AQ36" si="21">T31-T33-T34</f>
        <v>584836</v>
      </c>
      <c r="U36" s="195">
        <f t="shared" si="21"/>
        <v>537906.3469</v>
      </c>
      <c r="V36" s="195">
        <f t="shared" si="21"/>
        <v>493458.54463811486</v>
      </c>
      <c r="W36" s="195">
        <f t="shared" si="21"/>
        <v>451346.69494406553</v>
      </c>
      <c r="X36" s="195">
        <f t="shared" si="21"/>
        <v>411433.00564197532</v>
      </c>
      <c r="Y36" s="195">
        <f t="shared" si="21"/>
        <v>373587.32666884304</v>
      </c>
      <c r="Z36" s="195">
        <f t="shared" si="21"/>
        <v>337686.71223443351</v>
      </c>
      <c r="AA36" s="195">
        <f t="shared" si="21"/>
        <v>303615.00763737445</v>
      </c>
      <c r="AB36" s="195">
        <f t="shared" si="21"/>
        <v>281204.13361308223</v>
      </c>
      <c r="AC36" s="195">
        <f t="shared" si="21"/>
        <v>758722.26256287948</v>
      </c>
      <c r="AD36" s="195">
        <f t="shared" si="21"/>
        <v>752537.726926581</v>
      </c>
      <c r="AE36" s="195">
        <f t="shared" si="21"/>
        <v>746298.02772578585</v>
      </c>
      <c r="AF36" s="195">
        <f t="shared" si="21"/>
        <v>740000.59744602698</v>
      </c>
      <c r="AG36" s="195">
        <f t="shared" si="21"/>
        <v>733642.79793565616</v>
      </c>
      <c r="AH36" s="195">
        <f t="shared" si="21"/>
        <v>727221.91824201029</v>
      </c>
      <c r="AI36" s="195">
        <f t="shared" si="21"/>
        <v>720735.17238297709</v>
      </c>
      <c r="AJ36" s="195">
        <f t="shared" si="21"/>
        <v>714179.69705201685</v>
      </c>
      <c r="AK36" s="195">
        <f t="shared" si="21"/>
        <v>707552.54925464524</v>
      </c>
      <c r="AL36" s="195">
        <f t="shared" si="21"/>
        <v>700850.70387431502</v>
      </c>
      <c r="AM36" s="195">
        <f t="shared" si="21"/>
        <v>694071.05116558028</v>
      </c>
      <c r="AN36" s="195">
        <f t="shared" si="21"/>
        <v>687210.39417235856</v>
      </c>
      <c r="AO36" s="195">
        <f t="shared" si="21"/>
        <v>680265.44606903743</v>
      </c>
      <c r="AP36" s="195">
        <f t="shared" si="21"/>
        <v>673232.82742211618</v>
      </c>
      <c r="AQ36" s="196">
        <f t="shared" si="21"/>
        <v>666109.06336999021</v>
      </c>
      <c r="AW36" s="152"/>
      <c r="AX36" s="152"/>
      <c r="AY36" s="152"/>
      <c r="AZ36" s="152"/>
      <c r="BA36" s="152"/>
      <c r="BB36" s="152"/>
      <c r="BC36" s="152"/>
      <c r="BD36" s="152"/>
      <c r="BE36" s="152"/>
      <c r="BF36" s="152"/>
      <c r="BG36" s="152"/>
      <c r="BH36" s="152"/>
      <c r="BI36" s="152"/>
      <c r="BJ36" s="152"/>
      <c r="BK36" s="152"/>
      <c r="BL36" s="152"/>
      <c r="BM36" s="152"/>
      <c r="BN36" s="152"/>
      <c r="BO36" s="152"/>
      <c r="BP36" s="152"/>
      <c r="BQ36" s="152"/>
      <c r="BR36" s="152"/>
      <c r="BS36" s="152"/>
      <c r="BT36" s="152"/>
      <c r="BU36" s="152"/>
      <c r="BV36" s="152"/>
      <c r="BW36" s="152"/>
      <c r="BX36" s="152"/>
      <c r="BY36" s="152"/>
      <c r="BZ36" s="152"/>
      <c r="CA36" s="152"/>
      <c r="CB36" s="152"/>
      <c r="CC36" s="152"/>
      <c r="CD36" s="152"/>
      <c r="CE36" s="152"/>
      <c r="CF36" s="152"/>
      <c r="CG36" s="152"/>
      <c r="CH36" s="152"/>
      <c r="CI36" s="152"/>
      <c r="CJ36" s="152"/>
      <c r="CK36" s="152"/>
      <c r="CL36" s="152"/>
      <c r="CM36" s="152"/>
      <c r="CN36" s="152"/>
      <c r="CO36" s="152"/>
      <c r="CP36" s="152"/>
      <c r="CQ36" s="152"/>
      <c r="CR36" s="152"/>
      <c r="CS36" s="152"/>
      <c r="CT36" s="152"/>
      <c r="CU36" s="152"/>
      <c r="CV36" s="152"/>
      <c r="CW36" s="152"/>
      <c r="CX36" s="152"/>
      <c r="CY36" s="152"/>
      <c r="CZ36" s="152"/>
      <c r="DA36" s="152"/>
      <c r="DB36" s="152"/>
      <c r="DC36" s="152"/>
      <c r="DD36" s="152"/>
      <c r="DE36" s="152"/>
      <c r="DF36" s="152"/>
      <c r="DG36" s="152"/>
      <c r="DH36" s="152"/>
      <c r="DI36" s="152"/>
      <c r="DJ36" s="152"/>
      <c r="DK36" s="152"/>
      <c r="DL36" s="152"/>
      <c r="DM36" s="152"/>
      <c r="DN36" s="152"/>
      <c r="DO36" s="152"/>
      <c r="DP36" s="152"/>
      <c r="DQ36" s="152"/>
      <c r="DR36" s="152"/>
      <c r="DS36" s="152"/>
      <c r="DT36" s="152"/>
      <c r="DU36" s="152"/>
      <c r="DV36" s="152"/>
      <c r="DW36" s="152"/>
      <c r="DX36" s="152"/>
      <c r="DY36" s="152"/>
      <c r="DZ36" s="152"/>
      <c r="EA36" s="152"/>
      <c r="EB36" s="152"/>
      <c r="EC36" s="152"/>
      <c r="ED36" s="152"/>
      <c r="EE36" s="152"/>
      <c r="EF36" s="152"/>
      <c r="EG36" s="152"/>
      <c r="EH36" s="152"/>
      <c r="EI36" s="152"/>
      <c r="EJ36" s="152"/>
      <c r="EK36" s="152"/>
      <c r="EL36" s="152"/>
      <c r="EM36" s="152"/>
      <c r="EN36" s="152"/>
      <c r="EO36" s="152"/>
      <c r="EP36" s="152"/>
      <c r="EQ36" s="152"/>
      <c r="ER36" s="152"/>
      <c r="ES36" s="152"/>
      <c r="ET36" s="152"/>
      <c r="EU36" s="152"/>
      <c r="EV36" s="152"/>
      <c r="EW36" s="152"/>
      <c r="EX36" s="152"/>
      <c r="EY36" s="152"/>
      <c r="EZ36" s="152"/>
      <c r="FA36" s="152"/>
      <c r="FB36" s="152"/>
      <c r="FC36" s="152"/>
      <c r="FD36" s="152"/>
      <c r="FE36" s="152"/>
      <c r="FF36" s="152"/>
      <c r="FG36" s="152"/>
      <c r="FH36" s="152"/>
      <c r="FI36" s="152"/>
      <c r="FJ36" s="152"/>
      <c r="FK36" s="152"/>
      <c r="FL36" s="152"/>
      <c r="FM36" s="152"/>
      <c r="FN36" s="152"/>
      <c r="FO36" s="152"/>
      <c r="FP36" s="152"/>
      <c r="FQ36" s="152"/>
      <c r="FR36" s="152"/>
      <c r="FS36" s="152"/>
      <c r="FT36" s="152"/>
      <c r="FU36" s="152"/>
      <c r="FV36" s="152"/>
      <c r="FW36" s="152"/>
      <c r="FX36" s="152"/>
      <c r="FY36" s="152"/>
      <c r="FZ36" s="152"/>
      <c r="GA36" s="152"/>
      <c r="GB36" s="152"/>
      <c r="GC36" s="152"/>
      <c r="GD36" s="152"/>
      <c r="GE36" s="152"/>
      <c r="GF36" s="152"/>
      <c r="GG36" s="152"/>
      <c r="GH36" s="152"/>
      <c r="GI36" s="152"/>
      <c r="GJ36" s="152"/>
      <c r="GK36" s="152"/>
      <c r="GL36" s="152"/>
      <c r="GM36" s="152"/>
      <c r="GN36" s="152"/>
      <c r="GO36" s="152"/>
      <c r="GP36" s="152"/>
      <c r="GQ36" s="152"/>
      <c r="GR36" s="152"/>
      <c r="GS36" s="152"/>
      <c r="GT36" s="152"/>
      <c r="GU36" s="152"/>
      <c r="GV36" s="152"/>
      <c r="GW36" s="152"/>
      <c r="GX36" s="152"/>
      <c r="GY36" s="152"/>
      <c r="GZ36" s="152"/>
      <c r="HA36" s="152"/>
      <c r="HB36" s="152"/>
      <c r="HC36" s="152"/>
      <c r="HD36" s="152"/>
      <c r="HE36" s="152"/>
      <c r="HF36" s="152"/>
      <c r="HG36" s="152"/>
      <c r="HH36" s="152"/>
      <c r="HI36" s="152"/>
      <c r="HJ36" s="152"/>
      <c r="HK36" s="152"/>
      <c r="HL36" s="152"/>
      <c r="HM36" s="152"/>
      <c r="HN36" s="152"/>
      <c r="HO36" s="152"/>
      <c r="HP36" s="152"/>
      <c r="HQ36" s="152"/>
      <c r="HR36" s="152"/>
      <c r="HS36" s="152"/>
      <c r="HT36" s="152"/>
      <c r="HU36" s="152"/>
      <c r="HV36" s="152"/>
      <c r="HW36" s="152"/>
      <c r="HX36" s="152"/>
      <c r="HY36" s="152"/>
      <c r="HZ36" s="152"/>
      <c r="IA36" s="152"/>
      <c r="IB36" s="152"/>
      <c r="IC36" s="152"/>
      <c r="ID36" s="152"/>
      <c r="IE36" s="152"/>
      <c r="IF36" s="152"/>
      <c r="IG36" s="152"/>
      <c r="IH36" s="152"/>
      <c r="II36" s="152"/>
      <c r="IJ36" s="152"/>
      <c r="IK36" s="152"/>
      <c r="IL36" s="152"/>
      <c r="IM36" s="152"/>
      <c r="IN36" s="152"/>
      <c r="IO36" s="152"/>
      <c r="IP36" s="152"/>
      <c r="IQ36" s="152"/>
      <c r="IR36" s="152"/>
      <c r="IS36" s="152"/>
      <c r="IT36" s="152"/>
      <c r="IU36" s="152"/>
      <c r="IV36" s="152"/>
      <c r="IW36" s="152"/>
      <c r="IX36" s="152"/>
      <c r="IY36" s="152"/>
      <c r="IZ36" s="152"/>
      <c r="JA36" s="152"/>
      <c r="JB36" s="152"/>
      <c r="JC36" s="152"/>
      <c r="JD36" s="152"/>
      <c r="JE36" s="152"/>
      <c r="JF36" s="152"/>
      <c r="JG36" s="152"/>
      <c r="JH36" s="152"/>
      <c r="JI36" s="152"/>
      <c r="JJ36" s="152"/>
      <c r="JK36" s="152"/>
      <c r="JL36" s="152"/>
      <c r="JM36" s="152"/>
      <c r="JN36" s="152"/>
      <c r="JO36" s="152"/>
      <c r="JP36" s="152"/>
      <c r="JQ36" s="152"/>
      <c r="JR36" s="152"/>
      <c r="JS36" s="152"/>
      <c r="JT36" s="152"/>
      <c r="JU36" s="152"/>
      <c r="JV36" s="152"/>
      <c r="JW36" s="152"/>
      <c r="JX36" s="152"/>
      <c r="JY36" s="152"/>
      <c r="JZ36" s="152"/>
      <c r="KA36" s="152"/>
      <c r="KB36" s="152"/>
      <c r="KC36" s="152"/>
      <c r="KD36" s="152"/>
      <c r="KE36" s="152"/>
      <c r="KF36" s="152"/>
      <c r="KG36" s="152"/>
      <c r="KH36" s="152"/>
      <c r="KI36" s="152"/>
      <c r="KJ36" s="152"/>
      <c r="KK36" s="152"/>
      <c r="KL36" s="152"/>
      <c r="KM36" s="152"/>
      <c r="KN36" s="152"/>
      <c r="KO36" s="152"/>
      <c r="KP36" s="152"/>
      <c r="KQ36" s="152"/>
      <c r="KR36" s="152"/>
      <c r="KS36" s="152"/>
      <c r="KT36" s="152"/>
      <c r="KU36" s="152"/>
      <c r="KV36" s="152"/>
      <c r="KW36" s="152"/>
      <c r="KX36" s="152"/>
      <c r="KY36" s="152"/>
      <c r="KZ36" s="152"/>
      <c r="LA36" s="152"/>
      <c r="LB36" s="152"/>
      <c r="LC36" s="152"/>
      <c r="LD36" s="152"/>
      <c r="LE36" s="152"/>
      <c r="LF36" s="152"/>
    </row>
    <row r="37" spans="1:318">
      <c r="O37" s="139"/>
      <c r="Q37" s="140"/>
      <c r="R37" s="139"/>
      <c r="S37" s="188"/>
      <c r="T37" s="188"/>
      <c r="U37" s="188"/>
      <c r="V37" s="188"/>
      <c r="W37" s="188"/>
      <c r="X37" s="188"/>
      <c r="Y37" s="188"/>
      <c r="Z37" s="188"/>
      <c r="AA37" s="188"/>
      <c r="AB37" s="188"/>
      <c r="AC37" s="188"/>
      <c r="AD37" s="188"/>
      <c r="AE37" s="188"/>
      <c r="AF37" s="188"/>
      <c r="AG37" s="188"/>
      <c r="AH37" s="188"/>
      <c r="AI37" s="188"/>
      <c r="AJ37" s="188"/>
      <c r="AK37" s="188"/>
      <c r="AL37" s="188"/>
      <c r="AM37" s="188"/>
      <c r="AN37" s="188"/>
      <c r="AO37" s="188"/>
      <c r="AP37" s="188"/>
      <c r="AQ37" s="189"/>
      <c r="AW37" s="152"/>
      <c r="AX37" s="152"/>
      <c r="AY37" s="152"/>
      <c r="AZ37" s="152"/>
      <c r="BA37" s="152"/>
      <c r="BB37" s="152"/>
      <c r="BC37" s="152"/>
      <c r="BD37" s="152"/>
      <c r="BE37" s="152"/>
      <c r="BF37" s="152"/>
      <c r="BG37" s="152"/>
      <c r="BH37" s="152"/>
      <c r="BI37" s="152"/>
      <c r="BJ37" s="152"/>
      <c r="BK37" s="152"/>
      <c r="BL37" s="152"/>
      <c r="BM37" s="152"/>
      <c r="BN37" s="152"/>
      <c r="BO37" s="152"/>
      <c r="BP37" s="152"/>
      <c r="BQ37" s="152"/>
      <c r="BR37" s="152"/>
      <c r="BS37" s="152"/>
      <c r="BT37" s="152"/>
      <c r="BU37" s="152"/>
      <c r="BV37" s="152"/>
      <c r="BW37" s="152"/>
      <c r="BX37" s="152"/>
      <c r="BY37" s="152"/>
      <c r="BZ37" s="152"/>
      <c r="CA37" s="152"/>
      <c r="CB37" s="152"/>
      <c r="CC37" s="152"/>
      <c r="CD37" s="152"/>
      <c r="CE37" s="152"/>
      <c r="CF37" s="152"/>
      <c r="CG37" s="152"/>
      <c r="CH37" s="152"/>
      <c r="CI37" s="152"/>
      <c r="CJ37" s="152"/>
      <c r="CK37" s="152"/>
      <c r="CL37" s="152"/>
      <c r="CM37" s="152"/>
      <c r="CN37" s="152"/>
      <c r="CO37" s="152"/>
      <c r="CP37" s="152"/>
      <c r="CQ37" s="152"/>
      <c r="CR37" s="152"/>
      <c r="CS37" s="152"/>
      <c r="CT37" s="152"/>
      <c r="CU37" s="152"/>
      <c r="CV37" s="152"/>
      <c r="CW37" s="152"/>
      <c r="CX37" s="152"/>
      <c r="CY37" s="152"/>
      <c r="CZ37" s="152"/>
      <c r="DA37" s="152"/>
      <c r="DB37" s="152"/>
      <c r="DC37" s="152"/>
      <c r="DD37" s="152"/>
      <c r="DE37" s="152"/>
      <c r="DF37" s="152"/>
      <c r="DG37" s="152"/>
      <c r="DH37" s="152"/>
      <c r="DI37" s="152"/>
      <c r="DJ37" s="152"/>
      <c r="DK37" s="152"/>
      <c r="DL37" s="152"/>
      <c r="DM37" s="152"/>
      <c r="DN37" s="152"/>
      <c r="DO37" s="152"/>
      <c r="DP37" s="152"/>
      <c r="DQ37" s="152"/>
      <c r="DR37" s="152"/>
      <c r="DS37" s="152"/>
      <c r="DT37" s="152"/>
      <c r="DU37" s="152"/>
      <c r="DV37" s="152"/>
      <c r="DW37" s="152"/>
      <c r="DX37" s="152"/>
      <c r="DY37" s="152"/>
      <c r="DZ37" s="152"/>
      <c r="EA37" s="152"/>
      <c r="EB37" s="152"/>
      <c r="EC37" s="152"/>
      <c r="ED37" s="152"/>
      <c r="EE37" s="152"/>
      <c r="EF37" s="152"/>
      <c r="EG37" s="152"/>
      <c r="EH37" s="152"/>
      <c r="EI37" s="152"/>
      <c r="EJ37" s="152"/>
      <c r="EK37" s="152"/>
      <c r="EL37" s="152"/>
      <c r="EM37" s="152"/>
      <c r="EN37" s="152"/>
      <c r="EO37" s="152"/>
      <c r="EP37" s="152"/>
      <c r="EQ37" s="152"/>
      <c r="ER37" s="152"/>
      <c r="ES37" s="152"/>
      <c r="ET37" s="152"/>
      <c r="EU37" s="152"/>
      <c r="EV37" s="152"/>
      <c r="EW37" s="152"/>
      <c r="EX37" s="152"/>
      <c r="EY37" s="152"/>
      <c r="EZ37" s="152"/>
      <c r="FA37" s="152"/>
      <c r="FB37" s="152"/>
      <c r="FC37" s="152"/>
      <c r="FD37" s="152"/>
      <c r="FE37" s="152"/>
      <c r="FF37" s="152"/>
      <c r="FG37" s="152"/>
      <c r="FH37" s="152"/>
      <c r="FI37" s="152"/>
      <c r="FJ37" s="152"/>
      <c r="FK37" s="152"/>
      <c r="FL37" s="152"/>
      <c r="FM37" s="152"/>
      <c r="FN37" s="152"/>
      <c r="FO37" s="152"/>
      <c r="FP37" s="152"/>
      <c r="FQ37" s="152"/>
      <c r="FR37" s="152"/>
      <c r="FS37" s="152"/>
      <c r="FT37" s="152"/>
      <c r="FU37" s="152"/>
      <c r="FV37" s="152"/>
      <c r="FW37" s="152"/>
      <c r="FX37" s="152"/>
      <c r="FY37" s="152"/>
      <c r="FZ37" s="152"/>
      <c r="GA37" s="152"/>
      <c r="GB37" s="152"/>
      <c r="GC37" s="152"/>
      <c r="GD37" s="152"/>
      <c r="GE37" s="152"/>
      <c r="GF37" s="152"/>
      <c r="GG37" s="152"/>
      <c r="GH37" s="152"/>
      <c r="GI37" s="152"/>
      <c r="GJ37" s="152"/>
      <c r="GK37" s="152"/>
      <c r="GL37" s="152"/>
      <c r="GM37" s="152"/>
      <c r="GN37" s="152"/>
      <c r="GO37" s="152"/>
      <c r="GP37" s="152"/>
      <c r="GQ37" s="152"/>
      <c r="GR37" s="152"/>
      <c r="GS37" s="152"/>
      <c r="GT37" s="152"/>
      <c r="GU37" s="152"/>
      <c r="GV37" s="152"/>
      <c r="GW37" s="152"/>
      <c r="GX37" s="152"/>
      <c r="GY37" s="152"/>
      <c r="GZ37" s="152"/>
      <c r="HA37" s="152"/>
      <c r="HB37" s="152"/>
      <c r="HC37" s="152"/>
      <c r="HD37" s="152"/>
      <c r="HE37" s="152"/>
      <c r="HF37" s="152"/>
      <c r="HG37" s="152"/>
      <c r="HH37" s="152"/>
      <c r="HI37" s="152"/>
      <c r="HJ37" s="152"/>
      <c r="HK37" s="152"/>
      <c r="HL37" s="152"/>
      <c r="HM37" s="152"/>
      <c r="HN37" s="152"/>
      <c r="HO37" s="152"/>
      <c r="HP37" s="152"/>
      <c r="HQ37" s="152"/>
      <c r="HR37" s="152"/>
      <c r="HS37" s="152"/>
      <c r="HT37" s="152"/>
      <c r="HU37" s="152"/>
      <c r="HV37" s="152"/>
      <c r="HW37" s="152"/>
      <c r="HX37" s="152"/>
      <c r="HY37" s="152"/>
      <c r="HZ37" s="152"/>
      <c r="IA37" s="152"/>
      <c r="IB37" s="152"/>
      <c r="IC37" s="152"/>
      <c r="ID37" s="152"/>
      <c r="IE37" s="152"/>
      <c r="IF37" s="152"/>
      <c r="IG37" s="152"/>
      <c r="IH37" s="152"/>
      <c r="II37" s="152"/>
      <c r="IJ37" s="152"/>
      <c r="IK37" s="152"/>
      <c r="IL37" s="152"/>
      <c r="IM37" s="152"/>
      <c r="IN37" s="152"/>
      <c r="IO37" s="152"/>
      <c r="IP37" s="152"/>
      <c r="IQ37" s="152"/>
      <c r="IR37" s="152"/>
      <c r="IS37" s="152"/>
      <c r="IT37" s="152"/>
      <c r="IU37" s="152"/>
      <c r="IV37" s="152"/>
      <c r="IW37" s="152"/>
      <c r="IX37" s="152"/>
      <c r="IY37" s="152"/>
      <c r="IZ37" s="152"/>
      <c r="JA37" s="152"/>
      <c r="JB37" s="152"/>
      <c r="JC37" s="152"/>
      <c r="JD37" s="152"/>
      <c r="JE37" s="152"/>
      <c r="JF37" s="152"/>
      <c r="JG37" s="152"/>
      <c r="JH37" s="152"/>
      <c r="JI37" s="152"/>
      <c r="JJ37" s="152"/>
      <c r="JK37" s="152"/>
      <c r="JL37" s="152"/>
      <c r="JM37" s="152"/>
      <c r="JN37" s="152"/>
      <c r="JO37" s="152"/>
      <c r="JP37" s="152"/>
      <c r="JQ37" s="152"/>
      <c r="JR37" s="152"/>
      <c r="JS37" s="152"/>
      <c r="JT37" s="152"/>
      <c r="JU37" s="152"/>
      <c r="JV37" s="152"/>
      <c r="JW37" s="152"/>
      <c r="JX37" s="152"/>
      <c r="JY37" s="152"/>
      <c r="JZ37" s="152"/>
      <c r="KA37" s="152"/>
      <c r="KB37" s="152"/>
      <c r="KC37" s="152"/>
      <c r="KD37" s="152"/>
      <c r="KE37" s="152"/>
      <c r="KF37" s="152"/>
      <c r="KG37" s="152"/>
      <c r="KH37" s="152"/>
      <c r="KI37" s="152"/>
      <c r="KJ37" s="152"/>
      <c r="KK37" s="152"/>
      <c r="KL37" s="152"/>
      <c r="KM37" s="152"/>
      <c r="KN37" s="152"/>
      <c r="KO37" s="152"/>
      <c r="KP37" s="152"/>
      <c r="KQ37" s="152"/>
      <c r="KR37" s="152"/>
      <c r="KS37" s="152"/>
      <c r="KT37" s="152"/>
      <c r="KU37" s="152"/>
      <c r="KV37" s="152"/>
      <c r="KW37" s="152"/>
      <c r="KX37" s="152"/>
      <c r="KY37" s="152"/>
      <c r="KZ37" s="152"/>
      <c r="LA37" s="152"/>
      <c r="LB37" s="152"/>
      <c r="LC37" s="152"/>
      <c r="LD37" s="152"/>
      <c r="LE37" s="152"/>
      <c r="LF37" s="152"/>
    </row>
    <row r="38" spans="1:318">
      <c r="O38" s="139" t="s">
        <v>230</v>
      </c>
      <c r="Q38" s="140"/>
      <c r="R38" s="139"/>
      <c r="S38" s="188">
        <f t="shared" ref="S38:AB38" si="22">(S11&lt;=$G$6)*(-IPMT($H$6,S11,$G$6,($A$6*$B$6+(1-$J$9)*$A$9*$B$9)*(1-$F$6)))</f>
        <v>0</v>
      </c>
      <c r="T38" s="188">
        <f t="shared" si="22"/>
        <v>0</v>
      </c>
      <c r="U38" s="188">
        <f t="shared" si="22"/>
        <v>0</v>
      </c>
      <c r="V38" s="188">
        <f t="shared" si="22"/>
        <v>0</v>
      </c>
      <c r="W38" s="188">
        <f t="shared" si="22"/>
        <v>0</v>
      </c>
      <c r="X38" s="188">
        <f t="shared" si="22"/>
        <v>0</v>
      </c>
      <c r="Y38" s="188">
        <f t="shared" si="22"/>
        <v>0</v>
      </c>
      <c r="Z38" s="188">
        <f t="shared" si="22"/>
        <v>0</v>
      </c>
      <c r="AA38" s="188">
        <f t="shared" si="22"/>
        <v>0</v>
      </c>
      <c r="AB38" s="188">
        <f t="shared" si="22"/>
        <v>0</v>
      </c>
      <c r="AC38" s="188"/>
      <c r="AD38" s="188"/>
      <c r="AE38" s="188"/>
      <c r="AF38" s="188"/>
      <c r="AG38" s="188"/>
      <c r="AH38" s="188"/>
      <c r="AI38" s="188"/>
      <c r="AJ38" s="188"/>
      <c r="AK38" s="188"/>
      <c r="AL38" s="188"/>
      <c r="AM38" s="188"/>
      <c r="AN38" s="188"/>
      <c r="AO38" s="188"/>
      <c r="AP38" s="188"/>
      <c r="AQ38" s="189"/>
      <c r="AW38" s="152"/>
      <c r="AX38" s="152"/>
      <c r="AY38" s="152"/>
      <c r="AZ38" s="152"/>
      <c r="BA38" s="152"/>
      <c r="BB38" s="152"/>
      <c r="BC38" s="152"/>
      <c r="BD38" s="152"/>
      <c r="BE38" s="152"/>
      <c r="BF38" s="152"/>
      <c r="BG38" s="152"/>
      <c r="BH38" s="152"/>
      <c r="BI38" s="152"/>
      <c r="BJ38" s="152"/>
      <c r="BK38" s="152"/>
      <c r="BL38" s="152"/>
      <c r="BM38" s="152"/>
      <c r="BN38" s="152"/>
      <c r="BO38" s="152"/>
      <c r="BP38" s="152"/>
      <c r="BQ38" s="152"/>
      <c r="BR38" s="152"/>
      <c r="BS38" s="152"/>
      <c r="BT38" s="152"/>
      <c r="BU38" s="152"/>
      <c r="BV38" s="152"/>
      <c r="BW38" s="152"/>
      <c r="BX38" s="152"/>
      <c r="BY38" s="152"/>
      <c r="BZ38" s="152"/>
      <c r="CA38" s="152"/>
      <c r="CB38" s="152"/>
      <c r="CC38" s="152"/>
      <c r="CD38" s="152"/>
      <c r="CE38" s="152"/>
      <c r="CF38" s="152"/>
      <c r="CG38" s="152"/>
      <c r="CH38" s="152"/>
      <c r="CI38" s="152"/>
      <c r="CJ38" s="152"/>
      <c r="CK38" s="152"/>
      <c r="CL38" s="152"/>
      <c r="CM38" s="152"/>
      <c r="CN38" s="152"/>
      <c r="CO38" s="152"/>
      <c r="CP38" s="152"/>
      <c r="CQ38" s="152"/>
      <c r="CR38" s="152"/>
      <c r="CS38" s="152"/>
      <c r="CT38" s="152"/>
      <c r="CU38" s="152"/>
      <c r="CV38" s="152"/>
      <c r="CW38" s="152"/>
      <c r="CX38" s="152"/>
      <c r="CY38" s="152"/>
      <c r="CZ38" s="152"/>
      <c r="DA38" s="152"/>
      <c r="DB38" s="152"/>
      <c r="DC38" s="152"/>
      <c r="DD38" s="152"/>
      <c r="DE38" s="152"/>
      <c r="DF38" s="152"/>
      <c r="DG38" s="152"/>
      <c r="DH38" s="152"/>
      <c r="DI38" s="152"/>
      <c r="DJ38" s="152"/>
      <c r="DK38" s="152"/>
      <c r="DL38" s="152"/>
      <c r="DM38" s="152"/>
      <c r="DN38" s="152"/>
      <c r="DO38" s="152"/>
      <c r="DP38" s="152"/>
      <c r="DQ38" s="152"/>
      <c r="DR38" s="152"/>
      <c r="DS38" s="152"/>
      <c r="DT38" s="152"/>
      <c r="DU38" s="152"/>
      <c r="DV38" s="152"/>
      <c r="DW38" s="152"/>
      <c r="DX38" s="152"/>
      <c r="DY38" s="152"/>
      <c r="DZ38" s="152"/>
      <c r="EA38" s="152"/>
      <c r="EB38" s="152"/>
      <c r="EC38" s="152"/>
      <c r="ED38" s="152"/>
      <c r="EE38" s="152"/>
      <c r="EF38" s="152"/>
      <c r="EG38" s="152"/>
      <c r="EH38" s="152"/>
      <c r="EI38" s="152"/>
      <c r="EJ38" s="152"/>
      <c r="EK38" s="152"/>
      <c r="EL38" s="152"/>
      <c r="EM38" s="152"/>
      <c r="EN38" s="152"/>
      <c r="EO38" s="152"/>
      <c r="EP38" s="152"/>
      <c r="EQ38" s="152"/>
      <c r="ER38" s="152"/>
      <c r="ES38" s="152"/>
      <c r="ET38" s="152"/>
      <c r="EU38" s="152"/>
      <c r="EV38" s="152"/>
      <c r="EW38" s="152"/>
      <c r="EX38" s="152"/>
      <c r="EY38" s="152"/>
      <c r="EZ38" s="152"/>
      <c r="FA38" s="152"/>
      <c r="FB38" s="152"/>
      <c r="FC38" s="152"/>
      <c r="FD38" s="152"/>
      <c r="FE38" s="152"/>
      <c r="FF38" s="152"/>
      <c r="FG38" s="152"/>
      <c r="FH38" s="152"/>
      <c r="FI38" s="152"/>
      <c r="FJ38" s="152"/>
      <c r="FK38" s="152"/>
      <c r="FL38" s="152"/>
      <c r="FM38" s="152"/>
      <c r="FN38" s="152"/>
      <c r="FO38" s="152"/>
      <c r="FP38" s="152"/>
      <c r="FQ38" s="152"/>
      <c r="FR38" s="152"/>
      <c r="FS38" s="152"/>
      <c r="FT38" s="152"/>
      <c r="FU38" s="152"/>
      <c r="FV38" s="152"/>
      <c r="FW38" s="152"/>
      <c r="FX38" s="152"/>
      <c r="FY38" s="152"/>
      <c r="FZ38" s="152"/>
      <c r="GA38" s="152"/>
      <c r="GB38" s="152"/>
      <c r="GC38" s="152"/>
      <c r="GD38" s="152"/>
      <c r="GE38" s="152"/>
      <c r="GF38" s="152"/>
      <c r="GG38" s="152"/>
      <c r="GH38" s="152"/>
      <c r="GI38" s="152"/>
      <c r="GJ38" s="152"/>
      <c r="GK38" s="152"/>
      <c r="GL38" s="152"/>
      <c r="GM38" s="152"/>
      <c r="GN38" s="152"/>
      <c r="GO38" s="152"/>
      <c r="GP38" s="152"/>
      <c r="GQ38" s="152"/>
      <c r="GR38" s="152"/>
      <c r="GS38" s="152"/>
      <c r="GT38" s="152"/>
      <c r="GU38" s="152"/>
      <c r="GV38" s="152"/>
      <c r="GW38" s="152"/>
      <c r="GX38" s="152"/>
      <c r="GY38" s="152"/>
      <c r="GZ38" s="152"/>
      <c r="HA38" s="152"/>
      <c r="HB38" s="152"/>
      <c r="HC38" s="152"/>
      <c r="HD38" s="152"/>
      <c r="HE38" s="152"/>
      <c r="HF38" s="152"/>
      <c r="HG38" s="152"/>
      <c r="HH38" s="152"/>
      <c r="HI38" s="152"/>
      <c r="HJ38" s="152"/>
      <c r="HK38" s="152"/>
      <c r="HL38" s="152"/>
      <c r="HM38" s="152"/>
      <c r="HN38" s="152"/>
      <c r="HO38" s="152"/>
      <c r="HP38" s="152"/>
      <c r="HQ38" s="152"/>
      <c r="HR38" s="152"/>
      <c r="HS38" s="152"/>
      <c r="HT38" s="152"/>
      <c r="HU38" s="152"/>
      <c r="HV38" s="152"/>
      <c r="HW38" s="152"/>
      <c r="HX38" s="152"/>
      <c r="HY38" s="152"/>
      <c r="HZ38" s="152"/>
      <c r="IA38" s="152"/>
      <c r="IB38" s="152"/>
      <c r="IC38" s="152"/>
      <c r="ID38" s="152"/>
      <c r="IE38" s="152"/>
      <c r="IF38" s="152"/>
      <c r="IG38" s="152"/>
      <c r="IH38" s="152"/>
      <c r="II38" s="152"/>
      <c r="IJ38" s="152"/>
      <c r="IK38" s="152"/>
      <c r="IL38" s="152"/>
      <c r="IM38" s="152"/>
      <c r="IN38" s="152"/>
      <c r="IO38" s="152"/>
      <c r="IP38" s="152"/>
      <c r="IQ38" s="152"/>
      <c r="IR38" s="152"/>
      <c r="IS38" s="152"/>
      <c r="IT38" s="152"/>
      <c r="IU38" s="152"/>
      <c r="IV38" s="152"/>
      <c r="IW38" s="152"/>
      <c r="IX38" s="152"/>
      <c r="IY38" s="152"/>
      <c r="IZ38" s="152"/>
      <c r="JA38" s="152"/>
      <c r="JB38" s="152"/>
      <c r="JC38" s="152"/>
      <c r="JD38" s="152"/>
      <c r="JE38" s="152"/>
      <c r="JF38" s="152"/>
      <c r="JG38" s="152"/>
      <c r="JH38" s="152"/>
      <c r="JI38" s="152"/>
      <c r="JJ38" s="152"/>
      <c r="JK38" s="152"/>
      <c r="JL38" s="152"/>
      <c r="JM38" s="152"/>
      <c r="JN38" s="152"/>
      <c r="JO38" s="152"/>
      <c r="JP38" s="152"/>
      <c r="JQ38" s="152"/>
      <c r="JR38" s="152"/>
      <c r="JS38" s="152"/>
      <c r="JT38" s="152"/>
      <c r="JU38" s="152"/>
      <c r="JV38" s="152"/>
      <c r="JW38" s="152"/>
      <c r="JX38" s="152"/>
      <c r="JY38" s="152"/>
      <c r="JZ38" s="152"/>
      <c r="KA38" s="152"/>
      <c r="KB38" s="152"/>
      <c r="KC38" s="152"/>
      <c r="KD38" s="152"/>
      <c r="KE38" s="152"/>
      <c r="KF38" s="152"/>
      <c r="KG38" s="152"/>
      <c r="KH38" s="152"/>
      <c r="KI38" s="152"/>
      <c r="KJ38" s="152"/>
      <c r="KK38" s="152"/>
      <c r="KL38" s="152"/>
      <c r="KM38" s="152"/>
      <c r="KN38" s="152"/>
      <c r="KO38" s="152"/>
      <c r="KP38" s="152"/>
      <c r="KQ38" s="152"/>
      <c r="KR38" s="152"/>
      <c r="KS38" s="152"/>
      <c r="KT38" s="152"/>
      <c r="KU38" s="152"/>
      <c r="KV38" s="152"/>
      <c r="KW38" s="152"/>
      <c r="KX38" s="152"/>
      <c r="KY38" s="152"/>
      <c r="KZ38" s="152"/>
      <c r="LA38" s="152"/>
      <c r="LB38" s="152"/>
      <c r="LC38" s="152"/>
      <c r="LD38" s="152"/>
      <c r="LE38" s="152"/>
      <c r="LF38" s="152"/>
    </row>
    <row r="39" spans="1:318">
      <c r="N39" s="58"/>
      <c r="O39" s="139" t="s">
        <v>231</v>
      </c>
      <c r="Q39" s="140"/>
      <c r="R39" s="139"/>
      <c r="S39" s="188">
        <f t="shared" ref="S39:AB39" si="23">(S11&lt;=$G$6)*(-PPMT($H$6,S11,$G$6,($A$6*$B$6+(1-$J$9)*$A$9*$B$9)*(1-$F$6)))</f>
        <v>0</v>
      </c>
      <c r="T39" s="188">
        <f t="shared" si="23"/>
        <v>0</v>
      </c>
      <c r="U39" s="188">
        <f t="shared" si="23"/>
        <v>0</v>
      </c>
      <c r="V39" s="188">
        <f t="shared" si="23"/>
        <v>0</v>
      </c>
      <c r="W39" s="188">
        <f t="shared" si="23"/>
        <v>0</v>
      </c>
      <c r="X39" s="188">
        <f t="shared" si="23"/>
        <v>0</v>
      </c>
      <c r="Y39" s="188">
        <f t="shared" si="23"/>
        <v>0</v>
      </c>
      <c r="Z39" s="188">
        <f t="shared" si="23"/>
        <v>0</v>
      </c>
      <c r="AA39" s="188">
        <f t="shared" si="23"/>
        <v>0</v>
      </c>
      <c r="AB39" s="188">
        <f t="shared" si="23"/>
        <v>0</v>
      </c>
      <c r="AC39" s="188"/>
      <c r="AD39" s="188"/>
      <c r="AE39" s="188"/>
      <c r="AF39" s="188"/>
      <c r="AG39" s="188"/>
      <c r="AH39" s="188"/>
      <c r="AI39" s="188"/>
      <c r="AJ39" s="188"/>
      <c r="AK39" s="188"/>
      <c r="AL39" s="188"/>
      <c r="AM39" s="188"/>
      <c r="AN39" s="188"/>
      <c r="AO39" s="188"/>
      <c r="AP39" s="188"/>
      <c r="AQ39" s="189"/>
      <c r="AW39" s="152"/>
      <c r="AX39" s="152"/>
      <c r="AY39" s="152"/>
      <c r="AZ39" s="152"/>
      <c r="BA39" s="152"/>
      <c r="BB39" s="152"/>
      <c r="BC39" s="152"/>
      <c r="BD39" s="152"/>
      <c r="BE39" s="152"/>
      <c r="BF39" s="152"/>
      <c r="BG39" s="152"/>
      <c r="BH39" s="152"/>
      <c r="BI39" s="152"/>
      <c r="BJ39" s="152"/>
      <c r="BK39" s="152"/>
      <c r="BL39" s="152"/>
      <c r="BM39" s="152"/>
      <c r="BN39" s="152"/>
      <c r="BO39" s="152"/>
      <c r="BP39" s="152"/>
      <c r="BQ39" s="152"/>
      <c r="BR39" s="152"/>
      <c r="BS39" s="152"/>
      <c r="BT39" s="152"/>
      <c r="BU39" s="152"/>
      <c r="BV39" s="152"/>
      <c r="BW39" s="152"/>
      <c r="BX39" s="152"/>
      <c r="BY39" s="152"/>
      <c r="BZ39" s="152"/>
      <c r="CA39" s="152"/>
      <c r="CB39" s="152"/>
      <c r="CC39" s="152"/>
      <c r="CD39" s="152"/>
      <c r="CE39" s="152"/>
      <c r="CF39" s="152"/>
      <c r="CG39" s="152"/>
      <c r="CH39" s="152"/>
      <c r="CI39" s="152"/>
      <c r="CJ39" s="152"/>
      <c r="CK39" s="152"/>
      <c r="CL39" s="152"/>
      <c r="CM39" s="152"/>
      <c r="CN39" s="152"/>
      <c r="CO39" s="152"/>
      <c r="CP39" s="152"/>
      <c r="CQ39" s="152"/>
      <c r="CR39" s="152"/>
      <c r="CS39" s="152"/>
      <c r="CT39" s="152"/>
      <c r="CU39" s="152"/>
      <c r="CV39" s="152"/>
      <c r="CW39" s="152"/>
      <c r="CX39" s="152"/>
      <c r="CY39" s="152"/>
      <c r="CZ39" s="152"/>
      <c r="DA39" s="152"/>
      <c r="DB39" s="152"/>
      <c r="DC39" s="152"/>
      <c r="DD39" s="152"/>
      <c r="DE39" s="152"/>
      <c r="DF39" s="152"/>
      <c r="DG39" s="152"/>
      <c r="DH39" s="152"/>
      <c r="DI39" s="152"/>
      <c r="DJ39" s="152"/>
      <c r="DK39" s="152"/>
      <c r="DL39" s="152"/>
      <c r="DM39" s="152"/>
      <c r="DN39" s="152"/>
      <c r="DO39" s="152"/>
      <c r="DP39" s="152"/>
      <c r="DQ39" s="152"/>
      <c r="DR39" s="152"/>
      <c r="DS39" s="152"/>
      <c r="DT39" s="152"/>
      <c r="DU39" s="152"/>
      <c r="DV39" s="152"/>
      <c r="DW39" s="152"/>
      <c r="DX39" s="152"/>
      <c r="DY39" s="152"/>
      <c r="DZ39" s="152"/>
      <c r="EA39" s="152"/>
      <c r="EB39" s="152"/>
      <c r="EC39" s="152"/>
      <c r="ED39" s="152"/>
      <c r="EE39" s="152"/>
      <c r="EF39" s="152"/>
      <c r="EG39" s="152"/>
      <c r="EH39" s="152"/>
      <c r="EI39" s="152"/>
      <c r="EJ39" s="152"/>
      <c r="EK39" s="152"/>
      <c r="EL39" s="152"/>
      <c r="EM39" s="152"/>
      <c r="EN39" s="152"/>
      <c r="EO39" s="152"/>
      <c r="EP39" s="152"/>
      <c r="EQ39" s="152"/>
      <c r="ER39" s="152"/>
      <c r="ES39" s="152"/>
      <c r="ET39" s="152"/>
      <c r="EU39" s="152"/>
      <c r="EV39" s="152"/>
      <c r="EW39" s="152"/>
      <c r="EX39" s="152"/>
      <c r="EY39" s="152"/>
      <c r="EZ39" s="152"/>
      <c r="FA39" s="152"/>
      <c r="FB39" s="152"/>
      <c r="FC39" s="152"/>
      <c r="FD39" s="152"/>
      <c r="FE39" s="152"/>
      <c r="FF39" s="152"/>
      <c r="FG39" s="152"/>
      <c r="FH39" s="152"/>
      <c r="FI39" s="152"/>
      <c r="FJ39" s="152"/>
      <c r="FK39" s="152"/>
      <c r="FL39" s="152"/>
      <c r="FM39" s="152"/>
      <c r="FN39" s="152"/>
      <c r="FO39" s="152"/>
      <c r="FP39" s="152"/>
      <c r="FQ39" s="152"/>
      <c r="FR39" s="152"/>
      <c r="FS39" s="152"/>
      <c r="FT39" s="152"/>
      <c r="FU39" s="152"/>
      <c r="FV39" s="152"/>
      <c r="FW39" s="152"/>
      <c r="FX39" s="152"/>
      <c r="FY39" s="152"/>
      <c r="FZ39" s="152"/>
      <c r="GA39" s="152"/>
      <c r="GB39" s="152"/>
      <c r="GC39" s="152"/>
      <c r="GD39" s="152"/>
      <c r="GE39" s="152"/>
      <c r="GF39" s="152"/>
      <c r="GG39" s="152"/>
      <c r="GH39" s="152"/>
      <c r="GI39" s="152"/>
      <c r="GJ39" s="152"/>
      <c r="GK39" s="152"/>
      <c r="GL39" s="152"/>
      <c r="GM39" s="152"/>
      <c r="GN39" s="152"/>
      <c r="GO39" s="152"/>
      <c r="GP39" s="152"/>
      <c r="GQ39" s="152"/>
      <c r="GR39" s="152"/>
      <c r="GS39" s="152"/>
      <c r="GT39" s="152"/>
      <c r="GU39" s="152"/>
      <c r="GV39" s="152"/>
      <c r="GW39" s="152"/>
      <c r="GX39" s="152"/>
      <c r="GY39" s="152"/>
      <c r="GZ39" s="152"/>
      <c r="HA39" s="152"/>
      <c r="HB39" s="152"/>
      <c r="HC39" s="152"/>
      <c r="HD39" s="152"/>
      <c r="HE39" s="152"/>
      <c r="HF39" s="152"/>
      <c r="HG39" s="152"/>
      <c r="HH39" s="152"/>
      <c r="HI39" s="152"/>
      <c r="HJ39" s="152"/>
      <c r="HK39" s="152"/>
      <c r="HL39" s="152"/>
      <c r="HM39" s="152"/>
      <c r="HN39" s="152"/>
      <c r="HO39" s="152"/>
      <c r="HP39" s="152"/>
      <c r="HQ39" s="152"/>
      <c r="HR39" s="152"/>
      <c r="HS39" s="152"/>
      <c r="HT39" s="152"/>
      <c r="HU39" s="152"/>
      <c r="HV39" s="152"/>
      <c r="HW39" s="152"/>
      <c r="HX39" s="152"/>
      <c r="HY39" s="152"/>
      <c r="HZ39" s="152"/>
      <c r="IA39" s="152"/>
      <c r="IB39" s="152"/>
      <c r="IC39" s="152"/>
      <c r="ID39" s="152"/>
      <c r="IE39" s="152"/>
      <c r="IF39" s="152"/>
      <c r="IG39" s="152"/>
      <c r="IH39" s="152"/>
      <c r="II39" s="152"/>
      <c r="IJ39" s="152"/>
      <c r="IK39" s="152"/>
      <c r="IL39" s="152"/>
      <c r="IM39" s="152"/>
      <c r="IN39" s="152"/>
      <c r="IO39" s="152"/>
      <c r="IP39" s="152"/>
      <c r="IQ39" s="152"/>
      <c r="IR39" s="152"/>
      <c r="IS39" s="152"/>
      <c r="IT39" s="152"/>
      <c r="IU39" s="152"/>
      <c r="IV39" s="152"/>
      <c r="IW39" s="152"/>
      <c r="IX39" s="152"/>
      <c r="IY39" s="152"/>
      <c r="IZ39" s="152"/>
      <c r="JA39" s="152"/>
      <c r="JB39" s="152"/>
      <c r="JC39" s="152"/>
      <c r="JD39" s="152"/>
      <c r="JE39" s="152"/>
      <c r="JF39" s="152"/>
      <c r="JG39" s="152"/>
      <c r="JH39" s="152"/>
      <c r="JI39" s="152"/>
      <c r="JJ39" s="152"/>
      <c r="JK39" s="152"/>
      <c r="JL39" s="152"/>
      <c r="JM39" s="152"/>
      <c r="JN39" s="152"/>
      <c r="JO39" s="152"/>
      <c r="JP39" s="152"/>
      <c r="JQ39" s="152"/>
      <c r="JR39" s="152"/>
      <c r="JS39" s="152"/>
      <c r="JT39" s="152"/>
      <c r="JU39" s="152"/>
      <c r="JV39" s="152"/>
      <c r="JW39" s="152"/>
      <c r="JX39" s="152"/>
      <c r="JY39" s="152"/>
      <c r="JZ39" s="152"/>
      <c r="KA39" s="152"/>
      <c r="KB39" s="152"/>
      <c r="KC39" s="152"/>
      <c r="KD39" s="152"/>
      <c r="KE39" s="152"/>
      <c r="KF39" s="152"/>
      <c r="KG39" s="152"/>
      <c r="KH39" s="152"/>
      <c r="KI39" s="152"/>
      <c r="KJ39" s="152"/>
      <c r="KK39" s="152"/>
      <c r="KL39" s="152"/>
      <c r="KM39" s="152"/>
      <c r="KN39" s="152"/>
      <c r="KO39" s="152"/>
      <c r="KP39" s="152"/>
      <c r="KQ39" s="152"/>
      <c r="KR39" s="152"/>
      <c r="KS39" s="152"/>
      <c r="KT39" s="152"/>
      <c r="KU39" s="152"/>
      <c r="KV39" s="152"/>
      <c r="KW39" s="152"/>
      <c r="KX39" s="152"/>
      <c r="KY39" s="152"/>
      <c r="KZ39" s="152"/>
      <c r="LA39" s="152"/>
      <c r="LB39" s="152"/>
      <c r="LC39" s="152"/>
      <c r="LD39" s="152"/>
      <c r="LE39" s="152"/>
      <c r="LF39" s="152"/>
    </row>
    <row r="40" spans="1:318" ht="45.75" thickBot="1">
      <c r="O40" s="200" t="s">
        <v>232</v>
      </c>
      <c r="Q40" s="140"/>
      <c r="R40" s="139"/>
      <c r="S40" s="188">
        <f>S29+S38+S39</f>
        <v>193500</v>
      </c>
      <c r="T40" s="188">
        <f t="shared" ref="T40:AQ40" si="24">T29+T38+T39</f>
        <v>202116</v>
      </c>
      <c r="U40" s="188">
        <f t="shared" si="24"/>
        <v>210143.15310000011</v>
      </c>
      <c r="V40" s="188">
        <f t="shared" si="24"/>
        <v>217633.58036188519</v>
      </c>
      <c r="W40" s="188">
        <f t="shared" si="24"/>
        <v>224635.92380593438</v>
      </c>
      <c r="X40" s="188">
        <f t="shared" si="24"/>
        <v>231195.58217052452</v>
      </c>
      <c r="Y40" s="188">
        <f t="shared" si="24"/>
        <v>237354.93175303179</v>
      </c>
      <c r="Z40" s="188">
        <f t="shared" si="24"/>
        <v>243153.5332663476</v>
      </c>
      <c r="AA40" s="188">
        <f t="shared" si="24"/>
        <v>248628.32558836756</v>
      </c>
      <c r="AB40" s="188">
        <f t="shared" si="24"/>
        <v>254197.86638691777</v>
      </c>
      <c r="AC40" s="188">
        <f t="shared" si="24"/>
        <v>260329.73743712052</v>
      </c>
      <c r="AD40" s="188">
        <f t="shared" si="24"/>
        <v>266514.273073419</v>
      </c>
      <c r="AE40" s="188">
        <f t="shared" si="24"/>
        <v>272753.97227421415</v>
      </c>
      <c r="AF40" s="188">
        <f t="shared" si="24"/>
        <v>279051.40255397296</v>
      </c>
      <c r="AG40" s="188">
        <f t="shared" si="24"/>
        <v>285409.2020643439</v>
      </c>
      <c r="AH40" s="188">
        <f t="shared" si="24"/>
        <v>291830.08175798971</v>
      </c>
      <c r="AI40" s="188">
        <f t="shared" si="24"/>
        <v>298316.82761702291</v>
      </c>
      <c r="AJ40" s="188">
        <f t="shared" si="24"/>
        <v>304872.30294798309</v>
      </c>
      <c r="AK40" s="188">
        <f t="shared" si="24"/>
        <v>311499.45074535481</v>
      </c>
      <c r="AL40" s="188">
        <f t="shared" si="24"/>
        <v>318201.29612568504</v>
      </c>
      <c r="AM40" s="188">
        <f t="shared" si="24"/>
        <v>324980.94883441972</v>
      </c>
      <c r="AN40" s="188">
        <f t="shared" si="24"/>
        <v>331841.60582764138</v>
      </c>
      <c r="AO40" s="188">
        <f t="shared" si="24"/>
        <v>338786.55393096263</v>
      </c>
      <c r="AP40" s="188">
        <f t="shared" si="24"/>
        <v>345819.17257788376</v>
      </c>
      <c r="AQ40" s="189">
        <f t="shared" si="24"/>
        <v>352942.93663000979</v>
      </c>
      <c r="AW40" s="154"/>
      <c r="AX40" s="154"/>
      <c r="AY40" s="154"/>
      <c r="AZ40" s="154"/>
      <c r="BA40" s="154"/>
      <c r="BB40" s="154"/>
      <c r="BC40" s="154"/>
      <c r="BD40" s="154"/>
      <c r="BE40" s="154"/>
      <c r="BF40" s="154"/>
      <c r="BG40" s="154"/>
      <c r="BH40" s="154"/>
      <c r="BI40" s="154"/>
      <c r="BJ40" s="154"/>
      <c r="BK40" s="154"/>
      <c r="BL40" s="154"/>
      <c r="BM40" s="154"/>
      <c r="BN40" s="154"/>
      <c r="BO40" s="154"/>
      <c r="BP40" s="154"/>
      <c r="BQ40" s="154"/>
      <c r="BR40" s="154"/>
      <c r="BS40" s="154"/>
      <c r="BT40" s="154"/>
      <c r="BU40" s="154"/>
      <c r="BV40" s="154"/>
      <c r="BW40" s="154"/>
      <c r="BX40" s="154"/>
      <c r="BY40" s="154"/>
      <c r="BZ40" s="154"/>
      <c r="CA40" s="154"/>
      <c r="CB40" s="154"/>
      <c r="CC40" s="154"/>
      <c r="CD40" s="154"/>
      <c r="CE40" s="154"/>
      <c r="CF40" s="154"/>
      <c r="CG40" s="154"/>
      <c r="CH40" s="154"/>
      <c r="CI40" s="154"/>
      <c r="CJ40" s="154"/>
      <c r="CK40" s="154"/>
      <c r="CL40" s="154"/>
      <c r="CM40" s="154"/>
      <c r="CN40" s="154"/>
      <c r="CO40" s="154"/>
      <c r="CP40" s="154"/>
      <c r="CQ40" s="154"/>
      <c r="CR40" s="154"/>
      <c r="CS40" s="154"/>
      <c r="CT40" s="154"/>
      <c r="CU40" s="154"/>
      <c r="CV40" s="154"/>
      <c r="CW40" s="154"/>
      <c r="CX40" s="154"/>
      <c r="CY40" s="154"/>
      <c r="CZ40" s="154"/>
      <c r="DA40" s="154"/>
      <c r="DB40" s="154"/>
      <c r="DC40" s="154"/>
      <c r="DD40" s="154"/>
      <c r="DE40" s="154"/>
      <c r="DF40" s="154"/>
      <c r="DG40" s="154"/>
      <c r="DH40" s="154"/>
      <c r="DI40" s="154"/>
      <c r="DJ40" s="154"/>
      <c r="DK40" s="154"/>
      <c r="DL40" s="154"/>
      <c r="DM40" s="154"/>
      <c r="DN40" s="154"/>
      <c r="DO40" s="154"/>
      <c r="DP40" s="154"/>
      <c r="DQ40" s="154"/>
      <c r="DR40" s="154"/>
      <c r="DS40" s="154"/>
      <c r="DT40" s="154"/>
      <c r="DU40" s="154"/>
      <c r="DV40" s="154"/>
      <c r="DW40" s="154"/>
      <c r="DX40" s="154"/>
      <c r="DY40" s="154"/>
      <c r="DZ40" s="154"/>
      <c r="EA40" s="154"/>
      <c r="EB40" s="154"/>
      <c r="EC40" s="154"/>
      <c r="ED40" s="154"/>
      <c r="EE40" s="154"/>
      <c r="EF40" s="154"/>
      <c r="EG40" s="154"/>
      <c r="EH40" s="154"/>
      <c r="EI40" s="154"/>
      <c r="EJ40" s="154"/>
      <c r="EK40" s="154"/>
      <c r="EL40" s="154"/>
      <c r="EM40" s="154"/>
      <c r="EN40" s="154"/>
      <c r="EO40" s="154"/>
      <c r="EP40" s="154"/>
      <c r="EQ40" s="154"/>
      <c r="ER40" s="154"/>
      <c r="ES40" s="154"/>
      <c r="ET40" s="154"/>
      <c r="EU40" s="154"/>
      <c r="EV40" s="154"/>
      <c r="EW40" s="154"/>
      <c r="EX40" s="154"/>
      <c r="EY40" s="154"/>
      <c r="EZ40" s="154"/>
      <c r="FA40" s="154"/>
      <c r="FB40" s="154"/>
      <c r="FC40" s="154"/>
      <c r="FD40" s="154"/>
      <c r="FE40" s="154"/>
      <c r="FF40" s="154"/>
      <c r="FG40" s="154"/>
      <c r="FH40" s="154"/>
      <c r="FI40" s="154"/>
      <c r="FJ40" s="154"/>
      <c r="FK40" s="154"/>
      <c r="FL40" s="154"/>
      <c r="FM40" s="154"/>
      <c r="FN40" s="154"/>
      <c r="FO40" s="154"/>
      <c r="FP40" s="154"/>
      <c r="FQ40" s="154"/>
      <c r="FR40" s="154"/>
      <c r="FS40" s="154"/>
      <c r="FT40" s="154"/>
      <c r="FU40" s="154"/>
      <c r="FV40" s="154"/>
      <c r="FW40" s="154"/>
      <c r="FX40" s="154"/>
      <c r="FY40" s="154"/>
      <c r="FZ40" s="154"/>
      <c r="GA40" s="154"/>
      <c r="GB40" s="154"/>
      <c r="GC40" s="154"/>
      <c r="GD40" s="154"/>
      <c r="GE40" s="154"/>
      <c r="GF40" s="154"/>
      <c r="GG40" s="154"/>
      <c r="GH40" s="154"/>
      <c r="GI40" s="154"/>
      <c r="GJ40" s="154"/>
      <c r="GK40" s="154"/>
      <c r="GL40" s="154"/>
      <c r="GM40" s="154"/>
      <c r="GN40" s="154"/>
      <c r="GO40" s="154"/>
      <c r="GP40" s="154"/>
      <c r="GQ40" s="154"/>
      <c r="GR40" s="154"/>
      <c r="GS40" s="154"/>
      <c r="GT40" s="154"/>
      <c r="GU40" s="154"/>
      <c r="GV40" s="154"/>
      <c r="GW40" s="154"/>
      <c r="GX40" s="154"/>
      <c r="GY40" s="154"/>
      <c r="GZ40" s="154"/>
      <c r="HA40" s="154"/>
      <c r="HB40" s="154"/>
      <c r="HC40" s="154"/>
      <c r="HD40" s="154"/>
      <c r="HE40" s="154"/>
      <c r="HF40" s="154"/>
      <c r="HG40" s="154"/>
      <c r="HH40" s="154"/>
      <c r="HI40" s="154"/>
      <c r="HJ40" s="154"/>
      <c r="HK40" s="154"/>
      <c r="HL40" s="154"/>
      <c r="HM40" s="154"/>
      <c r="HN40" s="154"/>
      <c r="HO40" s="154"/>
      <c r="HP40" s="154"/>
      <c r="HQ40" s="154"/>
      <c r="HR40" s="154"/>
      <c r="HS40" s="154"/>
      <c r="HT40" s="154"/>
      <c r="HU40" s="154"/>
      <c r="HV40" s="154"/>
      <c r="HW40" s="154"/>
      <c r="HX40" s="154"/>
      <c r="HY40" s="154"/>
      <c r="HZ40" s="154"/>
      <c r="IA40" s="154"/>
      <c r="IB40" s="154"/>
      <c r="IC40" s="154"/>
      <c r="ID40" s="154"/>
      <c r="IE40" s="154"/>
      <c r="IF40" s="154"/>
      <c r="IG40" s="154"/>
      <c r="IH40" s="154"/>
      <c r="II40" s="154"/>
      <c r="IJ40" s="154"/>
      <c r="IK40" s="154"/>
      <c r="IL40" s="154"/>
      <c r="IM40" s="154"/>
      <c r="IN40" s="154"/>
      <c r="IO40" s="154"/>
      <c r="IP40" s="154"/>
      <c r="IQ40" s="154"/>
      <c r="IR40" s="154"/>
      <c r="IS40" s="154"/>
      <c r="IT40" s="154"/>
      <c r="IU40" s="154"/>
      <c r="IV40" s="154"/>
      <c r="IW40" s="154"/>
      <c r="IX40" s="154"/>
      <c r="IY40" s="154"/>
      <c r="IZ40" s="154"/>
      <c r="JA40" s="154"/>
      <c r="JB40" s="154"/>
      <c r="JC40" s="154"/>
      <c r="JD40" s="154"/>
      <c r="JE40" s="154"/>
      <c r="JF40" s="154"/>
      <c r="JG40" s="154"/>
      <c r="JH40" s="154"/>
      <c r="JI40" s="154"/>
      <c r="JJ40" s="154"/>
      <c r="JK40" s="154"/>
      <c r="JL40" s="154"/>
      <c r="JM40" s="154"/>
      <c r="JN40" s="154"/>
      <c r="JO40" s="154"/>
      <c r="JP40" s="154"/>
      <c r="JQ40" s="154"/>
      <c r="JR40" s="154"/>
      <c r="JS40" s="154"/>
      <c r="JT40" s="154"/>
      <c r="JU40" s="154"/>
      <c r="JV40" s="154"/>
      <c r="JW40" s="154"/>
      <c r="JX40" s="154"/>
      <c r="JY40" s="154"/>
      <c r="JZ40" s="154"/>
      <c r="KA40" s="154"/>
      <c r="KB40" s="154"/>
      <c r="KC40" s="154"/>
      <c r="KD40" s="154"/>
      <c r="KE40" s="154"/>
      <c r="KF40" s="154"/>
      <c r="KG40" s="154"/>
      <c r="KH40" s="154"/>
      <c r="KI40" s="154"/>
      <c r="KJ40" s="154"/>
      <c r="KK40" s="154"/>
      <c r="KL40" s="154"/>
      <c r="KM40" s="154"/>
      <c r="KN40" s="154"/>
      <c r="KO40" s="154"/>
      <c r="KP40" s="154"/>
      <c r="KQ40" s="154"/>
      <c r="KR40" s="154"/>
      <c r="KS40" s="154"/>
      <c r="KT40" s="154"/>
      <c r="KU40" s="154"/>
      <c r="KV40" s="154"/>
      <c r="KW40" s="154"/>
      <c r="KX40" s="154"/>
      <c r="KY40" s="154"/>
      <c r="KZ40" s="154"/>
      <c r="LA40" s="154"/>
      <c r="LB40" s="154"/>
      <c r="LC40" s="154"/>
      <c r="LD40" s="154"/>
      <c r="LE40" s="154"/>
      <c r="LF40" s="154"/>
    </row>
    <row r="41" spans="1:318" ht="15.75" thickBot="1">
      <c r="O41" s="192" t="s">
        <v>233</v>
      </c>
      <c r="P41" s="193"/>
      <c r="Q41" s="199"/>
      <c r="R41" s="194">
        <f>R36-R38</f>
        <v>0</v>
      </c>
      <c r="S41" s="195">
        <f>S36-S38</f>
        <v>634402</v>
      </c>
      <c r="T41" s="195">
        <f t="shared" ref="T41:AQ41" si="25">T36-T38</f>
        <v>584836</v>
      </c>
      <c r="U41" s="195">
        <f t="shared" si="25"/>
        <v>537906.3469</v>
      </c>
      <c r="V41" s="195">
        <f t="shared" si="25"/>
        <v>493458.54463811486</v>
      </c>
      <c r="W41" s="195">
        <f t="shared" si="25"/>
        <v>451346.69494406553</v>
      </c>
      <c r="X41" s="195">
        <f t="shared" si="25"/>
        <v>411433.00564197532</v>
      </c>
      <c r="Y41" s="195">
        <f t="shared" si="25"/>
        <v>373587.32666884304</v>
      </c>
      <c r="Z41" s="195">
        <f t="shared" si="25"/>
        <v>337686.71223443351</v>
      </c>
      <c r="AA41" s="195">
        <f t="shared" si="25"/>
        <v>303615.00763737445</v>
      </c>
      <c r="AB41" s="195">
        <f t="shared" si="25"/>
        <v>281204.13361308223</v>
      </c>
      <c r="AC41" s="195">
        <f t="shared" si="25"/>
        <v>758722.26256287948</v>
      </c>
      <c r="AD41" s="195">
        <f t="shared" si="25"/>
        <v>752537.726926581</v>
      </c>
      <c r="AE41" s="195">
        <f t="shared" si="25"/>
        <v>746298.02772578585</v>
      </c>
      <c r="AF41" s="195">
        <f t="shared" si="25"/>
        <v>740000.59744602698</v>
      </c>
      <c r="AG41" s="195">
        <f t="shared" si="25"/>
        <v>733642.79793565616</v>
      </c>
      <c r="AH41" s="195">
        <f t="shared" si="25"/>
        <v>727221.91824201029</v>
      </c>
      <c r="AI41" s="195">
        <f t="shared" si="25"/>
        <v>720735.17238297709</v>
      </c>
      <c r="AJ41" s="195">
        <f t="shared" si="25"/>
        <v>714179.69705201685</v>
      </c>
      <c r="AK41" s="195">
        <f t="shared" si="25"/>
        <v>707552.54925464524</v>
      </c>
      <c r="AL41" s="195">
        <f t="shared" si="25"/>
        <v>700850.70387431502</v>
      </c>
      <c r="AM41" s="195">
        <f t="shared" si="25"/>
        <v>694071.05116558028</v>
      </c>
      <c r="AN41" s="195">
        <f t="shared" si="25"/>
        <v>687210.39417235856</v>
      </c>
      <c r="AO41" s="195">
        <f t="shared" si="25"/>
        <v>680265.44606903743</v>
      </c>
      <c r="AP41" s="195">
        <f t="shared" si="25"/>
        <v>673232.82742211618</v>
      </c>
      <c r="AQ41" s="196">
        <f t="shared" si="25"/>
        <v>666109.06336999021</v>
      </c>
    </row>
    <row r="42" spans="1:318">
      <c r="O42" s="139"/>
      <c r="Q42" s="140"/>
      <c r="R42" s="139"/>
      <c r="S42" s="188"/>
      <c r="T42" s="188"/>
      <c r="U42" s="188"/>
      <c r="V42" s="188"/>
      <c r="W42" s="188"/>
      <c r="X42" s="188"/>
      <c r="Y42" s="188"/>
      <c r="Z42" s="188"/>
      <c r="AA42" s="188"/>
      <c r="AB42" s="188"/>
      <c r="AC42" s="188"/>
      <c r="AD42" s="188"/>
      <c r="AE42" s="188"/>
      <c r="AF42" s="188"/>
      <c r="AG42" s="188"/>
      <c r="AH42" s="188"/>
      <c r="AI42" s="188"/>
      <c r="AJ42" s="188"/>
      <c r="AK42" s="188"/>
      <c r="AL42" s="188"/>
      <c r="AM42" s="188"/>
      <c r="AN42" s="188"/>
      <c r="AO42" s="188"/>
      <c r="AP42" s="188"/>
      <c r="AQ42" s="189"/>
      <c r="AR42" s="152"/>
      <c r="AW42" s="152"/>
      <c r="AX42" s="152"/>
      <c r="AY42" s="152"/>
      <c r="AZ42" s="152"/>
      <c r="BA42" s="152"/>
      <c r="BB42" s="152"/>
      <c r="BC42" s="152"/>
      <c r="BD42" s="152"/>
      <c r="BE42" s="152"/>
      <c r="BF42" s="152"/>
      <c r="BG42" s="152"/>
      <c r="BH42" s="152"/>
      <c r="BI42" s="152"/>
      <c r="BJ42" s="152"/>
      <c r="BK42" s="152"/>
      <c r="BL42" s="152"/>
      <c r="BM42" s="152"/>
      <c r="BN42" s="152"/>
      <c r="BO42" s="152"/>
      <c r="BP42" s="152"/>
      <c r="BQ42" s="152"/>
      <c r="BR42" s="152"/>
      <c r="BS42" s="152"/>
      <c r="BT42" s="152"/>
      <c r="BU42" s="152"/>
      <c r="BV42" s="152"/>
      <c r="BW42" s="152"/>
      <c r="BX42" s="152"/>
      <c r="BY42" s="152"/>
      <c r="BZ42" s="152"/>
      <c r="CA42" s="152"/>
      <c r="CB42" s="152"/>
      <c r="CC42" s="152"/>
      <c r="CD42" s="152"/>
      <c r="CE42" s="152"/>
      <c r="CF42" s="152"/>
      <c r="CG42" s="152"/>
      <c r="CH42" s="152"/>
      <c r="CI42" s="152"/>
      <c r="CJ42" s="152"/>
      <c r="CK42" s="152"/>
      <c r="CL42" s="152"/>
      <c r="CM42" s="152"/>
      <c r="CN42" s="152"/>
      <c r="CO42" s="152"/>
      <c r="CP42" s="152"/>
      <c r="CQ42" s="152"/>
      <c r="CR42" s="152"/>
      <c r="CS42" s="152"/>
      <c r="CT42" s="152"/>
      <c r="CU42" s="152"/>
      <c r="CV42" s="152"/>
      <c r="CW42" s="152"/>
      <c r="CX42" s="152"/>
      <c r="CY42" s="152"/>
      <c r="CZ42" s="152"/>
      <c r="DA42" s="152"/>
      <c r="DB42" s="152"/>
      <c r="DC42" s="152"/>
      <c r="DD42" s="152"/>
      <c r="DE42" s="152"/>
      <c r="DF42" s="152"/>
      <c r="DG42" s="152"/>
      <c r="DH42" s="152"/>
      <c r="DI42" s="152"/>
      <c r="DJ42" s="152"/>
      <c r="DK42" s="152"/>
      <c r="DL42" s="152"/>
      <c r="DM42" s="152"/>
      <c r="DN42" s="152"/>
      <c r="DO42" s="152"/>
      <c r="DP42" s="152"/>
      <c r="DQ42" s="152"/>
      <c r="DR42" s="152"/>
      <c r="DS42" s="152"/>
      <c r="DT42" s="152"/>
      <c r="DU42" s="152"/>
      <c r="DV42" s="152"/>
      <c r="DW42" s="152"/>
      <c r="DX42" s="152"/>
      <c r="DY42" s="152"/>
      <c r="DZ42" s="152"/>
      <c r="EA42" s="152"/>
      <c r="EB42" s="152"/>
      <c r="EC42" s="152"/>
      <c r="ED42" s="152"/>
      <c r="EE42" s="152"/>
      <c r="EF42" s="152"/>
      <c r="EG42" s="152"/>
      <c r="EH42" s="152"/>
      <c r="EI42" s="152"/>
      <c r="EJ42" s="152"/>
      <c r="EK42" s="152"/>
      <c r="EL42" s="152"/>
      <c r="EM42" s="152"/>
      <c r="EN42" s="152"/>
      <c r="EO42" s="152"/>
      <c r="EP42" s="152"/>
      <c r="EQ42" s="152"/>
      <c r="ER42" s="152"/>
      <c r="ES42" s="152"/>
      <c r="ET42" s="152"/>
      <c r="EU42" s="152"/>
      <c r="EV42" s="152"/>
      <c r="EW42" s="152"/>
      <c r="EX42" s="152"/>
      <c r="EY42" s="152"/>
      <c r="EZ42" s="152"/>
      <c r="FA42" s="152"/>
      <c r="FB42" s="152"/>
      <c r="FC42" s="152"/>
      <c r="FD42" s="152"/>
      <c r="FE42" s="152"/>
      <c r="FF42" s="152"/>
      <c r="FG42" s="152"/>
      <c r="FH42" s="152"/>
      <c r="FI42" s="152"/>
      <c r="FJ42" s="152"/>
      <c r="FK42" s="152"/>
      <c r="FL42" s="152"/>
      <c r="FM42" s="152"/>
      <c r="FN42" s="152"/>
      <c r="FO42" s="152"/>
      <c r="FP42" s="152"/>
      <c r="FQ42" s="152"/>
      <c r="FR42" s="152"/>
      <c r="FS42" s="152"/>
      <c r="FT42" s="152"/>
      <c r="FU42" s="152"/>
      <c r="FV42" s="152"/>
      <c r="FW42" s="152"/>
      <c r="FX42" s="152"/>
      <c r="FY42" s="152"/>
      <c r="FZ42" s="152"/>
      <c r="GA42" s="152"/>
      <c r="GB42" s="152"/>
      <c r="GC42" s="152"/>
      <c r="GD42" s="152"/>
      <c r="GE42" s="152"/>
      <c r="GF42" s="152"/>
      <c r="GG42" s="152"/>
      <c r="GH42" s="152"/>
      <c r="GI42" s="152"/>
      <c r="GJ42" s="152"/>
      <c r="GK42" s="152"/>
      <c r="GL42" s="152"/>
      <c r="GM42" s="152"/>
      <c r="GN42" s="152"/>
      <c r="GO42" s="152"/>
      <c r="GP42" s="152"/>
      <c r="GQ42" s="152"/>
      <c r="GR42" s="152"/>
      <c r="GS42" s="152"/>
      <c r="GT42" s="152"/>
      <c r="GU42" s="152"/>
      <c r="GV42" s="152"/>
      <c r="GW42" s="152"/>
      <c r="GX42" s="152"/>
      <c r="GY42" s="152"/>
      <c r="GZ42" s="152"/>
      <c r="HA42" s="152"/>
      <c r="HB42" s="152"/>
      <c r="HC42" s="152"/>
      <c r="HD42" s="152"/>
      <c r="HE42" s="152"/>
      <c r="HF42" s="152"/>
      <c r="HG42" s="152"/>
      <c r="HH42" s="152"/>
      <c r="HI42" s="152"/>
      <c r="HJ42" s="152"/>
      <c r="HK42" s="152"/>
      <c r="HL42" s="152"/>
      <c r="HM42" s="152"/>
      <c r="HN42" s="152"/>
      <c r="HO42" s="152"/>
      <c r="HP42" s="152"/>
      <c r="HQ42" s="152"/>
      <c r="HR42" s="152"/>
      <c r="HS42" s="152"/>
      <c r="HT42" s="152"/>
      <c r="HU42" s="152"/>
      <c r="HV42" s="152"/>
      <c r="HW42" s="152"/>
      <c r="HX42" s="152"/>
      <c r="HY42" s="152"/>
      <c r="HZ42" s="152"/>
      <c r="IA42" s="152"/>
      <c r="IB42" s="152"/>
      <c r="IC42" s="152"/>
      <c r="ID42" s="152"/>
      <c r="IE42" s="152"/>
      <c r="IF42" s="152"/>
      <c r="IG42" s="152"/>
      <c r="IH42" s="152"/>
      <c r="II42" s="152"/>
      <c r="IJ42" s="152"/>
      <c r="IK42" s="152"/>
      <c r="IL42" s="152"/>
      <c r="IM42" s="152"/>
      <c r="IN42" s="152"/>
      <c r="IO42" s="152"/>
      <c r="IP42" s="152"/>
      <c r="IQ42" s="152"/>
      <c r="IR42" s="152"/>
      <c r="IS42" s="152"/>
      <c r="IT42" s="152"/>
      <c r="IU42" s="152"/>
      <c r="IV42" s="152"/>
      <c r="IW42" s="152"/>
      <c r="IX42" s="152"/>
      <c r="IY42" s="152"/>
      <c r="IZ42" s="152"/>
      <c r="JA42" s="152"/>
      <c r="JB42" s="152"/>
      <c r="JC42" s="152"/>
      <c r="JD42" s="152"/>
      <c r="JE42" s="152"/>
      <c r="JF42" s="152"/>
      <c r="JG42" s="152"/>
      <c r="JH42" s="152"/>
      <c r="JI42" s="152"/>
      <c r="JJ42" s="152"/>
      <c r="JK42" s="152"/>
      <c r="JL42" s="152"/>
      <c r="JM42" s="152"/>
      <c r="JN42" s="152"/>
      <c r="JO42" s="152"/>
      <c r="JP42" s="152"/>
      <c r="JQ42" s="152"/>
      <c r="JR42" s="152"/>
      <c r="JS42" s="152"/>
      <c r="JT42" s="152"/>
      <c r="JU42" s="152"/>
      <c r="JV42" s="152"/>
      <c r="JW42" s="152"/>
      <c r="JX42" s="152"/>
      <c r="JY42" s="152"/>
      <c r="JZ42" s="152"/>
      <c r="KA42" s="152"/>
      <c r="KB42" s="152"/>
      <c r="KC42" s="152"/>
      <c r="KD42" s="152"/>
      <c r="KE42" s="152"/>
      <c r="KF42" s="152"/>
      <c r="KG42" s="152"/>
      <c r="KH42" s="152"/>
      <c r="KI42" s="152"/>
      <c r="KJ42" s="152"/>
      <c r="KK42" s="152"/>
      <c r="KL42" s="152"/>
      <c r="KM42" s="152"/>
      <c r="KN42" s="152"/>
      <c r="KO42" s="152"/>
      <c r="KP42" s="152"/>
      <c r="KQ42" s="152"/>
      <c r="KR42" s="152"/>
      <c r="KS42" s="152"/>
      <c r="KT42" s="152"/>
      <c r="KU42" s="152"/>
      <c r="KV42" s="152"/>
      <c r="KW42" s="152"/>
      <c r="KX42" s="152"/>
      <c r="KY42" s="152"/>
      <c r="KZ42" s="152"/>
      <c r="LA42" s="152"/>
      <c r="LB42" s="152"/>
      <c r="LC42" s="152"/>
      <c r="LD42" s="152"/>
      <c r="LE42" s="152"/>
      <c r="LF42" s="152"/>
    </row>
    <row r="43" spans="1:318">
      <c r="O43" s="139" t="s">
        <v>234</v>
      </c>
      <c r="Q43" s="140"/>
      <c r="R43" s="139"/>
      <c r="S43" s="188">
        <f>S41*22%</f>
        <v>139568.44</v>
      </c>
      <c r="T43" s="188">
        <f t="shared" ref="T43:AQ43" si="26">T41*22%</f>
        <v>128663.92</v>
      </c>
      <c r="U43" s="188">
        <f t="shared" si="26"/>
        <v>118339.396318</v>
      </c>
      <c r="V43" s="188">
        <f t="shared" si="26"/>
        <v>108560.87982038526</v>
      </c>
      <c r="W43" s="188">
        <f t="shared" si="26"/>
        <v>99296.272887694417</v>
      </c>
      <c r="X43" s="188">
        <f t="shared" si="26"/>
        <v>90515.261241234577</v>
      </c>
      <c r="Y43" s="188">
        <f t="shared" si="26"/>
        <v>82189.211867145466</v>
      </c>
      <c r="Z43" s="188">
        <f t="shared" si="26"/>
        <v>74291.076691575377</v>
      </c>
      <c r="AA43" s="188">
        <f t="shared" si="26"/>
        <v>66795.301680222386</v>
      </c>
      <c r="AB43" s="188">
        <f t="shared" si="26"/>
        <v>61864.909394878094</v>
      </c>
      <c r="AC43" s="188">
        <f t="shared" si="26"/>
        <v>166918.89776383349</v>
      </c>
      <c r="AD43" s="188">
        <f t="shared" si="26"/>
        <v>165558.29992384781</v>
      </c>
      <c r="AE43" s="188">
        <f t="shared" si="26"/>
        <v>164185.5660996729</v>
      </c>
      <c r="AF43" s="188">
        <f t="shared" si="26"/>
        <v>162800.13143812594</v>
      </c>
      <c r="AG43" s="188">
        <f t="shared" si="26"/>
        <v>161401.41554584436</v>
      </c>
      <c r="AH43" s="188">
        <f t="shared" si="26"/>
        <v>159988.82201324226</v>
      </c>
      <c r="AI43" s="188">
        <f t="shared" si="26"/>
        <v>158561.73792425497</v>
      </c>
      <c r="AJ43" s="188">
        <f t="shared" si="26"/>
        <v>157119.53335144371</v>
      </c>
      <c r="AK43" s="188">
        <f t="shared" si="26"/>
        <v>155661.56083602196</v>
      </c>
      <c r="AL43" s="188">
        <f t="shared" si="26"/>
        <v>154187.15485234931</v>
      </c>
      <c r="AM43" s="188">
        <f t="shared" si="26"/>
        <v>152695.63125642767</v>
      </c>
      <c r="AN43" s="188">
        <f t="shared" si="26"/>
        <v>151186.28671791888</v>
      </c>
      <c r="AO43" s="188">
        <f t="shared" si="26"/>
        <v>149658.39813518824</v>
      </c>
      <c r="AP43" s="188">
        <f t="shared" si="26"/>
        <v>148111.22203286557</v>
      </c>
      <c r="AQ43" s="189">
        <f t="shared" si="26"/>
        <v>146543.99394139784</v>
      </c>
      <c r="AR43" s="152"/>
      <c r="AW43" s="152"/>
      <c r="AX43" s="152"/>
      <c r="AY43" s="152"/>
      <c r="AZ43" s="152"/>
      <c r="BA43" s="152"/>
      <c r="BB43" s="152"/>
      <c r="BC43" s="152"/>
      <c r="BD43" s="152"/>
      <c r="BE43" s="152"/>
      <c r="BF43" s="152"/>
      <c r="BG43" s="152"/>
      <c r="BH43" s="152"/>
      <c r="BI43" s="152"/>
      <c r="BJ43" s="152"/>
      <c r="BK43" s="152"/>
      <c r="BL43" s="152"/>
      <c r="BM43" s="152"/>
      <c r="BN43" s="152"/>
      <c r="BO43" s="152"/>
      <c r="BP43" s="152"/>
      <c r="BQ43" s="152"/>
      <c r="BR43" s="152"/>
      <c r="BS43" s="152"/>
      <c r="BT43" s="152"/>
      <c r="BU43" s="152"/>
      <c r="BV43" s="152"/>
      <c r="BW43" s="152"/>
      <c r="BX43" s="152"/>
      <c r="BY43" s="152"/>
      <c r="BZ43" s="152"/>
      <c r="CA43" s="152"/>
      <c r="CB43" s="152"/>
      <c r="CC43" s="152"/>
      <c r="CD43" s="152"/>
      <c r="CE43" s="152"/>
      <c r="CF43" s="152"/>
      <c r="CG43" s="152"/>
      <c r="CH43" s="152"/>
      <c r="CI43" s="152"/>
      <c r="CJ43" s="152"/>
      <c r="CK43" s="152"/>
      <c r="CL43" s="152"/>
      <c r="CM43" s="152"/>
      <c r="CN43" s="152"/>
      <c r="CO43" s="152"/>
      <c r="CP43" s="152"/>
      <c r="CQ43" s="152"/>
      <c r="CR43" s="152"/>
      <c r="CS43" s="152"/>
      <c r="CT43" s="152"/>
      <c r="CU43" s="152"/>
      <c r="CV43" s="152"/>
      <c r="CW43" s="152"/>
      <c r="CX43" s="152"/>
      <c r="CY43" s="152"/>
      <c r="CZ43" s="152"/>
      <c r="DA43" s="152"/>
      <c r="DB43" s="152"/>
      <c r="DC43" s="152"/>
      <c r="DD43" s="152"/>
      <c r="DE43" s="152"/>
      <c r="DF43" s="152"/>
      <c r="DG43" s="152"/>
      <c r="DH43" s="152"/>
      <c r="DI43" s="152"/>
      <c r="DJ43" s="152"/>
      <c r="DK43" s="152"/>
      <c r="DL43" s="152"/>
      <c r="DM43" s="152"/>
      <c r="DN43" s="152"/>
      <c r="DO43" s="152"/>
      <c r="DP43" s="152"/>
      <c r="DQ43" s="152"/>
      <c r="DR43" s="152"/>
      <c r="DS43" s="152"/>
      <c r="DT43" s="152"/>
      <c r="DU43" s="152"/>
      <c r="DV43" s="152"/>
      <c r="DW43" s="152"/>
      <c r="DX43" s="152"/>
      <c r="DY43" s="152"/>
      <c r="DZ43" s="152"/>
      <c r="EA43" s="152"/>
      <c r="EB43" s="152"/>
      <c r="EC43" s="152"/>
      <c r="ED43" s="152"/>
      <c r="EE43" s="152"/>
      <c r="EF43" s="152"/>
      <c r="EG43" s="152"/>
      <c r="EH43" s="152"/>
      <c r="EI43" s="152"/>
      <c r="EJ43" s="152"/>
      <c r="EK43" s="152"/>
      <c r="EL43" s="152"/>
      <c r="EM43" s="152"/>
      <c r="EN43" s="152"/>
      <c r="EO43" s="152"/>
      <c r="EP43" s="152"/>
      <c r="EQ43" s="152"/>
      <c r="ER43" s="152"/>
      <c r="ES43" s="152"/>
      <c r="ET43" s="152"/>
      <c r="EU43" s="152"/>
      <c r="EV43" s="152"/>
      <c r="EW43" s="152"/>
      <c r="EX43" s="152"/>
      <c r="EY43" s="152"/>
      <c r="EZ43" s="152"/>
      <c r="FA43" s="152"/>
      <c r="FB43" s="152"/>
      <c r="FC43" s="152"/>
      <c r="FD43" s="152"/>
      <c r="FE43" s="152"/>
      <c r="FF43" s="152"/>
      <c r="FG43" s="152"/>
      <c r="FH43" s="152"/>
      <c r="FI43" s="152"/>
      <c r="FJ43" s="152"/>
      <c r="FK43" s="152"/>
      <c r="FL43" s="152"/>
      <c r="FM43" s="152"/>
      <c r="FN43" s="152"/>
      <c r="FO43" s="152"/>
      <c r="FP43" s="152"/>
      <c r="FQ43" s="152"/>
      <c r="FR43" s="152"/>
      <c r="FS43" s="152"/>
      <c r="FT43" s="152"/>
      <c r="FU43" s="152"/>
      <c r="FV43" s="152"/>
      <c r="FW43" s="152"/>
      <c r="FX43" s="152"/>
      <c r="FY43" s="152"/>
      <c r="FZ43" s="152"/>
      <c r="GA43" s="152"/>
      <c r="GB43" s="152"/>
      <c r="GC43" s="152"/>
      <c r="GD43" s="152"/>
      <c r="GE43" s="152"/>
      <c r="GF43" s="152"/>
      <c r="GG43" s="152"/>
      <c r="GH43" s="152"/>
      <c r="GI43" s="152"/>
      <c r="GJ43" s="152"/>
      <c r="GK43" s="152"/>
      <c r="GL43" s="152"/>
      <c r="GM43" s="152"/>
      <c r="GN43" s="152"/>
      <c r="GO43" s="152"/>
      <c r="GP43" s="152"/>
      <c r="GQ43" s="152"/>
      <c r="GR43" s="152"/>
      <c r="GS43" s="152"/>
      <c r="GT43" s="152"/>
      <c r="GU43" s="152"/>
      <c r="GV43" s="152"/>
      <c r="GW43" s="152"/>
      <c r="GX43" s="152"/>
      <c r="GY43" s="152"/>
      <c r="GZ43" s="152"/>
      <c r="HA43" s="152"/>
      <c r="HB43" s="152"/>
      <c r="HC43" s="152"/>
      <c r="HD43" s="152"/>
      <c r="HE43" s="152"/>
      <c r="HF43" s="152"/>
      <c r="HG43" s="152"/>
      <c r="HH43" s="152"/>
      <c r="HI43" s="152"/>
      <c r="HJ43" s="152"/>
      <c r="HK43" s="152"/>
      <c r="HL43" s="152"/>
      <c r="HM43" s="152"/>
      <c r="HN43" s="152"/>
      <c r="HO43" s="152"/>
      <c r="HP43" s="152"/>
      <c r="HQ43" s="152"/>
      <c r="HR43" s="152"/>
      <c r="HS43" s="152"/>
      <c r="HT43" s="152"/>
      <c r="HU43" s="152"/>
      <c r="HV43" s="152"/>
      <c r="HW43" s="152"/>
      <c r="HX43" s="152"/>
      <c r="HY43" s="152"/>
      <c r="HZ43" s="152"/>
      <c r="IA43" s="152"/>
      <c r="IB43" s="152"/>
      <c r="IC43" s="152"/>
      <c r="ID43" s="152"/>
      <c r="IE43" s="152"/>
      <c r="IF43" s="152"/>
      <c r="IG43" s="152"/>
      <c r="IH43" s="152"/>
      <c r="II43" s="152"/>
      <c r="IJ43" s="152"/>
      <c r="IK43" s="152"/>
      <c r="IL43" s="152"/>
      <c r="IM43" s="152"/>
      <c r="IN43" s="152"/>
      <c r="IO43" s="152"/>
      <c r="IP43" s="152"/>
      <c r="IQ43" s="152"/>
      <c r="IR43" s="152"/>
      <c r="IS43" s="152"/>
      <c r="IT43" s="152"/>
      <c r="IU43" s="152"/>
      <c r="IV43" s="152"/>
      <c r="IW43" s="152"/>
      <c r="IX43" s="152"/>
      <c r="IY43" s="152"/>
      <c r="IZ43" s="152"/>
      <c r="JA43" s="152"/>
      <c r="JB43" s="152"/>
      <c r="JC43" s="152"/>
      <c r="JD43" s="152"/>
      <c r="JE43" s="152"/>
      <c r="JF43" s="152"/>
      <c r="JG43" s="152"/>
      <c r="JH43" s="152"/>
      <c r="JI43" s="152"/>
      <c r="JJ43" s="152"/>
      <c r="JK43" s="152"/>
      <c r="JL43" s="152"/>
      <c r="JM43" s="152"/>
      <c r="JN43" s="152"/>
      <c r="JO43" s="152"/>
      <c r="JP43" s="152"/>
      <c r="JQ43" s="152"/>
      <c r="JR43" s="152"/>
      <c r="JS43" s="152"/>
      <c r="JT43" s="152"/>
      <c r="JU43" s="152"/>
      <c r="JV43" s="152"/>
      <c r="JW43" s="152"/>
      <c r="JX43" s="152"/>
      <c r="JY43" s="152"/>
      <c r="JZ43" s="152"/>
      <c r="KA43" s="152"/>
      <c r="KB43" s="152"/>
      <c r="KC43" s="152"/>
      <c r="KD43" s="152"/>
      <c r="KE43" s="152"/>
      <c r="KF43" s="152"/>
      <c r="KG43" s="152"/>
      <c r="KH43" s="152"/>
      <c r="KI43" s="152"/>
      <c r="KJ43" s="152"/>
      <c r="KK43" s="152"/>
      <c r="KL43" s="152"/>
      <c r="KM43" s="152"/>
      <c r="KN43" s="152"/>
      <c r="KO43" s="152"/>
      <c r="KP43" s="152"/>
      <c r="KQ43" s="152"/>
      <c r="KR43" s="152"/>
      <c r="KS43" s="152"/>
      <c r="KT43" s="152"/>
      <c r="KU43" s="152"/>
      <c r="KV43" s="152"/>
      <c r="KW43" s="152"/>
      <c r="KX43" s="152"/>
      <c r="KY43" s="152"/>
      <c r="KZ43" s="152"/>
      <c r="LA43" s="152"/>
      <c r="LB43" s="152"/>
      <c r="LC43" s="152"/>
      <c r="LD43" s="152"/>
      <c r="LE43" s="152"/>
      <c r="LF43" s="152"/>
    </row>
    <row r="44" spans="1:318" ht="15.75" thickBot="1">
      <c r="O44" s="139" t="s">
        <v>235</v>
      </c>
      <c r="Q44" s="140"/>
      <c r="R44" s="139"/>
      <c r="S44" s="188">
        <f>S43*95%</f>
        <v>132590.01799999998</v>
      </c>
      <c r="T44" s="188">
        <f t="shared" ref="T44:AQ44" si="27">T43*95%</f>
        <v>122230.72399999999</v>
      </c>
      <c r="U44" s="188">
        <f t="shared" si="27"/>
        <v>112422.42650209999</v>
      </c>
      <c r="V44" s="188">
        <f t="shared" si="27"/>
        <v>103132.835829366</v>
      </c>
      <c r="W44" s="188">
        <f t="shared" si="27"/>
        <v>94331.459243309684</v>
      </c>
      <c r="X44" s="188">
        <f t="shared" si="27"/>
        <v>85989.49817917285</v>
      </c>
      <c r="Y44" s="188">
        <f t="shared" si="27"/>
        <v>78079.751273788192</v>
      </c>
      <c r="Z44" s="188">
        <f t="shared" si="27"/>
        <v>70576.522856996598</v>
      </c>
      <c r="AA44" s="188">
        <f t="shared" si="27"/>
        <v>63455.536596211263</v>
      </c>
      <c r="AB44" s="188">
        <f t="shared" si="27"/>
        <v>58771.663925134184</v>
      </c>
      <c r="AC44" s="188">
        <f t="shared" si="27"/>
        <v>158572.95287564181</v>
      </c>
      <c r="AD44" s="188">
        <f t="shared" si="27"/>
        <v>157280.3849276554</v>
      </c>
      <c r="AE44" s="188">
        <f t="shared" si="27"/>
        <v>155976.28779468924</v>
      </c>
      <c r="AF44" s="188">
        <f t="shared" si="27"/>
        <v>154660.12486621964</v>
      </c>
      <c r="AG44" s="188">
        <f t="shared" si="27"/>
        <v>153331.34476855214</v>
      </c>
      <c r="AH44" s="188">
        <f t="shared" si="27"/>
        <v>151989.38091258015</v>
      </c>
      <c r="AI44" s="188">
        <f t="shared" si="27"/>
        <v>150633.65102804222</v>
      </c>
      <c r="AJ44" s="188">
        <f t="shared" si="27"/>
        <v>149263.55668387152</v>
      </c>
      <c r="AK44" s="188">
        <f t="shared" si="27"/>
        <v>147878.48279422085</v>
      </c>
      <c r="AL44" s="188">
        <f t="shared" si="27"/>
        <v>146477.79710973185</v>
      </c>
      <c r="AM44" s="188">
        <f t="shared" si="27"/>
        <v>145060.84969360629</v>
      </c>
      <c r="AN44" s="188">
        <f t="shared" si="27"/>
        <v>143626.97238202291</v>
      </c>
      <c r="AO44" s="188">
        <f t="shared" si="27"/>
        <v>142175.47822842881</v>
      </c>
      <c r="AP44" s="188">
        <f t="shared" si="27"/>
        <v>140705.66093122229</v>
      </c>
      <c r="AQ44" s="189">
        <f t="shared" si="27"/>
        <v>139216.79424432793</v>
      </c>
      <c r="AR44" s="152"/>
      <c r="AW44" s="152"/>
      <c r="AX44" s="152"/>
      <c r="AY44" s="152"/>
      <c r="AZ44" s="152"/>
      <c r="BA44" s="152"/>
      <c r="BB44" s="152"/>
      <c r="BC44" s="152"/>
      <c r="BD44" s="152"/>
      <c r="BE44" s="152"/>
      <c r="BF44" s="152"/>
      <c r="BG44" s="152"/>
      <c r="BH44" s="152"/>
      <c r="BI44" s="152"/>
      <c r="BJ44" s="152"/>
      <c r="BK44" s="152"/>
      <c r="BL44" s="152"/>
      <c r="BM44" s="152"/>
      <c r="BN44" s="152"/>
      <c r="BO44" s="152"/>
      <c r="BP44" s="152"/>
      <c r="BQ44" s="152"/>
      <c r="BR44" s="152"/>
      <c r="BS44" s="152"/>
      <c r="BT44" s="152"/>
      <c r="BU44" s="152"/>
      <c r="BV44" s="152"/>
      <c r="BW44" s="152"/>
      <c r="BX44" s="152"/>
      <c r="BY44" s="152"/>
      <c r="BZ44" s="152"/>
      <c r="CA44" s="152"/>
      <c r="CB44" s="152"/>
      <c r="CC44" s="152"/>
      <c r="CD44" s="152"/>
      <c r="CE44" s="152"/>
      <c r="CF44" s="152"/>
      <c r="CG44" s="152"/>
      <c r="CH44" s="152"/>
      <c r="CI44" s="152"/>
      <c r="CJ44" s="152"/>
      <c r="CK44" s="152"/>
      <c r="CL44" s="152"/>
      <c r="CM44" s="152"/>
      <c r="CN44" s="152"/>
      <c r="CO44" s="152"/>
      <c r="CP44" s="152"/>
      <c r="CQ44" s="152"/>
      <c r="CR44" s="152"/>
      <c r="CS44" s="152"/>
      <c r="CT44" s="152"/>
      <c r="CU44" s="152"/>
      <c r="CV44" s="152"/>
      <c r="CW44" s="152"/>
      <c r="CX44" s="152"/>
      <c r="CY44" s="152"/>
      <c r="CZ44" s="152"/>
      <c r="DA44" s="152"/>
      <c r="DB44" s="152"/>
      <c r="DC44" s="152"/>
      <c r="DD44" s="152"/>
      <c r="DE44" s="152"/>
      <c r="DF44" s="152"/>
      <c r="DG44" s="152"/>
      <c r="DH44" s="152"/>
      <c r="DI44" s="152"/>
      <c r="DJ44" s="152"/>
      <c r="DK44" s="152"/>
      <c r="DL44" s="152"/>
      <c r="DM44" s="152"/>
      <c r="DN44" s="152"/>
      <c r="DO44" s="152"/>
      <c r="DP44" s="152"/>
      <c r="DQ44" s="152"/>
      <c r="DR44" s="152"/>
      <c r="DS44" s="152"/>
      <c r="DT44" s="152"/>
      <c r="DU44" s="152"/>
      <c r="DV44" s="152"/>
      <c r="DW44" s="152"/>
      <c r="DX44" s="152"/>
      <c r="DY44" s="152"/>
      <c r="DZ44" s="152"/>
      <c r="EA44" s="152"/>
      <c r="EB44" s="152"/>
      <c r="EC44" s="152"/>
      <c r="ED44" s="152"/>
      <c r="EE44" s="152"/>
      <c r="EF44" s="152"/>
      <c r="EG44" s="152"/>
      <c r="EH44" s="152"/>
      <c r="EI44" s="152"/>
      <c r="EJ44" s="152"/>
      <c r="EK44" s="152"/>
      <c r="EL44" s="152"/>
      <c r="EM44" s="152"/>
      <c r="EN44" s="152"/>
      <c r="EO44" s="152"/>
      <c r="EP44" s="152"/>
      <c r="EQ44" s="152"/>
      <c r="ER44" s="152"/>
      <c r="ES44" s="152"/>
      <c r="ET44" s="152"/>
      <c r="EU44" s="152"/>
      <c r="EV44" s="152"/>
      <c r="EW44" s="152"/>
      <c r="EX44" s="152"/>
      <c r="EY44" s="152"/>
      <c r="EZ44" s="152"/>
      <c r="FA44" s="152"/>
      <c r="FB44" s="152"/>
      <c r="FC44" s="152"/>
      <c r="FD44" s="152"/>
      <c r="FE44" s="152"/>
      <c r="FF44" s="152"/>
      <c r="FG44" s="152"/>
      <c r="FH44" s="152"/>
      <c r="FI44" s="152"/>
      <c r="FJ44" s="152"/>
      <c r="FK44" s="152"/>
      <c r="FL44" s="152"/>
      <c r="FM44" s="152"/>
      <c r="FN44" s="152"/>
      <c r="FO44" s="152"/>
      <c r="FP44" s="152"/>
      <c r="FQ44" s="152"/>
      <c r="FR44" s="152"/>
      <c r="FS44" s="152"/>
      <c r="FT44" s="152"/>
      <c r="FU44" s="152"/>
      <c r="FV44" s="152"/>
      <c r="FW44" s="152"/>
      <c r="FX44" s="152"/>
      <c r="FY44" s="152"/>
      <c r="FZ44" s="152"/>
      <c r="GA44" s="152"/>
      <c r="GB44" s="152"/>
      <c r="GC44" s="152"/>
      <c r="GD44" s="152"/>
      <c r="GE44" s="152"/>
      <c r="GF44" s="152"/>
      <c r="GG44" s="152"/>
      <c r="GH44" s="152"/>
      <c r="GI44" s="152"/>
      <c r="GJ44" s="152"/>
      <c r="GK44" s="152"/>
      <c r="GL44" s="152"/>
      <c r="GM44" s="152"/>
      <c r="GN44" s="152"/>
      <c r="GO44" s="152"/>
      <c r="GP44" s="152"/>
      <c r="GQ44" s="152"/>
      <c r="GR44" s="152"/>
      <c r="GS44" s="152"/>
      <c r="GT44" s="152"/>
      <c r="GU44" s="152"/>
      <c r="GV44" s="152"/>
      <c r="GW44" s="152"/>
      <c r="GX44" s="152"/>
      <c r="GY44" s="152"/>
      <c r="GZ44" s="152"/>
      <c r="HA44" s="152"/>
      <c r="HB44" s="152"/>
      <c r="HC44" s="152"/>
      <c r="HD44" s="152"/>
      <c r="HE44" s="152"/>
      <c r="HF44" s="152"/>
      <c r="HG44" s="152"/>
      <c r="HH44" s="152"/>
      <c r="HI44" s="152"/>
      <c r="HJ44" s="152"/>
      <c r="HK44" s="152"/>
      <c r="HL44" s="152"/>
      <c r="HM44" s="152"/>
      <c r="HN44" s="152"/>
      <c r="HO44" s="152"/>
      <c r="HP44" s="152"/>
      <c r="HQ44" s="152"/>
      <c r="HR44" s="152"/>
      <c r="HS44" s="152"/>
      <c r="HT44" s="152"/>
      <c r="HU44" s="152"/>
      <c r="HV44" s="152"/>
      <c r="HW44" s="152"/>
      <c r="HX44" s="152"/>
      <c r="HY44" s="152"/>
      <c r="HZ44" s="152"/>
      <c r="IA44" s="152"/>
      <c r="IB44" s="152"/>
      <c r="IC44" s="152"/>
      <c r="ID44" s="152"/>
      <c r="IE44" s="152"/>
      <c r="IF44" s="152"/>
      <c r="IG44" s="152"/>
      <c r="IH44" s="152"/>
      <c r="II44" s="152"/>
      <c r="IJ44" s="152"/>
      <c r="IK44" s="152"/>
      <c r="IL44" s="152"/>
      <c r="IM44" s="152"/>
      <c r="IN44" s="152"/>
      <c r="IO44" s="152"/>
      <c r="IP44" s="152"/>
      <c r="IQ44" s="152"/>
      <c r="IR44" s="152"/>
      <c r="IS44" s="152"/>
      <c r="IT44" s="152"/>
      <c r="IU44" s="152"/>
      <c r="IV44" s="152"/>
      <c r="IW44" s="152"/>
      <c r="IX44" s="152"/>
      <c r="IY44" s="152"/>
      <c r="IZ44" s="152"/>
      <c r="JA44" s="152"/>
      <c r="JB44" s="152"/>
      <c r="JC44" s="152"/>
      <c r="JD44" s="152"/>
      <c r="JE44" s="152"/>
      <c r="JF44" s="152"/>
      <c r="JG44" s="152"/>
      <c r="JH44" s="152"/>
      <c r="JI44" s="152"/>
      <c r="JJ44" s="152"/>
      <c r="JK44" s="152"/>
      <c r="JL44" s="152"/>
      <c r="JM44" s="152"/>
      <c r="JN44" s="152"/>
      <c r="JO44" s="152"/>
      <c r="JP44" s="152"/>
      <c r="JQ44" s="152"/>
      <c r="JR44" s="152"/>
      <c r="JS44" s="152"/>
      <c r="JT44" s="152"/>
      <c r="JU44" s="152"/>
      <c r="JV44" s="152"/>
      <c r="JW44" s="152"/>
      <c r="JX44" s="152"/>
      <c r="JY44" s="152"/>
      <c r="JZ44" s="152"/>
      <c r="KA44" s="152"/>
      <c r="KB44" s="152"/>
      <c r="KC44" s="152"/>
      <c r="KD44" s="152"/>
      <c r="KE44" s="152"/>
      <c r="KF44" s="152"/>
      <c r="KG44" s="152"/>
      <c r="KH44" s="152"/>
      <c r="KI44" s="152"/>
      <c r="KJ44" s="152"/>
      <c r="KK44" s="152"/>
      <c r="KL44" s="152"/>
      <c r="KM44" s="152"/>
      <c r="KN44" s="152"/>
      <c r="KO44" s="152"/>
      <c r="KP44" s="152"/>
      <c r="KQ44" s="152"/>
      <c r="KR44" s="152"/>
      <c r="KS44" s="152"/>
      <c r="KT44" s="152"/>
      <c r="KU44" s="152"/>
      <c r="KV44" s="152"/>
      <c r="KW44" s="152"/>
      <c r="KX44" s="152"/>
      <c r="KY44" s="152"/>
      <c r="KZ44" s="152"/>
      <c r="LA44" s="152"/>
      <c r="LB44" s="152"/>
      <c r="LC44" s="152"/>
      <c r="LD44" s="152"/>
      <c r="LE44" s="152"/>
      <c r="LF44" s="152"/>
    </row>
    <row r="45" spans="1:318" ht="15.75" thickBot="1">
      <c r="O45" s="192" t="s">
        <v>236</v>
      </c>
      <c r="P45" s="193"/>
      <c r="Q45" s="199"/>
      <c r="R45" s="192"/>
      <c r="S45" s="195">
        <f>S43+S44-R44</f>
        <v>272158.45799999998</v>
      </c>
      <c r="T45" s="195">
        <f t="shared" ref="T45:AQ45" si="28">T43+T44-S44</f>
        <v>118304.62599999999</v>
      </c>
      <c r="U45" s="195">
        <f t="shared" si="28"/>
        <v>108531.09882010001</v>
      </c>
      <c r="V45" s="195">
        <f t="shared" si="28"/>
        <v>99271.28914765126</v>
      </c>
      <c r="W45" s="195">
        <f t="shared" si="28"/>
        <v>90494.896301638102</v>
      </c>
      <c r="X45" s="195">
        <f t="shared" si="28"/>
        <v>82173.300177097728</v>
      </c>
      <c r="Y45" s="195">
        <f t="shared" si="28"/>
        <v>74279.464961760808</v>
      </c>
      <c r="Z45" s="195">
        <f t="shared" si="28"/>
        <v>66787.848274783784</v>
      </c>
      <c r="AA45" s="195">
        <f t="shared" si="28"/>
        <v>59674.315419437044</v>
      </c>
      <c r="AB45" s="195">
        <f t="shared" si="28"/>
        <v>57181.036723801015</v>
      </c>
      <c r="AC45" s="195">
        <f t="shared" si="28"/>
        <v>266720.18671434111</v>
      </c>
      <c r="AD45" s="195">
        <f t="shared" si="28"/>
        <v>164265.73197586142</v>
      </c>
      <c r="AE45" s="195">
        <f t="shared" si="28"/>
        <v>162881.46896670671</v>
      </c>
      <c r="AF45" s="195">
        <f t="shared" si="28"/>
        <v>161483.96850965632</v>
      </c>
      <c r="AG45" s="195">
        <f t="shared" si="28"/>
        <v>160072.63544817682</v>
      </c>
      <c r="AH45" s="195">
        <f t="shared" si="28"/>
        <v>158646.85815727027</v>
      </c>
      <c r="AI45" s="195">
        <f t="shared" si="28"/>
        <v>157206.00803971701</v>
      </c>
      <c r="AJ45" s="195">
        <f t="shared" si="28"/>
        <v>155749.43900727303</v>
      </c>
      <c r="AK45" s="195">
        <f t="shared" si="28"/>
        <v>154276.4869463713</v>
      </c>
      <c r="AL45" s="195">
        <f t="shared" si="28"/>
        <v>152786.46916786028</v>
      </c>
      <c r="AM45" s="195">
        <f t="shared" si="28"/>
        <v>151278.68384030214</v>
      </c>
      <c r="AN45" s="195">
        <f t="shared" si="28"/>
        <v>149752.40940633553</v>
      </c>
      <c r="AO45" s="195">
        <f t="shared" si="28"/>
        <v>148206.90398159411</v>
      </c>
      <c r="AP45" s="195">
        <f t="shared" si="28"/>
        <v>146641.40473565907</v>
      </c>
      <c r="AQ45" s="196">
        <f t="shared" si="28"/>
        <v>145055.12725450352</v>
      </c>
      <c r="AR45" s="152"/>
      <c r="AW45" s="152"/>
      <c r="AX45" s="152"/>
      <c r="AY45" s="152"/>
      <c r="AZ45" s="152"/>
      <c r="BA45" s="152"/>
      <c r="BB45" s="152"/>
      <c r="BC45" s="152"/>
      <c r="BD45" s="152"/>
      <c r="BE45" s="152"/>
      <c r="BF45" s="152"/>
      <c r="BG45" s="152"/>
      <c r="BH45" s="152"/>
      <c r="BI45" s="152"/>
      <c r="BJ45" s="152"/>
      <c r="BK45" s="152"/>
      <c r="BL45" s="152"/>
      <c r="BM45" s="152"/>
      <c r="BN45" s="152"/>
      <c r="BO45" s="152"/>
      <c r="BP45" s="152"/>
      <c r="BQ45" s="152"/>
      <c r="BR45" s="152"/>
      <c r="BS45" s="152"/>
      <c r="BT45" s="152"/>
      <c r="BU45" s="152"/>
      <c r="BV45" s="152"/>
      <c r="BW45" s="152"/>
      <c r="BX45" s="152"/>
      <c r="BY45" s="152"/>
      <c r="BZ45" s="152"/>
      <c r="CA45" s="152"/>
      <c r="CB45" s="152"/>
      <c r="CC45" s="152"/>
      <c r="CD45" s="152"/>
      <c r="CE45" s="152"/>
      <c r="CF45" s="152"/>
      <c r="CG45" s="152"/>
      <c r="CH45" s="152"/>
      <c r="CI45" s="152"/>
      <c r="CJ45" s="152"/>
      <c r="CK45" s="152"/>
      <c r="CL45" s="152"/>
      <c r="CM45" s="152"/>
      <c r="CN45" s="152"/>
      <c r="CO45" s="152"/>
      <c r="CP45" s="152"/>
      <c r="CQ45" s="152"/>
      <c r="CR45" s="152"/>
      <c r="CS45" s="152"/>
      <c r="CT45" s="152"/>
      <c r="CU45" s="152"/>
      <c r="CV45" s="152"/>
      <c r="CW45" s="152"/>
      <c r="CX45" s="152"/>
      <c r="CY45" s="152"/>
      <c r="CZ45" s="152"/>
      <c r="DA45" s="152"/>
      <c r="DB45" s="152"/>
      <c r="DC45" s="152"/>
      <c r="DD45" s="152"/>
      <c r="DE45" s="152"/>
      <c r="DF45" s="152"/>
      <c r="DG45" s="152"/>
      <c r="DH45" s="152"/>
      <c r="DI45" s="152"/>
      <c r="DJ45" s="152"/>
      <c r="DK45" s="152"/>
      <c r="DL45" s="152"/>
      <c r="DM45" s="152"/>
      <c r="DN45" s="152"/>
      <c r="DO45" s="152"/>
      <c r="DP45" s="152"/>
      <c r="DQ45" s="152"/>
      <c r="DR45" s="152"/>
      <c r="DS45" s="152"/>
      <c r="DT45" s="152"/>
      <c r="DU45" s="152"/>
      <c r="DV45" s="152"/>
      <c r="DW45" s="152"/>
      <c r="DX45" s="152"/>
      <c r="DY45" s="152"/>
      <c r="DZ45" s="152"/>
      <c r="EA45" s="152"/>
      <c r="EB45" s="152"/>
      <c r="EC45" s="152"/>
      <c r="ED45" s="152"/>
      <c r="EE45" s="152"/>
      <c r="EF45" s="152"/>
      <c r="EG45" s="152"/>
      <c r="EH45" s="152"/>
      <c r="EI45" s="152"/>
      <c r="EJ45" s="152"/>
      <c r="EK45" s="152"/>
      <c r="EL45" s="152"/>
      <c r="EM45" s="152"/>
      <c r="EN45" s="152"/>
      <c r="EO45" s="152"/>
      <c r="EP45" s="152"/>
      <c r="EQ45" s="152"/>
      <c r="ER45" s="152"/>
      <c r="ES45" s="152"/>
      <c r="ET45" s="152"/>
      <c r="EU45" s="152"/>
      <c r="EV45" s="152"/>
      <c r="EW45" s="152"/>
      <c r="EX45" s="152"/>
      <c r="EY45" s="152"/>
      <c r="EZ45" s="152"/>
      <c r="FA45" s="152"/>
      <c r="FB45" s="152"/>
      <c r="FC45" s="152"/>
      <c r="FD45" s="152"/>
      <c r="FE45" s="152"/>
      <c r="FF45" s="152"/>
      <c r="FG45" s="152"/>
      <c r="FH45" s="152"/>
      <c r="FI45" s="152"/>
      <c r="FJ45" s="152"/>
      <c r="FK45" s="152"/>
      <c r="FL45" s="152"/>
      <c r="FM45" s="152"/>
      <c r="FN45" s="152"/>
      <c r="FO45" s="152"/>
      <c r="FP45" s="152"/>
      <c r="FQ45" s="152"/>
      <c r="FR45" s="152"/>
      <c r="FS45" s="152"/>
      <c r="FT45" s="152"/>
      <c r="FU45" s="152"/>
      <c r="FV45" s="152"/>
      <c r="FW45" s="152"/>
      <c r="FX45" s="152"/>
      <c r="FY45" s="152"/>
      <c r="FZ45" s="152"/>
      <c r="GA45" s="152"/>
      <c r="GB45" s="152"/>
      <c r="GC45" s="152"/>
      <c r="GD45" s="152"/>
      <c r="GE45" s="152"/>
      <c r="GF45" s="152"/>
      <c r="GG45" s="152"/>
      <c r="GH45" s="152"/>
      <c r="GI45" s="152"/>
      <c r="GJ45" s="152"/>
      <c r="GK45" s="152"/>
      <c r="GL45" s="152"/>
      <c r="GM45" s="152"/>
      <c r="GN45" s="152"/>
      <c r="GO45" s="152"/>
      <c r="GP45" s="152"/>
      <c r="GQ45" s="152"/>
      <c r="GR45" s="152"/>
      <c r="GS45" s="152"/>
      <c r="GT45" s="152"/>
      <c r="GU45" s="152"/>
      <c r="GV45" s="152"/>
      <c r="GW45" s="152"/>
      <c r="GX45" s="152"/>
      <c r="GY45" s="152"/>
      <c r="GZ45" s="152"/>
      <c r="HA45" s="152"/>
      <c r="HB45" s="152"/>
      <c r="HC45" s="152"/>
      <c r="HD45" s="152"/>
      <c r="HE45" s="152"/>
      <c r="HF45" s="152"/>
      <c r="HG45" s="152"/>
      <c r="HH45" s="152"/>
      <c r="HI45" s="152"/>
      <c r="HJ45" s="152"/>
      <c r="HK45" s="152"/>
      <c r="HL45" s="152"/>
      <c r="HM45" s="152"/>
      <c r="HN45" s="152"/>
      <c r="HO45" s="152"/>
      <c r="HP45" s="152"/>
      <c r="HQ45" s="152"/>
      <c r="HR45" s="152"/>
      <c r="HS45" s="152"/>
      <c r="HT45" s="152"/>
      <c r="HU45" s="152"/>
      <c r="HV45" s="152"/>
      <c r="HW45" s="152"/>
      <c r="HX45" s="152"/>
      <c r="HY45" s="152"/>
      <c r="HZ45" s="152"/>
      <c r="IA45" s="152"/>
      <c r="IB45" s="152"/>
      <c r="IC45" s="152"/>
      <c r="ID45" s="152"/>
      <c r="IE45" s="152"/>
      <c r="IF45" s="152"/>
      <c r="IG45" s="152"/>
      <c r="IH45" s="152"/>
      <c r="II45" s="152"/>
      <c r="IJ45" s="152"/>
      <c r="IK45" s="152"/>
      <c r="IL45" s="152"/>
      <c r="IM45" s="152"/>
      <c r="IN45" s="152"/>
      <c r="IO45" s="152"/>
      <c r="IP45" s="152"/>
      <c r="IQ45" s="152"/>
      <c r="IR45" s="152"/>
      <c r="IS45" s="152"/>
      <c r="IT45" s="152"/>
      <c r="IU45" s="152"/>
      <c r="IV45" s="152"/>
      <c r="IW45" s="152"/>
      <c r="IX45" s="152"/>
      <c r="IY45" s="152"/>
      <c r="IZ45" s="152"/>
      <c r="JA45" s="152"/>
      <c r="JB45" s="152"/>
      <c r="JC45" s="152"/>
      <c r="JD45" s="152"/>
      <c r="JE45" s="152"/>
      <c r="JF45" s="152"/>
      <c r="JG45" s="152"/>
      <c r="JH45" s="152"/>
      <c r="JI45" s="152"/>
      <c r="JJ45" s="152"/>
      <c r="JK45" s="152"/>
      <c r="JL45" s="152"/>
      <c r="JM45" s="152"/>
      <c r="JN45" s="152"/>
      <c r="JO45" s="152"/>
      <c r="JP45" s="152"/>
      <c r="JQ45" s="152"/>
      <c r="JR45" s="152"/>
      <c r="JS45" s="152"/>
      <c r="JT45" s="152"/>
      <c r="JU45" s="152"/>
      <c r="JV45" s="152"/>
      <c r="JW45" s="152"/>
      <c r="JX45" s="152"/>
      <c r="JY45" s="152"/>
      <c r="JZ45" s="152"/>
      <c r="KA45" s="152"/>
      <c r="KB45" s="152"/>
      <c r="KC45" s="152"/>
      <c r="KD45" s="152"/>
      <c r="KE45" s="152"/>
      <c r="KF45" s="152"/>
      <c r="KG45" s="152"/>
      <c r="KH45" s="152"/>
      <c r="KI45" s="152"/>
      <c r="KJ45" s="152"/>
      <c r="KK45" s="152"/>
      <c r="KL45" s="152"/>
      <c r="KM45" s="152"/>
      <c r="KN45" s="152"/>
      <c r="KO45" s="152"/>
      <c r="KP45" s="152"/>
      <c r="KQ45" s="152"/>
      <c r="KR45" s="152"/>
      <c r="KS45" s="152"/>
      <c r="KT45" s="152"/>
      <c r="KU45" s="152"/>
      <c r="KV45" s="152"/>
      <c r="KW45" s="152"/>
      <c r="KX45" s="152"/>
      <c r="KY45" s="152"/>
      <c r="KZ45" s="152"/>
      <c r="LA45" s="152"/>
      <c r="LB45" s="152"/>
      <c r="LC45" s="152"/>
      <c r="LD45" s="152"/>
      <c r="LE45" s="152"/>
      <c r="LF45" s="152"/>
    </row>
    <row r="46" spans="1:318">
      <c r="O46" s="139" t="s">
        <v>237</v>
      </c>
      <c r="Q46" s="140"/>
      <c r="R46" s="139"/>
      <c r="S46" s="188"/>
      <c r="T46" s="188"/>
      <c r="U46" s="188"/>
      <c r="V46" s="188"/>
      <c r="W46" s="188"/>
      <c r="X46" s="188"/>
      <c r="Y46" s="188"/>
      <c r="Z46" s="188"/>
      <c r="AA46" s="188"/>
      <c r="AB46" s="188"/>
      <c r="AC46" s="188"/>
      <c r="AD46" s="188"/>
      <c r="AE46" s="188"/>
      <c r="AF46" s="188"/>
      <c r="AG46" s="188"/>
      <c r="AH46" s="188"/>
      <c r="AI46" s="188"/>
      <c r="AJ46" s="188"/>
      <c r="AK46" s="188"/>
      <c r="AL46" s="188"/>
      <c r="AM46" s="188"/>
      <c r="AN46" s="188"/>
      <c r="AO46" s="188"/>
      <c r="AP46" s="188"/>
      <c r="AQ46" s="189"/>
      <c r="AR46" s="152"/>
      <c r="AW46" s="152"/>
      <c r="AX46" s="152"/>
      <c r="AY46" s="152"/>
      <c r="AZ46" s="152"/>
      <c r="BA46" s="152"/>
      <c r="BB46" s="152"/>
      <c r="BC46" s="152"/>
      <c r="BD46" s="152"/>
      <c r="BE46" s="152"/>
      <c r="BF46" s="152"/>
      <c r="BG46" s="152"/>
      <c r="BH46" s="152"/>
      <c r="BI46" s="152"/>
      <c r="BJ46" s="152"/>
      <c r="BK46" s="152"/>
      <c r="BL46" s="152"/>
      <c r="BM46" s="152"/>
      <c r="BN46" s="152"/>
      <c r="BO46" s="152"/>
      <c r="BP46" s="152"/>
      <c r="BQ46" s="152"/>
      <c r="BR46" s="152"/>
      <c r="BS46" s="152"/>
      <c r="BT46" s="152"/>
      <c r="BU46" s="152"/>
      <c r="BV46" s="152"/>
      <c r="BW46" s="152"/>
      <c r="BX46" s="152"/>
      <c r="BY46" s="152"/>
      <c r="BZ46" s="152"/>
      <c r="CA46" s="152"/>
      <c r="CB46" s="152"/>
      <c r="CC46" s="152"/>
      <c r="CD46" s="152"/>
      <c r="CE46" s="152"/>
      <c r="CF46" s="152"/>
      <c r="CG46" s="152"/>
      <c r="CH46" s="152"/>
      <c r="CI46" s="152"/>
      <c r="CJ46" s="152"/>
      <c r="CK46" s="152"/>
      <c r="CL46" s="152"/>
      <c r="CM46" s="152"/>
      <c r="CN46" s="152"/>
      <c r="CO46" s="152"/>
      <c r="CP46" s="152"/>
      <c r="CQ46" s="152"/>
      <c r="CR46" s="152"/>
      <c r="CS46" s="152"/>
      <c r="CT46" s="152"/>
      <c r="CU46" s="152"/>
      <c r="CV46" s="152"/>
      <c r="CW46" s="152"/>
      <c r="CX46" s="152"/>
      <c r="CY46" s="152"/>
      <c r="CZ46" s="152"/>
      <c r="DA46" s="152"/>
      <c r="DB46" s="152"/>
      <c r="DC46" s="152"/>
      <c r="DD46" s="152"/>
      <c r="DE46" s="152"/>
      <c r="DF46" s="152"/>
      <c r="DG46" s="152"/>
      <c r="DH46" s="152"/>
      <c r="DI46" s="152"/>
      <c r="DJ46" s="152"/>
      <c r="DK46" s="152"/>
      <c r="DL46" s="152"/>
      <c r="DM46" s="152"/>
      <c r="DN46" s="152"/>
      <c r="DO46" s="152"/>
      <c r="DP46" s="152"/>
      <c r="DQ46" s="152"/>
      <c r="DR46" s="152"/>
      <c r="DS46" s="152"/>
      <c r="DT46" s="152"/>
      <c r="DU46" s="152"/>
      <c r="DV46" s="152"/>
      <c r="DW46" s="152"/>
      <c r="DX46" s="152"/>
      <c r="DY46" s="152"/>
      <c r="DZ46" s="152"/>
      <c r="EA46" s="152"/>
      <c r="EB46" s="152"/>
      <c r="EC46" s="152"/>
      <c r="ED46" s="152"/>
      <c r="EE46" s="152"/>
      <c r="EF46" s="152"/>
      <c r="EG46" s="152"/>
      <c r="EH46" s="152"/>
      <c r="EI46" s="152"/>
      <c r="EJ46" s="152"/>
      <c r="EK46" s="152"/>
      <c r="EL46" s="152"/>
      <c r="EM46" s="152"/>
      <c r="EN46" s="152"/>
      <c r="EO46" s="152"/>
      <c r="EP46" s="152"/>
      <c r="EQ46" s="152"/>
      <c r="ER46" s="152"/>
      <c r="ES46" s="152"/>
      <c r="ET46" s="152"/>
      <c r="EU46" s="152"/>
      <c r="EV46" s="152"/>
      <c r="EW46" s="152"/>
      <c r="EX46" s="152"/>
      <c r="EY46" s="152"/>
      <c r="EZ46" s="152"/>
      <c r="FA46" s="152"/>
      <c r="FB46" s="152"/>
      <c r="FC46" s="152"/>
      <c r="FD46" s="152"/>
      <c r="FE46" s="152"/>
      <c r="FF46" s="152"/>
      <c r="FG46" s="152"/>
      <c r="FH46" s="152"/>
      <c r="FI46" s="152"/>
      <c r="FJ46" s="152"/>
      <c r="FK46" s="152"/>
      <c r="FL46" s="152"/>
      <c r="FM46" s="152"/>
      <c r="FN46" s="152"/>
      <c r="FO46" s="152"/>
      <c r="FP46" s="152"/>
      <c r="FQ46" s="152"/>
      <c r="FR46" s="152"/>
      <c r="FS46" s="152"/>
      <c r="FT46" s="152"/>
      <c r="FU46" s="152"/>
      <c r="FV46" s="152"/>
      <c r="FW46" s="152"/>
      <c r="FX46" s="152"/>
      <c r="FY46" s="152"/>
      <c r="FZ46" s="152"/>
      <c r="GA46" s="152"/>
      <c r="GB46" s="152"/>
      <c r="GC46" s="152"/>
      <c r="GD46" s="152"/>
      <c r="GE46" s="152"/>
      <c r="GF46" s="152"/>
      <c r="GG46" s="152"/>
      <c r="GH46" s="152"/>
      <c r="GI46" s="152"/>
      <c r="GJ46" s="152"/>
      <c r="GK46" s="152"/>
      <c r="GL46" s="152"/>
      <c r="GM46" s="152"/>
      <c r="GN46" s="152"/>
      <c r="GO46" s="152"/>
      <c r="GP46" s="152"/>
      <c r="GQ46" s="152"/>
      <c r="GR46" s="152"/>
      <c r="GS46" s="152"/>
      <c r="GT46" s="152"/>
      <c r="GU46" s="152"/>
      <c r="GV46" s="152"/>
      <c r="GW46" s="152"/>
      <c r="GX46" s="152"/>
      <c r="GY46" s="152"/>
      <c r="GZ46" s="152"/>
      <c r="HA46" s="152"/>
      <c r="HB46" s="152"/>
      <c r="HC46" s="152"/>
      <c r="HD46" s="152"/>
      <c r="HE46" s="152"/>
      <c r="HF46" s="152"/>
      <c r="HG46" s="152"/>
      <c r="HH46" s="152"/>
      <c r="HI46" s="152"/>
      <c r="HJ46" s="152"/>
      <c r="HK46" s="152"/>
      <c r="HL46" s="152"/>
      <c r="HM46" s="152"/>
      <c r="HN46" s="152"/>
      <c r="HO46" s="152"/>
      <c r="HP46" s="152"/>
      <c r="HQ46" s="152"/>
      <c r="HR46" s="152"/>
      <c r="HS46" s="152"/>
      <c r="HT46" s="152"/>
      <c r="HU46" s="152"/>
      <c r="HV46" s="152"/>
      <c r="HW46" s="152"/>
      <c r="HX46" s="152"/>
      <c r="HY46" s="152"/>
      <c r="HZ46" s="152"/>
      <c r="IA46" s="152"/>
      <c r="IB46" s="152"/>
      <c r="IC46" s="152"/>
      <c r="ID46" s="152"/>
      <c r="IE46" s="152"/>
      <c r="IF46" s="152"/>
      <c r="IG46" s="152"/>
      <c r="IH46" s="152"/>
      <c r="II46" s="152"/>
      <c r="IJ46" s="152"/>
      <c r="IK46" s="152"/>
      <c r="IL46" s="152"/>
      <c r="IM46" s="152"/>
      <c r="IN46" s="152"/>
      <c r="IO46" s="152"/>
      <c r="IP46" s="152"/>
      <c r="IQ46" s="152"/>
      <c r="IR46" s="152"/>
      <c r="IS46" s="152"/>
      <c r="IT46" s="152"/>
      <c r="IU46" s="152"/>
      <c r="IV46" s="152"/>
      <c r="IW46" s="152"/>
      <c r="IX46" s="152"/>
      <c r="IY46" s="152"/>
      <c r="IZ46" s="152"/>
      <c r="JA46" s="152"/>
      <c r="JB46" s="152"/>
      <c r="JC46" s="152"/>
      <c r="JD46" s="152"/>
      <c r="JE46" s="152"/>
      <c r="JF46" s="152"/>
      <c r="JG46" s="152"/>
      <c r="JH46" s="152"/>
      <c r="JI46" s="152"/>
      <c r="JJ46" s="152"/>
      <c r="JK46" s="152"/>
      <c r="JL46" s="152"/>
      <c r="JM46" s="152"/>
      <c r="JN46" s="152"/>
      <c r="JO46" s="152"/>
      <c r="JP46" s="152"/>
      <c r="JQ46" s="152"/>
      <c r="JR46" s="152"/>
      <c r="JS46" s="152"/>
      <c r="JT46" s="152"/>
      <c r="JU46" s="152"/>
      <c r="JV46" s="152"/>
      <c r="JW46" s="152"/>
      <c r="JX46" s="152"/>
      <c r="JY46" s="152"/>
      <c r="JZ46" s="152"/>
      <c r="KA46" s="152"/>
      <c r="KB46" s="152"/>
      <c r="KC46" s="152"/>
      <c r="KD46" s="152"/>
      <c r="KE46" s="152"/>
      <c r="KF46" s="152"/>
      <c r="KG46" s="152"/>
      <c r="KH46" s="152"/>
      <c r="KI46" s="152"/>
      <c r="KJ46" s="152"/>
      <c r="KK46" s="152"/>
      <c r="KL46" s="152"/>
      <c r="KM46" s="152"/>
      <c r="KN46" s="152"/>
      <c r="KO46" s="152"/>
      <c r="KP46" s="152"/>
      <c r="KQ46" s="152"/>
      <c r="KR46" s="152"/>
      <c r="KS46" s="152"/>
      <c r="KT46" s="152"/>
      <c r="KU46" s="152"/>
      <c r="KV46" s="152"/>
      <c r="KW46" s="152"/>
      <c r="KX46" s="152"/>
      <c r="KY46" s="152"/>
      <c r="KZ46" s="152"/>
      <c r="LA46" s="152"/>
      <c r="LB46" s="152"/>
      <c r="LC46" s="152"/>
      <c r="LD46" s="152"/>
      <c r="LE46" s="152"/>
      <c r="LF46" s="152"/>
    </row>
    <row r="47" spans="1:318" ht="15.75" thickBot="1">
      <c r="O47" s="190" t="s">
        <v>238</v>
      </c>
      <c r="P47" s="42"/>
      <c r="Q47" s="43"/>
      <c r="R47" s="190"/>
      <c r="S47" s="171"/>
      <c r="T47" s="171"/>
      <c r="U47" s="171"/>
      <c r="V47" s="171"/>
      <c r="W47" s="171"/>
      <c r="X47" s="171"/>
      <c r="Y47" s="171"/>
      <c r="Z47" s="171"/>
      <c r="AA47" s="171"/>
      <c r="AB47" s="171"/>
      <c r="AC47" s="171"/>
      <c r="AD47" s="171"/>
      <c r="AE47" s="171"/>
      <c r="AF47" s="171"/>
      <c r="AG47" s="171"/>
      <c r="AH47" s="171"/>
      <c r="AI47" s="171"/>
      <c r="AJ47" s="171"/>
      <c r="AK47" s="171"/>
      <c r="AL47" s="171"/>
      <c r="AM47" s="171"/>
      <c r="AN47" s="171"/>
      <c r="AO47" s="171"/>
      <c r="AP47" s="171"/>
      <c r="AQ47" s="191"/>
    </row>
    <row r="48" spans="1:318">
      <c r="S48" s="169"/>
      <c r="T48" s="169"/>
      <c r="U48" s="169"/>
      <c r="V48" s="169"/>
      <c r="W48" s="169"/>
      <c r="X48" s="169"/>
      <c r="Y48" s="169"/>
      <c r="Z48" s="169"/>
      <c r="AA48" s="169"/>
      <c r="AB48" s="169"/>
      <c r="AC48" s="169"/>
      <c r="AD48" s="169"/>
      <c r="AE48" s="169"/>
      <c r="AF48" s="169"/>
      <c r="AG48" s="169"/>
      <c r="AH48" s="169"/>
      <c r="AI48" s="169"/>
      <c r="AJ48" s="169"/>
      <c r="AK48" s="169"/>
      <c r="AL48" s="169"/>
      <c r="AM48" s="169"/>
      <c r="AN48" s="169"/>
      <c r="AO48" s="169"/>
      <c r="AP48" s="169"/>
      <c r="AQ48" s="169"/>
    </row>
    <row r="49" spans="14:318" ht="15.75" thickBot="1">
      <c r="R49" s="169"/>
      <c r="S49" s="169"/>
      <c r="T49" s="169"/>
      <c r="U49" s="169"/>
      <c r="V49" s="169"/>
      <c r="W49" s="169"/>
      <c r="X49" s="169"/>
      <c r="Y49" s="169"/>
      <c r="Z49" s="169"/>
      <c r="AA49" s="169"/>
      <c r="AB49" s="169"/>
      <c r="AC49" s="169"/>
      <c r="AD49" s="169"/>
      <c r="AE49" s="169"/>
      <c r="AF49" s="169"/>
      <c r="AG49" s="169"/>
      <c r="AH49" s="169"/>
      <c r="AI49" s="169"/>
      <c r="AJ49" s="169"/>
      <c r="AK49" s="169"/>
      <c r="AL49" s="169"/>
      <c r="AM49" s="169"/>
      <c r="AN49" s="169"/>
      <c r="AO49" s="169"/>
      <c r="AP49" s="169"/>
      <c r="AQ49" s="169"/>
      <c r="AR49" s="152"/>
      <c r="AW49" s="152"/>
      <c r="AX49" s="152"/>
      <c r="AY49" s="152"/>
      <c r="AZ49" s="152"/>
      <c r="BA49" s="152"/>
      <c r="BB49" s="152"/>
      <c r="BC49" s="152"/>
      <c r="BD49" s="152"/>
      <c r="BE49" s="152"/>
      <c r="BF49" s="152"/>
      <c r="BG49" s="152"/>
      <c r="BH49" s="152"/>
      <c r="BI49" s="152"/>
      <c r="BJ49" s="152"/>
      <c r="BK49" s="152"/>
      <c r="BL49" s="152"/>
      <c r="BM49" s="152"/>
      <c r="BN49" s="152"/>
      <c r="BO49" s="152"/>
      <c r="BP49" s="152"/>
      <c r="BQ49" s="152"/>
      <c r="BR49" s="152"/>
      <c r="BS49" s="152"/>
      <c r="BT49" s="152"/>
      <c r="BU49" s="152"/>
      <c r="BV49" s="152"/>
      <c r="BW49" s="152"/>
      <c r="BX49" s="152"/>
      <c r="BY49" s="152"/>
      <c r="BZ49" s="152"/>
      <c r="CA49" s="152"/>
      <c r="CB49" s="152"/>
      <c r="CC49" s="152"/>
      <c r="CD49" s="152"/>
      <c r="CE49" s="152"/>
      <c r="CF49" s="152"/>
      <c r="CG49" s="152"/>
      <c r="CH49" s="152"/>
      <c r="CI49" s="152"/>
      <c r="CJ49" s="152"/>
      <c r="CK49" s="152"/>
      <c r="CL49" s="152"/>
      <c r="CM49" s="152"/>
      <c r="CN49" s="152"/>
      <c r="CO49" s="152"/>
      <c r="CP49" s="152"/>
      <c r="CQ49" s="152"/>
      <c r="CR49" s="152"/>
      <c r="CS49" s="152"/>
      <c r="CT49" s="152"/>
      <c r="CU49" s="152"/>
      <c r="CV49" s="152"/>
      <c r="CW49" s="152"/>
      <c r="CX49" s="152"/>
      <c r="CY49" s="152"/>
      <c r="CZ49" s="152"/>
      <c r="DA49" s="152"/>
      <c r="DB49" s="152"/>
      <c r="DC49" s="152"/>
      <c r="DD49" s="152"/>
      <c r="DE49" s="152"/>
      <c r="DF49" s="152"/>
      <c r="DG49" s="152"/>
      <c r="DH49" s="152"/>
      <c r="DI49" s="152"/>
      <c r="DJ49" s="152"/>
      <c r="DK49" s="152"/>
      <c r="DL49" s="152"/>
      <c r="DM49" s="152"/>
      <c r="DN49" s="152"/>
      <c r="DO49" s="152"/>
      <c r="DP49" s="152"/>
      <c r="DQ49" s="152"/>
      <c r="DR49" s="152"/>
      <c r="DS49" s="152"/>
      <c r="DT49" s="152"/>
      <c r="DU49" s="152"/>
      <c r="DV49" s="152"/>
      <c r="DW49" s="152"/>
      <c r="DX49" s="152"/>
      <c r="DY49" s="152"/>
      <c r="DZ49" s="152"/>
      <c r="EA49" s="152"/>
      <c r="EB49" s="152"/>
      <c r="EC49" s="152"/>
      <c r="ED49" s="152"/>
      <c r="EE49" s="152"/>
      <c r="EF49" s="152"/>
      <c r="EG49" s="152"/>
      <c r="EH49" s="152"/>
      <c r="EI49" s="152"/>
      <c r="EJ49" s="152"/>
      <c r="EK49" s="152"/>
      <c r="EL49" s="152"/>
      <c r="EM49" s="152"/>
      <c r="EN49" s="152"/>
      <c r="EO49" s="152"/>
      <c r="EP49" s="152"/>
      <c r="EQ49" s="152"/>
      <c r="ER49" s="152"/>
      <c r="ES49" s="152"/>
      <c r="ET49" s="152"/>
      <c r="EU49" s="152"/>
      <c r="EV49" s="152"/>
      <c r="EW49" s="152"/>
      <c r="EX49" s="152"/>
      <c r="EY49" s="152"/>
      <c r="EZ49" s="152"/>
      <c r="FA49" s="152"/>
      <c r="FB49" s="152"/>
      <c r="FC49" s="152"/>
      <c r="FD49" s="152"/>
      <c r="FE49" s="152"/>
      <c r="FF49" s="152"/>
      <c r="FG49" s="152"/>
      <c r="FH49" s="152"/>
      <c r="FI49" s="152"/>
      <c r="FJ49" s="152"/>
      <c r="FK49" s="152"/>
      <c r="FL49" s="152"/>
      <c r="FM49" s="152"/>
      <c r="FN49" s="152"/>
      <c r="FO49" s="152"/>
      <c r="FP49" s="152"/>
      <c r="FQ49" s="152"/>
      <c r="FR49" s="152"/>
      <c r="FS49" s="152"/>
      <c r="FT49" s="152"/>
      <c r="FU49" s="152"/>
      <c r="FV49" s="152"/>
      <c r="FW49" s="152"/>
      <c r="FX49" s="152"/>
      <c r="FY49" s="152"/>
      <c r="FZ49" s="152"/>
      <c r="GA49" s="152"/>
      <c r="GB49" s="152"/>
      <c r="GC49" s="152"/>
      <c r="GD49" s="152"/>
      <c r="GE49" s="152"/>
      <c r="GF49" s="152"/>
      <c r="GG49" s="152"/>
      <c r="GH49" s="152"/>
      <c r="GI49" s="152"/>
      <c r="GJ49" s="152"/>
      <c r="GK49" s="152"/>
      <c r="GL49" s="152"/>
      <c r="GM49" s="152"/>
      <c r="GN49" s="152"/>
      <c r="GO49" s="152"/>
      <c r="GP49" s="152"/>
      <c r="GQ49" s="152"/>
      <c r="GR49" s="152"/>
      <c r="GS49" s="152"/>
      <c r="GT49" s="152"/>
      <c r="GU49" s="152"/>
      <c r="GV49" s="152"/>
      <c r="GW49" s="152"/>
      <c r="GX49" s="152"/>
      <c r="GY49" s="152"/>
      <c r="GZ49" s="152"/>
      <c r="HA49" s="152"/>
      <c r="HB49" s="152"/>
      <c r="HC49" s="152"/>
      <c r="HD49" s="152"/>
      <c r="HE49" s="152"/>
      <c r="HF49" s="152"/>
      <c r="HG49" s="152"/>
      <c r="HH49" s="152"/>
      <c r="HI49" s="152"/>
      <c r="HJ49" s="152"/>
      <c r="HK49" s="152"/>
      <c r="HL49" s="152"/>
      <c r="HM49" s="152"/>
      <c r="HN49" s="152"/>
      <c r="HO49" s="152"/>
      <c r="HP49" s="152"/>
      <c r="HQ49" s="152"/>
      <c r="HR49" s="152"/>
      <c r="HS49" s="152"/>
      <c r="HT49" s="152"/>
      <c r="HU49" s="152"/>
      <c r="HV49" s="152"/>
      <c r="HW49" s="152"/>
      <c r="HX49" s="152"/>
      <c r="HY49" s="152"/>
      <c r="HZ49" s="152"/>
      <c r="IA49" s="152"/>
      <c r="IB49" s="152"/>
      <c r="IC49" s="152"/>
      <c r="ID49" s="152"/>
      <c r="IE49" s="152"/>
      <c r="IF49" s="152"/>
      <c r="IG49" s="152"/>
      <c r="IH49" s="152"/>
      <c r="II49" s="152"/>
      <c r="IJ49" s="152"/>
      <c r="IK49" s="152"/>
      <c r="IL49" s="152"/>
      <c r="IM49" s="152"/>
      <c r="IN49" s="152"/>
      <c r="IO49" s="152"/>
      <c r="IP49" s="152"/>
      <c r="IQ49" s="152"/>
      <c r="IR49" s="152"/>
      <c r="IS49" s="152"/>
      <c r="IT49" s="152"/>
      <c r="IU49" s="152"/>
      <c r="IV49" s="152"/>
      <c r="IW49" s="152"/>
      <c r="IX49" s="152"/>
      <c r="IY49" s="152"/>
      <c r="IZ49" s="152"/>
      <c r="JA49" s="152"/>
      <c r="JB49" s="152"/>
      <c r="JC49" s="152"/>
      <c r="JD49" s="152"/>
      <c r="JE49" s="152"/>
      <c r="JF49" s="152"/>
      <c r="JG49" s="152"/>
      <c r="JH49" s="152"/>
      <c r="JI49" s="152"/>
      <c r="JJ49" s="152"/>
      <c r="JK49" s="152"/>
      <c r="JL49" s="152"/>
      <c r="JM49" s="152"/>
      <c r="JN49" s="152"/>
      <c r="JO49" s="152"/>
      <c r="JP49" s="152"/>
      <c r="JQ49" s="152"/>
      <c r="JR49" s="152"/>
      <c r="JS49" s="152"/>
      <c r="JT49" s="152"/>
      <c r="JU49" s="152"/>
      <c r="JV49" s="152"/>
      <c r="JW49" s="152"/>
      <c r="JX49" s="152"/>
      <c r="JY49" s="152"/>
      <c r="JZ49" s="152"/>
      <c r="KA49" s="152"/>
      <c r="KB49" s="152"/>
      <c r="KC49" s="152"/>
      <c r="KD49" s="152"/>
      <c r="KE49" s="152"/>
      <c r="KF49" s="152"/>
      <c r="KG49" s="152"/>
      <c r="KH49" s="152"/>
      <c r="KI49" s="152"/>
      <c r="KJ49" s="152"/>
      <c r="KK49" s="152"/>
      <c r="KL49" s="152"/>
      <c r="KM49" s="152"/>
      <c r="KN49" s="152"/>
      <c r="KO49" s="152"/>
      <c r="KP49" s="152"/>
      <c r="KQ49" s="152"/>
      <c r="KR49" s="152"/>
      <c r="KS49" s="152"/>
      <c r="KT49" s="152"/>
      <c r="KU49" s="152"/>
      <c r="KV49" s="152"/>
      <c r="KW49" s="152"/>
      <c r="KX49" s="152"/>
      <c r="KY49" s="152"/>
      <c r="KZ49" s="152"/>
      <c r="LA49" s="152"/>
      <c r="LB49" s="152"/>
      <c r="LC49" s="152"/>
      <c r="LD49" s="152"/>
      <c r="LE49" s="152"/>
      <c r="LF49" s="152"/>
    </row>
    <row r="50" spans="14:318">
      <c r="N50" s="324" t="s">
        <v>220</v>
      </c>
      <c r="O50" s="161" t="s">
        <v>239</v>
      </c>
      <c r="P50" s="162"/>
      <c r="R50" s="169">
        <f>-($A$6*$B$6+(1-$J$9)*$A$9*$B$9+$S$6+$R$6+$X$6+$Y$6)*$F$6</f>
        <v>-5690000</v>
      </c>
      <c r="S50" s="169">
        <f>S31-S38-S39-S45</f>
        <v>879841.54200000002</v>
      </c>
      <c r="T50" s="169">
        <f t="shared" ref="T50:AQ50" si="29">T31-T38-T39-T45</f>
        <v>984129.37400000007</v>
      </c>
      <c r="U50" s="169">
        <f t="shared" si="29"/>
        <v>946973.24807989993</v>
      </c>
      <c r="V50" s="169">
        <f t="shared" si="29"/>
        <v>911785.25549046358</v>
      </c>
      <c r="W50" s="169">
        <f t="shared" si="29"/>
        <v>878449.79864242743</v>
      </c>
      <c r="X50" s="169">
        <f t="shared" si="29"/>
        <v>846857.70546487765</v>
      </c>
      <c r="Y50" s="169">
        <f t="shared" si="29"/>
        <v>816905.86170708225</v>
      </c>
      <c r="Z50" s="169">
        <f t="shared" si="29"/>
        <v>788496.86395964969</v>
      </c>
      <c r="AA50" s="169">
        <f t="shared" si="29"/>
        <v>761538.69221793744</v>
      </c>
      <c r="AB50" s="169">
        <f t="shared" si="29"/>
        <v>741621.09688928118</v>
      </c>
      <c r="AC50" s="169">
        <f t="shared" si="29"/>
        <v>525950.07584853843</v>
      </c>
      <c r="AD50" s="169">
        <f t="shared" si="29"/>
        <v>622219.99495071964</v>
      </c>
      <c r="AE50" s="169">
        <f t="shared" si="29"/>
        <v>617364.55875907908</v>
      </c>
      <c r="AF50" s="169">
        <f t="shared" si="29"/>
        <v>612464.6289363706</v>
      </c>
      <c r="AG50" s="169">
        <f t="shared" si="29"/>
        <v>607518.16248747939</v>
      </c>
      <c r="AH50" s="169">
        <f t="shared" si="29"/>
        <v>602523.06008474005</v>
      </c>
      <c r="AI50" s="169">
        <f t="shared" si="29"/>
        <v>597477.16434326011</v>
      </c>
      <c r="AJ50" s="169">
        <f t="shared" si="29"/>
        <v>592378.25804474379</v>
      </c>
      <c r="AK50" s="169">
        <f t="shared" si="29"/>
        <v>587224.06230827398</v>
      </c>
      <c r="AL50" s="169">
        <f t="shared" si="29"/>
        <v>582012.23470645468</v>
      </c>
      <c r="AM50" s="169">
        <f t="shared" si="29"/>
        <v>576740.36732527812</v>
      </c>
      <c r="AN50" s="169">
        <f t="shared" si="29"/>
        <v>571405.984766023</v>
      </c>
      <c r="AO50" s="169">
        <f t="shared" si="29"/>
        <v>566006.54208744329</v>
      </c>
      <c r="AP50" s="169">
        <f t="shared" si="29"/>
        <v>560539.42268645717</v>
      </c>
      <c r="AQ50" s="169">
        <f t="shared" si="29"/>
        <v>555001.93611548666</v>
      </c>
      <c r="AR50" s="152"/>
      <c r="AW50" s="152"/>
      <c r="AX50" s="152"/>
      <c r="AY50" s="152"/>
      <c r="AZ50" s="152"/>
      <c r="BA50" s="152"/>
      <c r="BB50" s="152"/>
      <c r="BC50" s="152"/>
      <c r="BD50" s="152"/>
      <c r="BE50" s="152"/>
      <c r="BF50" s="152"/>
      <c r="BG50" s="152"/>
      <c r="BH50" s="152"/>
      <c r="BI50" s="152"/>
      <c r="BJ50" s="152"/>
      <c r="BK50" s="152"/>
      <c r="BL50" s="152"/>
      <c r="BM50" s="152"/>
      <c r="BN50" s="152"/>
      <c r="BO50" s="152"/>
      <c r="BP50" s="152"/>
      <c r="BQ50" s="152"/>
      <c r="BR50" s="152"/>
      <c r="BS50" s="152"/>
      <c r="BT50" s="152"/>
      <c r="BU50" s="152"/>
      <c r="BV50" s="152"/>
      <c r="BW50" s="152"/>
      <c r="BX50" s="152"/>
      <c r="BY50" s="152"/>
      <c r="BZ50" s="152"/>
      <c r="CA50" s="152"/>
      <c r="CB50" s="152"/>
      <c r="CC50" s="152"/>
      <c r="CD50" s="152"/>
      <c r="CE50" s="152"/>
      <c r="CF50" s="152"/>
      <c r="CG50" s="152"/>
      <c r="CH50" s="152"/>
      <c r="CI50" s="152"/>
      <c r="CJ50" s="152"/>
      <c r="CK50" s="152"/>
      <c r="CL50" s="152"/>
      <c r="CM50" s="152"/>
      <c r="CN50" s="152"/>
      <c r="CO50" s="152"/>
      <c r="CP50" s="152"/>
      <c r="CQ50" s="152"/>
      <c r="CR50" s="152"/>
      <c r="CS50" s="152"/>
      <c r="CT50" s="152"/>
      <c r="CU50" s="152"/>
      <c r="CV50" s="152"/>
      <c r="CW50" s="152"/>
      <c r="CX50" s="152"/>
      <c r="CY50" s="152"/>
      <c r="CZ50" s="152"/>
      <c r="DA50" s="152"/>
      <c r="DB50" s="152"/>
      <c r="DC50" s="152"/>
      <c r="DD50" s="152"/>
      <c r="DE50" s="152"/>
      <c r="DF50" s="152"/>
      <c r="DG50" s="152"/>
      <c r="DH50" s="152"/>
      <c r="DI50" s="152"/>
      <c r="DJ50" s="152"/>
      <c r="DK50" s="152"/>
      <c r="DL50" s="152"/>
      <c r="DM50" s="152"/>
      <c r="DN50" s="152"/>
      <c r="DO50" s="152"/>
      <c r="DP50" s="152"/>
      <c r="DQ50" s="152"/>
      <c r="DR50" s="152"/>
      <c r="DS50" s="152"/>
      <c r="DT50" s="152"/>
      <c r="DU50" s="152"/>
      <c r="DV50" s="152"/>
      <c r="DW50" s="152"/>
      <c r="DX50" s="152"/>
      <c r="DY50" s="152"/>
      <c r="DZ50" s="152"/>
      <c r="EA50" s="152"/>
      <c r="EB50" s="152"/>
      <c r="EC50" s="152"/>
      <c r="ED50" s="152"/>
      <c r="EE50" s="152"/>
      <c r="EF50" s="152"/>
      <c r="EG50" s="152"/>
      <c r="EH50" s="152"/>
      <c r="EI50" s="152"/>
      <c r="EJ50" s="152"/>
      <c r="EK50" s="152"/>
      <c r="EL50" s="152"/>
      <c r="EM50" s="152"/>
      <c r="EN50" s="152"/>
      <c r="EO50" s="152"/>
      <c r="EP50" s="152"/>
      <c r="EQ50" s="152"/>
      <c r="ER50" s="152"/>
      <c r="ES50" s="152"/>
      <c r="ET50" s="152"/>
      <c r="EU50" s="152"/>
      <c r="EV50" s="152"/>
      <c r="EW50" s="152"/>
      <c r="EX50" s="152"/>
      <c r="EY50" s="152"/>
      <c r="EZ50" s="152"/>
      <c r="FA50" s="152"/>
      <c r="FB50" s="152"/>
      <c r="FC50" s="152"/>
      <c r="FD50" s="152"/>
      <c r="FE50" s="152"/>
      <c r="FF50" s="152"/>
      <c r="FG50" s="152"/>
      <c r="FH50" s="152"/>
      <c r="FI50" s="152"/>
      <c r="FJ50" s="152"/>
      <c r="FK50" s="152"/>
      <c r="FL50" s="152"/>
      <c r="FM50" s="152"/>
      <c r="FN50" s="152"/>
      <c r="FO50" s="152"/>
      <c r="FP50" s="152"/>
      <c r="FQ50" s="152"/>
      <c r="FR50" s="152"/>
      <c r="FS50" s="152"/>
      <c r="FT50" s="152"/>
      <c r="FU50" s="152"/>
      <c r="FV50" s="152"/>
      <c r="FW50" s="152"/>
      <c r="FX50" s="152"/>
      <c r="FY50" s="152"/>
      <c r="FZ50" s="152"/>
      <c r="GA50" s="152"/>
      <c r="GB50" s="152"/>
      <c r="GC50" s="152"/>
      <c r="GD50" s="152"/>
      <c r="GE50" s="152"/>
      <c r="GF50" s="152"/>
      <c r="GG50" s="152"/>
      <c r="GH50" s="152"/>
      <c r="GI50" s="152"/>
      <c r="GJ50" s="152"/>
      <c r="GK50" s="152"/>
      <c r="GL50" s="152"/>
      <c r="GM50" s="152"/>
      <c r="GN50" s="152"/>
      <c r="GO50" s="152"/>
      <c r="GP50" s="152"/>
      <c r="GQ50" s="152"/>
      <c r="GR50" s="152"/>
      <c r="GS50" s="152"/>
      <c r="GT50" s="152"/>
      <c r="GU50" s="152"/>
      <c r="GV50" s="152"/>
      <c r="GW50" s="152"/>
      <c r="GX50" s="152"/>
      <c r="GY50" s="152"/>
      <c r="GZ50" s="152"/>
      <c r="HA50" s="152"/>
      <c r="HB50" s="152"/>
      <c r="HC50" s="152"/>
      <c r="HD50" s="152"/>
      <c r="HE50" s="152"/>
      <c r="HF50" s="152"/>
      <c r="HG50" s="152"/>
      <c r="HH50" s="152"/>
      <c r="HI50" s="152"/>
      <c r="HJ50" s="152"/>
      <c r="HK50" s="152"/>
      <c r="HL50" s="152"/>
      <c r="HM50" s="152"/>
      <c r="HN50" s="152"/>
      <c r="HO50" s="152"/>
      <c r="HP50" s="152"/>
      <c r="HQ50" s="152"/>
      <c r="HR50" s="152"/>
      <c r="HS50" s="152"/>
      <c r="HT50" s="152"/>
      <c r="HU50" s="152"/>
      <c r="HV50" s="152"/>
      <c r="HW50" s="152"/>
      <c r="HX50" s="152"/>
      <c r="HY50" s="152"/>
      <c r="HZ50" s="152"/>
      <c r="IA50" s="152"/>
      <c r="IB50" s="152"/>
      <c r="IC50" s="152"/>
      <c r="ID50" s="152"/>
      <c r="IE50" s="152"/>
      <c r="IF50" s="152"/>
      <c r="IG50" s="152"/>
      <c r="IH50" s="152"/>
      <c r="II50" s="152"/>
      <c r="IJ50" s="152"/>
      <c r="IK50" s="152"/>
      <c r="IL50" s="152"/>
      <c r="IM50" s="152"/>
      <c r="IN50" s="152"/>
      <c r="IO50" s="152"/>
      <c r="IP50" s="152"/>
      <c r="IQ50" s="152"/>
      <c r="IR50" s="152"/>
      <c r="IS50" s="152"/>
      <c r="IT50" s="152"/>
      <c r="IU50" s="152"/>
      <c r="IV50" s="152"/>
      <c r="IW50" s="152"/>
      <c r="IX50" s="152"/>
      <c r="IY50" s="152"/>
      <c r="IZ50" s="152"/>
      <c r="JA50" s="152"/>
      <c r="JB50" s="152"/>
      <c r="JC50" s="152"/>
      <c r="JD50" s="152"/>
      <c r="JE50" s="152"/>
      <c r="JF50" s="152"/>
      <c r="JG50" s="152"/>
      <c r="JH50" s="152"/>
      <c r="JI50" s="152"/>
      <c r="JJ50" s="152"/>
      <c r="JK50" s="152"/>
      <c r="JL50" s="152"/>
      <c r="JM50" s="152"/>
      <c r="JN50" s="152"/>
      <c r="JO50" s="152"/>
      <c r="JP50" s="152"/>
      <c r="JQ50" s="152"/>
      <c r="JR50" s="152"/>
      <c r="JS50" s="152"/>
      <c r="JT50" s="152"/>
      <c r="JU50" s="152"/>
      <c r="JV50" s="152"/>
      <c r="JW50" s="152"/>
      <c r="JX50" s="152"/>
      <c r="JY50" s="152"/>
      <c r="JZ50" s="152"/>
      <c r="KA50" s="152"/>
      <c r="KB50" s="152"/>
      <c r="KC50" s="152"/>
      <c r="KD50" s="152"/>
      <c r="KE50" s="152"/>
      <c r="KF50" s="152"/>
      <c r="KG50" s="152"/>
      <c r="KH50" s="152"/>
      <c r="KI50" s="152"/>
      <c r="KJ50" s="152"/>
      <c r="KK50" s="152"/>
      <c r="KL50" s="152"/>
      <c r="KM50" s="152"/>
      <c r="KN50" s="152"/>
      <c r="KO50" s="152"/>
      <c r="KP50" s="152"/>
      <c r="KQ50" s="152"/>
      <c r="KR50" s="152"/>
      <c r="KS50" s="152"/>
      <c r="KT50" s="152"/>
      <c r="KU50" s="152"/>
      <c r="KV50" s="152"/>
      <c r="KW50" s="152"/>
      <c r="KX50" s="152"/>
      <c r="KY50" s="152"/>
      <c r="KZ50" s="152"/>
      <c r="LA50" s="152"/>
      <c r="LB50" s="152"/>
      <c r="LC50" s="152"/>
      <c r="LD50" s="152"/>
      <c r="LE50" s="152"/>
      <c r="LF50" s="152"/>
    </row>
    <row r="51" spans="14:318">
      <c r="N51" s="325"/>
      <c r="P51" s="140"/>
      <c r="R51" s="169">
        <f>SUM($R$50:R50)</f>
        <v>-5690000</v>
      </c>
      <c r="S51" s="169">
        <f>SUM($R$50:S50)</f>
        <v>-4810158.4579999996</v>
      </c>
      <c r="T51" s="169">
        <f>SUM($R$50:T50)</f>
        <v>-3826029.0839999998</v>
      </c>
      <c r="U51" s="169">
        <f>SUM($R$50:U50)</f>
        <v>-2879055.8359201001</v>
      </c>
      <c r="V51" s="169">
        <f>SUM($R$50:V50)</f>
        <v>-1967270.5804296364</v>
      </c>
      <c r="W51" s="169">
        <f>SUM($R$50:W50)</f>
        <v>-1088820.781787209</v>
      </c>
      <c r="X51" s="169">
        <f>SUM($R$50:X50)</f>
        <v>-241963.07632233133</v>
      </c>
      <c r="Y51" s="169">
        <f>SUM($R$50:Y50)</f>
        <v>574942.78538475093</v>
      </c>
      <c r="Z51" s="169">
        <f>SUM($R$50:Z50)</f>
        <v>1363439.6493444005</v>
      </c>
      <c r="AA51" s="169">
        <f>SUM($R$50:AA50)</f>
        <v>2124978.3415623382</v>
      </c>
      <c r="AB51" s="169">
        <f>SUM($R$50:AB50)</f>
        <v>2866599.4384516194</v>
      </c>
      <c r="AC51" s="169">
        <f>SUM($R$50:AC50)</f>
        <v>3392549.5143001578</v>
      </c>
      <c r="AD51" s="169">
        <f>SUM($R$50:AD50)</f>
        <v>4014769.5092508774</v>
      </c>
      <c r="AE51" s="169">
        <f>SUM($R$50:AE50)</f>
        <v>4632134.0680099567</v>
      </c>
      <c r="AF51" s="169">
        <f>SUM($R$50:AF50)</f>
        <v>5244598.6969463276</v>
      </c>
      <c r="AG51" s="169">
        <f>SUM($R$50:AG50)</f>
        <v>5852116.8594338074</v>
      </c>
      <c r="AH51" s="169">
        <f>SUM($R$50:AH50)</f>
        <v>6454639.9195185471</v>
      </c>
      <c r="AI51" s="169">
        <f>SUM($R$50:AI50)</f>
        <v>7052117.0838618074</v>
      </c>
      <c r="AJ51" s="169">
        <f>SUM($R$50:AJ50)</f>
        <v>7644495.3419065513</v>
      </c>
      <c r="AK51" s="169">
        <f>SUM($R$50:AK50)</f>
        <v>8231719.4042148255</v>
      </c>
      <c r="AL51" s="169">
        <f>SUM($R$50:AL50)</f>
        <v>8813731.6389212795</v>
      </c>
      <c r="AM51" s="169">
        <f>SUM($R$50:AM50)</f>
        <v>9390472.0062465575</v>
      </c>
      <c r="AN51" s="169">
        <f>SUM($R$50:AN50)</f>
        <v>9961877.9910125807</v>
      </c>
      <c r="AO51" s="169">
        <f>SUM($R$50:AO50)</f>
        <v>10527884.533100024</v>
      </c>
      <c r="AP51" s="169">
        <f>SUM($R$50:AP50)</f>
        <v>11088423.955786481</v>
      </c>
      <c r="AQ51" s="169">
        <f>SUM($R$50:AQ50)</f>
        <v>11643425.891901968</v>
      </c>
    </row>
    <row r="52" spans="14:318">
      <c r="N52" s="325"/>
      <c r="O52" s="172" t="s">
        <v>240</v>
      </c>
      <c r="P52" s="173">
        <f>R50+NPV($H$6,S50:LF50)</f>
        <v>7118763.676448347</v>
      </c>
      <c r="S52" s="152"/>
      <c r="AR52" s="152"/>
      <c r="AW52" s="152"/>
      <c r="AX52" s="152"/>
      <c r="AY52" s="152"/>
      <c r="AZ52" s="152"/>
      <c r="BA52" s="152"/>
      <c r="BB52" s="152"/>
      <c r="BC52" s="152"/>
      <c r="BD52" s="152"/>
      <c r="BE52" s="152"/>
      <c r="BF52" s="152"/>
      <c r="BG52" s="152"/>
      <c r="BH52" s="152"/>
      <c r="BI52" s="152"/>
      <c r="BJ52" s="152"/>
      <c r="BK52" s="152"/>
      <c r="BL52" s="152"/>
      <c r="BM52" s="152"/>
      <c r="BN52" s="152"/>
      <c r="BO52" s="152"/>
      <c r="BP52" s="152"/>
      <c r="BQ52" s="152"/>
      <c r="BR52" s="152"/>
      <c r="BS52" s="152"/>
      <c r="BT52" s="152"/>
      <c r="BU52" s="152"/>
      <c r="BV52" s="152"/>
      <c r="BW52" s="152"/>
      <c r="BX52" s="152"/>
      <c r="BY52" s="152"/>
      <c r="BZ52" s="152"/>
      <c r="CA52" s="152"/>
      <c r="CB52" s="152"/>
      <c r="CC52" s="152"/>
      <c r="CD52" s="152"/>
      <c r="CE52" s="152"/>
      <c r="CF52" s="152"/>
      <c r="CG52" s="152"/>
      <c r="CH52" s="152"/>
      <c r="CI52" s="152"/>
      <c r="CJ52" s="152"/>
      <c r="CK52" s="152"/>
      <c r="CL52" s="152"/>
      <c r="CM52" s="152"/>
      <c r="CN52" s="152"/>
      <c r="CO52" s="152"/>
      <c r="CP52" s="152"/>
      <c r="CQ52" s="152"/>
      <c r="CR52" s="152"/>
      <c r="CS52" s="152"/>
      <c r="CT52" s="152"/>
      <c r="CU52" s="152"/>
      <c r="CV52" s="152"/>
      <c r="CW52" s="152"/>
      <c r="CX52" s="152"/>
      <c r="CY52" s="152"/>
      <c r="CZ52" s="152"/>
      <c r="DA52" s="152"/>
      <c r="DB52" s="152"/>
      <c r="DC52" s="152"/>
      <c r="DD52" s="152"/>
      <c r="DE52" s="152"/>
      <c r="DF52" s="152"/>
      <c r="DG52" s="152"/>
      <c r="DH52" s="152"/>
      <c r="DI52" s="152"/>
      <c r="DJ52" s="152"/>
      <c r="DK52" s="152"/>
      <c r="DL52" s="152"/>
      <c r="DM52" s="152"/>
      <c r="DN52" s="152"/>
      <c r="DO52" s="152"/>
      <c r="DP52" s="152"/>
      <c r="DQ52" s="152"/>
      <c r="DR52" s="152"/>
      <c r="DS52" s="152"/>
      <c r="DT52" s="152"/>
      <c r="DU52" s="152"/>
      <c r="DV52" s="152"/>
      <c r="DW52" s="152"/>
      <c r="DX52" s="152"/>
      <c r="DY52" s="152"/>
      <c r="DZ52" s="152"/>
      <c r="EA52" s="152"/>
      <c r="EB52" s="152"/>
      <c r="EC52" s="152"/>
      <c r="ED52" s="152"/>
      <c r="EE52" s="152"/>
      <c r="EF52" s="152"/>
      <c r="EG52" s="152"/>
      <c r="EH52" s="152"/>
      <c r="EI52" s="152"/>
      <c r="EJ52" s="152"/>
      <c r="EK52" s="152"/>
      <c r="EL52" s="152"/>
      <c r="EM52" s="152"/>
      <c r="EN52" s="152"/>
      <c r="EO52" s="152"/>
      <c r="EP52" s="152"/>
      <c r="EQ52" s="152"/>
      <c r="ER52" s="152"/>
      <c r="ES52" s="152"/>
      <c r="ET52" s="152"/>
      <c r="EU52" s="152"/>
      <c r="EV52" s="152"/>
      <c r="EW52" s="152"/>
      <c r="EX52" s="152"/>
      <c r="EY52" s="152"/>
      <c r="EZ52" s="152"/>
      <c r="FA52" s="152"/>
      <c r="FB52" s="152"/>
      <c r="FC52" s="152"/>
      <c r="FD52" s="152"/>
      <c r="FE52" s="152"/>
      <c r="FF52" s="152"/>
      <c r="FG52" s="152"/>
      <c r="FH52" s="152"/>
      <c r="FI52" s="152"/>
      <c r="FJ52" s="152"/>
      <c r="FK52" s="152"/>
      <c r="FL52" s="152"/>
      <c r="FM52" s="152"/>
      <c r="FN52" s="152"/>
      <c r="FO52" s="152"/>
      <c r="FP52" s="152"/>
      <c r="FQ52" s="152"/>
      <c r="FR52" s="152"/>
      <c r="FS52" s="152"/>
      <c r="FT52" s="152"/>
      <c r="FU52" s="152"/>
      <c r="FV52" s="152"/>
      <c r="FW52" s="152"/>
      <c r="FX52" s="152"/>
      <c r="FY52" s="152"/>
      <c r="FZ52" s="152"/>
      <c r="GA52" s="152"/>
      <c r="GB52" s="152"/>
      <c r="GC52" s="152"/>
      <c r="GD52" s="152"/>
      <c r="GE52" s="152"/>
      <c r="GF52" s="152"/>
      <c r="GG52" s="152"/>
      <c r="GH52" s="152"/>
      <c r="GI52" s="152"/>
      <c r="GJ52" s="152"/>
      <c r="GK52" s="152"/>
      <c r="GL52" s="152"/>
      <c r="GM52" s="152"/>
      <c r="GN52" s="152"/>
      <c r="GO52" s="152"/>
      <c r="GP52" s="152"/>
      <c r="GQ52" s="152"/>
      <c r="GR52" s="152"/>
      <c r="GS52" s="152"/>
      <c r="GT52" s="152"/>
      <c r="GU52" s="152"/>
      <c r="GV52" s="152"/>
      <c r="GW52" s="152"/>
      <c r="GX52" s="152"/>
      <c r="GY52" s="152"/>
      <c r="GZ52" s="152"/>
      <c r="HA52" s="152"/>
      <c r="HB52" s="152"/>
      <c r="HC52" s="152"/>
      <c r="HD52" s="152"/>
      <c r="HE52" s="152"/>
      <c r="HF52" s="152"/>
      <c r="HG52" s="152"/>
      <c r="HH52" s="152"/>
      <c r="HI52" s="152"/>
      <c r="HJ52" s="152"/>
      <c r="HK52" s="152"/>
      <c r="HL52" s="152"/>
      <c r="HM52" s="152"/>
      <c r="HN52" s="152"/>
      <c r="HO52" s="152"/>
      <c r="HP52" s="152"/>
      <c r="HQ52" s="152"/>
      <c r="HR52" s="152"/>
      <c r="HS52" s="152"/>
      <c r="HT52" s="152"/>
      <c r="HU52" s="152"/>
      <c r="HV52" s="152"/>
      <c r="HW52" s="152"/>
      <c r="HX52" s="152"/>
      <c r="HY52" s="152"/>
      <c r="HZ52" s="152"/>
      <c r="IA52" s="152"/>
      <c r="IB52" s="152"/>
      <c r="IC52" s="152"/>
      <c r="ID52" s="152"/>
      <c r="IE52" s="152"/>
      <c r="IF52" s="152"/>
      <c r="IG52" s="152"/>
      <c r="IH52" s="152"/>
      <c r="II52" s="152"/>
      <c r="IJ52" s="152"/>
      <c r="IK52" s="152"/>
      <c r="IL52" s="152"/>
      <c r="IM52" s="152"/>
      <c r="IN52" s="152"/>
      <c r="IO52" s="152"/>
      <c r="IP52" s="152"/>
      <c r="IQ52" s="152"/>
      <c r="IR52" s="152"/>
      <c r="IS52" s="152"/>
      <c r="IT52" s="152"/>
      <c r="IU52" s="152"/>
      <c r="IV52" s="152"/>
      <c r="IW52" s="152"/>
      <c r="IX52" s="152"/>
      <c r="IY52" s="152"/>
      <c r="IZ52" s="152"/>
      <c r="JA52" s="152"/>
      <c r="JB52" s="152"/>
      <c r="JC52" s="152"/>
      <c r="JD52" s="152"/>
      <c r="JE52" s="152"/>
      <c r="JF52" s="152"/>
      <c r="JG52" s="152"/>
      <c r="JH52" s="152"/>
      <c r="JI52" s="152"/>
      <c r="JJ52" s="152"/>
      <c r="JK52" s="152"/>
      <c r="JL52" s="152"/>
      <c r="JM52" s="152"/>
      <c r="JN52" s="152"/>
      <c r="JO52" s="152"/>
      <c r="JP52" s="152"/>
      <c r="JQ52" s="152"/>
      <c r="JR52" s="152"/>
      <c r="JS52" s="152"/>
      <c r="JT52" s="152"/>
      <c r="JU52" s="152"/>
      <c r="JV52" s="152"/>
      <c r="JW52" s="152"/>
      <c r="JX52" s="152"/>
      <c r="JY52" s="152"/>
      <c r="JZ52" s="152"/>
      <c r="KA52" s="152"/>
      <c r="KB52" s="152"/>
      <c r="KC52" s="152"/>
      <c r="KD52" s="152"/>
      <c r="KE52" s="152"/>
      <c r="KF52" s="152"/>
      <c r="KG52" s="152"/>
      <c r="KH52" s="152"/>
      <c r="KI52" s="152"/>
      <c r="KJ52" s="152"/>
      <c r="KK52" s="152"/>
      <c r="KL52" s="152"/>
      <c r="KM52" s="152"/>
      <c r="KN52" s="152"/>
      <c r="KO52" s="152"/>
      <c r="KP52" s="152"/>
      <c r="KQ52" s="152"/>
      <c r="KR52" s="152"/>
      <c r="KS52" s="152"/>
      <c r="KT52" s="152"/>
      <c r="KU52" s="152"/>
      <c r="KV52" s="152"/>
      <c r="KW52" s="152"/>
      <c r="KX52" s="152"/>
      <c r="KY52" s="152"/>
      <c r="KZ52" s="152"/>
      <c r="LA52" s="152"/>
      <c r="LB52" s="152"/>
      <c r="LC52" s="152"/>
      <c r="LD52" s="152"/>
      <c r="LE52" s="152"/>
      <c r="LF52" s="152"/>
    </row>
    <row r="53" spans="14:318">
      <c r="N53" s="325"/>
      <c r="O53" s="172"/>
      <c r="P53" s="174"/>
      <c r="S53" s="152"/>
      <c r="T53" s="152"/>
      <c r="U53" s="152"/>
      <c r="V53" s="152"/>
      <c r="W53" s="152"/>
      <c r="X53" s="152"/>
      <c r="Y53" s="152"/>
      <c r="Z53" s="152"/>
      <c r="AA53" s="152"/>
      <c r="AB53" s="152"/>
      <c r="AC53" s="152"/>
      <c r="AD53" s="152"/>
      <c r="AE53" s="152"/>
      <c r="AF53" s="152"/>
      <c r="AG53" s="152"/>
      <c r="AH53" s="152"/>
      <c r="AI53" s="152"/>
      <c r="AJ53" s="152"/>
      <c r="AK53" s="152"/>
      <c r="AL53" s="152"/>
      <c r="AM53" s="152"/>
      <c r="AN53" s="152"/>
      <c r="AO53" s="152"/>
      <c r="AP53" s="152"/>
      <c r="AQ53" s="152"/>
    </row>
    <row r="54" spans="14:318" ht="18.75">
      <c r="N54" s="325"/>
      <c r="O54" s="175" t="s">
        <v>241</v>
      </c>
      <c r="P54" s="204">
        <f>MAX(S55:LF55)</f>
        <v>7</v>
      </c>
      <c r="S54" s="1">
        <f>(SUM($R$50:S50)&gt;0)*(SUM($R$50:R50)&lt;0)*1</f>
        <v>0</v>
      </c>
      <c r="T54" s="1">
        <f>(SUM($R$50:T50)&gt;0)*(SUM($R$50:S50)&lt;0)*1</f>
        <v>0</v>
      </c>
      <c r="U54" s="1">
        <f>(SUM($R$50:U50)&gt;0)*(SUM($R$50:T50)&lt;0)*1</f>
        <v>0</v>
      </c>
      <c r="V54" s="1">
        <f>(SUM($R$50:V50)&gt;0)*(SUM($R$50:U50)&lt;0)*1</f>
        <v>0</v>
      </c>
      <c r="W54" s="1">
        <f>(SUM($R$50:W50)&gt;0)*(SUM($R$50:V50)&lt;0)*1</f>
        <v>0</v>
      </c>
      <c r="X54" s="1">
        <f>(SUM($R$50:X50)&gt;0)*(SUM($R$50:W50)&lt;0)*1</f>
        <v>0</v>
      </c>
      <c r="Y54" s="1">
        <f>(SUM($R$50:Y50)&gt;0)*(SUM($R$50:X50)&lt;0)*1</f>
        <v>1</v>
      </c>
      <c r="Z54" s="1">
        <f>(SUM($R$50:Z50)&gt;0)*(SUM($R$50:Y50)&lt;0)*1</f>
        <v>0</v>
      </c>
      <c r="AA54" s="1">
        <f>(SUM($R$50:AA50)&gt;0)*(SUM($R$50:Z50)&lt;0)*1</f>
        <v>0</v>
      </c>
      <c r="AB54" s="1">
        <f>(SUM($R$50:AB50)&gt;0)*(SUM($R$50:AA50)&lt;0)*1</f>
        <v>0</v>
      </c>
      <c r="AC54" s="1">
        <f>(SUM($R$50:AC50)&gt;0)*(SUM($R$50:AB50)&lt;0)*1</f>
        <v>0</v>
      </c>
      <c r="AD54" s="1">
        <f>(SUM($R$50:AD50)&gt;0)*(SUM($R$50:AC50)&lt;0)*1</f>
        <v>0</v>
      </c>
      <c r="AE54" s="1">
        <f>(SUM($R$50:AE50)&gt;0)*(SUM($R$50:AD50)&lt;0)*1</f>
        <v>0</v>
      </c>
      <c r="AF54" s="1">
        <f>(SUM($R$50:AF50)&gt;0)*(SUM($R$50:AE50)&lt;0)*1</f>
        <v>0</v>
      </c>
      <c r="AG54" s="1">
        <f>(SUM($R$50:AG50)&gt;0)*(SUM($R$50:AF50)&lt;0)*1</f>
        <v>0</v>
      </c>
      <c r="AH54" s="1">
        <f>(SUM($R$50:AH50)&gt;0)*(SUM($R$50:AG50)&lt;0)*1</f>
        <v>0</v>
      </c>
      <c r="AI54" s="1">
        <f>(SUM($R$50:AI50)&gt;0)*(SUM($R$50:AH50)&lt;0)*1</f>
        <v>0</v>
      </c>
      <c r="AJ54" s="1">
        <f>(SUM($R$50:AJ50)&gt;0)*(SUM($R$50:AI50)&lt;0)*1</f>
        <v>0</v>
      </c>
      <c r="AK54" s="1">
        <f>(SUM($R$50:AK50)&gt;0)*(SUM($R$50:AJ50)&lt;0)*1</f>
        <v>0</v>
      </c>
      <c r="AL54" s="1">
        <f>(SUM($R$50:AL50)&gt;0)*(SUM($R$50:AK50)&lt;0)*1</f>
        <v>0</v>
      </c>
      <c r="AM54" s="1">
        <f>(SUM($R$50:AM50)&gt;0)*(SUM($R$50:AL50)&lt;0)*1</f>
        <v>0</v>
      </c>
      <c r="AN54" s="1">
        <f>(SUM($R$50:AN50)&gt;0)*(SUM($R$50:AM50)&lt;0)*1</f>
        <v>0</v>
      </c>
      <c r="AO54" s="1">
        <f>(SUM($R$50:AO50)&gt;0)*(SUM($R$50:AN50)&lt;0)*1</f>
        <v>0</v>
      </c>
      <c r="AP54" s="1">
        <f>(SUM($R$50:AP50)&gt;0)*(SUM($R$50:AO50)&lt;0)*1</f>
        <v>0</v>
      </c>
      <c r="AQ54" s="1">
        <f>(SUM($R$50:AQ50)&gt;0)*(SUM($R$50:AP50)&lt;0)*1</f>
        <v>0</v>
      </c>
    </row>
    <row r="55" spans="14:318">
      <c r="N55" s="325"/>
      <c r="O55" s="172"/>
      <c r="P55" s="174"/>
      <c r="S55" s="1">
        <f t="shared" ref="S55:AQ55" si="30">S54*S11</f>
        <v>0</v>
      </c>
      <c r="T55" s="1">
        <f t="shared" si="30"/>
        <v>0</v>
      </c>
      <c r="U55" s="1">
        <f t="shared" si="30"/>
        <v>0</v>
      </c>
      <c r="V55" s="1">
        <f t="shared" si="30"/>
        <v>0</v>
      </c>
      <c r="W55" s="1">
        <f t="shared" si="30"/>
        <v>0</v>
      </c>
      <c r="X55" s="1">
        <f t="shared" si="30"/>
        <v>0</v>
      </c>
      <c r="Y55" s="1">
        <f t="shared" si="30"/>
        <v>7</v>
      </c>
      <c r="Z55" s="1">
        <f t="shared" si="30"/>
        <v>0</v>
      </c>
      <c r="AA55" s="1">
        <f t="shared" si="30"/>
        <v>0</v>
      </c>
      <c r="AB55" s="1">
        <f t="shared" si="30"/>
        <v>0</v>
      </c>
      <c r="AC55" s="1">
        <f t="shared" si="30"/>
        <v>0</v>
      </c>
      <c r="AD55" s="1">
        <f t="shared" si="30"/>
        <v>0</v>
      </c>
      <c r="AE55" s="1">
        <f t="shared" si="30"/>
        <v>0</v>
      </c>
      <c r="AF55" s="1">
        <f t="shared" si="30"/>
        <v>0</v>
      </c>
      <c r="AG55" s="1">
        <f t="shared" si="30"/>
        <v>0</v>
      </c>
      <c r="AH55" s="1">
        <f t="shared" si="30"/>
        <v>0</v>
      </c>
      <c r="AI55" s="1">
        <f t="shared" si="30"/>
        <v>0</v>
      </c>
      <c r="AJ55" s="1">
        <f t="shared" si="30"/>
        <v>0</v>
      </c>
      <c r="AK55" s="1">
        <f t="shared" si="30"/>
        <v>0</v>
      </c>
      <c r="AL55" s="1">
        <f t="shared" si="30"/>
        <v>0</v>
      </c>
      <c r="AM55" s="1">
        <f t="shared" si="30"/>
        <v>0</v>
      </c>
      <c r="AN55" s="1">
        <f t="shared" si="30"/>
        <v>0</v>
      </c>
      <c r="AO55" s="1">
        <f t="shared" si="30"/>
        <v>0</v>
      </c>
      <c r="AP55" s="1">
        <f t="shared" si="30"/>
        <v>0</v>
      </c>
      <c r="AQ55" s="1">
        <f t="shared" si="30"/>
        <v>0</v>
      </c>
    </row>
    <row r="56" spans="14:318" ht="19.5" thickBot="1">
      <c r="N56" s="326"/>
      <c r="O56" s="177" t="s">
        <v>242</v>
      </c>
      <c r="P56" s="178">
        <f>IRR(R50:LF50)</f>
        <v>0.1359471315902836</v>
      </c>
    </row>
    <row r="59" spans="14:318" ht="15.75" thickBot="1"/>
    <row r="60" spans="14:318">
      <c r="N60" s="324" t="s">
        <v>243</v>
      </c>
      <c r="O60" s="161" t="s">
        <v>239</v>
      </c>
      <c r="P60" s="162"/>
      <c r="R60" s="169">
        <f>-($A$6*$B$6+$S$6+$R$6+$X$6+$Y$6)</f>
        <v>-5690000</v>
      </c>
      <c r="S60" s="169">
        <f>S31-S38-S39-S45</f>
        <v>879841.54200000002</v>
      </c>
      <c r="T60" s="169">
        <f t="shared" ref="T60:AQ60" si="31">T31-T38-T39-T45</f>
        <v>984129.37400000007</v>
      </c>
      <c r="U60" s="169">
        <f t="shared" si="31"/>
        <v>946973.24807989993</v>
      </c>
      <c r="V60" s="169">
        <f t="shared" si="31"/>
        <v>911785.25549046358</v>
      </c>
      <c r="W60" s="169">
        <f t="shared" si="31"/>
        <v>878449.79864242743</v>
      </c>
      <c r="X60" s="169">
        <f t="shared" si="31"/>
        <v>846857.70546487765</v>
      </c>
      <c r="Y60" s="169">
        <f t="shared" si="31"/>
        <v>816905.86170708225</v>
      </c>
      <c r="Z60" s="169">
        <f t="shared" si="31"/>
        <v>788496.86395964969</v>
      </c>
      <c r="AA60" s="169">
        <f t="shared" si="31"/>
        <v>761538.69221793744</v>
      </c>
      <c r="AB60" s="169">
        <f t="shared" si="31"/>
        <v>741621.09688928118</v>
      </c>
      <c r="AC60" s="169">
        <f t="shared" si="31"/>
        <v>525950.07584853843</v>
      </c>
      <c r="AD60" s="169">
        <f t="shared" si="31"/>
        <v>622219.99495071964</v>
      </c>
      <c r="AE60" s="169">
        <f t="shared" si="31"/>
        <v>617364.55875907908</v>
      </c>
      <c r="AF60" s="169">
        <f t="shared" si="31"/>
        <v>612464.6289363706</v>
      </c>
      <c r="AG60" s="169">
        <f t="shared" si="31"/>
        <v>607518.16248747939</v>
      </c>
      <c r="AH60" s="169">
        <f t="shared" si="31"/>
        <v>602523.06008474005</v>
      </c>
      <c r="AI60" s="169">
        <f t="shared" si="31"/>
        <v>597477.16434326011</v>
      </c>
      <c r="AJ60" s="169">
        <f t="shared" si="31"/>
        <v>592378.25804474379</v>
      </c>
      <c r="AK60" s="169">
        <f t="shared" si="31"/>
        <v>587224.06230827398</v>
      </c>
      <c r="AL60" s="169">
        <f t="shared" si="31"/>
        <v>582012.23470645468</v>
      </c>
      <c r="AM60" s="169">
        <f t="shared" si="31"/>
        <v>576740.36732527812</v>
      </c>
      <c r="AN60" s="169">
        <f t="shared" si="31"/>
        <v>571405.984766023</v>
      </c>
      <c r="AO60" s="169">
        <f t="shared" si="31"/>
        <v>566006.54208744329</v>
      </c>
      <c r="AP60" s="169">
        <f t="shared" si="31"/>
        <v>560539.42268645717</v>
      </c>
      <c r="AQ60" s="169">
        <f t="shared" si="31"/>
        <v>555001.93611548666</v>
      </c>
    </row>
    <row r="61" spans="14:318">
      <c r="N61" s="325"/>
      <c r="P61" s="140"/>
    </row>
    <row r="62" spans="14:318">
      <c r="N62" s="325"/>
      <c r="O62" s="172" t="s">
        <v>240</v>
      </c>
      <c r="P62" s="173">
        <f>R60+NPV($H$6,S60:LF60)</f>
        <v>7118763.676448347</v>
      </c>
    </row>
    <row r="63" spans="14:318">
      <c r="N63" s="325"/>
      <c r="O63" s="172"/>
      <c r="P63" s="174"/>
    </row>
    <row r="64" spans="14:318" ht="18.75">
      <c r="N64" s="325"/>
      <c r="O64" s="175" t="s">
        <v>241</v>
      </c>
      <c r="P64" s="176">
        <f>MAX(S65:LF65)</f>
        <v>7</v>
      </c>
      <c r="S64" s="1">
        <f>(SUM($R$60:S60)&gt;0)*(SUM($R$60:R60)&lt;0)*1</f>
        <v>0</v>
      </c>
      <c r="T64" s="1">
        <f>(SUM($R$60:T60)&gt;0)*(SUM($R$60:S60)&lt;0)*1</f>
        <v>0</v>
      </c>
      <c r="U64" s="1">
        <f>(SUM($R$60:U60)&gt;0)*(SUM($R$60:T60)&lt;0)*1</f>
        <v>0</v>
      </c>
      <c r="V64" s="1">
        <f>(SUM($R$60:V60)&gt;0)*(SUM($R$60:U60)&lt;0)*1</f>
        <v>0</v>
      </c>
      <c r="W64" s="1">
        <f>(SUM($R$60:W60)&gt;0)*(SUM($R$60:V60)&lt;0)*1</f>
        <v>0</v>
      </c>
      <c r="X64" s="1">
        <f>(SUM($R$60:X60)&gt;0)*(SUM($R$60:W60)&lt;0)*1</f>
        <v>0</v>
      </c>
      <c r="Y64" s="1">
        <f>(SUM($R$60:Y60)&gt;0)*(SUM($R$60:X60)&lt;0)*1</f>
        <v>1</v>
      </c>
      <c r="Z64" s="1">
        <f>(SUM($R$60:Z60)&gt;0)*(SUM($R$60:Y60)&lt;0)*1</f>
        <v>0</v>
      </c>
      <c r="AA64" s="1">
        <f>(SUM($R$60:AA60)&gt;0)*(SUM($R$60:Z60)&lt;0)*1</f>
        <v>0</v>
      </c>
      <c r="AB64" s="1">
        <f>(SUM($R$60:AB60)&gt;0)*(SUM($R$60:AA60)&lt;0)*1</f>
        <v>0</v>
      </c>
      <c r="AC64" s="1">
        <f>(SUM($R$60:AC60)&gt;0)*(SUM($R$60:AB60)&lt;0)*1</f>
        <v>0</v>
      </c>
      <c r="AD64" s="1">
        <f>(SUM($R$60:AD60)&gt;0)*(SUM($R$60:AC60)&lt;0)*1</f>
        <v>0</v>
      </c>
      <c r="AE64" s="1">
        <f>(SUM($R$60:AE60)&gt;0)*(SUM($R$60:AD60)&lt;0)*1</f>
        <v>0</v>
      </c>
      <c r="AF64" s="1">
        <f>(SUM($R$60:AF60)&gt;0)*(SUM($R$60:AE60)&lt;0)*1</f>
        <v>0</v>
      </c>
      <c r="AG64" s="1">
        <f>(SUM($R$60:AG60)&gt;0)*(SUM($R$60:AF60)&lt;0)*1</f>
        <v>0</v>
      </c>
      <c r="AH64" s="1">
        <f>(SUM($R$60:AH60)&gt;0)*(SUM($R$60:AG60)&lt;0)*1</f>
        <v>0</v>
      </c>
      <c r="AI64" s="1">
        <f>(SUM($R$60:AI60)&gt;0)*(SUM($R$60:AH60)&lt;0)*1</f>
        <v>0</v>
      </c>
      <c r="AJ64" s="1">
        <f>(SUM($R$60:AJ60)&gt;0)*(SUM($R$60:AI60)&lt;0)*1</f>
        <v>0</v>
      </c>
      <c r="AK64" s="1">
        <f>(SUM($R$60:AK60)&gt;0)*(SUM($R$60:AJ60)&lt;0)*1</f>
        <v>0</v>
      </c>
      <c r="AL64" s="1">
        <f>(SUM($R$60:AL60)&gt;0)*(SUM($R$60:AK60)&lt;0)*1</f>
        <v>0</v>
      </c>
      <c r="AM64" s="1">
        <f>(SUM($R$60:AM60)&gt;0)*(SUM($R$60:AL60)&lt;0)*1</f>
        <v>0</v>
      </c>
      <c r="AN64" s="1">
        <f>(SUM($R$60:AN60)&gt;0)*(SUM($R$60:AM60)&lt;0)*1</f>
        <v>0</v>
      </c>
      <c r="AO64" s="1">
        <f>(SUM($R$60:AO60)&gt;0)*(SUM($R$60:AN60)&lt;0)*1</f>
        <v>0</v>
      </c>
      <c r="AP64" s="1">
        <f>(SUM($R$60:AP60)&gt;0)*(SUM($R$60:AO60)&lt;0)*1</f>
        <v>0</v>
      </c>
      <c r="AQ64" s="1">
        <f>(SUM($R$60:AQ60)&gt;0)*(SUM($R$60:AP60)&lt;0)*1</f>
        <v>0</v>
      </c>
    </row>
    <row r="65" spans="14:43">
      <c r="N65" s="325"/>
      <c r="O65" s="172"/>
      <c r="P65" s="174"/>
      <c r="S65" s="1">
        <f t="shared" ref="S65:AQ65" si="32">S64*S11</f>
        <v>0</v>
      </c>
      <c r="T65" s="1">
        <f t="shared" si="32"/>
        <v>0</v>
      </c>
      <c r="U65" s="1">
        <f t="shared" si="32"/>
        <v>0</v>
      </c>
      <c r="V65" s="1">
        <f t="shared" si="32"/>
        <v>0</v>
      </c>
      <c r="W65" s="1">
        <f t="shared" si="32"/>
        <v>0</v>
      </c>
      <c r="X65" s="1">
        <f t="shared" si="32"/>
        <v>0</v>
      </c>
      <c r="Y65" s="1">
        <f t="shared" si="32"/>
        <v>7</v>
      </c>
      <c r="Z65" s="1">
        <f t="shared" si="32"/>
        <v>0</v>
      </c>
      <c r="AA65" s="1">
        <f t="shared" si="32"/>
        <v>0</v>
      </c>
      <c r="AB65" s="1">
        <f t="shared" si="32"/>
        <v>0</v>
      </c>
      <c r="AC65" s="1">
        <f t="shared" si="32"/>
        <v>0</v>
      </c>
      <c r="AD65" s="1">
        <f t="shared" si="32"/>
        <v>0</v>
      </c>
      <c r="AE65" s="1">
        <f t="shared" si="32"/>
        <v>0</v>
      </c>
      <c r="AF65" s="1">
        <f t="shared" si="32"/>
        <v>0</v>
      </c>
      <c r="AG65" s="1">
        <f t="shared" si="32"/>
        <v>0</v>
      </c>
      <c r="AH65" s="1">
        <f t="shared" si="32"/>
        <v>0</v>
      </c>
      <c r="AI65" s="1">
        <f t="shared" si="32"/>
        <v>0</v>
      </c>
      <c r="AJ65" s="1">
        <f t="shared" si="32"/>
        <v>0</v>
      </c>
      <c r="AK65" s="1">
        <f t="shared" si="32"/>
        <v>0</v>
      </c>
      <c r="AL65" s="1">
        <f t="shared" si="32"/>
        <v>0</v>
      </c>
      <c r="AM65" s="1">
        <f t="shared" si="32"/>
        <v>0</v>
      </c>
      <c r="AN65" s="1">
        <f t="shared" si="32"/>
        <v>0</v>
      </c>
      <c r="AO65" s="1">
        <f t="shared" si="32"/>
        <v>0</v>
      </c>
      <c r="AP65" s="1">
        <f t="shared" si="32"/>
        <v>0</v>
      </c>
      <c r="AQ65" s="1">
        <f t="shared" si="32"/>
        <v>0</v>
      </c>
    </row>
    <row r="66" spans="14:43" ht="19.5" thickBot="1">
      <c r="N66" s="326"/>
      <c r="O66" s="177" t="s">
        <v>244</v>
      </c>
      <c r="P66" s="178">
        <f>IRR(R60:AQ60)</f>
        <v>0.1359471315902836</v>
      </c>
    </row>
    <row r="69" spans="14:43">
      <c r="N69" s="327" t="s">
        <v>245</v>
      </c>
      <c r="O69" s="327"/>
      <c r="P69" s="327"/>
      <c r="R69" s="328" t="s">
        <v>246</v>
      </c>
      <c r="S69" s="329"/>
      <c r="T69" s="330"/>
      <c r="X69" s="328" t="s">
        <v>247</v>
      </c>
      <c r="Y69" s="329"/>
      <c r="Z69" s="330"/>
      <c r="AC69" s="328" t="s">
        <v>248</v>
      </c>
      <c r="AD69" s="329"/>
      <c r="AE69" s="330"/>
    </row>
    <row r="70" spans="14:43" ht="15" customHeight="1">
      <c r="N70" s="319" t="s">
        <v>162</v>
      </c>
      <c r="O70" s="163"/>
      <c r="P70" s="163">
        <f>P54</f>
        <v>7</v>
      </c>
      <c r="R70" s="3"/>
      <c r="S70" s="163"/>
      <c r="T70" s="203">
        <f>P64</f>
        <v>7</v>
      </c>
      <c r="X70" s="3"/>
      <c r="Y70" s="164"/>
      <c r="Z70" s="205">
        <f>P56</f>
        <v>0.1359471315902836</v>
      </c>
      <c r="AC70" s="3"/>
      <c r="AE70" s="164">
        <f>P66</f>
        <v>0.1359471315902836</v>
      </c>
    </row>
    <row r="71" spans="14:43">
      <c r="N71" s="319"/>
      <c r="O71" s="179">
        <v>57</v>
      </c>
      <c r="P71" s="180">
        <f t="dataTable" ref="P71:P88" dt2D="0" dtr="0" r1="I6"/>
        <v>8</v>
      </c>
      <c r="R71" s="319" t="s">
        <v>162</v>
      </c>
      <c r="S71" s="179">
        <v>57</v>
      </c>
      <c r="T71" s="166">
        <f t="dataTable" ref="T71:T88" dt2D="0" dtr="0" r1="I6" ca="1"/>
        <v>8</v>
      </c>
      <c r="X71" s="319" t="s">
        <v>162</v>
      </c>
      <c r="Y71" s="179">
        <v>57</v>
      </c>
      <c r="Z71" s="167">
        <f t="dataTable" ref="Z71:Z88" dt2D="0" dtr="0" r1="I6" ca="1"/>
        <v>0.12235446967416364</v>
      </c>
      <c r="AC71" s="319" t="s">
        <v>162</v>
      </c>
      <c r="AD71" s="179">
        <v>57</v>
      </c>
      <c r="AE71" s="167">
        <f t="dataTable" ref="AE71:AE88" dt2D="0" dtr="0" r1="I6" ca="1"/>
        <v>0.12235446967416364</v>
      </c>
    </row>
    <row r="72" spans="14:43">
      <c r="N72" s="319"/>
      <c r="O72" s="179">
        <v>62</v>
      </c>
      <c r="P72" s="180">
        <v>7</v>
      </c>
      <c r="R72" s="319"/>
      <c r="S72" s="179">
        <v>62</v>
      </c>
      <c r="T72" s="166">
        <v>7</v>
      </c>
      <c r="X72" s="319"/>
      <c r="Y72" s="179">
        <v>62</v>
      </c>
      <c r="Z72" s="167">
        <v>0.12701333585264196</v>
      </c>
      <c r="AC72" s="319"/>
      <c r="AD72" s="179">
        <v>62</v>
      </c>
      <c r="AE72" s="167">
        <v>0.12701333585264196</v>
      </c>
    </row>
    <row r="73" spans="14:43">
      <c r="N73" s="319"/>
      <c r="O73" s="179">
        <v>64</v>
      </c>
      <c r="P73" s="180">
        <v>7</v>
      </c>
      <c r="R73" s="319"/>
      <c r="S73" s="179">
        <v>64</v>
      </c>
      <c r="T73" s="166">
        <v>7</v>
      </c>
      <c r="X73" s="319"/>
      <c r="Y73" s="179">
        <v>64</v>
      </c>
      <c r="Z73" s="167">
        <v>0.12909197751956425</v>
      </c>
      <c r="AC73" s="319"/>
      <c r="AD73" s="179">
        <v>64</v>
      </c>
      <c r="AE73" s="167">
        <v>0.12909197751956425</v>
      </c>
    </row>
    <row r="74" spans="14:43">
      <c r="N74" s="319"/>
      <c r="O74" s="179">
        <v>66</v>
      </c>
      <c r="P74" s="180">
        <v>7</v>
      </c>
      <c r="R74" s="319"/>
      <c r="S74" s="179">
        <v>66</v>
      </c>
      <c r="T74" s="166">
        <v>7</v>
      </c>
      <c r="X74" s="319"/>
      <c r="Y74" s="179">
        <v>66</v>
      </c>
      <c r="Z74" s="167">
        <v>0.13129669005945055</v>
      </c>
      <c r="AC74" s="319"/>
      <c r="AD74" s="179">
        <v>66</v>
      </c>
      <c r="AE74" s="167">
        <v>0.13129669005945055</v>
      </c>
    </row>
    <row r="75" spans="14:43">
      <c r="N75" s="319"/>
      <c r="O75" s="179">
        <v>68</v>
      </c>
      <c r="P75" s="180">
        <v>7</v>
      </c>
      <c r="R75" s="319"/>
      <c r="S75" s="179">
        <v>68</v>
      </c>
      <c r="T75" s="166">
        <v>7</v>
      </c>
      <c r="X75" s="319"/>
      <c r="Y75" s="179">
        <v>68</v>
      </c>
      <c r="Z75" s="167">
        <v>0.13356047449178998</v>
      </c>
      <c r="AC75" s="319"/>
      <c r="AD75" s="179">
        <v>68</v>
      </c>
      <c r="AE75" s="167">
        <v>0.13356047449178998</v>
      </c>
    </row>
    <row r="76" spans="14:43">
      <c r="N76" s="319"/>
      <c r="O76" s="179">
        <v>70</v>
      </c>
      <c r="P76" s="180">
        <v>7</v>
      </c>
      <c r="R76" s="319"/>
      <c r="S76" s="179">
        <v>70</v>
      </c>
      <c r="T76" s="166">
        <v>7</v>
      </c>
      <c r="X76" s="319"/>
      <c r="Y76" s="179">
        <v>70</v>
      </c>
      <c r="Z76" s="167">
        <v>0.1359471315902836</v>
      </c>
      <c r="AC76" s="319"/>
      <c r="AD76" s="179">
        <v>70</v>
      </c>
      <c r="AE76" s="167">
        <v>0.1359471315902836</v>
      </c>
    </row>
    <row r="77" spans="14:43">
      <c r="N77" s="319"/>
      <c r="O77" s="179">
        <v>75</v>
      </c>
      <c r="P77" s="180">
        <v>7</v>
      </c>
      <c r="R77" s="319"/>
      <c r="S77" s="179">
        <v>75</v>
      </c>
      <c r="T77" s="166">
        <v>7</v>
      </c>
      <c r="X77" s="319"/>
      <c r="Y77" s="179">
        <v>75</v>
      </c>
      <c r="Z77" s="167">
        <v>0.14216058457146796</v>
      </c>
      <c r="AC77" s="319"/>
      <c r="AD77" s="179">
        <v>75</v>
      </c>
      <c r="AE77" s="167">
        <v>0.14216058457146796</v>
      </c>
    </row>
    <row r="78" spans="14:43">
      <c r="N78" s="319"/>
      <c r="O78" s="179">
        <v>80</v>
      </c>
      <c r="P78" s="180">
        <v>6</v>
      </c>
      <c r="R78" s="319"/>
      <c r="S78" s="179">
        <v>80</v>
      </c>
      <c r="T78" s="166">
        <v>6</v>
      </c>
      <c r="X78" s="319"/>
      <c r="Y78" s="179">
        <v>80</v>
      </c>
      <c r="Z78" s="167">
        <v>0.1487507509815793</v>
      </c>
      <c r="AC78" s="319"/>
      <c r="AD78" s="179">
        <v>80</v>
      </c>
      <c r="AE78" s="167">
        <v>0.1487507509815793</v>
      </c>
    </row>
    <row r="79" spans="14:43">
      <c r="N79" s="319"/>
      <c r="O79" s="179">
        <v>85</v>
      </c>
      <c r="P79" s="180">
        <v>6</v>
      </c>
      <c r="R79" s="319"/>
      <c r="S79" s="179">
        <v>85</v>
      </c>
      <c r="T79" s="166">
        <v>6</v>
      </c>
      <c r="X79" s="319"/>
      <c r="Y79" s="179">
        <v>85</v>
      </c>
      <c r="Z79" s="167">
        <v>0.15559621295777304</v>
      </c>
      <c r="AC79" s="319"/>
      <c r="AD79" s="179">
        <v>85</v>
      </c>
      <c r="AE79" s="167">
        <v>0.15559621295777304</v>
      </c>
    </row>
    <row r="80" spans="14:43">
      <c r="N80" s="319"/>
      <c r="O80" s="179">
        <v>90</v>
      </c>
      <c r="P80" s="180">
        <v>6</v>
      </c>
      <c r="R80" s="319"/>
      <c r="S80" s="179">
        <v>90</v>
      </c>
      <c r="T80" s="166">
        <v>6</v>
      </c>
      <c r="X80" s="319"/>
      <c r="Y80" s="179">
        <v>90</v>
      </c>
      <c r="Z80" s="167">
        <v>0.16262869082541886</v>
      </c>
      <c r="AC80" s="319"/>
      <c r="AD80" s="179">
        <v>90</v>
      </c>
      <c r="AE80" s="167">
        <v>0.16262869082541886</v>
      </c>
    </row>
    <row r="81" spans="14:31">
      <c r="N81" s="319"/>
      <c r="O81" s="179">
        <v>95</v>
      </c>
      <c r="P81" s="180">
        <v>6</v>
      </c>
      <c r="R81" s="319"/>
      <c r="S81" s="179">
        <v>95</v>
      </c>
      <c r="T81" s="166">
        <v>6</v>
      </c>
      <c r="X81" s="319"/>
      <c r="Y81" s="179">
        <v>95</v>
      </c>
      <c r="Z81" s="167">
        <v>0.16979735727995759</v>
      </c>
      <c r="AC81" s="319"/>
      <c r="AD81" s="179">
        <v>95</v>
      </c>
      <c r="AE81" s="167">
        <v>0.16979735727995759</v>
      </c>
    </row>
    <row r="82" spans="14:31">
      <c r="N82" s="319"/>
      <c r="O82" s="179">
        <v>100</v>
      </c>
      <c r="P82" s="180">
        <v>5</v>
      </c>
      <c r="R82" s="319"/>
      <c r="S82" s="179">
        <v>100</v>
      </c>
      <c r="T82" s="166">
        <v>5</v>
      </c>
      <c r="X82" s="319"/>
      <c r="Y82" s="179">
        <v>100</v>
      </c>
      <c r="Z82" s="167">
        <v>0.177061977915838</v>
      </c>
      <c r="AC82" s="319"/>
      <c r="AD82" s="179">
        <v>100</v>
      </c>
      <c r="AE82" s="167">
        <v>0.177061977915838</v>
      </c>
    </row>
    <row r="83" spans="14:31">
      <c r="N83" s="319"/>
      <c r="O83" s="179">
        <v>110</v>
      </c>
      <c r="P83" s="180">
        <v>5</v>
      </c>
      <c r="R83" s="319"/>
      <c r="S83" s="179">
        <v>110</v>
      </c>
      <c r="T83" s="166">
        <v>5</v>
      </c>
      <c r="X83" s="319"/>
      <c r="Y83" s="179">
        <v>110</v>
      </c>
      <c r="Z83" s="167">
        <v>0.19176303948569173</v>
      </c>
      <c r="AC83" s="319"/>
      <c r="AD83" s="179">
        <v>110</v>
      </c>
      <c r="AE83" s="167">
        <v>0.19176303948569173</v>
      </c>
    </row>
    <row r="84" spans="14:31">
      <c r="N84" s="319"/>
      <c r="O84" s="179">
        <v>120</v>
      </c>
      <c r="P84" s="180">
        <v>5</v>
      </c>
      <c r="R84" s="319"/>
      <c r="S84" s="179">
        <v>120</v>
      </c>
      <c r="T84" s="166">
        <v>5</v>
      </c>
      <c r="X84" s="319"/>
      <c r="Y84" s="179">
        <v>120</v>
      </c>
      <c r="Z84" s="167">
        <v>0.20656810280417437</v>
      </c>
      <c r="AC84" s="319"/>
      <c r="AD84" s="179">
        <v>120</v>
      </c>
      <c r="AE84" s="167">
        <v>0.20656810280417437</v>
      </c>
    </row>
    <row r="85" spans="14:31">
      <c r="N85" s="319"/>
      <c r="O85" s="179">
        <v>130</v>
      </c>
      <c r="P85" s="180">
        <v>5</v>
      </c>
      <c r="R85" s="319"/>
      <c r="S85" s="179">
        <v>130</v>
      </c>
      <c r="T85" s="166">
        <v>5</v>
      </c>
      <c r="X85" s="319"/>
      <c r="Y85" s="179">
        <v>130</v>
      </c>
      <c r="Z85" s="167">
        <v>0.22139479023824182</v>
      </c>
      <c r="AC85" s="319"/>
      <c r="AD85" s="179">
        <v>130</v>
      </c>
      <c r="AE85" s="167">
        <v>0.22139479023824182</v>
      </c>
    </row>
    <row r="86" spans="14:31">
      <c r="N86" s="319"/>
      <c r="O86" s="179">
        <v>140</v>
      </c>
      <c r="P86" s="180">
        <v>4</v>
      </c>
      <c r="R86" s="319"/>
      <c r="S86" s="179">
        <v>140</v>
      </c>
      <c r="T86" s="166">
        <v>4</v>
      </c>
      <c r="X86" s="319"/>
      <c r="Y86" s="179">
        <v>140</v>
      </c>
      <c r="Z86" s="167">
        <v>0.23619621676402969</v>
      </c>
      <c r="AC86" s="319"/>
      <c r="AD86" s="179">
        <v>140</v>
      </c>
      <c r="AE86" s="167">
        <v>0.23619621676402969</v>
      </c>
    </row>
    <row r="87" spans="14:31">
      <c r="N87" s="319"/>
      <c r="O87" s="179">
        <v>150</v>
      </c>
      <c r="P87" s="180">
        <v>4</v>
      </c>
      <c r="R87" s="319"/>
      <c r="S87" s="179">
        <v>150</v>
      </c>
      <c r="T87" s="166">
        <v>4</v>
      </c>
      <c r="X87" s="319"/>
      <c r="Y87" s="179">
        <v>150</v>
      </c>
      <c r="Z87" s="167">
        <v>0.25095483648366712</v>
      </c>
      <c r="AC87" s="319"/>
      <c r="AD87" s="179">
        <v>150</v>
      </c>
      <c r="AE87" s="167">
        <v>0.25095483648366712</v>
      </c>
    </row>
    <row r="88" spans="14:31">
      <c r="N88" s="319"/>
      <c r="O88" s="179">
        <v>160</v>
      </c>
      <c r="P88" s="180">
        <v>4</v>
      </c>
      <c r="R88" s="319"/>
      <c r="S88" s="179">
        <v>160</v>
      </c>
      <c r="T88" s="166">
        <v>4</v>
      </c>
      <c r="X88" s="319"/>
      <c r="Y88" s="179">
        <v>160</v>
      </c>
      <c r="Z88" s="167">
        <v>0.26566102900549526</v>
      </c>
      <c r="AC88" s="319"/>
      <c r="AD88" s="179">
        <v>160</v>
      </c>
      <c r="AE88" s="167">
        <v>0.26566102900549526</v>
      </c>
    </row>
    <row r="100" spans="7:36">
      <c r="G100"/>
      <c r="H100"/>
      <c r="I100"/>
      <c r="J100"/>
      <c r="N100" s="320" t="s">
        <v>249</v>
      </c>
      <c r="O100" s="321"/>
      <c r="P100" s="320" t="s">
        <v>250</v>
      </c>
      <c r="Q100" s="322"/>
      <c r="R100" s="322"/>
      <c r="S100" s="322"/>
      <c r="T100" s="322"/>
      <c r="U100" s="322"/>
      <c r="V100" s="322"/>
      <c r="W100" s="321"/>
      <c r="AA100" s="320" t="s">
        <v>242</v>
      </c>
      <c r="AB100" s="321"/>
      <c r="AC100" s="320" t="s">
        <v>250</v>
      </c>
      <c r="AD100" s="322"/>
      <c r="AE100" s="322"/>
      <c r="AF100" s="322"/>
      <c r="AG100" s="322"/>
      <c r="AH100" s="322"/>
      <c r="AI100" s="322"/>
      <c r="AJ100" s="321"/>
    </row>
    <row r="101" spans="7:36" ht="14.25" customHeight="1">
      <c r="G101"/>
      <c r="H101"/>
      <c r="I101"/>
      <c r="J101"/>
      <c r="N101" s="3"/>
      <c r="O101" s="3">
        <f>P54</f>
        <v>7</v>
      </c>
      <c r="P101" s="165">
        <v>0</v>
      </c>
      <c r="Q101" s="165">
        <v>0.02</v>
      </c>
      <c r="R101" s="165">
        <v>0.04</v>
      </c>
      <c r="S101" s="165">
        <v>0.08</v>
      </c>
      <c r="T101" s="165">
        <v>0.1</v>
      </c>
      <c r="U101" s="165">
        <v>0.15</v>
      </c>
      <c r="V101" s="165">
        <v>0.2</v>
      </c>
      <c r="W101" s="165">
        <v>0.25</v>
      </c>
      <c r="AA101" s="3"/>
      <c r="AB101" s="164">
        <f>P56</f>
        <v>0.1359471315902836</v>
      </c>
      <c r="AC101" s="165">
        <v>0</v>
      </c>
      <c r="AD101" s="165">
        <v>0.02</v>
      </c>
      <c r="AE101" s="165">
        <v>0.04</v>
      </c>
      <c r="AF101" s="165">
        <v>0.08</v>
      </c>
      <c r="AG101" s="165">
        <v>0.1</v>
      </c>
      <c r="AH101" s="165">
        <v>0.15</v>
      </c>
      <c r="AI101" s="165">
        <v>0.2</v>
      </c>
      <c r="AJ101" s="165">
        <v>0.25</v>
      </c>
    </row>
    <row r="102" spans="7:36">
      <c r="G102"/>
      <c r="H102"/>
      <c r="I102" s="179">
        <v>45</v>
      </c>
      <c r="J102"/>
      <c r="N102" s="319" t="s">
        <v>162</v>
      </c>
      <c r="O102" s="179">
        <v>45</v>
      </c>
      <c r="P102" s="180">
        <f t="dataTable" ref="P102:W119" dt2D="1" dtr="1" r1="AB6" r2="I6" ca="1"/>
        <v>8</v>
      </c>
      <c r="Q102" s="180">
        <v>8</v>
      </c>
      <c r="R102" s="180">
        <v>8</v>
      </c>
      <c r="S102" s="180">
        <v>8</v>
      </c>
      <c r="T102" s="180">
        <v>8</v>
      </c>
      <c r="U102" s="180">
        <v>8</v>
      </c>
      <c r="V102" s="180">
        <v>8</v>
      </c>
      <c r="W102" s="180">
        <v>8</v>
      </c>
      <c r="AA102" s="319" t="s">
        <v>162</v>
      </c>
      <c r="AB102" s="179">
        <v>45</v>
      </c>
      <c r="AC102" s="167">
        <f t="dataTable" ref="AC102:AJ119" dt2D="1" dtr="1" r1="AB6" r2="I6" ca="1"/>
        <v>0.1159328889749689</v>
      </c>
      <c r="AD102" s="167">
        <v>0.1159328889749689</v>
      </c>
      <c r="AE102" s="167">
        <v>0.1159328889749689</v>
      </c>
      <c r="AF102" s="167">
        <v>0.1159328889749689</v>
      </c>
      <c r="AG102" s="167">
        <v>0.1159328889749689</v>
      </c>
      <c r="AH102" s="167">
        <v>0.1159328889749689</v>
      </c>
      <c r="AI102" s="167">
        <v>0.1159328889749689</v>
      </c>
      <c r="AJ102" s="167">
        <v>0.1159328889749689</v>
      </c>
    </row>
    <row r="103" spans="7:36">
      <c r="G103"/>
      <c r="H103"/>
      <c r="I103" s="179">
        <v>50</v>
      </c>
      <c r="J103"/>
      <c r="N103" s="319"/>
      <c r="O103" s="179">
        <v>50</v>
      </c>
      <c r="P103" s="180">
        <v>8</v>
      </c>
      <c r="Q103" s="180">
        <v>8</v>
      </c>
      <c r="R103" s="180">
        <v>8</v>
      </c>
      <c r="S103" s="180">
        <v>8</v>
      </c>
      <c r="T103" s="180">
        <v>8</v>
      </c>
      <c r="U103" s="180">
        <v>8</v>
      </c>
      <c r="V103" s="180">
        <v>8</v>
      </c>
      <c r="W103" s="180">
        <v>8</v>
      </c>
      <c r="AA103" s="319"/>
      <c r="AB103" s="179">
        <v>50</v>
      </c>
      <c r="AC103" s="167">
        <v>0.12514186743629252</v>
      </c>
      <c r="AD103" s="167">
        <v>0.11883374916431255</v>
      </c>
      <c r="AE103" s="167">
        <v>0.11779992833518049</v>
      </c>
      <c r="AF103" s="167">
        <v>0.11722028953828212</v>
      </c>
      <c r="AG103" s="167">
        <v>0.11702499156107349</v>
      </c>
      <c r="AH103" s="167">
        <v>0.11702499156107349</v>
      </c>
      <c r="AI103" s="167">
        <v>0.11702499156107349</v>
      </c>
      <c r="AJ103" s="167">
        <v>0.11702499156107349</v>
      </c>
    </row>
    <row r="104" spans="7:36">
      <c r="G104"/>
      <c r="H104"/>
      <c r="I104" s="179">
        <v>70</v>
      </c>
      <c r="J104"/>
      <c r="N104" s="319"/>
      <c r="O104" s="179">
        <v>70</v>
      </c>
      <c r="P104" s="180">
        <v>6</v>
      </c>
      <c r="Q104" s="180">
        <v>7</v>
      </c>
      <c r="R104" s="180">
        <v>7</v>
      </c>
      <c r="S104" s="180">
        <v>7</v>
      </c>
      <c r="T104" s="180">
        <v>7</v>
      </c>
      <c r="U104" s="180">
        <v>7</v>
      </c>
      <c r="V104" s="180">
        <v>8</v>
      </c>
      <c r="W104" s="180">
        <v>8</v>
      </c>
      <c r="AA104" s="319"/>
      <c r="AB104" s="179">
        <v>70</v>
      </c>
      <c r="AC104" s="167">
        <v>0.16030036160887295</v>
      </c>
      <c r="AD104" s="167">
        <v>0.1478167502582195</v>
      </c>
      <c r="AE104" s="167">
        <v>0.13883796749214317</v>
      </c>
      <c r="AF104" s="167">
        <v>0.1305833695969727</v>
      </c>
      <c r="AG104" s="167">
        <v>0.12848019595786186</v>
      </c>
      <c r="AH104" s="167">
        <v>0.12549546681599599</v>
      </c>
      <c r="AI104" s="167">
        <v>0.12375217654031334</v>
      </c>
      <c r="AJ104" s="167">
        <v>0.12303372476269758</v>
      </c>
    </row>
    <row r="105" spans="7:36">
      <c r="G105"/>
      <c r="H105"/>
      <c r="I105" s="179">
        <v>90</v>
      </c>
      <c r="J105"/>
      <c r="N105" s="319"/>
      <c r="O105" s="179">
        <v>90</v>
      </c>
      <c r="P105" s="180">
        <v>5</v>
      </c>
      <c r="Q105" s="180">
        <v>6</v>
      </c>
      <c r="R105" s="180">
        <v>6</v>
      </c>
      <c r="S105" s="180">
        <v>6</v>
      </c>
      <c r="T105" s="180">
        <v>6</v>
      </c>
      <c r="U105" s="180">
        <v>7</v>
      </c>
      <c r="V105" s="180">
        <v>7</v>
      </c>
      <c r="W105" s="180">
        <v>7</v>
      </c>
      <c r="AA105" s="319"/>
      <c r="AB105" s="179">
        <v>90</v>
      </c>
      <c r="AC105" s="167">
        <v>0.19360799432535125</v>
      </c>
      <c r="AD105" s="167">
        <v>0.18015421325749981</v>
      </c>
      <c r="AE105" s="167">
        <v>0.1677502051513966</v>
      </c>
      <c r="AF105" s="167">
        <v>0.15148205773895262</v>
      </c>
      <c r="AG105" s="167">
        <v>0.14657264962958272</v>
      </c>
      <c r="AH105" s="167">
        <v>0.13892401669483956</v>
      </c>
      <c r="AI105" s="167">
        <v>0.1345839965946507</v>
      </c>
      <c r="AJ105" s="167">
        <v>0.13206289004625216</v>
      </c>
    </row>
    <row r="106" spans="7:36">
      <c r="G106"/>
      <c r="H106"/>
      <c r="I106" s="179">
        <v>110</v>
      </c>
      <c r="J106"/>
      <c r="N106" s="319"/>
      <c r="O106" s="179">
        <v>110</v>
      </c>
      <c r="P106" s="180">
        <v>5</v>
      </c>
      <c r="Q106" s="180">
        <v>5</v>
      </c>
      <c r="R106" s="180">
        <v>5</v>
      </c>
      <c r="S106" s="180">
        <v>5</v>
      </c>
      <c r="T106" s="180">
        <v>5</v>
      </c>
      <c r="U106" s="180">
        <v>6</v>
      </c>
      <c r="V106" s="180">
        <v>6</v>
      </c>
      <c r="W106" s="180">
        <v>7</v>
      </c>
      <c r="AA106" s="319"/>
      <c r="AB106" s="179">
        <v>110</v>
      </c>
      <c r="AC106" s="167">
        <v>0.22572663546901328</v>
      </c>
      <c r="AD106" s="167">
        <v>0.21159902396111829</v>
      </c>
      <c r="AE106" s="167">
        <v>0.19804866904389895</v>
      </c>
      <c r="AF106" s="167">
        <v>0.1762751378773515</v>
      </c>
      <c r="AG106" s="167">
        <v>0.16860606868154937</v>
      </c>
      <c r="AH106" s="167">
        <v>0.15576237131651172</v>
      </c>
      <c r="AI106" s="167">
        <v>0.14799197329405955</v>
      </c>
      <c r="AJ106" s="167">
        <v>0.143137433515381</v>
      </c>
    </row>
    <row r="107" spans="7:36">
      <c r="G107"/>
      <c r="H107"/>
      <c r="I107" s="179">
        <v>130</v>
      </c>
      <c r="J107"/>
      <c r="N107" s="319"/>
      <c r="O107" s="179">
        <v>130</v>
      </c>
      <c r="P107" s="180">
        <v>4</v>
      </c>
      <c r="Q107" s="180">
        <v>4</v>
      </c>
      <c r="R107" s="180">
        <v>4</v>
      </c>
      <c r="S107" s="180">
        <v>5</v>
      </c>
      <c r="T107" s="180">
        <v>5</v>
      </c>
      <c r="U107" s="180">
        <v>5</v>
      </c>
      <c r="V107" s="180">
        <v>5</v>
      </c>
      <c r="W107" s="180">
        <v>6</v>
      </c>
      <c r="AA107" s="319"/>
      <c r="AB107" s="179">
        <v>130</v>
      </c>
      <c r="AC107" s="167">
        <v>0.25702341025052533</v>
      </c>
      <c r="AD107" s="167">
        <v>0.24239503963286513</v>
      </c>
      <c r="AE107" s="167">
        <v>0.22823940398892062</v>
      </c>
      <c r="AF107" s="167">
        <v>0.20311103999828939</v>
      </c>
      <c r="AG107" s="167">
        <v>0.19314912136414764</v>
      </c>
      <c r="AH107" s="167">
        <v>0.1751957611525139</v>
      </c>
      <c r="AI107" s="167">
        <v>0.16385271000213164</v>
      </c>
      <c r="AJ107" s="167">
        <v>0.15639392890413095</v>
      </c>
    </row>
    <row r="108" spans="7:36">
      <c r="G108"/>
      <c r="H108"/>
      <c r="I108" s="179">
        <v>150</v>
      </c>
      <c r="J108"/>
      <c r="N108" s="319"/>
      <c r="O108" s="179">
        <v>150</v>
      </c>
      <c r="P108" s="180">
        <v>4</v>
      </c>
      <c r="Q108" s="180">
        <v>4</v>
      </c>
      <c r="R108" s="180">
        <v>4</v>
      </c>
      <c r="S108" s="180">
        <v>4</v>
      </c>
      <c r="T108" s="180">
        <v>4</v>
      </c>
      <c r="U108" s="180">
        <v>5</v>
      </c>
      <c r="V108" s="180">
        <v>5</v>
      </c>
      <c r="W108" s="180">
        <v>5</v>
      </c>
      <c r="AA108" s="319"/>
      <c r="AB108" s="179">
        <v>150</v>
      </c>
      <c r="AC108" s="167">
        <v>0.28771628911512459</v>
      </c>
      <c r="AD108" s="167">
        <v>0.2727024426452398</v>
      </c>
      <c r="AE108" s="167">
        <v>0.25809355200114936</v>
      </c>
      <c r="AF108" s="167">
        <v>0.23094188850349795</v>
      </c>
      <c r="AG108" s="167">
        <v>0.2193104562702477</v>
      </c>
      <c r="AH108" s="167">
        <v>0.1967342925559028</v>
      </c>
      <c r="AI108" s="167">
        <v>0.18157185627404671</v>
      </c>
      <c r="AJ108" s="167">
        <v>0.17111609475916101</v>
      </c>
    </row>
    <row r="109" spans="7:36">
      <c r="G109"/>
      <c r="H109"/>
      <c r="I109" s="179">
        <v>170</v>
      </c>
      <c r="J109"/>
      <c r="N109" s="319"/>
      <c r="O109" s="179">
        <v>170</v>
      </c>
      <c r="P109" s="180">
        <v>4</v>
      </c>
      <c r="Q109" s="180">
        <v>4</v>
      </c>
      <c r="R109" s="180">
        <v>4</v>
      </c>
      <c r="S109" s="180">
        <v>4</v>
      </c>
      <c r="T109" s="180">
        <v>4</v>
      </c>
      <c r="U109" s="180">
        <v>4</v>
      </c>
      <c r="V109" s="180">
        <v>4</v>
      </c>
      <c r="W109" s="180">
        <v>5</v>
      </c>
      <c r="AA109" s="319"/>
      <c r="AB109" s="179">
        <v>170</v>
      </c>
      <c r="AC109" s="167">
        <v>0.31794184798119751</v>
      </c>
      <c r="AD109" s="167">
        <v>0.30262262031217002</v>
      </c>
      <c r="AE109" s="167">
        <v>0.28765424552963381</v>
      </c>
      <c r="AF109" s="167">
        <v>0.2591970209020229</v>
      </c>
      <c r="AG109" s="167">
        <v>0.24636966097491997</v>
      </c>
      <c r="AH109" s="167">
        <v>0.21991590831224306</v>
      </c>
      <c r="AI109" s="167">
        <v>0.2009100361262115</v>
      </c>
      <c r="AJ109" s="167">
        <v>0.18762435844608549</v>
      </c>
    </row>
    <row r="110" spans="7:36">
      <c r="G110"/>
      <c r="H110"/>
      <c r="I110" s="179">
        <v>190</v>
      </c>
      <c r="J110"/>
      <c r="N110" s="319"/>
      <c r="O110" s="179">
        <v>190</v>
      </c>
      <c r="P110" s="180">
        <v>3</v>
      </c>
      <c r="Q110" s="180">
        <v>3</v>
      </c>
      <c r="R110" s="180">
        <v>3</v>
      </c>
      <c r="S110" s="180">
        <v>4</v>
      </c>
      <c r="T110" s="180">
        <v>4</v>
      </c>
      <c r="U110" s="180">
        <v>4</v>
      </c>
      <c r="V110" s="180">
        <v>4</v>
      </c>
      <c r="W110" s="180">
        <v>4</v>
      </c>
      <c r="AA110" s="319"/>
      <c r="AB110" s="179">
        <v>190</v>
      </c>
      <c r="AC110" s="167">
        <v>0.3477898265790238</v>
      </c>
      <c r="AD110" s="167">
        <v>0.33222279855304104</v>
      </c>
      <c r="AE110" s="167">
        <v>0.31696299627924973</v>
      </c>
      <c r="AF110" s="167">
        <v>0.28760144078271033</v>
      </c>
      <c r="AG110" s="167">
        <v>0.27393135729548268</v>
      </c>
      <c r="AH110" s="167">
        <v>0.24439371260130582</v>
      </c>
      <c r="AI110" s="167">
        <v>0.22201821748540707</v>
      </c>
      <c r="AJ110" s="167">
        <v>0.20530726932917687</v>
      </c>
    </row>
    <row r="111" spans="7:36">
      <c r="G111"/>
      <c r="H111"/>
      <c r="I111" s="179">
        <v>210</v>
      </c>
      <c r="J111"/>
      <c r="N111" s="319"/>
      <c r="O111" s="179">
        <v>210</v>
      </c>
      <c r="P111" s="180">
        <v>3</v>
      </c>
      <c r="Q111" s="180">
        <v>3</v>
      </c>
      <c r="R111" s="180">
        <v>3</v>
      </c>
      <c r="S111" s="180">
        <v>3</v>
      </c>
      <c r="T111" s="180">
        <v>3</v>
      </c>
      <c r="U111" s="180">
        <v>3</v>
      </c>
      <c r="V111" s="180">
        <v>4</v>
      </c>
      <c r="W111" s="180">
        <v>4</v>
      </c>
      <c r="AA111" s="319"/>
      <c r="AB111" s="179">
        <v>210</v>
      </c>
      <c r="AC111" s="167">
        <v>0.37732186811824975</v>
      </c>
      <c r="AD111" s="167">
        <v>0.36154964535045475</v>
      </c>
      <c r="AE111" s="167">
        <v>0.34604907798987172</v>
      </c>
      <c r="AF111" s="167">
        <v>0.31600942265085674</v>
      </c>
      <c r="AG111" s="167">
        <v>0.30174308998651833</v>
      </c>
      <c r="AH111" s="167">
        <v>0.2698183858999792</v>
      </c>
      <c r="AI111" s="167">
        <v>0.24425179047536028</v>
      </c>
      <c r="AJ111" s="167">
        <v>0.22479844520164671</v>
      </c>
    </row>
    <row r="112" spans="7:36">
      <c r="G112"/>
      <c r="H112"/>
      <c r="I112" s="179">
        <v>230</v>
      </c>
      <c r="J112"/>
      <c r="N112" s="319"/>
      <c r="O112" s="179">
        <v>230</v>
      </c>
      <c r="P112" s="180">
        <v>3</v>
      </c>
      <c r="Q112" s="180">
        <v>3</v>
      </c>
      <c r="R112" s="180">
        <v>3</v>
      </c>
      <c r="S112" s="180">
        <v>3</v>
      </c>
      <c r="T112" s="180">
        <v>3</v>
      </c>
      <c r="U112" s="180">
        <v>3</v>
      </c>
      <c r="V112" s="180">
        <v>3</v>
      </c>
      <c r="W112" s="180">
        <v>3</v>
      </c>
      <c r="AA112" s="319"/>
      <c r="AB112" s="179">
        <v>230</v>
      </c>
      <c r="AC112" s="167">
        <v>0.40658213798653442</v>
      </c>
      <c r="AD112" s="167">
        <v>0.39063703919091819</v>
      </c>
      <c r="AE112" s="167">
        <v>0.37493427306726557</v>
      </c>
      <c r="AF112" s="167">
        <v>0.34435779616102646</v>
      </c>
      <c r="AG112" s="167">
        <v>0.32965525360788694</v>
      </c>
      <c r="AH112" s="167">
        <v>0.29584516211064393</v>
      </c>
      <c r="AI112" s="167">
        <v>0.26768706087624228</v>
      </c>
      <c r="AJ112" s="167">
        <v>0.24535016827360567</v>
      </c>
    </row>
    <row r="113" spans="7:36">
      <c r="G113"/>
      <c r="H113"/>
      <c r="I113" s="179">
        <v>250</v>
      </c>
      <c r="J113"/>
      <c r="N113" s="319"/>
      <c r="O113" s="179">
        <v>250</v>
      </c>
      <c r="P113" s="180">
        <v>3</v>
      </c>
      <c r="Q113" s="180">
        <v>3</v>
      </c>
      <c r="R113" s="180">
        <v>3</v>
      </c>
      <c r="S113" s="180">
        <v>3</v>
      </c>
      <c r="T113" s="180">
        <v>3</v>
      </c>
      <c r="U113" s="180">
        <v>3</v>
      </c>
      <c r="V113" s="180">
        <v>3</v>
      </c>
      <c r="W113" s="180">
        <v>3</v>
      </c>
      <c r="AA113" s="319"/>
      <c r="AB113" s="179">
        <v>250</v>
      </c>
      <c r="AC113" s="167">
        <v>0.4356035517273853</v>
      </c>
      <c r="AD113" s="167">
        <v>0.41951063006198686</v>
      </c>
      <c r="AE113" s="167">
        <v>0.40363561184859642</v>
      </c>
      <c r="AF113" s="167">
        <v>0.37261748177256138</v>
      </c>
      <c r="AG113" s="167">
        <v>0.35758289389942144</v>
      </c>
      <c r="AH113" s="167">
        <v>0.32236348622045297</v>
      </c>
      <c r="AI113" s="167">
        <v>0.29194488599547785</v>
      </c>
      <c r="AJ113" s="167">
        <v>0.26686630234160447</v>
      </c>
    </row>
    <row r="114" spans="7:36">
      <c r="G114"/>
      <c r="H114"/>
      <c r="I114" s="179">
        <v>270</v>
      </c>
      <c r="J114"/>
      <c r="N114" s="319"/>
      <c r="O114" s="179">
        <v>270</v>
      </c>
      <c r="P114" s="180">
        <v>3</v>
      </c>
      <c r="Q114" s="180">
        <v>3</v>
      </c>
      <c r="R114" s="180">
        <v>3</v>
      </c>
      <c r="S114" s="180">
        <v>3</v>
      </c>
      <c r="T114" s="180">
        <v>3</v>
      </c>
      <c r="U114" s="180">
        <v>3</v>
      </c>
      <c r="V114" s="180">
        <v>3</v>
      </c>
      <c r="W114" s="180">
        <v>3</v>
      </c>
      <c r="AA114" s="319"/>
      <c r="AB114" s="179">
        <v>270</v>
      </c>
      <c r="AC114" s="167">
        <v>0.46441153769994736</v>
      </c>
      <c r="AD114" s="167">
        <v>0.44819058678487989</v>
      </c>
      <c r="AE114" s="167">
        <v>0.43216698391093233</v>
      </c>
      <c r="AF114" s="167">
        <v>0.40077565270960802</v>
      </c>
      <c r="AG114" s="167">
        <v>0.3854786522702458</v>
      </c>
      <c r="AH114" s="167">
        <v>0.34912923051269829</v>
      </c>
      <c r="AI114" s="167">
        <v>0.31681459397729417</v>
      </c>
      <c r="AJ114" s="167">
        <v>0.28955604164681836</v>
      </c>
    </row>
    <row r="115" spans="7:36">
      <c r="G115"/>
      <c r="H115"/>
      <c r="I115" s="179">
        <v>290</v>
      </c>
      <c r="J115"/>
      <c r="N115" s="319"/>
      <c r="O115" s="179">
        <v>290</v>
      </c>
      <c r="P115" s="180">
        <v>3</v>
      </c>
      <c r="Q115" s="180">
        <v>3</v>
      </c>
      <c r="R115" s="180">
        <v>3</v>
      </c>
      <c r="S115" s="180">
        <v>3</v>
      </c>
      <c r="T115" s="180">
        <v>3</v>
      </c>
      <c r="U115" s="180">
        <v>3</v>
      </c>
      <c r="V115" s="180">
        <v>3</v>
      </c>
      <c r="W115" s="180">
        <v>3</v>
      </c>
      <c r="AA115" s="319"/>
      <c r="AB115" s="179">
        <v>290</v>
      </c>
      <c r="AC115" s="167">
        <v>0.49302637375842129</v>
      </c>
      <c r="AD115" s="167">
        <v>0.47669329474160405</v>
      </c>
      <c r="AE115" s="167">
        <v>0.46054010754240338</v>
      </c>
      <c r="AF115" s="167">
        <v>0.42882750049253593</v>
      </c>
      <c r="AG115" s="167">
        <v>0.41331757493202459</v>
      </c>
      <c r="AH115" s="167">
        <v>0.37610046746081749</v>
      </c>
      <c r="AI115" s="167">
        <v>0.34229675530081494</v>
      </c>
      <c r="AJ115" s="167">
        <v>0.3130017556734277</v>
      </c>
    </row>
    <row r="116" spans="7:36">
      <c r="G116"/>
      <c r="H116"/>
      <c r="I116" s="179">
        <v>310</v>
      </c>
      <c r="J116"/>
      <c r="N116" s="319"/>
      <c r="O116" s="179">
        <v>310</v>
      </c>
      <c r="P116" s="180">
        <v>2</v>
      </c>
      <c r="Q116" s="180">
        <v>2</v>
      </c>
      <c r="R116" s="180">
        <v>3</v>
      </c>
      <c r="S116" s="180">
        <v>3</v>
      </c>
      <c r="T116" s="180">
        <v>3</v>
      </c>
      <c r="U116" s="180">
        <v>3</v>
      </c>
      <c r="V116" s="180">
        <v>3</v>
      </c>
      <c r="W116" s="180">
        <v>3</v>
      </c>
      <c r="AA116" s="319"/>
      <c r="AB116" s="179">
        <v>310</v>
      </c>
      <c r="AC116" s="167">
        <v>0.52146467790263529</v>
      </c>
      <c r="AD116" s="167">
        <v>0.50503243321016211</v>
      </c>
      <c r="AE116" s="167">
        <v>0.48876512900989044</v>
      </c>
      <c r="AF116" s="167">
        <v>0.45677217723451657</v>
      </c>
      <c r="AG116" s="167">
        <v>0.44108266003065033</v>
      </c>
      <c r="AH116" s="167">
        <v>0.40315410176679722</v>
      </c>
      <c r="AI116" s="167">
        <v>0.3681084774078065</v>
      </c>
      <c r="AJ116" s="167">
        <v>0.33703403296123602</v>
      </c>
    </row>
    <row r="117" spans="7:36">
      <c r="G117"/>
      <c r="H117"/>
      <c r="I117" s="179">
        <v>330</v>
      </c>
      <c r="J117"/>
      <c r="N117" s="319"/>
      <c r="O117" s="179">
        <v>330</v>
      </c>
      <c r="P117" s="180">
        <v>2</v>
      </c>
      <c r="Q117" s="180">
        <v>2</v>
      </c>
      <c r="R117" s="180">
        <v>2</v>
      </c>
      <c r="S117" s="180">
        <v>2</v>
      </c>
      <c r="T117" s="180">
        <v>2</v>
      </c>
      <c r="U117" s="180">
        <v>2</v>
      </c>
      <c r="V117" s="180">
        <v>3</v>
      </c>
      <c r="W117" s="180">
        <v>3</v>
      </c>
      <c r="AA117" s="319"/>
      <c r="AB117" s="179">
        <v>330</v>
      </c>
      <c r="AC117" s="167">
        <v>0.54974038511885714</v>
      </c>
      <c r="AD117" s="167">
        <v>0.5332196783044505</v>
      </c>
      <c r="AE117" s="167">
        <v>0.51685100491515135</v>
      </c>
      <c r="AF117" s="167">
        <v>0.48461085159843376</v>
      </c>
      <c r="AG117" s="167">
        <v>0.46876713475650655</v>
      </c>
      <c r="AH117" s="167">
        <v>0.43026192378216543</v>
      </c>
      <c r="AI117" s="167">
        <v>0.39416615222222484</v>
      </c>
      <c r="AJ117" s="167">
        <v>0.36154901412800133</v>
      </c>
    </row>
    <row r="118" spans="7:36">
      <c r="G118"/>
      <c r="H118"/>
      <c r="I118" s="179">
        <v>350</v>
      </c>
      <c r="J118"/>
      <c r="N118" s="319"/>
      <c r="O118" s="179">
        <v>350</v>
      </c>
      <c r="P118" s="180">
        <v>2</v>
      </c>
      <c r="Q118" s="180">
        <v>2</v>
      </c>
      <c r="R118" s="180">
        <v>2</v>
      </c>
      <c r="S118" s="180">
        <v>2</v>
      </c>
      <c r="T118" s="180">
        <v>2</v>
      </c>
      <c r="U118" s="180">
        <v>2</v>
      </c>
      <c r="V118" s="180">
        <v>2</v>
      </c>
      <c r="W118" s="180">
        <v>2</v>
      </c>
      <c r="AA118" s="319"/>
      <c r="AB118" s="179">
        <v>350</v>
      </c>
      <c r="AC118" s="167">
        <v>0.57786540503412387</v>
      </c>
      <c r="AD118" s="167">
        <v>0.56126517509132889</v>
      </c>
      <c r="AE118" s="167">
        <v>0.54480575506310136</v>
      </c>
      <c r="AF118" s="167">
        <v>0.51234569946126229</v>
      </c>
      <c r="AG118" s="167">
        <v>0.49636760201734043</v>
      </c>
      <c r="AH118" s="167">
        <v>0.45738052328873224</v>
      </c>
      <c r="AI118" s="167">
        <v>0.42044905573357072</v>
      </c>
      <c r="AJ118" s="167">
        <v>0.3865529921805213</v>
      </c>
    </row>
    <row r="119" spans="7:36">
      <c r="G119"/>
      <c r="H119"/>
      <c r="I119" s="179">
        <v>370</v>
      </c>
      <c r="J119"/>
      <c r="N119" s="319"/>
      <c r="O119" s="179">
        <v>370</v>
      </c>
      <c r="P119" s="180">
        <v>2</v>
      </c>
      <c r="Q119" s="180">
        <v>2</v>
      </c>
      <c r="R119" s="180">
        <v>2</v>
      </c>
      <c r="S119" s="180">
        <v>2</v>
      </c>
      <c r="T119" s="180">
        <v>2</v>
      </c>
      <c r="U119" s="180">
        <v>2</v>
      </c>
      <c r="V119" s="180">
        <v>2</v>
      </c>
      <c r="W119" s="180">
        <v>2</v>
      </c>
      <c r="AA119" s="319"/>
      <c r="AB119" s="179">
        <v>370</v>
      </c>
      <c r="AC119" s="167">
        <v>0.60585007676284408</v>
      </c>
      <c r="AD119" s="167">
        <v>0.58917786417624129</v>
      </c>
      <c r="AE119" s="167">
        <v>0.57263663630487072</v>
      </c>
      <c r="AF119" s="167">
        <v>0.53997948765893167</v>
      </c>
      <c r="AG119" s="167">
        <v>0.52388244439025256</v>
      </c>
      <c r="AH119" s="167">
        <v>0.48448264750937464</v>
      </c>
      <c r="AI119" s="167">
        <v>0.44686116819295774</v>
      </c>
      <c r="AJ119" s="167">
        <v>0.41190094951555212</v>
      </c>
    </row>
    <row r="120" spans="7:36">
      <c r="G120"/>
      <c r="H120"/>
      <c r="I120"/>
      <c r="J120"/>
    </row>
    <row r="121" spans="7:36">
      <c r="G121"/>
      <c r="H121"/>
      <c r="I121"/>
      <c r="J121"/>
    </row>
    <row r="122" spans="7:36">
      <c r="G122"/>
      <c r="H122"/>
      <c r="I122"/>
      <c r="J122"/>
    </row>
    <row r="123" spans="7:36">
      <c r="N123" s="320" t="s">
        <v>251</v>
      </c>
      <c r="O123" s="321"/>
      <c r="P123" s="320" t="s">
        <v>250</v>
      </c>
      <c r="Q123" s="322"/>
      <c r="R123" s="322"/>
      <c r="S123" s="322"/>
      <c r="T123" s="322"/>
      <c r="U123" s="322"/>
      <c r="V123" s="322"/>
      <c r="W123" s="321"/>
    </row>
    <row r="124" spans="7:36">
      <c r="N124" s="3"/>
      <c r="O124" s="206">
        <f>AR18</f>
        <v>928144.69812476588</v>
      </c>
      <c r="P124" s="165">
        <v>0</v>
      </c>
      <c r="Q124" s="165">
        <v>0.02</v>
      </c>
      <c r="R124" s="165">
        <v>0.04</v>
      </c>
      <c r="S124" s="165">
        <v>0.08</v>
      </c>
      <c r="T124" s="165">
        <v>0.1</v>
      </c>
      <c r="U124" s="165">
        <v>0.15</v>
      </c>
      <c r="V124" s="165">
        <v>0.2</v>
      </c>
      <c r="W124" s="165">
        <v>0.25</v>
      </c>
    </row>
    <row r="125" spans="7:36">
      <c r="N125" s="319" t="s">
        <v>162</v>
      </c>
      <c r="O125" s="179">
        <v>45</v>
      </c>
      <c r="P125" s="207">
        <f t="dataTable" ref="P125:W142" dt2D="1" dtr="1" r1="AB6" r2="I6" ca="1"/>
        <v>874983.2909965585</v>
      </c>
      <c r="Q125" s="207">
        <v>874983.2909965585</v>
      </c>
      <c r="R125" s="207">
        <v>874983.2909965585</v>
      </c>
      <c r="S125" s="207">
        <v>874983.2909965585</v>
      </c>
      <c r="T125" s="207">
        <v>874983.2909965585</v>
      </c>
      <c r="U125" s="207">
        <v>874983.2909965585</v>
      </c>
      <c r="V125" s="207">
        <v>874983.2909965585</v>
      </c>
      <c r="W125" s="207">
        <v>874983.2909965585</v>
      </c>
    </row>
    <row r="126" spans="7:36">
      <c r="N126" s="319"/>
      <c r="O126" s="179">
        <v>50</v>
      </c>
      <c r="P126" s="207">
        <v>930203.65666284214</v>
      </c>
      <c r="Q126" s="207">
        <v>882300.03281703545</v>
      </c>
      <c r="R126" s="207">
        <v>879324.37879815837</v>
      </c>
      <c r="S126" s="207">
        <v>877859.93099655851</v>
      </c>
      <c r="T126" s="207">
        <v>877383.2909965585</v>
      </c>
      <c r="U126" s="207">
        <v>877383.2909965585</v>
      </c>
      <c r="V126" s="207">
        <v>877383.2909965585</v>
      </c>
      <c r="W126" s="207">
        <v>877383.2909965585</v>
      </c>
    </row>
    <row r="127" spans="7:36">
      <c r="N127" s="319"/>
      <c r="O127" s="179">
        <v>70</v>
      </c>
      <c r="P127" s="207">
        <v>1151085.1193279792</v>
      </c>
      <c r="Q127" s="207">
        <v>996852.69073561882</v>
      </c>
      <c r="R127" s="207">
        <v>939829.60792183946</v>
      </c>
      <c r="S127" s="207">
        <v>910371.14798164531</v>
      </c>
      <c r="T127" s="207">
        <v>904367.13559340255</v>
      </c>
      <c r="U127" s="207">
        <v>896533.23812055844</v>
      </c>
      <c r="V127" s="207">
        <v>892226.33099655854</v>
      </c>
      <c r="W127" s="207">
        <v>890558.09099655855</v>
      </c>
    </row>
    <row r="128" spans="7:36">
      <c r="N128" s="319"/>
      <c r="O128" s="179">
        <v>90</v>
      </c>
      <c r="P128" s="207">
        <v>1371966.5819931161</v>
      </c>
      <c r="Q128" s="207">
        <v>1172083.7713043096</v>
      </c>
      <c r="R128" s="207">
        <v>1042353.3212037428</v>
      </c>
      <c r="S128" s="207">
        <v>964192.37717900914</v>
      </c>
      <c r="T128" s="207">
        <v>948267.11899803684</v>
      </c>
      <c r="U128" s="207">
        <v>926827.07226784306</v>
      </c>
      <c r="V128" s="207">
        <v>915923.78497554734</v>
      </c>
      <c r="W128" s="207">
        <v>909970.02329655841</v>
      </c>
    </row>
    <row r="129" spans="14:23">
      <c r="N129" s="319"/>
      <c r="O129" s="179">
        <v>110</v>
      </c>
      <c r="P129" s="207">
        <v>1592848.0446582532</v>
      </c>
      <c r="Q129" s="207">
        <v>1348546.8315941563</v>
      </c>
      <c r="R129" s="207">
        <v>1168829.7327167303</v>
      </c>
      <c r="S129" s="207">
        <v>1030397.7727468149</v>
      </c>
      <c r="T129" s="207">
        <v>1002000.7220744644</v>
      </c>
      <c r="U129" s="207">
        <v>963778.81870932388</v>
      </c>
      <c r="V129" s="207">
        <v>944047.14690593886</v>
      </c>
      <c r="W129" s="207">
        <v>932705.21189003333</v>
      </c>
    </row>
    <row r="130" spans="14:23">
      <c r="N130" s="319"/>
      <c r="O130" s="179">
        <v>130</v>
      </c>
      <c r="P130" s="207">
        <v>1813729.5073233903</v>
      </c>
      <c r="Q130" s="207">
        <v>1525009.8918840026</v>
      </c>
      <c r="R130" s="207">
        <v>1309790.8876970967</v>
      </c>
      <c r="S130" s="207">
        <v>1104697.3297091683</v>
      </c>
      <c r="T130" s="207">
        <v>1062030.7066099078</v>
      </c>
      <c r="U130" s="207">
        <v>1004932.8661280497</v>
      </c>
      <c r="V130" s="207">
        <v>975967.58379998279</v>
      </c>
      <c r="W130" s="207">
        <v>958745.02045088331</v>
      </c>
    </row>
    <row r="131" spans="14:23">
      <c r="N131" s="319"/>
      <c r="O131" s="179">
        <v>150</v>
      </c>
      <c r="P131" s="207">
        <v>2034610.969988527</v>
      </c>
      <c r="Q131" s="207">
        <v>1701472.9521738493</v>
      </c>
      <c r="R131" s="207">
        <v>1453143.3319581884</v>
      </c>
      <c r="S131" s="207">
        <v>1184713.5662496886</v>
      </c>
      <c r="T131" s="207">
        <v>1127028.6095117303</v>
      </c>
      <c r="U131" s="207">
        <v>1049114.2752024431</v>
      </c>
      <c r="V131" s="207">
        <v>1009812.1968324659</v>
      </c>
      <c r="W131" s="207">
        <v>985933.34968139452</v>
      </c>
    </row>
    <row r="132" spans="14:23">
      <c r="N132" s="319"/>
      <c r="O132" s="179">
        <v>170</v>
      </c>
      <c r="P132" s="207">
        <v>2255492.4326536641</v>
      </c>
      <c r="Q132" s="207">
        <v>1877936.0124636954</v>
      </c>
      <c r="R132" s="207">
        <v>1596495.77621928</v>
      </c>
      <c r="S132" s="207">
        <v>1268742.68555336</v>
      </c>
      <c r="T132" s="207">
        <v>1195223.9897325404</v>
      </c>
      <c r="U132" s="207">
        <v>1095415.6072962361</v>
      </c>
      <c r="V132" s="207">
        <v>1044769.7919010945</v>
      </c>
      <c r="W132" s="207">
        <v>1014926.4971070875</v>
      </c>
    </row>
    <row r="133" spans="14:23">
      <c r="N133" s="319"/>
      <c r="O133" s="179">
        <v>190</v>
      </c>
      <c r="P133" s="207">
        <v>2476373.895318801</v>
      </c>
      <c r="Q133" s="207">
        <v>2054399.0727535426</v>
      </c>
      <c r="R133" s="207">
        <v>1739848.2204803717</v>
      </c>
      <c r="S133" s="207">
        <v>1356267.3195335236</v>
      </c>
      <c r="T133" s="207">
        <v>1266025.9387118674</v>
      </c>
      <c r="U133" s="207">
        <v>1143589.3831662401</v>
      </c>
      <c r="V133" s="207">
        <v>1081939.6836819295</v>
      </c>
      <c r="W133" s="207">
        <v>1043960.3759979584</v>
      </c>
    </row>
    <row r="134" spans="14:23">
      <c r="N134" s="319"/>
      <c r="O134" s="179">
        <v>210</v>
      </c>
      <c r="P134" s="207">
        <v>2697255.3579839366</v>
      </c>
      <c r="Q134" s="207">
        <v>2230862.1330433888</v>
      </c>
      <c r="R134" s="207">
        <v>1883200.6647414633</v>
      </c>
      <c r="S134" s="207">
        <v>1446276.9807106419</v>
      </c>
      <c r="T134" s="207">
        <v>1338934.4245878134</v>
      </c>
      <c r="U134" s="207">
        <v>1193403.1188436765</v>
      </c>
      <c r="V134" s="207">
        <v>1119309.9972044481</v>
      </c>
      <c r="W134" s="207">
        <v>1075153.0225432431</v>
      </c>
    </row>
    <row r="135" spans="14:23">
      <c r="N135" s="319"/>
      <c r="O135" s="179">
        <v>230</v>
      </c>
      <c r="P135" s="207">
        <v>2918136.8206490749</v>
      </c>
      <c r="Q135" s="207">
        <v>2407325.1933332356</v>
      </c>
      <c r="R135" s="207">
        <v>2026553.1090025553</v>
      </c>
      <c r="S135" s="207">
        <v>1538317.072345013</v>
      </c>
      <c r="T135" s="207">
        <v>1413527.6392341987</v>
      </c>
      <c r="U135" s="207">
        <v>1243789.9752527953</v>
      </c>
      <c r="V135" s="207">
        <v>1158158.3725347735</v>
      </c>
      <c r="W135" s="207">
        <v>1106345.669088528</v>
      </c>
    </row>
    <row r="136" spans="14:23">
      <c r="N136" s="319"/>
      <c r="O136" s="179">
        <v>250</v>
      </c>
      <c r="P136" s="207">
        <v>3139018.2833142113</v>
      </c>
      <c r="Q136" s="207">
        <v>2583788.2536230823</v>
      </c>
      <c r="R136" s="207">
        <v>2169905.5532636475</v>
      </c>
      <c r="S136" s="207">
        <v>1632073.7358755737</v>
      </c>
      <c r="T136" s="207">
        <v>1489451.0085067167</v>
      </c>
      <c r="U136" s="207">
        <v>1295812.8360480487</v>
      </c>
      <c r="V136" s="207">
        <v>1197445.349597062</v>
      </c>
      <c r="W136" s="207">
        <v>1137538.3156338129</v>
      </c>
    </row>
    <row r="137" spans="14:23">
      <c r="N137" s="319"/>
      <c r="O137" s="179">
        <v>270</v>
      </c>
      <c r="P137" s="207">
        <v>3359899.7459793482</v>
      </c>
      <c r="Q137" s="207">
        <v>2760251.3139129286</v>
      </c>
      <c r="R137" s="207">
        <v>2313257.9975247378</v>
      </c>
      <c r="S137" s="207">
        <v>1727273.0423360947</v>
      </c>
      <c r="T137" s="207">
        <v>1566407.6550739293</v>
      </c>
      <c r="U137" s="207">
        <v>1347916.8609437593</v>
      </c>
      <c r="V137" s="207">
        <v>1236867.7692080091</v>
      </c>
      <c r="W137" s="207">
        <v>1170136.472665116</v>
      </c>
    </row>
    <row r="138" spans="14:23">
      <c r="N138" s="319"/>
      <c r="O138" s="179">
        <v>290</v>
      </c>
      <c r="P138" s="207">
        <v>3580781.2086444851</v>
      </c>
      <c r="Q138" s="207">
        <v>2936714.3742027748</v>
      </c>
      <c r="R138" s="207">
        <v>2456610.441785831</v>
      </c>
      <c r="S138" s="207">
        <v>1823676.4285523968</v>
      </c>
      <c r="T138" s="207">
        <v>1644773.0021287703</v>
      </c>
      <c r="U138" s="207">
        <v>1401426.7565979927</v>
      </c>
      <c r="V138" s="207">
        <v>1277677.3437862913</v>
      </c>
      <c r="W138" s="207">
        <v>1202967.1961797168</v>
      </c>
    </row>
    <row r="139" spans="14:23">
      <c r="N139" s="319"/>
      <c r="O139" s="179">
        <v>310</v>
      </c>
      <c r="P139" s="207">
        <v>3801662.6713096229</v>
      </c>
      <c r="Q139" s="207">
        <v>3113177.434492622</v>
      </c>
      <c r="R139" s="207">
        <v>2599962.8860469223</v>
      </c>
      <c r="S139" s="207">
        <v>1921076.6240221073</v>
      </c>
      <c r="T139" s="207">
        <v>1723785.2398568436</v>
      </c>
      <c r="U139" s="207">
        <v>1454936.6522522264</v>
      </c>
      <c r="V139" s="207">
        <v>1318486.9183645735</v>
      </c>
      <c r="W139" s="207">
        <v>1235797.9196943177</v>
      </c>
    </row>
    <row r="140" spans="14:23">
      <c r="N140" s="319"/>
      <c r="O140" s="179">
        <v>330</v>
      </c>
      <c r="P140" s="207">
        <v>4022544.1339747594</v>
      </c>
      <c r="Q140" s="207">
        <v>3289640.4947824688</v>
      </c>
      <c r="R140" s="207">
        <v>2743315.3303080141</v>
      </c>
      <c r="S140" s="207">
        <v>2019452.6088638015</v>
      </c>
      <c r="T140" s="207">
        <v>1803420.3505197549</v>
      </c>
      <c r="U140" s="207">
        <v>1509302.3723060724</v>
      </c>
      <c r="V140" s="207">
        <v>1359296.4929428555</v>
      </c>
      <c r="W140" s="207">
        <v>1268628.6432089186</v>
      </c>
    </row>
    <row r="141" spans="14:23">
      <c r="N141" s="319"/>
      <c r="O141" s="179">
        <v>350</v>
      </c>
      <c r="P141" s="207">
        <v>4243425.5966398967</v>
      </c>
      <c r="Q141" s="207">
        <v>3466103.5550723146</v>
      </c>
      <c r="R141" s="207">
        <v>2886667.7745691068</v>
      </c>
      <c r="S141" s="207">
        <v>2118766.3824596093</v>
      </c>
      <c r="T141" s="207">
        <v>1884013.0424368889</v>
      </c>
      <c r="U141" s="207">
        <v>1564067.3997330281</v>
      </c>
      <c r="V141" s="207">
        <v>1400996.5316386458</v>
      </c>
      <c r="W141" s="207">
        <v>1302245.0597246867</v>
      </c>
    </row>
    <row r="142" spans="14:23">
      <c r="N142" s="319"/>
      <c r="O142" s="179">
        <v>370</v>
      </c>
      <c r="P142" s="207">
        <v>4464307.0593050327</v>
      </c>
      <c r="Q142" s="207">
        <v>3642566.6153621627</v>
      </c>
      <c r="R142" s="207">
        <v>3030020.218830198</v>
      </c>
      <c r="S142" s="207">
        <v>2218238.7471715882</v>
      </c>
      <c r="T142" s="207">
        <v>1964782.9408363327</v>
      </c>
      <c r="U142" s="207">
        <v>1618832.4271599839</v>
      </c>
      <c r="V142" s="207">
        <v>1443015.6576836333</v>
      </c>
      <c r="W142" s="207">
        <v>1336295.7410621853</v>
      </c>
    </row>
  </sheetData>
  <mergeCells count="20">
    <mergeCell ref="A28:D28"/>
    <mergeCell ref="N50:N56"/>
    <mergeCell ref="N60:N66"/>
    <mergeCell ref="N69:P69"/>
    <mergeCell ref="R69:T69"/>
    <mergeCell ref="N125:N142"/>
    <mergeCell ref="AC69:AE69"/>
    <mergeCell ref="N70:N88"/>
    <mergeCell ref="R71:R88"/>
    <mergeCell ref="X71:X88"/>
    <mergeCell ref="N123:O123"/>
    <mergeCell ref="P123:W123"/>
    <mergeCell ref="N102:N119"/>
    <mergeCell ref="AA102:AA119"/>
    <mergeCell ref="X69:Z69"/>
    <mergeCell ref="AC71:AC88"/>
    <mergeCell ref="N100:O100"/>
    <mergeCell ref="P100:W100"/>
    <mergeCell ref="AA100:AB100"/>
    <mergeCell ref="AC100:AJ100"/>
  </mergeCells>
  <conditionalFormatting sqref="N10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1:P88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02:W11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25:W14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71:T88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71:AB87 Z8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0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90:AD99 AC102:AD10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102:AJ11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71:AE8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scale="1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93C26-EB6B-4AE5-9534-EEA9B087FF0A}">
  <sheetPr>
    <pageSetUpPr fitToPage="1"/>
  </sheetPr>
  <dimension ref="A1:LF142"/>
  <sheetViews>
    <sheetView topLeftCell="A10" zoomScale="55" zoomScaleNormal="55" workbookViewId="0">
      <selection activeCell="K23" sqref="K23"/>
    </sheetView>
  </sheetViews>
  <sheetFormatPr defaultColWidth="9.140625" defaultRowHeight="15"/>
  <cols>
    <col min="1" max="1" width="23.42578125" style="1" customWidth="1"/>
    <col min="2" max="2" width="12.28515625" style="1" customWidth="1"/>
    <col min="3" max="3" width="14.7109375" style="1" customWidth="1"/>
    <col min="4" max="4" width="12" style="1" customWidth="1"/>
    <col min="5" max="5" width="11.7109375" style="1" customWidth="1"/>
    <col min="6" max="8" width="9.140625" style="1"/>
    <col min="9" max="9" width="13.140625" style="1" customWidth="1"/>
    <col min="10" max="10" width="13.7109375" style="1" customWidth="1"/>
    <col min="11" max="13" width="9.140625" style="1"/>
    <col min="14" max="14" width="13.140625" style="1" customWidth="1"/>
    <col min="15" max="15" width="20" style="1" customWidth="1"/>
    <col min="16" max="16" width="14.85546875" style="1" customWidth="1"/>
    <col min="17" max="17" width="10.42578125" style="1" customWidth="1"/>
    <col min="18" max="18" width="17" style="1" bestFit="1" customWidth="1"/>
    <col min="19" max="19" width="16.42578125" style="1" customWidth="1"/>
    <col min="20" max="43" width="15.28515625" style="1" bestFit="1" customWidth="1"/>
    <col min="44" max="318" width="13.28515625" style="1" bestFit="1" customWidth="1"/>
    <col min="319" max="16384" width="9.140625" style="1"/>
  </cols>
  <sheetData>
    <row r="1" spans="1:318" ht="21">
      <c r="A1" s="181" t="s">
        <v>149</v>
      </c>
      <c r="B1" s="126"/>
      <c r="C1" s="126"/>
    </row>
    <row r="4" spans="1:318" ht="15.75" thickBot="1">
      <c r="I4" s="1" t="s">
        <v>316</v>
      </c>
      <c r="R4" s="1">
        <f>IF(A9&gt;0,4000+2000,4000)</f>
        <v>4000</v>
      </c>
      <c r="T4" s="1">
        <f>IF(A9&gt;0,4,2)</f>
        <v>2</v>
      </c>
      <c r="X4" s="1">
        <v>3</v>
      </c>
      <c r="Y4" s="1">
        <v>4</v>
      </c>
    </row>
    <row r="5" spans="1:318" ht="75">
      <c r="A5" s="127" t="s">
        <v>154</v>
      </c>
      <c r="B5" s="128" t="s">
        <v>155</v>
      </c>
      <c r="C5" s="129" t="s">
        <v>156</v>
      </c>
      <c r="D5" s="130" t="s">
        <v>157</v>
      </c>
      <c r="E5" s="130" t="s">
        <v>158</v>
      </c>
      <c r="F5" s="130" t="s">
        <v>159</v>
      </c>
      <c r="G5" s="130" t="s">
        <v>160</v>
      </c>
      <c r="H5" s="130" t="s">
        <v>161</v>
      </c>
      <c r="I5" s="131" t="s">
        <v>162</v>
      </c>
      <c r="J5" s="131" t="s">
        <v>163</v>
      </c>
      <c r="K5" s="130" t="s">
        <v>164</v>
      </c>
      <c r="L5" s="130" t="s">
        <v>165</v>
      </c>
      <c r="M5" s="130" t="s">
        <v>166</v>
      </c>
      <c r="N5" s="130" t="s">
        <v>167</v>
      </c>
      <c r="O5" s="130" t="s">
        <v>168</v>
      </c>
      <c r="P5" s="130" t="s">
        <v>169</v>
      </c>
      <c r="Q5" s="130" t="s">
        <v>170</v>
      </c>
      <c r="R5" s="130" t="s">
        <v>171</v>
      </c>
      <c r="S5" s="130" t="s">
        <v>172</v>
      </c>
      <c r="T5" s="130" t="s">
        <v>173</v>
      </c>
      <c r="U5" s="130" t="s">
        <v>174</v>
      </c>
      <c r="V5" s="130" t="s">
        <v>175</v>
      </c>
      <c r="W5" s="130" t="s">
        <v>176</v>
      </c>
      <c r="X5" s="130" t="s">
        <v>177</v>
      </c>
      <c r="Y5" s="130" t="s">
        <v>178</v>
      </c>
      <c r="Z5" s="130" t="s">
        <v>179</v>
      </c>
      <c r="AA5" s="130" t="s">
        <v>180</v>
      </c>
      <c r="AB5" s="130" t="s">
        <v>181</v>
      </c>
      <c r="AC5" s="131" t="s">
        <v>182</v>
      </c>
      <c r="AD5" s="131" t="s">
        <v>317</v>
      </c>
    </row>
    <row r="6" spans="1:318" ht="18.75">
      <c r="A6" s="132">
        <v>400</v>
      </c>
      <c r="B6" s="132">
        <v>600</v>
      </c>
      <c r="C6" s="132">
        <v>1465</v>
      </c>
      <c r="D6" s="168">
        <f>E6/12</f>
        <v>741666.66666666663</v>
      </c>
      <c r="E6" s="137">
        <v>8900000</v>
      </c>
      <c r="F6" s="138">
        <v>0.2</v>
      </c>
      <c r="G6" s="132">
        <v>10</v>
      </c>
      <c r="H6" s="133">
        <v>2.8000000000000001E-2</v>
      </c>
      <c r="I6" s="134">
        <v>70</v>
      </c>
      <c r="J6" s="134">
        <v>45</v>
      </c>
      <c r="K6" s="135">
        <v>0.03</v>
      </c>
      <c r="L6" s="136">
        <f>M6*K6*(1-Z6)+H6*F6</f>
        <v>2.4320000000000001E-2</v>
      </c>
      <c r="M6" s="136">
        <f>1-F6</f>
        <v>0.8</v>
      </c>
      <c r="N6" s="137">
        <f>A6*C6</f>
        <v>586000</v>
      </c>
      <c r="O6" s="133">
        <v>7.0000000000000001E-3</v>
      </c>
      <c r="P6" s="132">
        <f>IF(A9&gt;0,8,6)</f>
        <v>6</v>
      </c>
      <c r="Q6" s="132">
        <f>IF(J9,1800,0)</f>
        <v>0</v>
      </c>
      <c r="R6" s="132">
        <f>R4*A6/1000</f>
        <v>1600</v>
      </c>
      <c r="S6" s="132">
        <v>2000</v>
      </c>
      <c r="T6" s="132">
        <f>T4*A6</f>
        <v>800</v>
      </c>
      <c r="U6" s="132">
        <v>2000</v>
      </c>
      <c r="V6" s="132">
        <v>0</v>
      </c>
      <c r="W6" s="138">
        <v>0.03</v>
      </c>
      <c r="X6" s="132">
        <f>X4*A6</f>
        <v>1200</v>
      </c>
      <c r="Y6" s="132">
        <f>Y4*A6 +A9*2</f>
        <v>1600</v>
      </c>
      <c r="Z6" s="135">
        <v>0.22</v>
      </c>
      <c r="AA6" s="135">
        <v>0.95</v>
      </c>
      <c r="AB6" s="135">
        <v>0</v>
      </c>
      <c r="AC6" s="134">
        <v>45</v>
      </c>
      <c r="AD6" s="134">
        <v>45</v>
      </c>
    </row>
    <row r="7" spans="1:318">
      <c r="A7" s="208">
        <f>A6*B6</f>
        <v>240000</v>
      </c>
      <c r="B7" s="140">
        <f>A7*0.8</f>
        <v>192000</v>
      </c>
      <c r="D7" s="1">
        <f>D6/30</f>
        <v>24722.222222222223</v>
      </c>
      <c r="N7" s="1">
        <f>N6/365*C9</f>
        <v>1123.8356164383561</v>
      </c>
    </row>
    <row r="8" spans="1:318" ht="30">
      <c r="A8" s="142" t="s">
        <v>183</v>
      </c>
      <c r="B8" s="143" t="s">
        <v>184</v>
      </c>
      <c r="C8" s="130" t="s">
        <v>185</v>
      </c>
      <c r="D8" s="1">
        <f>D7*0.75</f>
        <v>18541.666666666668</v>
      </c>
    </row>
    <row r="9" spans="1:318" ht="19.5" thickBot="1">
      <c r="A9" s="144">
        <v>0</v>
      </c>
      <c r="B9" s="145">
        <v>500</v>
      </c>
      <c r="C9" s="138">
        <v>0.7</v>
      </c>
      <c r="D9" s="1">
        <f>D8-250</f>
        <v>18291.666666666668</v>
      </c>
      <c r="I9" s="146" t="str">
        <f>IF(J9=0,"physical","virtual")</f>
        <v>physical</v>
      </c>
      <c r="J9" s="134">
        <v>0</v>
      </c>
      <c r="K9" s="147" t="s">
        <v>187</v>
      </c>
    </row>
    <row r="10" spans="1:318">
      <c r="A10" s="208">
        <f>A9*B9</f>
        <v>0</v>
      </c>
      <c r="O10" s="198"/>
      <c r="P10" s="161"/>
      <c r="Q10" s="162"/>
      <c r="R10" s="182" t="s">
        <v>160</v>
      </c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83"/>
      <c r="AE10" s="183"/>
      <c r="AF10" s="183"/>
      <c r="AG10" s="183"/>
      <c r="AH10" s="183"/>
      <c r="AI10" s="183"/>
      <c r="AJ10" s="183"/>
      <c r="AK10" s="183"/>
      <c r="AL10" s="183"/>
      <c r="AM10" s="183"/>
      <c r="AN10" s="183"/>
      <c r="AO10" s="183"/>
      <c r="AP10" s="183"/>
      <c r="AQ10" s="184"/>
      <c r="AR10" s="148"/>
      <c r="AW10" s="148"/>
      <c r="AX10" s="148"/>
      <c r="AY10" s="148"/>
      <c r="AZ10" s="148"/>
      <c r="BA10" s="148"/>
      <c r="BB10" s="148"/>
      <c r="BC10" s="148"/>
      <c r="BD10" s="148"/>
      <c r="BE10" s="148"/>
      <c r="BF10" s="148"/>
      <c r="BG10" s="148"/>
      <c r="BH10" s="148"/>
      <c r="BI10" s="148"/>
      <c r="BJ10" s="148"/>
      <c r="BK10" s="148"/>
      <c r="BL10" s="148"/>
      <c r="BM10" s="148"/>
      <c r="BN10" s="148"/>
      <c r="BO10" s="148"/>
      <c r="BP10" s="148"/>
      <c r="BQ10" s="148"/>
      <c r="BR10" s="148"/>
      <c r="BS10" s="148"/>
      <c r="BT10" s="148"/>
      <c r="BU10" s="148"/>
      <c r="BV10" s="148"/>
      <c r="BW10" s="148"/>
      <c r="BX10" s="148"/>
      <c r="BY10" s="148"/>
      <c r="BZ10" s="148"/>
      <c r="CA10" s="148"/>
      <c r="CB10" s="148"/>
      <c r="CC10" s="148"/>
      <c r="CD10" s="148"/>
      <c r="CE10" s="148"/>
      <c r="CF10" s="148"/>
      <c r="CG10" s="148"/>
      <c r="CH10" s="148"/>
      <c r="CI10" s="148"/>
      <c r="CJ10" s="148"/>
      <c r="CK10" s="148"/>
      <c r="CL10" s="148"/>
      <c r="CM10" s="148"/>
      <c r="CN10" s="148"/>
      <c r="CO10" s="148"/>
      <c r="CP10" s="148"/>
      <c r="CQ10" s="148"/>
      <c r="CR10" s="148"/>
      <c r="CS10" s="148"/>
      <c r="CT10" s="148"/>
      <c r="CU10" s="148"/>
      <c r="CV10" s="148"/>
      <c r="CW10" s="148"/>
      <c r="CX10" s="148"/>
      <c r="CY10" s="148"/>
      <c r="CZ10" s="148"/>
      <c r="DA10" s="148"/>
      <c r="DB10" s="148"/>
      <c r="DC10" s="148"/>
      <c r="DD10" s="148"/>
      <c r="DE10" s="148"/>
      <c r="DF10" s="148"/>
      <c r="DG10" s="148"/>
      <c r="DH10" s="148"/>
      <c r="DI10" s="148"/>
      <c r="DJ10" s="148"/>
      <c r="DK10" s="148"/>
      <c r="DL10" s="148"/>
      <c r="DM10" s="148"/>
      <c r="DN10" s="148"/>
      <c r="DO10" s="148"/>
      <c r="DP10" s="148"/>
      <c r="DQ10" s="148"/>
      <c r="DR10" s="148"/>
      <c r="DS10" s="148"/>
      <c r="DT10" s="148"/>
      <c r="DU10" s="148"/>
      <c r="DV10" s="148"/>
      <c r="DW10" s="148"/>
      <c r="DX10" s="148"/>
      <c r="DY10" s="148"/>
      <c r="DZ10" s="148"/>
      <c r="EA10" s="148"/>
      <c r="EB10" s="148"/>
      <c r="EC10" s="148"/>
      <c r="ED10" s="148"/>
      <c r="EE10" s="148"/>
      <c r="EF10" s="148"/>
      <c r="EG10" s="148"/>
      <c r="EH10" s="148"/>
      <c r="EI10" s="148"/>
      <c r="EJ10" s="148"/>
      <c r="EK10" s="148"/>
      <c r="EL10" s="148"/>
      <c r="EM10" s="148"/>
      <c r="EN10" s="148"/>
      <c r="EO10" s="148"/>
      <c r="EP10" s="148"/>
      <c r="EQ10" s="148"/>
      <c r="ER10" s="148"/>
      <c r="ES10" s="148"/>
      <c r="ET10" s="148"/>
      <c r="EU10" s="148"/>
      <c r="EV10" s="148"/>
      <c r="EW10" s="148"/>
      <c r="EX10" s="148"/>
      <c r="EY10" s="148"/>
      <c r="EZ10" s="148"/>
      <c r="FA10" s="148"/>
      <c r="FB10" s="148"/>
      <c r="FC10" s="148"/>
      <c r="FD10" s="148"/>
      <c r="FE10" s="148"/>
      <c r="FF10" s="148"/>
      <c r="FG10" s="148"/>
      <c r="FH10" s="148"/>
      <c r="FI10" s="148"/>
      <c r="FJ10" s="148"/>
      <c r="FK10" s="148"/>
      <c r="FL10" s="148"/>
      <c r="FM10" s="148"/>
      <c r="FN10" s="148"/>
      <c r="FO10" s="148"/>
      <c r="FP10" s="148"/>
      <c r="FQ10" s="148"/>
      <c r="FR10" s="148"/>
      <c r="FS10" s="148"/>
      <c r="FT10" s="148"/>
      <c r="FU10" s="148"/>
      <c r="FV10" s="148"/>
      <c r="FW10" s="148"/>
      <c r="FX10" s="148"/>
      <c r="FY10" s="148"/>
      <c r="FZ10" s="148"/>
      <c r="GA10" s="148"/>
      <c r="GB10" s="148"/>
      <c r="GC10" s="148"/>
      <c r="GD10" s="148"/>
      <c r="GE10" s="148"/>
      <c r="GF10" s="148"/>
      <c r="GG10" s="148"/>
      <c r="GH10" s="148"/>
      <c r="GI10" s="148"/>
      <c r="GJ10" s="148"/>
      <c r="GK10" s="148"/>
      <c r="GL10" s="148"/>
      <c r="GM10" s="148"/>
      <c r="GN10" s="148"/>
      <c r="GO10" s="148"/>
      <c r="GP10" s="148"/>
      <c r="GQ10" s="148"/>
      <c r="GR10" s="148"/>
      <c r="GS10" s="148"/>
      <c r="GT10" s="148"/>
      <c r="GU10" s="148"/>
      <c r="GV10" s="148"/>
      <c r="GW10" s="148"/>
      <c r="GX10" s="148"/>
      <c r="GY10" s="148"/>
      <c r="GZ10" s="148"/>
      <c r="HA10" s="148"/>
      <c r="HB10" s="148"/>
      <c r="HC10" s="148"/>
      <c r="HD10" s="148"/>
      <c r="HE10" s="148"/>
      <c r="HF10" s="148"/>
      <c r="HG10" s="148"/>
      <c r="HH10" s="148"/>
      <c r="HI10" s="148"/>
      <c r="HJ10" s="148"/>
      <c r="HK10" s="148"/>
      <c r="HL10" s="148"/>
      <c r="HM10" s="148"/>
      <c r="HN10" s="148"/>
      <c r="HO10" s="148"/>
      <c r="HP10" s="148"/>
      <c r="HQ10" s="148"/>
      <c r="HR10" s="148"/>
      <c r="HS10" s="148"/>
      <c r="HT10" s="148"/>
      <c r="HU10" s="148"/>
      <c r="HV10" s="148"/>
      <c r="HW10" s="148"/>
      <c r="HX10" s="148"/>
      <c r="HY10" s="148"/>
      <c r="HZ10" s="148"/>
      <c r="IA10" s="148"/>
      <c r="IB10" s="148"/>
      <c r="IC10" s="148"/>
      <c r="ID10" s="148"/>
      <c r="IE10" s="148"/>
      <c r="IF10" s="148"/>
      <c r="IG10" s="148"/>
      <c r="IH10" s="148"/>
      <c r="II10" s="148"/>
      <c r="IJ10" s="148"/>
      <c r="IK10" s="148"/>
      <c r="IL10" s="148"/>
      <c r="IM10" s="148"/>
      <c r="IN10" s="148"/>
      <c r="IO10" s="148"/>
      <c r="IP10" s="148"/>
      <c r="IQ10" s="148"/>
      <c r="IR10" s="148"/>
      <c r="IS10" s="148"/>
      <c r="IT10" s="148"/>
      <c r="IU10" s="148"/>
      <c r="IV10" s="148"/>
      <c r="IW10" s="148"/>
      <c r="IX10" s="148"/>
      <c r="IY10" s="148"/>
      <c r="IZ10" s="148"/>
      <c r="JA10" s="148"/>
      <c r="JB10" s="148"/>
      <c r="JC10" s="148"/>
      <c r="JD10" s="148"/>
      <c r="JE10" s="148"/>
      <c r="JF10" s="148"/>
      <c r="JG10" s="148"/>
      <c r="JH10" s="148"/>
      <c r="JI10" s="148"/>
      <c r="JJ10" s="148"/>
      <c r="JK10" s="148"/>
      <c r="JL10" s="148"/>
      <c r="JM10" s="148"/>
      <c r="JN10" s="148"/>
      <c r="JO10" s="148"/>
      <c r="JP10" s="148"/>
      <c r="JQ10" s="148"/>
      <c r="JR10" s="148"/>
      <c r="JS10" s="148"/>
      <c r="JT10" s="148"/>
      <c r="JU10" s="148"/>
      <c r="JV10" s="148"/>
      <c r="JW10" s="148"/>
      <c r="JX10" s="148"/>
      <c r="JY10" s="148"/>
      <c r="JZ10" s="148"/>
      <c r="KA10" s="148"/>
      <c r="KB10" s="148"/>
      <c r="KC10" s="148"/>
      <c r="KD10" s="148"/>
      <c r="KE10" s="148"/>
      <c r="KF10" s="148"/>
      <c r="KG10" s="148"/>
      <c r="KH10" s="148"/>
      <c r="KI10" s="148"/>
      <c r="KJ10" s="148"/>
      <c r="KK10" s="148"/>
      <c r="KL10" s="148"/>
      <c r="KM10" s="148"/>
      <c r="KN10" s="148"/>
      <c r="KO10" s="148"/>
      <c r="KP10" s="148"/>
      <c r="KQ10" s="148"/>
      <c r="KR10" s="148"/>
      <c r="KS10" s="148"/>
      <c r="KT10" s="148"/>
      <c r="KU10" s="148"/>
      <c r="KV10" s="148"/>
      <c r="KW10" s="148"/>
      <c r="KX10" s="148"/>
      <c r="KY10" s="148"/>
      <c r="KZ10" s="148"/>
      <c r="LA10" s="148"/>
      <c r="LB10" s="148"/>
      <c r="LC10" s="148"/>
      <c r="LD10" s="148"/>
      <c r="LE10" s="148"/>
      <c r="LF10" s="148"/>
    </row>
    <row r="11" spans="1:318" ht="15.75" thickBot="1">
      <c r="I11" s="1" t="s">
        <v>188</v>
      </c>
      <c r="J11" s="1">
        <v>800</v>
      </c>
      <c r="O11" s="139"/>
      <c r="Q11" s="140"/>
      <c r="R11" s="185">
        <v>0</v>
      </c>
      <c r="S11" s="150">
        <v>1</v>
      </c>
      <c r="T11" s="150">
        <v>2</v>
      </c>
      <c r="U11" s="150">
        <v>3</v>
      </c>
      <c r="V11" s="150">
        <v>4</v>
      </c>
      <c r="W11" s="150">
        <v>5</v>
      </c>
      <c r="X11" s="150">
        <v>6</v>
      </c>
      <c r="Y11" s="150">
        <v>7</v>
      </c>
      <c r="Z11" s="150">
        <v>8</v>
      </c>
      <c r="AA11" s="150">
        <v>9</v>
      </c>
      <c r="AB11" s="150">
        <v>10</v>
      </c>
      <c r="AC11" s="150">
        <v>11</v>
      </c>
      <c r="AD11" s="150">
        <v>12</v>
      </c>
      <c r="AE11" s="150">
        <v>13</v>
      </c>
      <c r="AF11" s="150">
        <v>14</v>
      </c>
      <c r="AG11" s="150">
        <v>15</v>
      </c>
      <c r="AH11" s="150">
        <v>16</v>
      </c>
      <c r="AI11" s="150">
        <v>17</v>
      </c>
      <c r="AJ11" s="150">
        <v>18</v>
      </c>
      <c r="AK11" s="150">
        <v>19</v>
      </c>
      <c r="AL11" s="150">
        <v>20</v>
      </c>
      <c r="AM11" s="150">
        <v>21</v>
      </c>
      <c r="AN11" s="150">
        <v>22</v>
      </c>
      <c r="AO11" s="150">
        <v>23</v>
      </c>
      <c r="AP11" s="150">
        <v>24</v>
      </c>
      <c r="AQ11" s="186">
        <v>25</v>
      </c>
      <c r="AR11" s="149" t="s">
        <v>190</v>
      </c>
      <c r="AW11" s="150"/>
      <c r="AX11" s="150"/>
      <c r="AY11" s="150"/>
      <c r="AZ11" s="150"/>
      <c r="BA11" s="150"/>
      <c r="BB11" s="150"/>
      <c r="BC11" s="150"/>
      <c r="BD11" s="150"/>
      <c r="BE11" s="150"/>
      <c r="BF11" s="150"/>
      <c r="BG11" s="150"/>
      <c r="BH11" s="150"/>
      <c r="BI11" s="150"/>
      <c r="BJ11" s="150"/>
      <c r="BK11" s="150"/>
      <c r="BL11" s="150"/>
      <c r="BM11" s="150"/>
      <c r="BN11" s="150"/>
      <c r="BO11" s="150"/>
      <c r="BP11" s="150"/>
      <c r="BQ11" s="150"/>
      <c r="BR11" s="150"/>
      <c r="BS11" s="150"/>
      <c r="BT11" s="150"/>
      <c r="BU11" s="150"/>
      <c r="BV11" s="150"/>
      <c r="BW11" s="150"/>
      <c r="BX11" s="150"/>
      <c r="BY11" s="150"/>
      <c r="BZ11" s="150"/>
      <c r="CA11" s="150"/>
      <c r="CB11" s="150"/>
      <c r="CC11" s="150"/>
      <c r="CD11" s="150"/>
      <c r="CE11" s="150"/>
      <c r="CF11" s="150"/>
      <c r="CG11" s="150"/>
      <c r="CH11" s="150"/>
      <c r="CI11" s="150"/>
      <c r="CJ11" s="150"/>
      <c r="CK11" s="150"/>
      <c r="CL11" s="150"/>
      <c r="CM11" s="150"/>
      <c r="CN11" s="150"/>
      <c r="CO11" s="150"/>
      <c r="CP11" s="150"/>
      <c r="CQ11" s="150"/>
      <c r="CR11" s="150"/>
      <c r="CS11" s="150"/>
      <c r="CT11" s="150"/>
      <c r="CU11" s="150"/>
      <c r="CV11" s="150"/>
      <c r="CW11" s="150"/>
      <c r="CX11" s="150"/>
      <c r="CY11" s="150"/>
      <c r="CZ11" s="150"/>
      <c r="DA11" s="150"/>
      <c r="DB11" s="150"/>
      <c r="DC11" s="150"/>
      <c r="DD11" s="150"/>
      <c r="DE11" s="150"/>
      <c r="DF11" s="150"/>
      <c r="DG11" s="150"/>
      <c r="DH11" s="150"/>
      <c r="DI11" s="150"/>
      <c r="DJ11" s="150"/>
      <c r="DK11" s="150"/>
      <c r="DL11" s="150"/>
      <c r="DM11" s="150"/>
      <c r="DN11" s="150"/>
      <c r="DO11" s="150"/>
      <c r="DP11" s="150"/>
      <c r="DQ11" s="150"/>
      <c r="DR11" s="150"/>
      <c r="DS11" s="150"/>
      <c r="DT11" s="150"/>
      <c r="DU11" s="150"/>
      <c r="DV11" s="150"/>
      <c r="DW11" s="150"/>
      <c r="DX11" s="150"/>
      <c r="DY11" s="150"/>
      <c r="DZ11" s="150"/>
      <c r="EA11" s="150"/>
      <c r="EB11" s="150"/>
      <c r="EC11" s="150"/>
      <c r="ED11" s="150"/>
      <c r="EE11" s="150"/>
      <c r="EF11" s="150"/>
      <c r="EG11" s="150"/>
      <c r="EH11" s="150"/>
      <c r="EI11" s="150"/>
      <c r="EJ11" s="150"/>
      <c r="EK11" s="150"/>
      <c r="EL11" s="150"/>
      <c r="EM11" s="150"/>
      <c r="EN11" s="150"/>
      <c r="EO11" s="150"/>
      <c r="EP11" s="150"/>
      <c r="EQ11" s="150"/>
      <c r="ER11" s="150"/>
      <c r="ES11" s="150"/>
      <c r="ET11" s="150"/>
      <c r="EU11" s="150"/>
      <c r="EV11" s="150"/>
      <c r="EW11" s="150"/>
      <c r="EX11" s="150"/>
      <c r="EY11" s="150"/>
      <c r="EZ11" s="150"/>
      <c r="FA11" s="150"/>
      <c r="FB11" s="150"/>
      <c r="FC11" s="150"/>
      <c r="FD11" s="150"/>
      <c r="FE11" s="150"/>
      <c r="FF11" s="150"/>
      <c r="FG11" s="150"/>
      <c r="FH11" s="150"/>
      <c r="FI11" s="150"/>
      <c r="FJ11" s="150"/>
      <c r="FK11" s="150"/>
      <c r="FL11" s="150"/>
      <c r="FM11" s="150"/>
      <c r="FN11" s="150"/>
      <c r="FO11" s="150"/>
      <c r="FP11" s="150"/>
      <c r="FQ11" s="150"/>
      <c r="FR11" s="150"/>
      <c r="FS11" s="150"/>
      <c r="FT11" s="150"/>
      <c r="FU11" s="150"/>
      <c r="FV11" s="150"/>
      <c r="FW11" s="150"/>
      <c r="FX11" s="150"/>
      <c r="FY11" s="150"/>
      <c r="FZ11" s="150"/>
      <c r="GA11" s="150"/>
      <c r="GB11" s="150"/>
      <c r="GC11" s="150"/>
      <c r="GD11" s="150"/>
      <c r="GE11" s="150"/>
      <c r="GF11" s="150"/>
      <c r="GG11" s="150"/>
      <c r="GH11" s="150"/>
      <c r="GI11" s="150"/>
      <c r="GJ11" s="150"/>
      <c r="GK11" s="150"/>
      <c r="GL11" s="150"/>
      <c r="GM11" s="150"/>
      <c r="GN11" s="150"/>
      <c r="GO11" s="150"/>
      <c r="GP11" s="150"/>
      <c r="GQ11" s="150"/>
      <c r="GR11" s="150"/>
      <c r="GS11" s="150"/>
      <c r="GT11" s="150"/>
      <c r="GU11" s="150"/>
      <c r="GV11" s="150"/>
      <c r="GW11" s="150"/>
      <c r="GX11" s="150"/>
      <c r="GY11" s="150"/>
      <c r="GZ11" s="150"/>
      <c r="HA11" s="150"/>
      <c r="HB11" s="150"/>
      <c r="HC11" s="150"/>
      <c r="HD11" s="150"/>
      <c r="HE11" s="150"/>
      <c r="HF11" s="150"/>
      <c r="HG11" s="150"/>
      <c r="HH11" s="150"/>
      <c r="HI11" s="150"/>
      <c r="HJ11" s="150"/>
      <c r="HK11" s="150"/>
      <c r="HL11" s="150"/>
      <c r="HM11" s="150"/>
      <c r="HN11" s="150"/>
      <c r="HO11" s="150"/>
      <c r="HP11" s="150"/>
      <c r="HQ11" s="150"/>
      <c r="HR11" s="150"/>
      <c r="HS11" s="150"/>
      <c r="HT11" s="150"/>
      <c r="HU11" s="150"/>
      <c r="HV11" s="150"/>
      <c r="HW11" s="150"/>
      <c r="HX11" s="150"/>
      <c r="HY11" s="150"/>
      <c r="HZ11" s="150"/>
      <c r="IA11" s="150"/>
      <c r="IB11" s="150"/>
      <c r="IC11" s="150"/>
      <c r="ID11" s="150"/>
      <c r="IE11" s="150"/>
      <c r="IF11" s="150"/>
      <c r="IG11" s="150"/>
      <c r="IH11" s="150"/>
      <c r="II11" s="150"/>
      <c r="IJ11" s="150"/>
      <c r="IK11" s="150"/>
      <c r="IL11" s="150"/>
      <c r="IM11" s="150"/>
      <c r="IN11" s="150"/>
      <c r="IO11" s="150"/>
      <c r="IP11" s="150"/>
      <c r="IQ11" s="150"/>
      <c r="IR11" s="150"/>
      <c r="IS11" s="150"/>
      <c r="IT11" s="150"/>
      <c r="IU11" s="150"/>
      <c r="IV11" s="150"/>
      <c r="IW11" s="150"/>
      <c r="IX11" s="150"/>
      <c r="IY11" s="150"/>
      <c r="IZ11" s="150"/>
      <c r="JA11" s="150"/>
      <c r="JB11" s="150"/>
      <c r="JC11" s="150"/>
      <c r="JD11" s="150"/>
      <c r="JE11" s="150"/>
      <c r="JF11" s="150"/>
      <c r="JG11" s="150"/>
      <c r="JH11" s="150"/>
      <c r="JI11" s="150"/>
      <c r="JJ11" s="150"/>
      <c r="JK11" s="150"/>
      <c r="JL11" s="150"/>
      <c r="JM11" s="150"/>
      <c r="JN11" s="150"/>
      <c r="JO11" s="150"/>
      <c r="JP11" s="150"/>
      <c r="JQ11" s="150"/>
      <c r="JR11" s="150"/>
      <c r="JS11" s="150"/>
      <c r="JT11" s="150"/>
      <c r="JU11" s="150"/>
      <c r="JV11" s="150"/>
      <c r="JW11" s="150"/>
      <c r="JX11" s="150"/>
      <c r="JY11" s="150"/>
      <c r="JZ11" s="150"/>
      <c r="KA11" s="150"/>
      <c r="KB11" s="150"/>
      <c r="KC11" s="150"/>
      <c r="KD11" s="150"/>
      <c r="KE11" s="150"/>
      <c r="KF11" s="150"/>
      <c r="KG11" s="150"/>
      <c r="KH11" s="150"/>
      <c r="KI11" s="150"/>
      <c r="KJ11" s="150"/>
      <c r="KK11" s="150"/>
      <c r="KL11" s="150"/>
      <c r="KM11" s="150"/>
      <c r="KN11" s="150"/>
      <c r="KO11" s="150"/>
      <c r="KP11" s="150"/>
      <c r="KQ11" s="150"/>
      <c r="KR11" s="150"/>
      <c r="KS11" s="150"/>
      <c r="KT11" s="150"/>
      <c r="KU11" s="150"/>
      <c r="KV11" s="150"/>
      <c r="KW11" s="150"/>
      <c r="KX11" s="150"/>
      <c r="KY11" s="150"/>
      <c r="KZ11" s="150"/>
      <c r="LA11" s="150"/>
      <c r="LB11" s="150"/>
      <c r="LC11" s="150"/>
      <c r="LD11" s="150"/>
      <c r="LE11" s="150"/>
      <c r="LF11" s="150"/>
    </row>
    <row r="12" spans="1:318">
      <c r="A12" s="151" t="s">
        <v>191</v>
      </c>
      <c r="I12" s="1" t="s">
        <v>192</v>
      </c>
      <c r="J12" s="1">
        <v>700</v>
      </c>
      <c r="O12" s="94" t="s">
        <v>193</v>
      </c>
      <c r="Q12" s="140"/>
      <c r="R12" s="139"/>
      <c r="S12" s="210">
        <f>N6</f>
        <v>586000</v>
      </c>
      <c r="T12" s="210">
        <f>S12*(1-$O$6)</f>
        <v>581898</v>
      </c>
      <c r="U12" s="210">
        <f t="shared" ref="U12:AQ12" si="0">T12*(1-$O$6)</f>
        <v>577824.71400000004</v>
      </c>
      <c r="V12" s="210">
        <f t="shared" si="0"/>
        <v>573779.94100200001</v>
      </c>
      <c r="W12" s="210">
        <f t="shared" si="0"/>
        <v>569763.48141498596</v>
      </c>
      <c r="X12" s="210">
        <f t="shared" si="0"/>
        <v>565775.13704508101</v>
      </c>
      <c r="Y12" s="210">
        <f t="shared" si="0"/>
        <v>561814.71108576539</v>
      </c>
      <c r="Z12" s="210">
        <f t="shared" si="0"/>
        <v>557882.008108165</v>
      </c>
      <c r="AA12" s="210">
        <f t="shared" si="0"/>
        <v>553976.83405140787</v>
      </c>
      <c r="AB12" s="210">
        <f t="shared" si="0"/>
        <v>550098.996213048</v>
      </c>
      <c r="AC12" s="210">
        <f t="shared" si="0"/>
        <v>546248.30323955661</v>
      </c>
      <c r="AD12" s="210">
        <f t="shared" si="0"/>
        <v>542424.56511687976</v>
      </c>
      <c r="AE12" s="210">
        <f t="shared" si="0"/>
        <v>538627.59316106164</v>
      </c>
      <c r="AF12" s="210">
        <f t="shared" si="0"/>
        <v>534857.20000893425</v>
      </c>
      <c r="AG12" s="210">
        <f t="shared" si="0"/>
        <v>531113.19960887171</v>
      </c>
      <c r="AH12" s="210">
        <f t="shared" si="0"/>
        <v>527395.40721160965</v>
      </c>
      <c r="AI12" s="210">
        <f t="shared" si="0"/>
        <v>523703.63936112839</v>
      </c>
      <c r="AJ12" s="210">
        <f t="shared" si="0"/>
        <v>520037.7138856005</v>
      </c>
      <c r="AK12" s="210">
        <f t="shared" si="0"/>
        <v>516397.44988840132</v>
      </c>
      <c r="AL12" s="210">
        <f t="shared" si="0"/>
        <v>512782.66773918248</v>
      </c>
      <c r="AM12" s="210">
        <f t="shared" si="0"/>
        <v>509193.18906500819</v>
      </c>
      <c r="AN12" s="210">
        <f t="shared" si="0"/>
        <v>505628.83674155315</v>
      </c>
      <c r="AO12" s="210">
        <f t="shared" si="0"/>
        <v>502089.43488436227</v>
      </c>
      <c r="AP12" s="210">
        <f t="shared" si="0"/>
        <v>498574.80884017173</v>
      </c>
      <c r="AQ12" s="211">
        <f t="shared" si="0"/>
        <v>495084.78517829051</v>
      </c>
      <c r="AR12" s="65">
        <f t="shared" ref="AR12" si="1">AVERAGE(S12:AQ12)</f>
        <v>539318.9046740426</v>
      </c>
      <c r="AW12" s="152"/>
      <c r="AX12" s="152"/>
      <c r="AY12" s="152"/>
      <c r="AZ12" s="152"/>
      <c r="BA12" s="152"/>
      <c r="BB12" s="152"/>
      <c r="BC12" s="152"/>
      <c r="BD12" s="152"/>
      <c r="BE12" s="152"/>
      <c r="BF12" s="152"/>
      <c r="BG12" s="152"/>
      <c r="BH12" s="152"/>
      <c r="BI12" s="152"/>
      <c r="BJ12" s="152"/>
      <c r="BK12" s="152"/>
      <c r="BL12" s="152"/>
      <c r="BM12" s="152"/>
      <c r="BN12" s="152"/>
      <c r="BO12" s="152"/>
      <c r="BP12" s="152"/>
      <c r="BQ12" s="152"/>
      <c r="BR12" s="152"/>
      <c r="BS12" s="152"/>
      <c r="BT12" s="152"/>
      <c r="BU12" s="152"/>
      <c r="BV12" s="152"/>
      <c r="BW12" s="152"/>
      <c r="BX12" s="152"/>
      <c r="BY12" s="152"/>
      <c r="BZ12" s="152"/>
      <c r="CA12" s="152"/>
      <c r="CB12" s="152"/>
      <c r="CC12" s="152"/>
      <c r="CD12" s="152"/>
      <c r="CE12" s="152"/>
      <c r="CF12" s="152"/>
      <c r="CG12" s="152"/>
      <c r="CH12" s="152"/>
      <c r="CI12" s="152"/>
      <c r="CJ12" s="152"/>
      <c r="CK12" s="152"/>
      <c r="CL12" s="152"/>
      <c r="CM12" s="152"/>
      <c r="CN12" s="152"/>
      <c r="CO12" s="152"/>
      <c r="CP12" s="152"/>
      <c r="CQ12" s="152"/>
      <c r="CR12" s="152"/>
      <c r="CS12" s="152"/>
      <c r="CT12" s="152"/>
      <c r="CU12" s="152"/>
      <c r="CV12" s="152"/>
      <c r="CW12" s="152"/>
      <c r="CX12" s="152"/>
      <c r="CY12" s="152"/>
      <c r="CZ12" s="152"/>
      <c r="DA12" s="152"/>
      <c r="DB12" s="152"/>
      <c r="DC12" s="152"/>
      <c r="DD12" s="152"/>
      <c r="DE12" s="152"/>
      <c r="DF12" s="152"/>
      <c r="DG12" s="152"/>
      <c r="DH12" s="152"/>
      <c r="DI12" s="152"/>
      <c r="DJ12" s="152"/>
      <c r="DK12" s="152"/>
      <c r="DL12" s="152"/>
      <c r="DM12" s="152"/>
      <c r="DN12" s="152"/>
      <c r="DO12" s="152"/>
      <c r="DP12" s="152"/>
      <c r="DQ12" s="152"/>
      <c r="DR12" s="152"/>
      <c r="DS12" s="152"/>
      <c r="DT12" s="152"/>
      <c r="DU12" s="152"/>
      <c r="DV12" s="152"/>
      <c r="DW12" s="152"/>
      <c r="DX12" s="152"/>
      <c r="DY12" s="152"/>
      <c r="DZ12" s="152"/>
      <c r="EA12" s="152"/>
      <c r="EB12" s="152"/>
      <c r="EC12" s="152"/>
      <c r="ED12" s="152"/>
      <c r="EE12" s="152"/>
      <c r="EF12" s="152"/>
      <c r="EG12" s="152"/>
      <c r="EH12" s="152"/>
      <c r="EI12" s="152"/>
      <c r="EJ12" s="152"/>
      <c r="EK12" s="152"/>
      <c r="EL12" s="152"/>
      <c r="EM12" s="152"/>
      <c r="EN12" s="152"/>
      <c r="EO12" s="152"/>
      <c r="EP12" s="152"/>
      <c r="EQ12" s="152"/>
      <c r="ER12" s="152"/>
      <c r="ES12" s="152"/>
      <c r="ET12" s="152"/>
      <c r="EU12" s="152"/>
      <c r="EV12" s="152"/>
      <c r="EW12" s="152"/>
      <c r="EX12" s="152"/>
      <c r="EY12" s="152"/>
      <c r="EZ12" s="152"/>
      <c r="FA12" s="152"/>
      <c r="FB12" s="152"/>
      <c r="FC12" s="152"/>
      <c r="FD12" s="152"/>
      <c r="FE12" s="152"/>
      <c r="FF12" s="152"/>
      <c r="FG12" s="152"/>
      <c r="FH12" s="152"/>
      <c r="FI12" s="152"/>
      <c r="FJ12" s="152"/>
      <c r="FK12" s="152"/>
      <c r="FL12" s="152"/>
      <c r="FM12" s="152"/>
      <c r="FN12" s="152"/>
      <c r="FO12" s="152"/>
      <c r="FP12" s="152"/>
      <c r="FQ12" s="152"/>
      <c r="FR12" s="152"/>
      <c r="FS12" s="152"/>
      <c r="FT12" s="152"/>
      <c r="FU12" s="152"/>
      <c r="FV12" s="152"/>
      <c r="FW12" s="152"/>
      <c r="FX12" s="152"/>
      <c r="FY12" s="152"/>
      <c r="FZ12" s="152"/>
      <c r="GA12" s="152"/>
      <c r="GB12" s="152"/>
      <c r="GC12" s="152"/>
      <c r="GD12" s="152"/>
      <c r="GE12" s="152"/>
      <c r="GF12" s="152"/>
      <c r="GG12" s="152"/>
      <c r="GH12" s="152"/>
      <c r="GI12" s="152"/>
      <c r="GJ12" s="152"/>
      <c r="GK12" s="152"/>
      <c r="GL12" s="152"/>
      <c r="GM12" s="152"/>
      <c r="GN12" s="152"/>
      <c r="GO12" s="152"/>
      <c r="GP12" s="152"/>
      <c r="GQ12" s="152"/>
      <c r="GR12" s="152"/>
      <c r="GS12" s="152"/>
      <c r="GT12" s="152"/>
      <c r="GU12" s="152"/>
      <c r="GV12" s="152"/>
      <c r="GW12" s="152"/>
      <c r="GX12" s="152"/>
      <c r="GY12" s="152"/>
      <c r="GZ12" s="152"/>
      <c r="HA12" s="152"/>
      <c r="HB12" s="152"/>
      <c r="HC12" s="152"/>
      <c r="HD12" s="152"/>
      <c r="HE12" s="152"/>
      <c r="HF12" s="152"/>
      <c r="HG12" s="152"/>
      <c r="HH12" s="152"/>
      <c r="HI12" s="152"/>
      <c r="HJ12" s="152"/>
      <c r="HK12" s="152"/>
      <c r="HL12" s="152"/>
      <c r="HM12" s="152"/>
      <c r="HN12" s="152"/>
      <c r="HO12" s="152"/>
      <c r="HP12" s="152"/>
      <c r="HQ12" s="152"/>
      <c r="HR12" s="152"/>
      <c r="HS12" s="152"/>
      <c r="HT12" s="152"/>
      <c r="HU12" s="152"/>
      <c r="HV12" s="152"/>
      <c r="HW12" s="152"/>
      <c r="HX12" s="152"/>
      <c r="HY12" s="152"/>
      <c r="HZ12" s="152"/>
      <c r="IA12" s="152"/>
      <c r="IB12" s="152"/>
      <c r="IC12" s="152"/>
      <c r="ID12" s="152"/>
      <c r="IE12" s="152"/>
      <c r="IF12" s="152"/>
      <c r="IG12" s="152"/>
      <c r="IH12" s="152"/>
      <c r="II12" s="152"/>
      <c r="IJ12" s="152"/>
      <c r="IK12" s="152"/>
      <c r="IL12" s="152"/>
      <c r="IM12" s="152"/>
      <c r="IN12" s="152"/>
      <c r="IO12" s="152"/>
      <c r="IP12" s="152"/>
      <c r="IQ12" s="152"/>
      <c r="IR12" s="152"/>
      <c r="IS12" s="152"/>
      <c r="IT12" s="152"/>
      <c r="IU12" s="152"/>
      <c r="IV12" s="152"/>
      <c r="IW12" s="152"/>
      <c r="IX12" s="152"/>
      <c r="IY12" s="152"/>
      <c r="IZ12" s="152"/>
      <c r="JA12" s="152"/>
      <c r="JB12" s="152"/>
      <c r="JC12" s="152"/>
      <c r="JD12" s="152"/>
      <c r="JE12" s="152"/>
      <c r="JF12" s="152"/>
      <c r="JG12" s="152"/>
      <c r="JH12" s="152"/>
      <c r="JI12" s="152"/>
      <c r="JJ12" s="152"/>
      <c r="JK12" s="152"/>
      <c r="JL12" s="152"/>
      <c r="JM12" s="152"/>
      <c r="JN12" s="152"/>
      <c r="JO12" s="152"/>
      <c r="JP12" s="152"/>
      <c r="JQ12" s="152"/>
      <c r="JR12" s="152"/>
      <c r="JS12" s="152"/>
      <c r="JT12" s="152"/>
      <c r="JU12" s="152"/>
      <c r="JV12" s="152"/>
      <c r="JW12" s="152"/>
      <c r="JX12" s="152"/>
      <c r="JY12" s="152"/>
      <c r="JZ12" s="152"/>
      <c r="KA12" s="152"/>
      <c r="KB12" s="152"/>
      <c r="KC12" s="152"/>
      <c r="KD12" s="152"/>
      <c r="KE12" s="152"/>
      <c r="KF12" s="152"/>
      <c r="KG12" s="152"/>
      <c r="KH12" s="152"/>
      <c r="KI12" s="152"/>
      <c r="KJ12" s="152"/>
      <c r="KK12" s="152"/>
      <c r="KL12" s="152"/>
      <c r="KM12" s="152"/>
      <c r="KN12" s="152"/>
      <c r="KO12" s="152"/>
      <c r="KP12" s="152"/>
      <c r="KQ12" s="152"/>
      <c r="KR12" s="152"/>
      <c r="KS12" s="152"/>
      <c r="KT12" s="152"/>
      <c r="KU12" s="152"/>
      <c r="KV12" s="152"/>
      <c r="KW12" s="152"/>
      <c r="KX12" s="152"/>
      <c r="KY12" s="152"/>
      <c r="KZ12" s="152"/>
      <c r="LA12" s="152"/>
      <c r="LB12" s="152"/>
      <c r="LC12" s="152"/>
      <c r="LD12" s="152"/>
      <c r="LE12" s="152"/>
      <c r="LF12" s="152"/>
    </row>
    <row r="13" spans="1:318" ht="30">
      <c r="A13" s="151"/>
      <c r="O13" s="94" t="s">
        <v>194</v>
      </c>
      <c r="Q13" s="140"/>
      <c r="R13" s="139"/>
      <c r="S13" s="188">
        <f>$I$6</f>
        <v>70</v>
      </c>
      <c r="T13" s="188">
        <f>MAX(S13*(1-$AB$6), $AC$6)</f>
        <v>70</v>
      </c>
      <c r="U13" s="188">
        <f t="shared" ref="U13:AQ13" si="2">MAX(T13*(1-$AB$6), $AC$6)</f>
        <v>70</v>
      </c>
      <c r="V13" s="188">
        <f t="shared" si="2"/>
        <v>70</v>
      </c>
      <c r="W13" s="188">
        <f t="shared" si="2"/>
        <v>70</v>
      </c>
      <c r="X13" s="188">
        <f t="shared" si="2"/>
        <v>70</v>
      </c>
      <c r="Y13" s="188">
        <f t="shared" si="2"/>
        <v>70</v>
      </c>
      <c r="Z13" s="188">
        <f t="shared" si="2"/>
        <v>70</v>
      </c>
      <c r="AA13" s="188">
        <f t="shared" si="2"/>
        <v>70</v>
      </c>
      <c r="AB13" s="188">
        <f t="shared" si="2"/>
        <v>70</v>
      </c>
      <c r="AC13" s="188">
        <f t="shared" si="2"/>
        <v>70</v>
      </c>
      <c r="AD13" s="188">
        <f t="shared" si="2"/>
        <v>70</v>
      </c>
      <c r="AE13" s="188">
        <f t="shared" si="2"/>
        <v>70</v>
      </c>
      <c r="AF13" s="188">
        <f t="shared" si="2"/>
        <v>70</v>
      </c>
      <c r="AG13" s="188">
        <f t="shared" si="2"/>
        <v>70</v>
      </c>
      <c r="AH13" s="188">
        <f t="shared" si="2"/>
        <v>70</v>
      </c>
      <c r="AI13" s="188">
        <f t="shared" si="2"/>
        <v>70</v>
      </c>
      <c r="AJ13" s="188">
        <f t="shared" si="2"/>
        <v>70</v>
      </c>
      <c r="AK13" s="188">
        <f t="shared" si="2"/>
        <v>70</v>
      </c>
      <c r="AL13" s="188">
        <f t="shared" si="2"/>
        <v>70</v>
      </c>
      <c r="AM13" s="188">
        <f t="shared" si="2"/>
        <v>70</v>
      </c>
      <c r="AN13" s="188">
        <f t="shared" si="2"/>
        <v>70</v>
      </c>
      <c r="AO13" s="188">
        <f t="shared" si="2"/>
        <v>70</v>
      </c>
      <c r="AP13" s="188">
        <f t="shared" si="2"/>
        <v>70</v>
      </c>
      <c r="AQ13" s="189">
        <f t="shared" si="2"/>
        <v>70</v>
      </c>
      <c r="AR13" s="65">
        <f>AVERAGE(S13:AQ13)</f>
        <v>70</v>
      </c>
      <c r="AW13" s="152"/>
      <c r="AX13" s="152"/>
      <c r="AY13" s="152"/>
      <c r="AZ13" s="152"/>
      <c r="BA13" s="152"/>
      <c r="BB13" s="152"/>
      <c r="BC13" s="152"/>
      <c r="BD13" s="152"/>
      <c r="BE13" s="152"/>
      <c r="BF13" s="152"/>
      <c r="BG13" s="152"/>
      <c r="BH13" s="152"/>
      <c r="BI13" s="152"/>
      <c r="BJ13" s="152"/>
      <c r="BK13" s="152"/>
      <c r="BL13" s="152"/>
      <c r="BM13" s="152"/>
      <c r="BN13" s="152"/>
      <c r="BO13" s="152"/>
      <c r="BP13" s="152"/>
      <c r="BQ13" s="152"/>
      <c r="BR13" s="152"/>
      <c r="BS13" s="152"/>
      <c r="BT13" s="152"/>
      <c r="BU13" s="152"/>
      <c r="BV13" s="152"/>
      <c r="BW13" s="152"/>
      <c r="BX13" s="152"/>
      <c r="BY13" s="152"/>
      <c r="BZ13" s="152"/>
      <c r="CA13" s="152"/>
      <c r="CB13" s="152"/>
      <c r="CC13" s="152"/>
      <c r="CD13" s="152"/>
      <c r="CE13" s="152"/>
      <c r="CF13" s="152"/>
      <c r="CG13" s="152"/>
      <c r="CH13" s="152"/>
      <c r="CI13" s="152"/>
      <c r="CJ13" s="152"/>
      <c r="CK13" s="152"/>
      <c r="CL13" s="152"/>
      <c r="CM13" s="152"/>
      <c r="CN13" s="152"/>
      <c r="CO13" s="152"/>
      <c r="CP13" s="152"/>
      <c r="CQ13" s="152"/>
      <c r="CR13" s="152"/>
      <c r="CS13" s="152"/>
      <c r="CT13" s="152"/>
      <c r="CU13" s="152"/>
      <c r="CV13" s="152"/>
      <c r="CW13" s="152"/>
      <c r="CX13" s="152"/>
      <c r="CY13" s="152"/>
      <c r="CZ13" s="152"/>
      <c r="DA13" s="152"/>
      <c r="DB13" s="152"/>
      <c r="DC13" s="152"/>
      <c r="DD13" s="152"/>
      <c r="DE13" s="152"/>
      <c r="DF13" s="152"/>
      <c r="DG13" s="152"/>
      <c r="DH13" s="152"/>
      <c r="DI13" s="152"/>
      <c r="DJ13" s="152"/>
      <c r="DK13" s="152"/>
      <c r="DL13" s="152"/>
      <c r="DM13" s="152"/>
      <c r="DN13" s="152"/>
      <c r="DO13" s="152"/>
      <c r="DP13" s="152"/>
      <c r="DQ13" s="152"/>
      <c r="DR13" s="152"/>
      <c r="DS13" s="152"/>
      <c r="DT13" s="152"/>
      <c r="DU13" s="152"/>
      <c r="DV13" s="152"/>
      <c r="DW13" s="152"/>
      <c r="DX13" s="152"/>
      <c r="DY13" s="152"/>
      <c r="DZ13" s="152"/>
      <c r="EA13" s="152"/>
      <c r="EB13" s="152"/>
      <c r="EC13" s="152"/>
      <c r="ED13" s="152"/>
      <c r="EE13" s="152"/>
      <c r="EF13" s="152"/>
      <c r="EG13" s="152"/>
      <c r="EH13" s="152"/>
      <c r="EI13" s="152"/>
      <c r="EJ13" s="152"/>
      <c r="EK13" s="152"/>
      <c r="EL13" s="152"/>
      <c r="EM13" s="152"/>
      <c r="EN13" s="152"/>
      <c r="EO13" s="152"/>
      <c r="EP13" s="152"/>
      <c r="EQ13" s="152"/>
      <c r="ER13" s="152"/>
      <c r="ES13" s="152"/>
      <c r="ET13" s="152"/>
      <c r="EU13" s="152"/>
      <c r="EV13" s="152"/>
      <c r="EW13" s="152"/>
      <c r="EX13" s="152"/>
      <c r="EY13" s="152"/>
      <c r="EZ13" s="152"/>
      <c r="FA13" s="152"/>
      <c r="FB13" s="152"/>
      <c r="FC13" s="152"/>
      <c r="FD13" s="152"/>
      <c r="FE13" s="152"/>
      <c r="FF13" s="152"/>
      <c r="FG13" s="152"/>
      <c r="FH13" s="152"/>
      <c r="FI13" s="152"/>
      <c r="FJ13" s="152"/>
      <c r="FK13" s="152"/>
      <c r="FL13" s="152"/>
      <c r="FM13" s="152"/>
      <c r="FN13" s="152"/>
      <c r="FO13" s="152"/>
      <c r="FP13" s="152"/>
      <c r="FQ13" s="152"/>
      <c r="FR13" s="152"/>
      <c r="FS13" s="152"/>
      <c r="FT13" s="152"/>
      <c r="FU13" s="152"/>
      <c r="FV13" s="152"/>
      <c r="FW13" s="152"/>
      <c r="FX13" s="152"/>
      <c r="FY13" s="152"/>
      <c r="FZ13" s="152"/>
      <c r="GA13" s="152"/>
      <c r="GB13" s="152"/>
      <c r="GC13" s="152"/>
      <c r="GD13" s="152"/>
      <c r="GE13" s="152"/>
      <c r="GF13" s="152"/>
      <c r="GG13" s="152"/>
      <c r="GH13" s="152"/>
      <c r="GI13" s="152"/>
      <c r="GJ13" s="152"/>
      <c r="GK13" s="152"/>
      <c r="GL13" s="152"/>
      <c r="GM13" s="152"/>
      <c r="GN13" s="152"/>
      <c r="GO13" s="152"/>
      <c r="GP13" s="152"/>
      <c r="GQ13" s="152"/>
      <c r="GR13" s="152"/>
      <c r="GS13" s="152"/>
      <c r="GT13" s="152"/>
      <c r="GU13" s="152"/>
      <c r="GV13" s="152"/>
      <c r="GW13" s="152"/>
      <c r="GX13" s="152"/>
      <c r="GY13" s="152"/>
      <c r="GZ13" s="152"/>
      <c r="HA13" s="152"/>
      <c r="HB13" s="152"/>
      <c r="HC13" s="152"/>
      <c r="HD13" s="152"/>
      <c r="HE13" s="152"/>
      <c r="HF13" s="152"/>
      <c r="HG13" s="152"/>
      <c r="HH13" s="152"/>
      <c r="HI13" s="152"/>
      <c r="HJ13" s="152"/>
      <c r="HK13" s="152"/>
      <c r="HL13" s="152"/>
      <c r="HM13" s="152"/>
      <c r="HN13" s="152"/>
      <c r="HO13" s="152"/>
      <c r="HP13" s="152"/>
      <c r="HQ13" s="152"/>
      <c r="HR13" s="152"/>
      <c r="HS13" s="152"/>
      <c r="HT13" s="152"/>
      <c r="HU13" s="152"/>
      <c r="HV13" s="152"/>
      <c r="HW13" s="152"/>
      <c r="HX13" s="152"/>
      <c r="HY13" s="152"/>
      <c r="HZ13" s="152"/>
      <c r="IA13" s="152"/>
      <c r="IB13" s="152"/>
      <c r="IC13" s="152"/>
      <c r="ID13" s="152"/>
      <c r="IE13" s="152"/>
      <c r="IF13" s="152"/>
      <c r="IG13" s="152"/>
      <c r="IH13" s="152"/>
      <c r="II13" s="152"/>
      <c r="IJ13" s="152"/>
      <c r="IK13" s="152"/>
      <c r="IL13" s="152"/>
      <c r="IM13" s="152"/>
      <c r="IN13" s="152"/>
      <c r="IO13" s="152"/>
      <c r="IP13" s="152"/>
      <c r="IQ13" s="152"/>
      <c r="IR13" s="152"/>
      <c r="IS13" s="152"/>
      <c r="IT13" s="152"/>
      <c r="IU13" s="152"/>
      <c r="IV13" s="152"/>
      <c r="IW13" s="152"/>
      <c r="IX13" s="152"/>
      <c r="IY13" s="152"/>
      <c r="IZ13" s="152"/>
      <c r="JA13" s="152"/>
      <c r="JB13" s="152"/>
      <c r="JC13" s="152"/>
      <c r="JD13" s="152"/>
      <c r="JE13" s="152"/>
      <c r="JF13" s="152"/>
      <c r="JG13" s="152"/>
      <c r="JH13" s="152"/>
      <c r="JI13" s="152"/>
      <c r="JJ13" s="152"/>
      <c r="JK13" s="152"/>
      <c r="JL13" s="152"/>
      <c r="JM13" s="152"/>
      <c r="JN13" s="152"/>
      <c r="JO13" s="152"/>
      <c r="JP13" s="152"/>
      <c r="JQ13" s="152"/>
      <c r="JR13" s="152"/>
      <c r="JS13" s="152"/>
      <c r="JT13" s="152"/>
      <c r="JU13" s="152"/>
      <c r="JV13" s="152"/>
      <c r="JW13" s="152"/>
      <c r="JX13" s="152"/>
      <c r="JY13" s="152"/>
      <c r="JZ13" s="152"/>
      <c r="KA13" s="152"/>
      <c r="KB13" s="152"/>
      <c r="KC13" s="152"/>
      <c r="KD13" s="152"/>
      <c r="KE13" s="152"/>
      <c r="KF13" s="152"/>
      <c r="KG13" s="152"/>
      <c r="KH13" s="152"/>
      <c r="KI13" s="152"/>
      <c r="KJ13" s="152"/>
      <c r="KK13" s="152"/>
      <c r="KL13" s="152"/>
      <c r="KM13" s="152"/>
      <c r="KN13" s="152"/>
      <c r="KO13" s="152"/>
      <c r="KP13" s="152"/>
      <c r="KQ13" s="152"/>
      <c r="KR13" s="152"/>
      <c r="KS13" s="152"/>
      <c r="KT13" s="152"/>
      <c r="KU13" s="152"/>
      <c r="KV13" s="152"/>
      <c r="KW13" s="152"/>
      <c r="KX13" s="152"/>
      <c r="KY13" s="152"/>
      <c r="KZ13" s="152"/>
      <c r="LA13" s="152"/>
      <c r="LB13" s="152"/>
      <c r="LC13" s="152"/>
      <c r="LD13" s="152"/>
      <c r="LE13" s="152"/>
      <c r="LF13" s="152"/>
    </row>
    <row r="14" spans="1:318" ht="30">
      <c r="O14" s="94" t="s">
        <v>195</v>
      </c>
      <c r="Q14" s="140"/>
      <c r="R14" s="139"/>
      <c r="S14" s="188">
        <f>($E$6/1000)*S13</f>
        <v>623000</v>
      </c>
      <c r="T14" s="188">
        <f t="shared" ref="T14:AQ14" si="3">($E$6/1000)*T13</f>
        <v>623000</v>
      </c>
      <c r="U14" s="188">
        <f t="shared" si="3"/>
        <v>623000</v>
      </c>
      <c r="V14" s="188">
        <f t="shared" si="3"/>
        <v>623000</v>
      </c>
      <c r="W14" s="188">
        <f t="shared" si="3"/>
        <v>623000</v>
      </c>
      <c r="X14" s="188">
        <f t="shared" si="3"/>
        <v>623000</v>
      </c>
      <c r="Y14" s="188">
        <f t="shared" si="3"/>
        <v>623000</v>
      </c>
      <c r="Z14" s="188">
        <f t="shared" si="3"/>
        <v>623000</v>
      </c>
      <c r="AA14" s="188">
        <f t="shared" si="3"/>
        <v>623000</v>
      </c>
      <c r="AB14" s="188">
        <f t="shared" si="3"/>
        <v>623000</v>
      </c>
      <c r="AC14" s="188">
        <f t="shared" si="3"/>
        <v>623000</v>
      </c>
      <c r="AD14" s="188">
        <f t="shared" si="3"/>
        <v>623000</v>
      </c>
      <c r="AE14" s="188">
        <f t="shared" si="3"/>
        <v>623000</v>
      </c>
      <c r="AF14" s="188">
        <f t="shared" si="3"/>
        <v>623000</v>
      </c>
      <c r="AG14" s="188">
        <f t="shared" si="3"/>
        <v>623000</v>
      </c>
      <c r="AH14" s="188">
        <f t="shared" si="3"/>
        <v>623000</v>
      </c>
      <c r="AI14" s="188">
        <f t="shared" si="3"/>
        <v>623000</v>
      </c>
      <c r="AJ14" s="188">
        <f t="shared" si="3"/>
        <v>623000</v>
      </c>
      <c r="AK14" s="188">
        <f t="shared" si="3"/>
        <v>623000</v>
      </c>
      <c r="AL14" s="188">
        <f t="shared" si="3"/>
        <v>623000</v>
      </c>
      <c r="AM14" s="188">
        <f t="shared" si="3"/>
        <v>623000</v>
      </c>
      <c r="AN14" s="188">
        <f t="shared" si="3"/>
        <v>623000</v>
      </c>
      <c r="AO14" s="188">
        <f t="shared" si="3"/>
        <v>623000</v>
      </c>
      <c r="AP14" s="188">
        <f t="shared" si="3"/>
        <v>623000</v>
      </c>
      <c r="AQ14" s="189">
        <f t="shared" si="3"/>
        <v>623000</v>
      </c>
      <c r="AR14" s="65">
        <f>AVERAGE(S14:AQ14)</f>
        <v>623000</v>
      </c>
      <c r="AW14" s="152"/>
      <c r="AX14" s="152"/>
      <c r="AY14" s="152"/>
      <c r="AZ14" s="152"/>
      <c r="BA14" s="152"/>
      <c r="BB14" s="152"/>
      <c r="BC14" s="152"/>
      <c r="BD14" s="152"/>
      <c r="BE14" s="152"/>
      <c r="BF14" s="152"/>
      <c r="BG14" s="152"/>
      <c r="BH14" s="152"/>
      <c r="BI14" s="152"/>
      <c r="BJ14" s="152"/>
      <c r="BK14" s="152"/>
      <c r="BL14" s="152"/>
      <c r="BM14" s="152"/>
      <c r="BN14" s="152"/>
      <c r="BO14" s="152"/>
      <c r="BP14" s="152"/>
      <c r="BQ14" s="152"/>
      <c r="BR14" s="152"/>
      <c r="BS14" s="152"/>
      <c r="BT14" s="152"/>
      <c r="BU14" s="152"/>
      <c r="BV14" s="152"/>
      <c r="BW14" s="152"/>
      <c r="BX14" s="152"/>
      <c r="BY14" s="152"/>
      <c r="BZ14" s="152"/>
      <c r="CA14" s="152"/>
      <c r="CB14" s="152"/>
      <c r="CC14" s="152"/>
      <c r="CD14" s="152"/>
      <c r="CE14" s="152"/>
      <c r="CF14" s="152"/>
      <c r="CG14" s="152"/>
      <c r="CH14" s="152"/>
      <c r="CI14" s="152"/>
      <c r="CJ14" s="152"/>
      <c r="CK14" s="152"/>
      <c r="CL14" s="152"/>
      <c r="CM14" s="152"/>
      <c r="CN14" s="152"/>
      <c r="CO14" s="152"/>
      <c r="CP14" s="152"/>
      <c r="CQ14" s="152"/>
      <c r="CR14" s="152"/>
      <c r="CS14" s="152"/>
      <c r="CT14" s="152"/>
      <c r="CU14" s="152"/>
      <c r="CV14" s="152"/>
      <c r="CW14" s="152"/>
      <c r="CX14" s="152"/>
      <c r="CY14" s="152"/>
      <c r="CZ14" s="152"/>
      <c r="DA14" s="152"/>
      <c r="DB14" s="152"/>
      <c r="DC14" s="152"/>
      <c r="DD14" s="152"/>
      <c r="DE14" s="152"/>
      <c r="DF14" s="152"/>
      <c r="DG14" s="152"/>
      <c r="DH14" s="152"/>
      <c r="DI14" s="152"/>
      <c r="DJ14" s="152"/>
      <c r="DK14" s="152"/>
      <c r="DL14" s="152"/>
      <c r="DM14" s="152"/>
      <c r="DN14" s="152"/>
      <c r="DO14" s="152"/>
      <c r="DP14" s="152"/>
      <c r="DQ14" s="152"/>
      <c r="DR14" s="152"/>
      <c r="DS14" s="152"/>
      <c r="DT14" s="152"/>
      <c r="DU14" s="152"/>
      <c r="DV14" s="152"/>
      <c r="DW14" s="152"/>
      <c r="DX14" s="152"/>
      <c r="DY14" s="152"/>
      <c r="DZ14" s="152"/>
      <c r="EA14" s="152"/>
      <c r="EB14" s="152"/>
      <c r="EC14" s="152"/>
      <c r="ED14" s="152"/>
      <c r="EE14" s="152"/>
      <c r="EF14" s="152"/>
      <c r="EG14" s="152"/>
      <c r="EH14" s="152"/>
      <c r="EI14" s="152"/>
      <c r="EJ14" s="152"/>
      <c r="EK14" s="152"/>
      <c r="EL14" s="152"/>
      <c r="EM14" s="152"/>
      <c r="EN14" s="152"/>
      <c r="EO14" s="152"/>
      <c r="EP14" s="152"/>
      <c r="EQ14" s="152"/>
      <c r="ER14" s="152"/>
      <c r="ES14" s="152"/>
      <c r="ET14" s="152"/>
      <c r="EU14" s="152"/>
      <c r="EV14" s="152"/>
      <c r="EW14" s="152"/>
      <c r="EX14" s="152"/>
      <c r="EY14" s="152"/>
      <c r="EZ14" s="152"/>
      <c r="FA14" s="152"/>
      <c r="FB14" s="152"/>
      <c r="FC14" s="152"/>
      <c r="FD14" s="152"/>
      <c r="FE14" s="152"/>
      <c r="FF14" s="152"/>
      <c r="FG14" s="152"/>
      <c r="FH14" s="152"/>
      <c r="FI14" s="152"/>
      <c r="FJ14" s="152"/>
      <c r="FK14" s="152"/>
      <c r="FL14" s="152"/>
      <c r="FM14" s="152"/>
      <c r="FN14" s="152"/>
      <c r="FO14" s="152"/>
      <c r="FP14" s="152"/>
      <c r="FQ14" s="152"/>
      <c r="FR14" s="152"/>
      <c r="FS14" s="152"/>
      <c r="FT14" s="152"/>
      <c r="FU14" s="152"/>
      <c r="FV14" s="152"/>
      <c r="FW14" s="152"/>
      <c r="FX14" s="152"/>
      <c r="FY14" s="152"/>
      <c r="FZ14" s="152"/>
      <c r="GA14" s="152"/>
      <c r="GB14" s="152"/>
      <c r="GC14" s="152"/>
      <c r="GD14" s="152"/>
      <c r="GE14" s="152"/>
      <c r="GF14" s="152"/>
      <c r="GG14" s="152"/>
      <c r="GH14" s="152"/>
      <c r="GI14" s="152"/>
      <c r="GJ14" s="152"/>
      <c r="GK14" s="152"/>
      <c r="GL14" s="152"/>
      <c r="GM14" s="152"/>
      <c r="GN14" s="152"/>
      <c r="GO14" s="152"/>
      <c r="GP14" s="152"/>
      <c r="GQ14" s="152"/>
      <c r="GR14" s="152"/>
      <c r="GS14" s="152"/>
      <c r="GT14" s="152"/>
      <c r="GU14" s="152"/>
      <c r="GV14" s="152"/>
      <c r="GW14" s="152"/>
      <c r="GX14" s="152"/>
      <c r="GY14" s="152"/>
      <c r="GZ14" s="152"/>
      <c r="HA14" s="152"/>
      <c r="HB14" s="152"/>
      <c r="HC14" s="152"/>
      <c r="HD14" s="152"/>
      <c r="HE14" s="152"/>
      <c r="HF14" s="152"/>
      <c r="HG14" s="152"/>
      <c r="HH14" s="152"/>
      <c r="HI14" s="152"/>
      <c r="HJ14" s="152"/>
      <c r="HK14" s="152"/>
      <c r="HL14" s="152"/>
      <c r="HM14" s="152"/>
      <c r="HN14" s="152"/>
      <c r="HO14" s="152"/>
      <c r="HP14" s="152"/>
      <c r="HQ14" s="152"/>
      <c r="HR14" s="152"/>
      <c r="HS14" s="152"/>
      <c r="HT14" s="152"/>
      <c r="HU14" s="152"/>
      <c r="HV14" s="152"/>
      <c r="HW14" s="152"/>
      <c r="HX14" s="152"/>
      <c r="HY14" s="152"/>
      <c r="HZ14" s="152"/>
      <c r="IA14" s="152"/>
      <c r="IB14" s="152"/>
      <c r="IC14" s="152"/>
      <c r="ID14" s="152"/>
      <c r="IE14" s="152"/>
      <c r="IF14" s="152"/>
      <c r="IG14" s="152"/>
      <c r="IH14" s="152"/>
      <c r="II14" s="152"/>
      <c r="IJ14" s="152"/>
      <c r="IK14" s="152"/>
      <c r="IL14" s="152"/>
      <c r="IM14" s="152"/>
      <c r="IN14" s="152"/>
      <c r="IO14" s="152"/>
      <c r="IP14" s="152"/>
      <c r="IQ14" s="152"/>
      <c r="IR14" s="152"/>
      <c r="IS14" s="152"/>
      <c r="IT14" s="152"/>
      <c r="IU14" s="152"/>
      <c r="IV14" s="152"/>
      <c r="IW14" s="152"/>
      <c r="IX14" s="152"/>
      <c r="IY14" s="152"/>
      <c r="IZ14" s="152"/>
      <c r="JA14" s="152"/>
      <c r="JB14" s="152"/>
      <c r="JC14" s="152"/>
      <c r="JD14" s="152"/>
      <c r="JE14" s="152"/>
      <c r="JF14" s="152"/>
      <c r="JG14" s="152"/>
      <c r="JH14" s="152"/>
      <c r="JI14" s="152"/>
      <c r="JJ14" s="152"/>
      <c r="JK14" s="152"/>
      <c r="JL14" s="152"/>
      <c r="JM14" s="152"/>
      <c r="JN14" s="152"/>
      <c r="JO14" s="152"/>
      <c r="JP14" s="152"/>
      <c r="JQ14" s="152"/>
      <c r="JR14" s="152"/>
      <c r="JS14" s="152"/>
      <c r="JT14" s="152"/>
      <c r="JU14" s="152"/>
      <c r="JV14" s="152"/>
      <c r="JW14" s="152"/>
      <c r="JX14" s="152"/>
      <c r="JY14" s="152"/>
      <c r="JZ14" s="152"/>
      <c r="KA14" s="152"/>
      <c r="KB14" s="152"/>
      <c r="KC14" s="152"/>
      <c r="KD14" s="152"/>
      <c r="KE14" s="152"/>
      <c r="KF14" s="152"/>
      <c r="KG14" s="152"/>
      <c r="KH14" s="152"/>
      <c r="KI14" s="152"/>
      <c r="KJ14" s="152"/>
      <c r="KK14" s="152"/>
      <c r="KL14" s="152"/>
      <c r="KM14" s="152"/>
      <c r="KN14" s="152"/>
      <c r="KO14" s="152"/>
      <c r="KP14" s="152"/>
      <c r="KQ14" s="152"/>
      <c r="KR14" s="152"/>
      <c r="KS14" s="152"/>
      <c r="KT14" s="152"/>
      <c r="KU14" s="152"/>
      <c r="KV14" s="152"/>
      <c r="KW14" s="152"/>
      <c r="KX14" s="152"/>
      <c r="KY14" s="152"/>
      <c r="KZ14" s="152"/>
      <c r="LA14" s="152"/>
      <c r="LB14" s="152"/>
      <c r="LC14" s="152"/>
      <c r="LD14" s="152"/>
      <c r="LE14" s="152"/>
      <c r="LF14" s="152"/>
    </row>
    <row r="15" spans="1:318" ht="45">
      <c r="A15" s="153" t="s">
        <v>196</v>
      </c>
      <c r="D15" s="58" t="s">
        <v>197</v>
      </c>
      <c r="E15" s="58" t="s">
        <v>198</v>
      </c>
      <c r="N15" s="152">
        <f>S14+S15</f>
        <v>1023500</v>
      </c>
      <c r="O15" s="94" t="s">
        <v>199</v>
      </c>
      <c r="Q15" s="140"/>
      <c r="R15" s="139"/>
      <c r="S15" s="188">
        <f t="shared" ref="S15:AQ15" si="4">($E$6/1000)*$J$6</f>
        <v>400500</v>
      </c>
      <c r="T15" s="188">
        <f t="shared" si="4"/>
        <v>400500</v>
      </c>
      <c r="U15" s="188">
        <f t="shared" si="4"/>
        <v>400500</v>
      </c>
      <c r="V15" s="188">
        <f t="shared" si="4"/>
        <v>400500</v>
      </c>
      <c r="W15" s="188">
        <f t="shared" si="4"/>
        <v>400500</v>
      </c>
      <c r="X15" s="188">
        <f t="shared" si="4"/>
        <v>400500</v>
      </c>
      <c r="Y15" s="188">
        <f t="shared" si="4"/>
        <v>400500</v>
      </c>
      <c r="Z15" s="188">
        <f t="shared" si="4"/>
        <v>400500</v>
      </c>
      <c r="AA15" s="188">
        <f t="shared" si="4"/>
        <v>400500</v>
      </c>
      <c r="AB15" s="188">
        <f t="shared" si="4"/>
        <v>400500</v>
      </c>
      <c r="AC15" s="188">
        <f t="shared" si="4"/>
        <v>400500</v>
      </c>
      <c r="AD15" s="188">
        <f t="shared" si="4"/>
        <v>400500</v>
      </c>
      <c r="AE15" s="188">
        <f t="shared" si="4"/>
        <v>400500</v>
      </c>
      <c r="AF15" s="188">
        <f t="shared" si="4"/>
        <v>400500</v>
      </c>
      <c r="AG15" s="188">
        <f t="shared" si="4"/>
        <v>400500</v>
      </c>
      <c r="AH15" s="188">
        <f t="shared" si="4"/>
        <v>400500</v>
      </c>
      <c r="AI15" s="188">
        <f t="shared" si="4"/>
        <v>400500</v>
      </c>
      <c r="AJ15" s="188">
        <f t="shared" si="4"/>
        <v>400500</v>
      </c>
      <c r="AK15" s="188">
        <f t="shared" si="4"/>
        <v>400500</v>
      </c>
      <c r="AL15" s="188">
        <f t="shared" si="4"/>
        <v>400500</v>
      </c>
      <c r="AM15" s="188">
        <f t="shared" si="4"/>
        <v>400500</v>
      </c>
      <c r="AN15" s="188">
        <f t="shared" si="4"/>
        <v>400500</v>
      </c>
      <c r="AO15" s="188">
        <f t="shared" si="4"/>
        <v>400500</v>
      </c>
      <c r="AP15" s="188">
        <f t="shared" si="4"/>
        <v>400500</v>
      </c>
      <c r="AQ15" s="189">
        <f t="shared" si="4"/>
        <v>400500</v>
      </c>
      <c r="AR15" s="65">
        <f t="shared" ref="AR15:AR18" si="5">AVERAGE(S15:AQ15)</f>
        <v>400500</v>
      </c>
      <c r="AW15" s="152"/>
      <c r="AX15" s="152"/>
      <c r="AY15" s="152"/>
      <c r="AZ15" s="152"/>
      <c r="BA15" s="152"/>
      <c r="BB15" s="152"/>
      <c r="BC15" s="152"/>
      <c r="BD15" s="152"/>
      <c r="BE15" s="152"/>
      <c r="BF15" s="152"/>
      <c r="BG15" s="152"/>
      <c r="BH15" s="152"/>
      <c r="BI15" s="152"/>
      <c r="BJ15" s="152"/>
      <c r="BK15" s="152"/>
      <c r="BL15" s="152"/>
      <c r="BM15" s="152"/>
      <c r="BN15" s="152"/>
      <c r="BO15" s="152"/>
      <c r="BP15" s="152"/>
      <c r="BQ15" s="152"/>
      <c r="BR15" s="152"/>
      <c r="BS15" s="152"/>
      <c r="BT15" s="152"/>
      <c r="BU15" s="152"/>
      <c r="BV15" s="152"/>
      <c r="BW15" s="152"/>
      <c r="BX15" s="152"/>
      <c r="BY15" s="152"/>
      <c r="BZ15" s="152"/>
      <c r="CA15" s="152"/>
      <c r="CB15" s="152"/>
      <c r="CC15" s="152"/>
      <c r="CD15" s="152"/>
      <c r="CE15" s="152"/>
      <c r="CF15" s="152"/>
      <c r="CG15" s="152"/>
      <c r="CH15" s="152"/>
      <c r="CI15" s="152"/>
      <c r="CJ15" s="152"/>
      <c r="CK15" s="152"/>
      <c r="CL15" s="152"/>
      <c r="CM15" s="152"/>
      <c r="CN15" s="152"/>
      <c r="CO15" s="152"/>
      <c r="CP15" s="152"/>
      <c r="CQ15" s="152"/>
      <c r="CR15" s="152"/>
      <c r="CS15" s="152"/>
      <c r="CT15" s="152"/>
      <c r="CU15" s="152"/>
      <c r="CV15" s="152"/>
      <c r="CW15" s="152"/>
      <c r="CX15" s="152"/>
      <c r="CY15" s="152"/>
      <c r="CZ15" s="152"/>
      <c r="DA15" s="152"/>
      <c r="DB15" s="152"/>
      <c r="DC15" s="152"/>
      <c r="DD15" s="152"/>
      <c r="DE15" s="152"/>
      <c r="DF15" s="152"/>
      <c r="DG15" s="152"/>
      <c r="DH15" s="152"/>
      <c r="DI15" s="152"/>
      <c r="DJ15" s="152"/>
      <c r="DK15" s="152"/>
      <c r="DL15" s="152"/>
      <c r="DM15" s="152"/>
      <c r="DN15" s="152"/>
      <c r="DO15" s="152"/>
      <c r="DP15" s="152"/>
      <c r="DQ15" s="152"/>
      <c r="DR15" s="152"/>
      <c r="DS15" s="152"/>
      <c r="DT15" s="152"/>
      <c r="DU15" s="152"/>
      <c r="DV15" s="152"/>
      <c r="DW15" s="152"/>
      <c r="DX15" s="152"/>
      <c r="DY15" s="152"/>
      <c r="DZ15" s="152"/>
      <c r="EA15" s="152"/>
      <c r="EB15" s="152"/>
      <c r="EC15" s="152"/>
      <c r="ED15" s="152"/>
      <c r="EE15" s="152"/>
      <c r="EF15" s="152"/>
      <c r="EG15" s="152"/>
      <c r="EH15" s="152"/>
      <c r="EI15" s="152"/>
      <c r="EJ15" s="152"/>
      <c r="EK15" s="152"/>
      <c r="EL15" s="152"/>
      <c r="EM15" s="152"/>
      <c r="EN15" s="152"/>
      <c r="EO15" s="152"/>
      <c r="EP15" s="152"/>
      <c r="EQ15" s="152"/>
      <c r="ER15" s="152"/>
      <c r="ES15" s="152"/>
      <c r="ET15" s="152"/>
      <c r="EU15" s="152"/>
      <c r="EV15" s="152"/>
      <c r="EW15" s="152"/>
      <c r="EX15" s="152"/>
      <c r="EY15" s="152"/>
      <c r="EZ15" s="152"/>
      <c r="FA15" s="152"/>
      <c r="FB15" s="152"/>
      <c r="FC15" s="152"/>
      <c r="FD15" s="152"/>
      <c r="FE15" s="152"/>
      <c r="FF15" s="152"/>
      <c r="FG15" s="152"/>
      <c r="FH15" s="152"/>
      <c r="FI15" s="152"/>
      <c r="FJ15" s="152"/>
      <c r="FK15" s="152"/>
      <c r="FL15" s="152"/>
      <c r="FM15" s="152"/>
      <c r="FN15" s="152"/>
      <c r="FO15" s="152"/>
      <c r="FP15" s="152"/>
      <c r="FQ15" s="152"/>
      <c r="FR15" s="152"/>
      <c r="FS15" s="152"/>
      <c r="FT15" s="152"/>
      <c r="FU15" s="152"/>
      <c r="FV15" s="152"/>
      <c r="FW15" s="152"/>
      <c r="FX15" s="152"/>
      <c r="FY15" s="152"/>
      <c r="FZ15" s="152"/>
      <c r="GA15" s="152"/>
      <c r="GB15" s="152"/>
      <c r="GC15" s="152"/>
      <c r="GD15" s="152"/>
      <c r="GE15" s="152"/>
      <c r="GF15" s="152"/>
      <c r="GG15" s="152"/>
      <c r="GH15" s="152"/>
      <c r="GI15" s="152"/>
      <c r="GJ15" s="152"/>
      <c r="GK15" s="152"/>
      <c r="GL15" s="152"/>
      <c r="GM15" s="152"/>
      <c r="GN15" s="152"/>
      <c r="GO15" s="152"/>
      <c r="GP15" s="152"/>
      <c r="GQ15" s="152"/>
      <c r="GR15" s="152"/>
      <c r="GS15" s="152"/>
      <c r="GT15" s="152"/>
      <c r="GU15" s="152"/>
      <c r="GV15" s="152"/>
      <c r="GW15" s="152"/>
      <c r="GX15" s="152"/>
      <c r="GY15" s="152"/>
      <c r="GZ15" s="152"/>
      <c r="HA15" s="152"/>
      <c r="HB15" s="152"/>
      <c r="HC15" s="152"/>
      <c r="HD15" s="152"/>
      <c r="HE15" s="152"/>
      <c r="HF15" s="152"/>
      <c r="HG15" s="152"/>
      <c r="HH15" s="152"/>
      <c r="HI15" s="152"/>
      <c r="HJ15" s="152"/>
      <c r="HK15" s="152"/>
      <c r="HL15" s="152"/>
      <c r="HM15" s="152"/>
      <c r="HN15" s="152"/>
      <c r="HO15" s="152"/>
      <c r="HP15" s="152"/>
      <c r="HQ15" s="152"/>
      <c r="HR15" s="152"/>
      <c r="HS15" s="152"/>
      <c r="HT15" s="152"/>
      <c r="HU15" s="152"/>
      <c r="HV15" s="152"/>
      <c r="HW15" s="152"/>
      <c r="HX15" s="152"/>
      <c r="HY15" s="152"/>
      <c r="HZ15" s="152"/>
      <c r="IA15" s="152"/>
      <c r="IB15" s="152"/>
      <c r="IC15" s="152"/>
      <c r="ID15" s="152"/>
      <c r="IE15" s="152"/>
      <c r="IF15" s="152"/>
      <c r="IG15" s="152"/>
      <c r="IH15" s="152"/>
      <c r="II15" s="152"/>
      <c r="IJ15" s="152"/>
      <c r="IK15" s="152"/>
      <c r="IL15" s="152"/>
      <c r="IM15" s="152"/>
      <c r="IN15" s="152"/>
      <c r="IO15" s="152"/>
      <c r="IP15" s="152"/>
      <c r="IQ15" s="152"/>
      <c r="IR15" s="152"/>
      <c r="IS15" s="152"/>
      <c r="IT15" s="152"/>
      <c r="IU15" s="152"/>
      <c r="IV15" s="152"/>
      <c r="IW15" s="152"/>
      <c r="IX15" s="152"/>
      <c r="IY15" s="152"/>
      <c r="IZ15" s="152"/>
      <c r="JA15" s="152"/>
      <c r="JB15" s="152"/>
      <c r="JC15" s="152"/>
      <c r="JD15" s="152"/>
      <c r="JE15" s="152"/>
      <c r="JF15" s="152"/>
      <c r="JG15" s="152"/>
      <c r="JH15" s="152"/>
      <c r="JI15" s="152"/>
      <c r="JJ15" s="152"/>
      <c r="JK15" s="152"/>
      <c r="JL15" s="152"/>
      <c r="JM15" s="152"/>
      <c r="JN15" s="152"/>
      <c r="JO15" s="152"/>
      <c r="JP15" s="152"/>
      <c r="JQ15" s="152"/>
      <c r="JR15" s="152"/>
      <c r="JS15" s="152"/>
      <c r="JT15" s="152"/>
      <c r="JU15" s="152"/>
      <c r="JV15" s="152"/>
      <c r="JW15" s="152"/>
      <c r="JX15" s="152"/>
      <c r="JY15" s="152"/>
      <c r="JZ15" s="152"/>
      <c r="KA15" s="152"/>
      <c r="KB15" s="152"/>
      <c r="KC15" s="152"/>
      <c r="KD15" s="152"/>
      <c r="KE15" s="152"/>
      <c r="KF15" s="152"/>
      <c r="KG15" s="152"/>
      <c r="KH15" s="152"/>
      <c r="KI15" s="152"/>
      <c r="KJ15" s="152"/>
      <c r="KK15" s="152"/>
      <c r="KL15" s="152"/>
      <c r="KM15" s="152"/>
      <c r="KN15" s="152"/>
      <c r="KO15" s="152"/>
      <c r="KP15" s="152"/>
      <c r="KQ15" s="152"/>
      <c r="KR15" s="152"/>
      <c r="KS15" s="152"/>
      <c r="KT15" s="152"/>
      <c r="KU15" s="152"/>
      <c r="KV15" s="152"/>
      <c r="KW15" s="152"/>
      <c r="KX15" s="152"/>
      <c r="KY15" s="152"/>
      <c r="KZ15" s="152"/>
      <c r="LA15" s="152"/>
      <c r="LB15" s="152"/>
      <c r="LC15" s="152"/>
      <c r="LD15" s="152"/>
      <c r="LE15" s="152"/>
      <c r="LF15" s="152"/>
    </row>
    <row r="16" spans="1:318" ht="30">
      <c r="A16" s="96" t="s">
        <v>200</v>
      </c>
      <c r="B16" s="1">
        <f>A6*C6/365</f>
        <v>1605.4794520547946</v>
      </c>
      <c r="D16" s="141">
        <v>0.9</v>
      </c>
      <c r="E16" s="1">
        <f>E6/365</f>
        <v>24383.561643835616</v>
      </c>
      <c r="J16" s="152"/>
      <c r="O16" s="94" t="s">
        <v>201</v>
      </c>
      <c r="Q16" s="140"/>
      <c r="R16" s="139"/>
      <c r="S16" s="188">
        <f t="shared" ref="S16:AQ16" si="6">S12*S13/1000</f>
        <v>41020</v>
      </c>
      <c r="T16" s="188">
        <f t="shared" si="6"/>
        <v>40732.86</v>
      </c>
      <c r="U16" s="188">
        <f t="shared" si="6"/>
        <v>40447.729980000004</v>
      </c>
      <c r="V16" s="188">
        <f t="shared" si="6"/>
        <v>40164.595870140001</v>
      </c>
      <c r="W16" s="188">
        <f t="shared" si="6"/>
        <v>39883.443699049021</v>
      </c>
      <c r="X16" s="188">
        <f t="shared" si="6"/>
        <v>39604.259593155664</v>
      </c>
      <c r="Y16" s="188">
        <f t="shared" si="6"/>
        <v>39327.029776003576</v>
      </c>
      <c r="Z16" s="188">
        <f t="shared" si="6"/>
        <v>39051.740567571549</v>
      </c>
      <c r="AA16" s="188">
        <f t="shared" si="6"/>
        <v>38778.378383598552</v>
      </c>
      <c r="AB16" s="188">
        <f t="shared" si="6"/>
        <v>38506.929734913356</v>
      </c>
      <c r="AC16" s="188">
        <f t="shared" si="6"/>
        <v>38237.381226768965</v>
      </c>
      <c r="AD16" s="188">
        <f t="shared" si="6"/>
        <v>37969.719558181583</v>
      </c>
      <c r="AE16" s="188">
        <f t="shared" si="6"/>
        <v>37703.931521274317</v>
      </c>
      <c r="AF16" s="188">
        <f t="shared" si="6"/>
        <v>37440.004000625391</v>
      </c>
      <c r="AG16" s="188">
        <f t="shared" si="6"/>
        <v>37177.923972621022</v>
      </c>
      <c r="AH16" s="188">
        <f t="shared" si="6"/>
        <v>36917.678504812669</v>
      </c>
      <c r="AI16" s="188">
        <f t="shared" si="6"/>
        <v>36659.254755278991</v>
      </c>
      <c r="AJ16" s="188">
        <f t="shared" si="6"/>
        <v>36402.639971992037</v>
      </c>
      <c r="AK16" s="188">
        <f t="shared" si="6"/>
        <v>36147.821492188086</v>
      </c>
      <c r="AL16" s="188">
        <f t="shared" si="6"/>
        <v>35894.786741742777</v>
      </c>
      <c r="AM16" s="188">
        <f t="shared" si="6"/>
        <v>35643.523234550572</v>
      </c>
      <c r="AN16" s="188">
        <f t="shared" si="6"/>
        <v>35394.018571908717</v>
      </c>
      <c r="AO16" s="188">
        <f t="shared" si="6"/>
        <v>35146.26044190536</v>
      </c>
      <c r="AP16" s="188">
        <f t="shared" si="6"/>
        <v>34900.236618812014</v>
      </c>
      <c r="AQ16" s="189">
        <f t="shared" si="6"/>
        <v>34655.934962480336</v>
      </c>
      <c r="AR16" s="65">
        <f t="shared" si="5"/>
        <v>37752.323327182981</v>
      </c>
      <c r="AW16" s="152"/>
      <c r="AX16" s="152"/>
      <c r="AY16" s="152"/>
      <c r="AZ16" s="152"/>
      <c r="BA16" s="152"/>
      <c r="BB16" s="152"/>
      <c r="BC16" s="152"/>
      <c r="BD16" s="152"/>
      <c r="BE16" s="152"/>
      <c r="BF16" s="152"/>
      <c r="BG16" s="152"/>
      <c r="BH16" s="152"/>
      <c r="BI16" s="152"/>
      <c r="BJ16" s="152"/>
      <c r="BK16" s="152"/>
      <c r="BL16" s="152"/>
      <c r="BM16" s="152"/>
      <c r="BN16" s="152"/>
      <c r="BO16" s="152"/>
      <c r="BP16" s="152"/>
      <c r="BQ16" s="152"/>
      <c r="BR16" s="152"/>
      <c r="BS16" s="152"/>
      <c r="BT16" s="152"/>
      <c r="BU16" s="152"/>
      <c r="BV16" s="152"/>
      <c r="BW16" s="152"/>
      <c r="BX16" s="152"/>
      <c r="BY16" s="152"/>
      <c r="BZ16" s="152"/>
      <c r="CA16" s="152"/>
      <c r="CB16" s="152"/>
      <c r="CC16" s="152"/>
      <c r="CD16" s="152"/>
      <c r="CE16" s="152"/>
      <c r="CF16" s="152"/>
      <c r="CG16" s="152"/>
      <c r="CH16" s="152"/>
      <c r="CI16" s="152"/>
      <c r="CJ16" s="152"/>
      <c r="CK16" s="152"/>
      <c r="CL16" s="152"/>
      <c r="CM16" s="152"/>
      <c r="CN16" s="152"/>
      <c r="CO16" s="152"/>
      <c r="CP16" s="152"/>
      <c r="CQ16" s="152"/>
      <c r="CR16" s="152"/>
      <c r="CS16" s="152"/>
      <c r="CT16" s="152"/>
      <c r="CU16" s="152"/>
      <c r="CV16" s="152"/>
      <c r="CW16" s="152"/>
      <c r="CX16" s="152"/>
      <c r="CY16" s="152"/>
      <c r="CZ16" s="152"/>
      <c r="DA16" s="152"/>
      <c r="DB16" s="152"/>
      <c r="DC16" s="152"/>
      <c r="DD16" s="152"/>
      <c r="DE16" s="152"/>
      <c r="DF16" s="152"/>
      <c r="DG16" s="152"/>
      <c r="DH16" s="152"/>
      <c r="DI16" s="152"/>
      <c r="DJ16" s="152"/>
      <c r="DK16" s="152"/>
      <c r="DL16" s="152"/>
      <c r="DM16" s="152"/>
      <c r="DN16" s="152"/>
      <c r="DO16" s="152"/>
      <c r="DP16" s="152"/>
      <c r="DQ16" s="152"/>
      <c r="DR16" s="152"/>
      <c r="DS16" s="152"/>
      <c r="DT16" s="152"/>
      <c r="DU16" s="152"/>
      <c r="DV16" s="152"/>
      <c r="DW16" s="152"/>
      <c r="DX16" s="152"/>
      <c r="DY16" s="152"/>
      <c r="DZ16" s="152"/>
      <c r="EA16" s="152"/>
      <c r="EB16" s="152"/>
      <c r="EC16" s="152"/>
      <c r="ED16" s="152"/>
      <c r="EE16" s="152"/>
      <c r="EF16" s="152"/>
      <c r="EG16" s="152"/>
      <c r="EH16" s="152"/>
      <c r="EI16" s="152"/>
      <c r="EJ16" s="152"/>
      <c r="EK16" s="152"/>
      <c r="EL16" s="152"/>
      <c r="EM16" s="152"/>
      <c r="EN16" s="152"/>
      <c r="EO16" s="152"/>
      <c r="EP16" s="152"/>
      <c r="EQ16" s="152"/>
      <c r="ER16" s="152"/>
      <c r="ES16" s="152"/>
      <c r="ET16" s="152"/>
      <c r="EU16" s="152"/>
      <c r="EV16" s="152"/>
      <c r="EW16" s="152"/>
      <c r="EX16" s="152"/>
      <c r="EY16" s="152"/>
      <c r="EZ16" s="152"/>
      <c r="FA16" s="152"/>
      <c r="FB16" s="152"/>
      <c r="FC16" s="152"/>
      <c r="FD16" s="152"/>
      <c r="FE16" s="152"/>
      <c r="FF16" s="152"/>
      <c r="FG16" s="152"/>
      <c r="FH16" s="152"/>
      <c r="FI16" s="152"/>
      <c r="FJ16" s="152"/>
      <c r="FK16" s="152"/>
      <c r="FL16" s="152"/>
      <c r="FM16" s="152"/>
      <c r="FN16" s="152"/>
      <c r="FO16" s="152"/>
      <c r="FP16" s="152"/>
      <c r="FQ16" s="152"/>
      <c r="FR16" s="152"/>
      <c r="FS16" s="152"/>
      <c r="FT16" s="152"/>
      <c r="FU16" s="152"/>
      <c r="FV16" s="152"/>
      <c r="FW16" s="152"/>
      <c r="FX16" s="152"/>
      <c r="FY16" s="152"/>
      <c r="FZ16" s="152"/>
      <c r="GA16" s="152"/>
      <c r="GB16" s="152"/>
      <c r="GC16" s="152"/>
      <c r="GD16" s="152"/>
      <c r="GE16" s="152"/>
      <c r="GF16" s="152"/>
      <c r="GG16" s="152"/>
      <c r="GH16" s="152"/>
      <c r="GI16" s="152"/>
      <c r="GJ16" s="152"/>
      <c r="GK16" s="152"/>
      <c r="GL16" s="152"/>
      <c r="GM16" s="152"/>
      <c r="GN16" s="152"/>
      <c r="GO16" s="152"/>
      <c r="GP16" s="152"/>
      <c r="GQ16" s="152"/>
      <c r="GR16" s="152"/>
      <c r="GS16" s="152"/>
      <c r="GT16" s="152"/>
      <c r="GU16" s="152"/>
      <c r="GV16" s="152"/>
      <c r="GW16" s="152"/>
      <c r="GX16" s="152"/>
      <c r="GY16" s="152"/>
      <c r="GZ16" s="152"/>
      <c r="HA16" s="152"/>
      <c r="HB16" s="152"/>
      <c r="HC16" s="152"/>
      <c r="HD16" s="152"/>
      <c r="HE16" s="152"/>
      <c r="HF16" s="152"/>
      <c r="HG16" s="152"/>
      <c r="HH16" s="152"/>
      <c r="HI16" s="152"/>
      <c r="HJ16" s="152"/>
      <c r="HK16" s="152"/>
      <c r="HL16" s="152"/>
      <c r="HM16" s="152"/>
      <c r="HN16" s="152"/>
      <c r="HO16" s="152"/>
      <c r="HP16" s="152"/>
      <c r="HQ16" s="152"/>
      <c r="HR16" s="152"/>
      <c r="HS16" s="152"/>
      <c r="HT16" s="152"/>
      <c r="HU16" s="152"/>
      <c r="HV16" s="152"/>
      <c r="HW16" s="152"/>
      <c r="HX16" s="152"/>
      <c r="HY16" s="152"/>
      <c r="HZ16" s="152"/>
      <c r="IA16" s="152"/>
      <c r="IB16" s="152"/>
      <c r="IC16" s="152"/>
      <c r="ID16" s="152"/>
      <c r="IE16" s="152"/>
      <c r="IF16" s="152"/>
      <c r="IG16" s="152"/>
      <c r="IH16" s="152"/>
      <c r="II16" s="152"/>
      <c r="IJ16" s="152"/>
      <c r="IK16" s="152"/>
      <c r="IL16" s="152"/>
      <c r="IM16" s="152"/>
      <c r="IN16" s="152"/>
      <c r="IO16" s="152"/>
      <c r="IP16" s="152"/>
      <c r="IQ16" s="152"/>
      <c r="IR16" s="152"/>
      <c r="IS16" s="152"/>
      <c r="IT16" s="152"/>
      <c r="IU16" s="152"/>
      <c r="IV16" s="152"/>
      <c r="IW16" s="152"/>
      <c r="IX16" s="152"/>
      <c r="IY16" s="152"/>
      <c r="IZ16" s="152"/>
      <c r="JA16" s="152"/>
      <c r="JB16" s="152"/>
      <c r="JC16" s="152"/>
      <c r="JD16" s="152"/>
      <c r="JE16" s="152"/>
      <c r="JF16" s="152"/>
      <c r="JG16" s="152"/>
      <c r="JH16" s="152"/>
      <c r="JI16" s="152"/>
      <c r="JJ16" s="152"/>
      <c r="JK16" s="152"/>
      <c r="JL16" s="152"/>
      <c r="JM16" s="152"/>
      <c r="JN16" s="152"/>
      <c r="JO16" s="152"/>
      <c r="JP16" s="152"/>
      <c r="JQ16" s="152"/>
      <c r="JR16" s="152"/>
      <c r="JS16" s="152"/>
      <c r="JT16" s="152"/>
      <c r="JU16" s="152"/>
      <c r="JV16" s="152"/>
      <c r="JW16" s="152"/>
      <c r="JX16" s="152"/>
      <c r="JY16" s="152"/>
      <c r="JZ16" s="152"/>
      <c r="KA16" s="152"/>
      <c r="KB16" s="152"/>
      <c r="KC16" s="152"/>
      <c r="KD16" s="152"/>
      <c r="KE16" s="152"/>
      <c r="KF16" s="152"/>
      <c r="KG16" s="152"/>
      <c r="KH16" s="152"/>
      <c r="KI16" s="152"/>
      <c r="KJ16" s="152"/>
      <c r="KK16" s="152"/>
      <c r="KL16" s="152"/>
      <c r="KM16" s="152"/>
      <c r="KN16" s="152"/>
      <c r="KO16" s="152"/>
      <c r="KP16" s="152"/>
      <c r="KQ16" s="152"/>
      <c r="KR16" s="152"/>
      <c r="KS16" s="152"/>
      <c r="KT16" s="152"/>
      <c r="KU16" s="152"/>
      <c r="KV16" s="152"/>
      <c r="KW16" s="152"/>
      <c r="KX16" s="152"/>
      <c r="KY16" s="152"/>
      <c r="KZ16" s="152"/>
      <c r="LA16" s="152"/>
      <c r="LB16" s="152"/>
      <c r="LC16" s="152"/>
      <c r="LD16" s="152"/>
      <c r="LE16" s="152"/>
      <c r="LF16" s="152"/>
    </row>
    <row r="17" spans="1:318" ht="30.75" thickBot="1">
      <c r="A17" s="96" t="s">
        <v>202</v>
      </c>
      <c r="B17" s="1">
        <f>B16*C9</f>
        <v>1123.8356164383561</v>
      </c>
      <c r="J17" s="170"/>
      <c r="O17" s="94" t="s">
        <v>203</v>
      </c>
      <c r="Q17" s="140"/>
      <c r="R17" s="139"/>
      <c r="S17" s="188">
        <f t="shared" ref="S17:AQ17" si="7">(1-$J$9)*$B$21/1000*365*$J$6</f>
        <v>18458.999999999996</v>
      </c>
      <c r="T17" s="188">
        <f t="shared" si="7"/>
        <v>18458.999999999996</v>
      </c>
      <c r="U17" s="188">
        <f t="shared" si="7"/>
        <v>18458.999999999996</v>
      </c>
      <c r="V17" s="188">
        <f t="shared" si="7"/>
        <v>18458.999999999996</v>
      </c>
      <c r="W17" s="188">
        <f t="shared" si="7"/>
        <v>18458.999999999996</v>
      </c>
      <c r="X17" s="188">
        <f t="shared" si="7"/>
        <v>18458.999999999996</v>
      </c>
      <c r="Y17" s="188">
        <f t="shared" si="7"/>
        <v>18458.999999999996</v>
      </c>
      <c r="Z17" s="188">
        <f t="shared" si="7"/>
        <v>18458.999999999996</v>
      </c>
      <c r="AA17" s="188">
        <f t="shared" si="7"/>
        <v>18458.999999999996</v>
      </c>
      <c r="AB17" s="188">
        <f t="shared" si="7"/>
        <v>18458.999999999996</v>
      </c>
      <c r="AC17" s="188">
        <f t="shared" si="7"/>
        <v>18458.999999999996</v>
      </c>
      <c r="AD17" s="188">
        <f t="shared" si="7"/>
        <v>18458.999999999996</v>
      </c>
      <c r="AE17" s="188">
        <f t="shared" si="7"/>
        <v>18458.999999999996</v>
      </c>
      <c r="AF17" s="188">
        <f t="shared" si="7"/>
        <v>18458.999999999996</v>
      </c>
      <c r="AG17" s="188">
        <f t="shared" si="7"/>
        <v>18458.999999999996</v>
      </c>
      <c r="AH17" s="188">
        <f t="shared" si="7"/>
        <v>18458.999999999996</v>
      </c>
      <c r="AI17" s="188">
        <f t="shared" si="7"/>
        <v>18458.999999999996</v>
      </c>
      <c r="AJ17" s="188">
        <f t="shared" si="7"/>
        <v>18458.999999999996</v>
      </c>
      <c r="AK17" s="188">
        <f t="shared" si="7"/>
        <v>18458.999999999996</v>
      </c>
      <c r="AL17" s="188">
        <f t="shared" si="7"/>
        <v>18458.999999999996</v>
      </c>
      <c r="AM17" s="188">
        <f t="shared" si="7"/>
        <v>18458.999999999996</v>
      </c>
      <c r="AN17" s="188">
        <f t="shared" si="7"/>
        <v>18458.999999999996</v>
      </c>
      <c r="AO17" s="188">
        <f t="shared" si="7"/>
        <v>18458.999999999996</v>
      </c>
      <c r="AP17" s="188">
        <f t="shared" si="7"/>
        <v>18458.999999999996</v>
      </c>
      <c r="AQ17" s="189">
        <f t="shared" si="7"/>
        <v>18458.999999999996</v>
      </c>
      <c r="AR17" s="65">
        <f t="shared" si="5"/>
        <v>18458.999999999996</v>
      </c>
      <c r="AW17" s="152"/>
      <c r="AX17" s="152"/>
      <c r="AY17" s="152"/>
      <c r="AZ17" s="152"/>
      <c r="BA17" s="152"/>
      <c r="BB17" s="152"/>
      <c r="BC17" s="152"/>
      <c r="BD17" s="152"/>
      <c r="BE17" s="152"/>
      <c r="BF17" s="152"/>
      <c r="BG17" s="152"/>
      <c r="BH17" s="152"/>
      <c r="BI17" s="152"/>
      <c r="BJ17" s="152"/>
      <c r="BK17" s="152"/>
      <c r="BL17" s="152"/>
      <c r="BM17" s="152"/>
      <c r="BN17" s="152"/>
      <c r="BO17" s="152"/>
      <c r="BP17" s="152"/>
      <c r="BQ17" s="152"/>
      <c r="BR17" s="152"/>
      <c r="BS17" s="152"/>
      <c r="BT17" s="152"/>
      <c r="BU17" s="152"/>
      <c r="BV17" s="152"/>
      <c r="BW17" s="152"/>
      <c r="BX17" s="152"/>
      <c r="BY17" s="152"/>
      <c r="BZ17" s="152"/>
      <c r="CA17" s="152"/>
      <c r="CB17" s="152"/>
      <c r="CC17" s="152"/>
      <c r="CD17" s="152"/>
      <c r="CE17" s="152"/>
      <c r="CF17" s="152"/>
      <c r="CG17" s="152"/>
      <c r="CH17" s="152"/>
      <c r="CI17" s="152"/>
      <c r="CJ17" s="152"/>
      <c r="CK17" s="152"/>
      <c r="CL17" s="152"/>
      <c r="CM17" s="152"/>
      <c r="CN17" s="152"/>
      <c r="CO17" s="152"/>
      <c r="CP17" s="152"/>
      <c r="CQ17" s="152"/>
      <c r="CR17" s="152"/>
      <c r="CS17" s="152"/>
      <c r="CT17" s="152"/>
      <c r="CU17" s="152"/>
      <c r="CV17" s="152"/>
      <c r="CW17" s="152"/>
      <c r="CX17" s="152"/>
      <c r="CY17" s="152"/>
      <c r="CZ17" s="152"/>
      <c r="DA17" s="152"/>
      <c r="DB17" s="152"/>
      <c r="DC17" s="152"/>
      <c r="DD17" s="152"/>
      <c r="DE17" s="152"/>
      <c r="DF17" s="152"/>
      <c r="DG17" s="152"/>
      <c r="DH17" s="152"/>
      <c r="DI17" s="152"/>
      <c r="DJ17" s="152"/>
      <c r="DK17" s="152"/>
      <c r="DL17" s="152"/>
      <c r="DM17" s="152"/>
      <c r="DN17" s="152"/>
      <c r="DO17" s="152"/>
      <c r="DP17" s="152"/>
      <c r="DQ17" s="152"/>
      <c r="DR17" s="152"/>
      <c r="DS17" s="152"/>
      <c r="DT17" s="152"/>
      <c r="DU17" s="152"/>
      <c r="DV17" s="152"/>
      <c r="DW17" s="152"/>
      <c r="DX17" s="152"/>
      <c r="DY17" s="152"/>
      <c r="DZ17" s="152"/>
      <c r="EA17" s="152"/>
      <c r="EB17" s="152"/>
      <c r="EC17" s="152"/>
      <c r="ED17" s="152"/>
      <c r="EE17" s="152"/>
      <c r="EF17" s="152"/>
      <c r="EG17" s="152"/>
      <c r="EH17" s="152"/>
      <c r="EI17" s="152"/>
      <c r="EJ17" s="152"/>
      <c r="EK17" s="152"/>
      <c r="EL17" s="152"/>
      <c r="EM17" s="152"/>
      <c r="EN17" s="152"/>
      <c r="EO17" s="152"/>
      <c r="EP17" s="152"/>
      <c r="EQ17" s="152"/>
      <c r="ER17" s="152"/>
      <c r="ES17" s="152"/>
      <c r="ET17" s="152"/>
      <c r="EU17" s="152"/>
      <c r="EV17" s="152"/>
      <c r="EW17" s="152"/>
      <c r="EX17" s="152"/>
      <c r="EY17" s="152"/>
      <c r="EZ17" s="152"/>
      <c r="FA17" s="152"/>
      <c r="FB17" s="152"/>
      <c r="FC17" s="152"/>
      <c r="FD17" s="152"/>
      <c r="FE17" s="152"/>
      <c r="FF17" s="152"/>
      <c r="FG17" s="152"/>
      <c r="FH17" s="152"/>
      <c r="FI17" s="152"/>
      <c r="FJ17" s="152"/>
      <c r="FK17" s="152"/>
      <c r="FL17" s="152"/>
      <c r="FM17" s="152"/>
      <c r="FN17" s="152"/>
      <c r="FO17" s="152"/>
      <c r="FP17" s="152"/>
      <c r="FQ17" s="152"/>
      <c r="FR17" s="152"/>
      <c r="FS17" s="152"/>
      <c r="FT17" s="152"/>
      <c r="FU17" s="152"/>
      <c r="FV17" s="152"/>
      <c r="FW17" s="152"/>
      <c r="FX17" s="152"/>
      <c r="FY17" s="152"/>
      <c r="FZ17" s="152"/>
      <c r="GA17" s="152"/>
      <c r="GB17" s="152"/>
      <c r="GC17" s="152"/>
      <c r="GD17" s="152"/>
      <c r="GE17" s="152"/>
      <c r="GF17" s="152"/>
      <c r="GG17" s="152"/>
      <c r="GH17" s="152"/>
      <c r="GI17" s="152"/>
      <c r="GJ17" s="152"/>
      <c r="GK17" s="152"/>
      <c r="GL17" s="152"/>
      <c r="GM17" s="152"/>
      <c r="GN17" s="152"/>
      <c r="GO17" s="152"/>
      <c r="GP17" s="152"/>
      <c r="GQ17" s="152"/>
      <c r="GR17" s="152"/>
      <c r="GS17" s="152"/>
      <c r="GT17" s="152"/>
      <c r="GU17" s="152"/>
      <c r="GV17" s="152"/>
      <c r="GW17" s="152"/>
      <c r="GX17" s="152"/>
      <c r="GY17" s="152"/>
      <c r="GZ17" s="152"/>
      <c r="HA17" s="152"/>
      <c r="HB17" s="152"/>
      <c r="HC17" s="152"/>
      <c r="HD17" s="152"/>
      <c r="HE17" s="152"/>
      <c r="HF17" s="152"/>
      <c r="HG17" s="152"/>
      <c r="HH17" s="152"/>
      <c r="HI17" s="152"/>
      <c r="HJ17" s="152"/>
      <c r="HK17" s="152"/>
      <c r="HL17" s="152"/>
      <c r="HM17" s="152"/>
      <c r="HN17" s="152"/>
      <c r="HO17" s="152"/>
      <c r="HP17" s="152"/>
      <c r="HQ17" s="152"/>
      <c r="HR17" s="152"/>
      <c r="HS17" s="152"/>
      <c r="HT17" s="152"/>
      <c r="HU17" s="152"/>
      <c r="HV17" s="152"/>
      <c r="HW17" s="152"/>
      <c r="HX17" s="152"/>
      <c r="HY17" s="152"/>
      <c r="HZ17" s="152"/>
      <c r="IA17" s="152"/>
      <c r="IB17" s="152"/>
      <c r="IC17" s="152"/>
      <c r="ID17" s="152"/>
      <c r="IE17" s="152"/>
      <c r="IF17" s="152"/>
      <c r="IG17" s="152"/>
      <c r="IH17" s="152"/>
      <c r="II17" s="152"/>
      <c r="IJ17" s="152"/>
      <c r="IK17" s="152"/>
      <c r="IL17" s="152"/>
      <c r="IM17" s="152"/>
      <c r="IN17" s="152"/>
      <c r="IO17" s="152"/>
      <c r="IP17" s="152"/>
      <c r="IQ17" s="152"/>
      <c r="IR17" s="152"/>
      <c r="IS17" s="152"/>
      <c r="IT17" s="152"/>
      <c r="IU17" s="152"/>
      <c r="IV17" s="152"/>
      <c r="IW17" s="152"/>
      <c r="IX17" s="152"/>
      <c r="IY17" s="152"/>
      <c r="IZ17" s="152"/>
      <c r="JA17" s="152"/>
      <c r="JB17" s="152"/>
      <c r="JC17" s="152"/>
      <c r="JD17" s="152"/>
      <c r="JE17" s="152"/>
      <c r="JF17" s="152"/>
      <c r="JG17" s="152"/>
      <c r="JH17" s="152"/>
      <c r="JI17" s="152"/>
      <c r="JJ17" s="152"/>
      <c r="JK17" s="152"/>
      <c r="JL17" s="152"/>
      <c r="JM17" s="152"/>
      <c r="JN17" s="152"/>
      <c r="JO17" s="152"/>
      <c r="JP17" s="152"/>
      <c r="JQ17" s="152"/>
      <c r="JR17" s="152"/>
      <c r="JS17" s="152"/>
      <c r="JT17" s="152"/>
      <c r="JU17" s="152"/>
      <c r="JV17" s="152"/>
      <c r="JW17" s="152"/>
      <c r="JX17" s="152"/>
      <c r="JY17" s="152"/>
      <c r="JZ17" s="152"/>
      <c r="KA17" s="152"/>
      <c r="KB17" s="152"/>
      <c r="KC17" s="152"/>
      <c r="KD17" s="152"/>
      <c r="KE17" s="152"/>
      <c r="KF17" s="152"/>
      <c r="KG17" s="152"/>
      <c r="KH17" s="152"/>
      <c r="KI17" s="152"/>
      <c r="KJ17" s="152"/>
      <c r="KK17" s="152"/>
      <c r="KL17" s="152"/>
      <c r="KM17" s="152"/>
      <c r="KN17" s="152"/>
      <c r="KO17" s="152"/>
      <c r="KP17" s="152"/>
      <c r="KQ17" s="152"/>
      <c r="KR17" s="152"/>
      <c r="KS17" s="152"/>
      <c r="KT17" s="152"/>
      <c r="KU17" s="152"/>
      <c r="KV17" s="152"/>
      <c r="KW17" s="152"/>
      <c r="KX17" s="152"/>
      <c r="KY17" s="152"/>
      <c r="KZ17" s="152"/>
      <c r="LA17" s="152"/>
      <c r="LB17" s="152"/>
      <c r="LC17" s="152"/>
      <c r="LD17" s="152"/>
      <c r="LE17" s="152"/>
      <c r="LF17" s="152"/>
    </row>
    <row r="18" spans="1:318" ht="30.75" thickBot="1">
      <c r="A18" s="96" t="s">
        <v>204</v>
      </c>
      <c r="B18" s="1">
        <f>B16-B17</f>
        <v>481.64383561643854</v>
      </c>
      <c r="O18" s="81" t="s">
        <v>205</v>
      </c>
      <c r="P18" s="193"/>
      <c r="Q18" s="199"/>
      <c r="R18" s="192"/>
      <c r="S18" s="195">
        <f>S16+S17</f>
        <v>59479</v>
      </c>
      <c r="T18" s="195">
        <f t="shared" ref="T18:AQ18" si="8">T16+T17</f>
        <v>59191.86</v>
      </c>
      <c r="U18" s="195">
        <f t="shared" si="8"/>
        <v>58906.729980000004</v>
      </c>
      <c r="V18" s="195">
        <f t="shared" si="8"/>
        <v>58623.595870139994</v>
      </c>
      <c r="W18" s="195">
        <f t="shared" si="8"/>
        <v>58342.443699049021</v>
      </c>
      <c r="X18" s="195">
        <f t="shared" si="8"/>
        <v>58063.259593155657</v>
      </c>
      <c r="Y18" s="195">
        <f t="shared" si="8"/>
        <v>57786.029776003576</v>
      </c>
      <c r="Z18" s="195">
        <f t="shared" si="8"/>
        <v>57510.740567571542</v>
      </c>
      <c r="AA18" s="195">
        <f t="shared" si="8"/>
        <v>57237.378383598552</v>
      </c>
      <c r="AB18" s="195">
        <f t="shared" si="8"/>
        <v>56965.929734913356</v>
      </c>
      <c r="AC18" s="195">
        <f t="shared" si="8"/>
        <v>56696.381226768965</v>
      </c>
      <c r="AD18" s="195">
        <f t="shared" si="8"/>
        <v>56428.719558181576</v>
      </c>
      <c r="AE18" s="195">
        <f t="shared" si="8"/>
        <v>56162.931521274309</v>
      </c>
      <c r="AF18" s="195">
        <f t="shared" si="8"/>
        <v>55899.004000625384</v>
      </c>
      <c r="AG18" s="195">
        <f t="shared" si="8"/>
        <v>55636.923972621022</v>
      </c>
      <c r="AH18" s="195">
        <f t="shared" si="8"/>
        <v>55376.678504812662</v>
      </c>
      <c r="AI18" s="195">
        <f t="shared" si="8"/>
        <v>55118.254755278991</v>
      </c>
      <c r="AJ18" s="195">
        <f t="shared" si="8"/>
        <v>54861.63997199203</v>
      </c>
      <c r="AK18" s="195">
        <f t="shared" si="8"/>
        <v>54606.821492188086</v>
      </c>
      <c r="AL18" s="195">
        <f t="shared" si="8"/>
        <v>54353.786741742777</v>
      </c>
      <c r="AM18" s="195">
        <f t="shared" si="8"/>
        <v>54102.523234550565</v>
      </c>
      <c r="AN18" s="195">
        <f t="shared" si="8"/>
        <v>53853.018571908717</v>
      </c>
      <c r="AO18" s="195">
        <f t="shared" si="8"/>
        <v>53605.260441905353</v>
      </c>
      <c r="AP18" s="195">
        <f t="shared" si="8"/>
        <v>53359.236618812007</v>
      </c>
      <c r="AQ18" s="196">
        <f t="shared" si="8"/>
        <v>53114.934962480329</v>
      </c>
      <c r="AR18" s="65">
        <f t="shared" si="5"/>
        <v>56211.323327182981</v>
      </c>
      <c r="AW18" s="154"/>
      <c r="AX18" s="154"/>
      <c r="AY18" s="154"/>
      <c r="AZ18" s="154"/>
      <c r="BA18" s="154"/>
      <c r="BB18" s="154"/>
      <c r="BC18" s="154"/>
      <c r="BD18" s="154"/>
      <c r="BE18" s="154"/>
      <c r="BF18" s="154"/>
      <c r="BG18" s="154"/>
      <c r="BH18" s="154"/>
      <c r="BI18" s="154"/>
      <c r="BJ18" s="154"/>
      <c r="BK18" s="154"/>
      <c r="BL18" s="154"/>
      <c r="BM18" s="154"/>
      <c r="BN18" s="154"/>
      <c r="BO18" s="154"/>
      <c r="BP18" s="154"/>
      <c r="BQ18" s="154"/>
      <c r="BR18" s="154"/>
      <c r="BS18" s="154"/>
      <c r="BT18" s="154"/>
      <c r="BU18" s="154"/>
      <c r="BV18" s="154"/>
      <c r="BW18" s="154"/>
      <c r="BX18" s="154"/>
      <c r="BY18" s="154"/>
      <c r="BZ18" s="154"/>
      <c r="CA18" s="154"/>
      <c r="CB18" s="154"/>
      <c r="CC18" s="154"/>
      <c r="CD18" s="154"/>
      <c r="CE18" s="154"/>
      <c r="CF18" s="154"/>
      <c r="CG18" s="154"/>
      <c r="CH18" s="154"/>
      <c r="CI18" s="154"/>
      <c r="CJ18" s="154"/>
      <c r="CK18" s="154"/>
      <c r="CL18" s="154"/>
      <c r="CM18" s="154"/>
      <c r="CN18" s="154"/>
      <c r="CO18" s="154"/>
      <c r="CP18" s="154"/>
      <c r="CQ18" s="154"/>
      <c r="CR18" s="154"/>
      <c r="CS18" s="154"/>
      <c r="CT18" s="154"/>
      <c r="CU18" s="154"/>
      <c r="CV18" s="154"/>
      <c r="CW18" s="154"/>
      <c r="CX18" s="154"/>
      <c r="CY18" s="154"/>
      <c r="CZ18" s="154"/>
      <c r="DA18" s="154"/>
      <c r="DB18" s="154"/>
      <c r="DC18" s="154"/>
      <c r="DD18" s="154"/>
      <c r="DE18" s="154"/>
      <c r="DF18" s="154"/>
      <c r="DG18" s="154"/>
      <c r="DH18" s="154"/>
      <c r="DI18" s="154"/>
      <c r="DJ18" s="154"/>
      <c r="DK18" s="154"/>
      <c r="DL18" s="154"/>
      <c r="DM18" s="154"/>
      <c r="DN18" s="154"/>
      <c r="DO18" s="154"/>
      <c r="DP18" s="154"/>
      <c r="DQ18" s="154"/>
      <c r="DR18" s="154"/>
      <c r="DS18" s="154"/>
      <c r="DT18" s="154"/>
      <c r="DU18" s="154"/>
      <c r="DV18" s="154"/>
      <c r="DW18" s="154"/>
      <c r="DX18" s="154"/>
      <c r="DY18" s="154"/>
      <c r="DZ18" s="154"/>
      <c r="EA18" s="154"/>
      <c r="EB18" s="154"/>
      <c r="EC18" s="154"/>
      <c r="ED18" s="154"/>
      <c r="EE18" s="154"/>
      <c r="EF18" s="154"/>
      <c r="EG18" s="154"/>
      <c r="EH18" s="154"/>
      <c r="EI18" s="154"/>
      <c r="EJ18" s="154"/>
      <c r="EK18" s="154"/>
      <c r="EL18" s="154"/>
      <c r="EM18" s="154"/>
      <c r="EN18" s="154"/>
      <c r="EO18" s="154"/>
      <c r="EP18" s="154"/>
      <c r="EQ18" s="154"/>
      <c r="ER18" s="154"/>
      <c r="ES18" s="154"/>
      <c r="ET18" s="154"/>
      <c r="EU18" s="154"/>
      <c r="EV18" s="154"/>
      <c r="EW18" s="154"/>
      <c r="EX18" s="154"/>
      <c r="EY18" s="154"/>
      <c r="EZ18" s="154"/>
      <c r="FA18" s="154"/>
      <c r="FB18" s="154"/>
      <c r="FC18" s="154"/>
      <c r="FD18" s="154"/>
      <c r="FE18" s="154"/>
      <c r="FF18" s="154"/>
      <c r="FG18" s="154"/>
      <c r="FH18" s="154"/>
      <c r="FI18" s="154"/>
      <c r="FJ18" s="154"/>
      <c r="FK18" s="154"/>
      <c r="FL18" s="154"/>
      <c r="FM18" s="154"/>
      <c r="FN18" s="154"/>
      <c r="FO18" s="154"/>
      <c r="FP18" s="154"/>
      <c r="FQ18" s="154"/>
      <c r="FR18" s="154"/>
      <c r="FS18" s="154"/>
      <c r="FT18" s="154"/>
      <c r="FU18" s="154"/>
      <c r="FV18" s="154"/>
      <c r="FW18" s="154"/>
      <c r="FX18" s="154"/>
      <c r="FY18" s="154"/>
      <c r="FZ18" s="154"/>
      <c r="GA18" s="154"/>
      <c r="GB18" s="154"/>
      <c r="GC18" s="154"/>
      <c r="GD18" s="154"/>
      <c r="GE18" s="154"/>
      <c r="GF18" s="154"/>
      <c r="GG18" s="154"/>
      <c r="GH18" s="154"/>
      <c r="GI18" s="154"/>
      <c r="GJ18" s="154"/>
      <c r="GK18" s="154"/>
      <c r="GL18" s="154"/>
      <c r="GM18" s="154"/>
      <c r="GN18" s="154"/>
      <c r="GO18" s="154"/>
      <c r="GP18" s="154"/>
      <c r="GQ18" s="154"/>
      <c r="GR18" s="154"/>
      <c r="GS18" s="154"/>
      <c r="GT18" s="154"/>
      <c r="GU18" s="154"/>
      <c r="GV18" s="154"/>
      <c r="GW18" s="154"/>
      <c r="GX18" s="154"/>
      <c r="GY18" s="154"/>
      <c r="GZ18" s="154"/>
      <c r="HA18" s="154"/>
      <c r="HB18" s="154"/>
      <c r="HC18" s="154"/>
      <c r="HD18" s="154"/>
      <c r="HE18" s="154"/>
      <c r="HF18" s="154"/>
      <c r="HG18" s="154"/>
      <c r="HH18" s="154"/>
      <c r="HI18" s="154"/>
      <c r="HJ18" s="154"/>
      <c r="HK18" s="154"/>
      <c r="HL18" s="154"/>
      <c r="HM18" s="154"/>
      <c r="HN18" s="154"/>
      <c r="HO18" s="154"/>
      <c r="HP18" s="154"/>
      <c r="HQ18" s="154"/>
      <c r="HR18" s="154"/>
      <c r="HS18" s="154"/>
      <c r="HT18" s="154"/>
      <c r="HU18" s="154"/>
      <c r="HV18" s="154"/>
      <c r="HW18" s="154"/>
      <c r="HX18" s="154"/>
      <c r="HY18" s="154"/>
      <c r="HZ18" s="154"/>
      <c r="IA18" s="154"/>
      <c r="IB18" s="154"/>
      <c r="IC18" s="154"/>
      <c r="ID18" s="154"/>
      <c r="IE18" s="154"/>
      <c r="IF18" s="154"/>
      <c r="IG18" s="154"/>
      <c r="IH18" s="154"/>
      <c r="II18" s="154"/>
      <c r="IJ18" s="154"/>
      <c r="IK18" s="154"/>
      <c r="IL18" s="154"/>
      <c r="IM18" s="154"/>
      <c r="IN18" s="154"/>
      <c r="IO18" s="154"/>
      <c r="IP18" s="154"/>
      <c r="IQ18" s="154"/>
      <c r="IR18" s="154"/>
      <c r="IS18" s="154"/>
      <c r="IT18" s="154"/>
      <c r="IU18" s="154"/>
      <c r="IV18" s="154"/>
      <c r="IW18" s="154"/>
      <c r="IX18" s="154"/>
      <c r="IY18" s="154"/>
      <c r="IZ18" s="154"/>
      <c r="JA18" s="154"/>
      <c r="JB18" s="154"/>
      <c r="JC18" s="154"/>
      <c r="JD18" s="154"/>
      <c r="JE18" s="154"/>
      <c r="JF18" s="154"/>
      <c r="JG18" s="154"/>
      <c r="JH18" s="154"/>
      <c r="JI18" s="154"/>
      <c r="JJ18" s="154"/>
      <c r="JK18" s="154"/>
      <c r="JL18" s="154"/>
      <c r="JM18" s="154"/>
      <c r="JN18" s="154"/>
      <c r="JO18" s="154"/>
      <c r="JP18" s="154"/>
      <c r="JQ18" s="154"/>
      <c r="JR18" s="154"/>
      <c r="JS18" s="154"/>
      <c r="JT18" s="154"/>
      <c r="JU18" s="154"/>
      <c r="JV18" s="154"/>
      <c r="JW18" s="154"/>
      <c r="JX18" s="154"/>
      <c r="JY18" s="154"/>
      <c r="JZ18" s="154"/>
      <c r="KA18" s="154"/>
      <c r="KB18" s="154"/>
      <c r="KC18" s="154"/>
      <c r="KD18" s="154"/>
      <c r="KE18" s="154"/>
      <c r="KF18" s="154"/>
      <c r="KG18" s="154"/>
      <c r="KH18" s="154"/>
      <c r="KI18" s="154"/>
      <c r="KJ18" s="154"/>
      <c r="KK18" s="154"/>
      <c r="KL18" s="154"/>
      <c r="KM18" s="154"/>
      <c r="KN18" s="154"/>
      <c r="KO18" s="154"/>
      <c r="KP18" s="154"/>
      <c r="KQ18" s="154"/>
      <c r="KR18" s="154"/>
      <c r="KS18" s="154"/>
      <c r="KT18" s="154"/>
      <c r="KU18" s="154"/>
      <c r="KV18" s="154"/>
      <c r="KW18" s="154"/>
      <c r="KX18" s="154"/>
      <c r="KY18" s="154"/>
      <c r="KZ18" s="154"/>
      <c r="LA18" s="154"/>
      <c r="LB18" s="154"/>
      <c r="LC18" s="154"/>
      <c r="LD18" s="154"/>
      <c r="LE18" s="154"/>
      <c r="LF18" s="154"/>
    </row>
    <row r="19" spans="1:318" ht="30.75" thickBot="1">
      <c r="A19" s="96" t="s">
        <v>206</v>
      </c>
      <c r="B19" s="1">
        <f>A9</f>
        <v>0</v>
      </c>
      <c r="O19" s="104" t="s">
        <v>207</v>
      </c>
      <c r="P19" s="42"/>
      <c r="Q19" s="43"/>
      <c r="R19" s="190"/>
      <c r="S19" s="171">
        <f>(S14+S15)-S18</f>
        <v>964021</v>
      </c>
      <c r="T19" s="171">
        <f t="shared" ref="T19:AQ19" si="9">(T14+T15)-T18</f>
        <v>964308.14</v>
      </c>
      <c r="U19" s="171">
        <f t="shared" si="9"/>
        <v>964593.27001999994</v>
      </c>
      <c r="V19" s="171">
        <f t="shared" si="9"/>
        <v>964876.40412985999</v>
      </c>
      <c r="W19" s="171">
        <f t="shared" si="9"/>
        <v>965157.55630095094</v>
      </c>
      <c r="X19" s="171">
        <f t="shared" si="9"/>
        <v>965436.7404068443</v>
      </c>
      <c r="Y19" s="171">
        <f t="shared" si="9"/>
        <v>965713.97022399644</v>
      </c>
      <c r="Z19" s="171">
        <f t="shared" si="9"/>
        <v>965989.25943242852</v>
      </c>
      <c r="AA19" s="171">
        <f t="shared" si="9"/>
        <v>966262.62161640148</v>
      </c>
      <c r="AB19" s="171">
        <f t="shared" si="9"/>
        <v>966534.0702650866</v>
      </c>
      <c r="AC19" s="171">
        <f t="shared" si="9"/>
        <v>966803.61877323105</v>
      </c>
      <c r="AD19" s="171">
        <f t="shared" si="9"/>
        <v>967071.28044181841</v>
      </c>
      <c r="AE19" s="171">
        <f t="shared" si="9"/>
        <v>967337.06847872573</v>
      </c>
      <c r="AF19" s="171">
        <f t="shared" si="9"/>
        <v>967600.99599937466</v>
      </c>
      <c r="AG19" s="171">
        <f t="shared" si="9"/>
        <v>967863.07602737902</v>
      </c>
      <c r="AH19" s="171">
        <f t="shared" si="9"/>
        <v>968123.32149518735</v>
      </c>
      <c r="AI19" s="171">
        <f t="shared" si="9"/>
        <v>968381.74524472095</v>
      </c>
      <c r="AJ19" s="171">
        <f t="shared" si="9"/>
        <v>968638.360028008</v>
      </c>
      <c r="AK19" s="171">
        <f t="shared" si="9"/>
        <v>968893.17850781186</v>
      </c>
      <c r="AL19" s="171">
        <f t="shared" si="9"/>
        <v>969146.21325825725</v>
      </c>
      <c r="AM19" s="171">
        <f t="shared" si="9"/>
        <v>969397.47676544939</v>
      </c>
      <c r="AN19" s="171">
        <f t="shared" si="9"/>
        <v>969646.9814280913</v>
      </c>
      <c r="AO19" s="171">
        <f t="shared" si="9"/>
        <v>969894.73955809465</v>
      </c>
      <c r="AP19" s="171">
        <f t="shared" si="9"/>
        <v>970140.76338118804</v>
      </c>
      <c r="AQ19" s="191">
        <f t="shared" si="9"/>
        <v>970385.06503751967</v>
      </c>
      <c r="AR19" s="152">
        <f>AVERAGE(S19:AQ19)</f>
        <v>967288.67667281698</v>
      </c>
      <c r="AW19" s="152"/>
      <c r="AX19" s="152"/>
      <c r="AY19" s="152"/>
      <c r="AZ19" s="152"/>
      <c r="BA19" s="152"/>
      <c r="BB19" s="152"/>
      <c r="BC19" s="152"/>
      <c r="BD19" s="152"/>
      <c r="BE19" s="152"/>
      <c r="BF19" s="152"/>
      <c r="BG19" s="152"/>
      <c r="BH19" s="152"/>
      <c r="BI19" s="152"/>
      <c r="BJ19" s="152"/>
      <c r="BK19" s="152"/>
      <c r="BL19" s="152"/>
      <c r="BM19" s="152"/>
      <c r="BN19" s="152"/>
      <c r="BO19" s="152"/>
      <c r="BP19" s="152"/>
      <c r="BQ19" s="152"/>
      <c r="BR19" s="152"/>
      <c r="BS19" s="152"/>
      <c r="BT19" s="152"/>
      <c r="BU19" s="152"/>
      <c r="BV19" s="152"/>
      <c r="BW19" s="152"/>
      <c r="BX19" s="152"/>
      <c r="BY19" s="152"/>
      <c r="BZ19" s="152"/>
      <c r="CA19" s="152"/>
      <c r="CB19" s="152"/>
      <c r="CC19" s="152"/>
      <c r="CD19" s="152"/>
      <c r="CE19" s="152"/>
      <c r="CF19" s="152"/>
      <c r="CG19" s="152"/>
      <c r="CH19" s="152"/>
      <c r="CI19" s="152"/>
      <c r="CJ19" s="152"/>
      <c r="CK19" s="152"/>
      <c r="CL19" s="152"/>
      <c r="CM19" s="152"/>
      <c r="CN19" s="152"/>
      <c r="CO19" s="152"/>
      <c r="CP19" s="152"/>
      <c r="CQ19" s="152"/>
      <c r="CR19" s="152"/>
      <c r="CS19" s="152"/>
      <c r="CT19" s="152"/>
      <c r="CU19" s="152"/>
      <c r="CV19" s="152"/>
      <c r="CW19" s="152"/>
      <c r="CX19" s="152"/>
      <c r="CY19" s="152"/>
      <c r="CZ19" s="152"/>
      <c r="DA19" s="152"/>
      <c r="DB19" s="152"/>
      <c r="DC19" s="152"/>
      <c r="DD19" s="152"/>
      <c r="DE19" s="152"/>
      <c r="DF19" s="152"/>
      <c r="DG19" s="152"/>
      <c r="DH19" s="152"/>
      <c r="DI19" s="152"/>
      <c r="DJ19" s="152"/>
      <c r="DK19" s="152"/>
      <c r="DL19" s="152"/>
      <c r="DM19" s="152"/>
      <c r="DN19" s="152"/>
      <c r="DO19" s="152"/>
      <c r="DP19" s="152"/>
      <c r="DQ19" s="152"/>
      <c r="DR19" s="152"/>
      <c r="DS19" s="152"/>
      <c r="DT19" s="152"/>
      <c r="DU19" s="152"/>
      <c r="DV19" s="152"/>
      <c r="DW19" s="152"/>
      <c r="DX19" s="152"/>
      <c r="DY19" s="152"/>
      <c r="DZ19" s="152"/>
      <c r="EA19" s="152"/>
      <c r="EB19" s="152"/>
      <c r="EC19" s="152"/>
      <c r="ED19" s="152"/>
      <c r="EE19" s="152"/>
      <c r="EF19" s="152"/>
      <c r="EG19" s="152"/>
      <c r="EH19" s="152"/>
      <c r="EI19" s="152"/>
      <c r="EJ19" s="152"/>
      <c r="EK19" s="152"/>
      <c r="EL19" s="152"/>
      <c r="EM19" s="152"/>
      <c r="EN19" s="152"/>
      <c r="EO19" s="152"/>
      <c r="EP19" s="152"/>
      <c r="EQ19" s="152"/>
      <c r="ER19" s="152"/>
      <c r="ES19" s="152"/>
      <c r="ET19" s="152"/>
      <c r="EU19" s="152"/>
      <c r="EV19" s="152"/>
      <c r="EW19" s="152"/>
      <c r="EX19" s="152"/>
      <c r="EY19" s="152"/>
      <c r="EZ19" s="152"/>
      <c r="FA19" s="152"/>
      <c r="FB19" s="152"/>
      <c r="FC19" s="152"/>
      <c r="FD19" s="152"/>
      <c r="FE19" s="152"/>
      <c r="FF19" s="152"/>
      <c r="FG19" s="152"/>
      <c r="FH19" s="152"/>
      <c r="FI19" s="152"/>
      <c r="FJ19" s="152"/>
      <c r="FK19" s="152"/>
      <c r="FL19" s="152"/>
      <c r="FM19" s="152"/>
      <c r="FN19" s="152"/>
      <c r="FO19" s="152"/>
      <c r="FP19" s="152"/>
      <c r="FQ19" s="152"/>
      <c r="FR19" s="152"/>
      <c r="FS19" s="152"/>
      <c r="FT19" s="152"/>
      <c r="FU19" s="152"/>
      <c r="FV19" s="152"/>
      <c r="FW19" s="152"/>
      <c r="FX19" s="152"/>
      <c r="FY19" s="152"/>
      <c r="FZ19" s="152"/>
      <c r="GA19" s="152"/>
      <c r="GB19" s="152"/>
      <c r="GC19" s="152"/>
      <c r="GD19" s="152"/>
      <c r="GE19" s="152"/>
      <c r="GF19" s="152"/>
      <c r="GG19" s="152"/>
      <c r="GH19" s="152"/>
      <c r="GI19" s="152"/>
      <c r="GJ19" s="152"/>
      <c r="GK19" s="152"/>
      <c r="GL19" s="152"/>
      <c r="GM19" s="152"/>
      <c r="GN19" s="152"/>
      <c r="GO19" s="152"/>
      <c r="GP19" s="152"/>
      <c r="GQ19" s="152"/>
      <c r="GR19" s="152"/>
      <c r="GS19" s="152"/>
      <c r="GT19" s="152"/>
      <c r="GU19" s="152"/>
      <c r="GV19" s="152"/>
      <c r="GW19" s="152"/>
      <c r="GX19" s="152"/>
      <c r="GY19" s="152"/>
      <c r="GZ19" s="152"/>
      <c r="HA19" s="152"/>
      <c r="HB19" s="152"/>
      <c r="HC19" s="152"/>
      <c r="HD19" s="152"/>
      <c r="HE19" s="152"/>
      <c r="HF19" s="152"/>
      <c r="HG19" s="152"/>
      <c r="HH19" s="152"/>
      <c r="HI19" s="152"/>
      <c r="HJ19" s="152"/>
      <c r="HK19" s="152"/>
      <c r="HL19" s="152"/>
      <c r="HM19" s="152"/>
      <c r="HN19" s="152"/>
      <c r="HO19" s="152"/>
      <c r="HP19" s="152"/>
      <c r="HQ19" s="152"/>
      <c r="HR19" s="152"/>
      <c r="HS19" s="152"/>
      <c r="HT19" s="152"/>
      <c r="HU19" s="152"/>
      <c r="HV19" s="152"/>
      <c r="HW19" s="152"/>
      <c r="HX19" s="152"/>
      <c r="HY19" s="152"/>
      <c r="HZ19" s="152"/>
      <c r="IA19" s="152"/>
      <c r="IB19" s="152"/>
      <c r="IC19" s="152"/>
      <c r="ID19" s="152"/>
      <c r="IE19" s="152"/>
      <c r="IF19" s="152"/>
      <c r="IG19" s="152"/>
      <c r="IH19" s="152"/>
      <c r="II19" s="152"/>
      <c r="IJ19" s="152"/>
      <c r="IK19" s="152"/>
      <c r="IL19" s="152"/>
      <c r="IM19" s="152"/>
      <c r="IN19" s="152"/>
      <c r="IO19" s="152"/>
      <c r="IP19" s="152"/>
      <c r="IQ19" s="152"/>
      <c r="IR19" s="152"/>
      <c r="IS19" s="152"/>
      <c r="IT19" s="152"/>
      <c r="IU19" s="152"/>
      <c r="IV19" s="152"/>
      <c r="IW19" s="152"/>
      <c r="IX19" s="152"/>
      <c r="IY19" s="152"/>
      <c r="IZ19" s="152"/>
      <c r="JA19" s="152"/>
      <c r="JB19" s="152"/>
      <c r="JC19" s="152"/>
      <c r="JD19" s="152"/>
      <c r="JE19" s="152"/>
      <c r="JF19" s="152"/>
      <c r="JG19" s="152"/>
      <c r="JH19" s="152"/>
      <c r="JI19" s="152"/>
      <c r="JJ19" s="152"/>
      <c r="JK19" s="152"/>
      <c r="JL19" s="152"/>
      <c r="JM19" s="152"/>
      <c r="JN19" s="152"/>
      <c r="JO19" s="152"/>
      <c r="JP19" s="152"/>
      <c r="JQ19" s="152"/>
      <c r="JR19" s="152"/>
      <c r="JS19" s="152"/>
      <c r="JT19" s="152"/>
      <c r="JU19" s="152"/>
      <c r="JV19" s="152"/>
      <c r="JW19" s="152"/>
      <c r="JX19" s="152"/>
      <c r="JY19" s="152"/>
      <c r="JZ19" s="152"/>
      <c r="KA19" s="152"/>
      <c r="KB19" s="152"/>
      <c r="KC19" s="152"/>
      <c r="KD19" s="152"/>
      <c r="KE19" s="152"/>
      <c r="KF19" s="152"/>
      <c r="KG19" s="152"/>
      <c r="KH19" s="152"/>
      <c r="KI19" s="152"/>
      <c r="KJ19" s="152"/>
      <c r="KK19" s="152"/>
      <c r="KL19" s="152"/>
      <c r="KM19" s="152"/>
      <c r="KN19" s="152"/>
      <c r="KO19" s="152"/>
      <c r="KP19" s="152"/>
      <c r="KQ19" s="152"/>
      <c r="KR19" s="152"/>
      <c r="KS19" s="152"/>
      <c r="KT19" s="152"/>
      <c r="KU19" s="152"/>
      <c r="KV19" s="152"/>
      <c r="KW19" s="152"/>
      <c r="KX19" s="152"/>
      <c r="KY19" s="152"/>
      <c r="KZ19" s="152"/>
      <c r="LA19" s="152"/>
      <c r="LB19" s="152"/>
      <c r="LC19" s="152"/>
      <c r="LD19" s="152"/>
      <c r="LE19" s="152"/>
      <c r="LF19" s="152"/>
    </row>
    <row r="20" spans="1:318">
      <c r="A20" s="96" t="s">
        <v>208</v>
      </c>
      <c r="B20" s="1">
        <f>MIN(B19,B18)</f>
        <v>0</v>
      </c>
      <c r="O20" s="139" t="s">
        <v>318</v>
      </c>
      <c r="Q20" s="140"/>
      <c r="R20" s="139"/>
      <c r="S20" s="212">
        <f>($E$6-S12)*$AD$6/1000</f>
        <v>374130</v>
      </c>
      <c r="T20" s="208">
        <f t="shared" ref="T20:AQ20" si="10">($E$6-T12)*$AD$6/1000</f>
        <v>374314.59</v>
      </c>
      <c r="U20" s="208">
        <f t="shared" si="10"/>
        <v>374497.88786999998</v>
      </c>
      <c r="V20" s="208">
        <f t="shared" si="10"/>
        <v>374679.90265490999</v>
      </c>
      <c r="W20" s="208">
        <f t="shared" si="10"/>
        <v>374860.64333632565</v>
      </c>
      <c r="X20" s="208">
        <f t="shared" si="10"/>
        <v>375040.11883297138</v>
      </c>
      <c r="Y20" s="208">
        <f t="shared" si="10"/>
        <v>375218.33800114051</v>
      </c>
      <c r="Z20" s="208">
        <f t="shared" si="10"/>
        <v>375395.30963513255</v>
      </c>
      <c r="AA20" s="208">
        <f t="shared" si="10"/>
        <v>375571.04246768664</v>
      </c>
      <c r="AB20" s="208">
        <f t="shared" si="10"/>
        <v>375745.54517041286</v>
      </c>
      <c r="AC20" s="208">
        <f t="shared" si="10"/>
        <v>375918.82635421993</v>
      </c>
      <c r="AD20" s="208">
        <f t="shared" si="10"/>
        <v>376090.8945697404</v>
      </c>
      <c r="AE20" s="208">
        <f t="shared" si="10"/>
        <v>376261.75830775226</v>
      </c>
      <c r="AF20" s="208">
        <f t="shared" si="10"/>
        <v>376431.425999598</v>
      </c>
      <c r="AG20" s="208">
        <f t="shared" si="10"/>
        <v>376599.90601760079</v>
      </c>
      <c r="AH20" s="208">
        <f t="shared" si="10"/>
        <v>376767.20667547756</v>
      </c>
      <c r="AI20" s="208">
        <f t="shared" si="10"/>
        <v>376933.33622874919</v>
      </c>
      <c r="AJ20" s="208">
        <f t="shared" si="10"/>
        <v>377098.30287514802</v>
      </c>
      <c r="AK20" s="208">
        <f t="shared" si="10"/>
        <v>377262.11475502193</v>
      </c>
      <c r="AL20" s="208">
        <f t="shared" si="10"/>
        <v>377424.7799517368</v>
      </c>
      <c r="AM20" s="208">
        <f t="shared" si="10"/>
        <v>377586.30649207468</v>
      </c>
      <c r="AN20" s="208">
        <f t="shared" si="10"/>
        <v>377746.7023466301</v>
      </c>
      <c r="AO20" s="208">
        <f t="shared" si="10"/>
        <v>377905.97543020372</v>
      </c>
      <c r="AP20" s="208">
        <f t="shared" si="10"/>
        <v>378064.13360219222</v>
      </c>
      <c r="AQ20" s="213">
        <f t="shared" si="10"/>
        <v>378221.18466697691</v>
      </c>
      <c r="AR20" s="152">
        <f t="shared" ref="AR20:AR27" si="11">AVERAGE(S20:AQ20)</f>
        <v>376230.64928966807</v>
      </c>
      <c r="AW20" s="152"/>
      <c r="AX20" s="152"/>
      <c r="AY20" s="152"/>
      <c r="AZ20" s="152"/>
      <c r="BA20" s="152"/>
      <c r="BB20" s="152"/>
      <c r="BC20" s="152"/>
      <c r="BD20" s="152"/>
      <c r="BE20" s="152"/>
      <c r="BF20" s="152"/>
      <c r="BG20" s="152"/>
      <c r="BH20" s="152"/>
      <c r="BI20" s="152"/>
      <c r="BJ20" s="152"/>
      <c r="BK20" s="152"/>
      <c r="BL20" s="152"/>
      <c r="BM20" s="152"/>
      <c r="BN20" s="152"/>
      <c r="BO20" s="152"/>
      <c r="BP20" s="152"/>
      <c r="BQ20" s="152"/>
      <c r="BR20" s="152"/>
      <c r="BS20" s="152"/>
      <c r="BT20" s="152"/>
      <c r="BU20" s="152"/>
      <c r="BV20" s="152"/>
      <c r="BW20" s="152"/>
      <c r="BX20" s="152"/>
      <c r="BY20" s="152"/>
      <c r="BZ20" s="152"/>
      <c r="CA20" s="152"/>
      <c r="CB20" s="152"/>
      <c r="CC20" s="152"/>
      <c r="CD20" s="152"/>
      <c r="CE20" s="152"/>
      <c r="CF20" s="152"/>
      <c r="CG20" s="152"/>
      <c r="CH20" s="152"/>
      <c r="CI20" s="152"/>
      <c r="CJ20" s="152"/>
      <c r="CK20" s="152"/>
      <c r="CL20" s="152"/>
      <c r="CM20" s="152"/>
      <c r="CN20" s="152"/>
      <c r="CO20" s="152"/>
      <c r="CP20" s="152"/>
      <c r="CQ20" s="152"/>
      <c r="CR20" s="152"/>
      <c r="CS20" s="152"/>
      <c r="CT20" s="152"/>
      <c r="CU20" s="152"/>
      <c r="CV20" s="152"/>
      <c r="CW20" s="152"/>
      <c r="CX20" s="152"/>
      <c r="CY20" s="152"/>
      <c r="CZ20" s="152"/>
      <c r="DA20" s="152"/>
      <c r="DB20" s="152"/>
      <c r="DC20" s="152"/>
      <c r="DD20" s="152"/>
      <c r="DE20" s="152"/>
      <c r="DF20" s="152"/>
      <c r="DG20" s="152"/>
      <c r="DH20" s="152"/>
      <c r="DI20" s="152"/>
      <c r="DJ20" s="152"/>
      <c r="DK20" s="152"/>
      <c r="DL20" s="152"/>
      <c r="DM20" s="152"/>
      <c r="DN20" s="152"/>
      <c r="DO20" s="152"/>
      <c r="DP20" s="152"/>
      <c r="DQ20" s="152"/>
      <c r="DR20" s="152"/>
      <c r="DS20" s="152"/>
      <c r="DT20" s="152"/>
      <c r="DU20" s="152"/>
      <c r="DV20" s="152"/>
      <c r="DW20" s="152"/>
      <c r="DX20" s="152"/>
      <c r="DY20" s="152"/>
      <c r="DZ20" s="152"/>
      <c r="EA20" s="152"/>
      <c r="EB20" s="152"/>
      <c r="EC20" s="152"/>
      <c r="ED20" s="152"/>
      <c r="EE20" s="152"/>
      <c r="EF20" s="152"/>
      <c r="EG20" s="152"/>
      <c r="EH20" s="152"/>
      <c r="EI20" s="152"/>
      <c r="EJ20" s="152"/>
      <c r="EK20" s="152"/>
      <c r="EL20" s="152"/>
      <c r="EM20" s="152"/>
      <c r="EN20" s="152"/>
      <c r="EO20" s="152"/>
      <c r="EP20" s="152"/>
      <c r="EQ20" s="152"/>
      <c r="ER20" s="152"/>
      <c r="ES20" s="152"/>
      <c r="ET20" s="152"/>
      <c r="EU20" s="152"/>
      <c r="EV20" s="152"/>
      <c r="EW20" s="152"/>
      <c r="EX20" s="152"/>
      <c r="EY20" s="152"/>
      <c r="EZ20" s="152"/>
      <c r="FA20" s="152"/>
      <c r="FB20" s="152"/>
      <c r="FC20" s="152"/>
      <c r="FD20" s="152"/>
      <c r="FE20" s="152"/>
      <c r="FF20" s="152"/>
      <c r="FG20" s="152"/>
      <c r="FH20" s="152"/>
      <c r="FI20" s="152"/>
      <c r="FJ20" s="152"/>
      <c r="FK20" s="152"/>
      <c r="FL20" s="152"/>
      <c r="FM20" s="152"/>
      <c r="FN20" s="152"/>
      <c r="FO20" s="152"/>
      <c r="FP20" s="152"/>
      <c r="FQ20" s="152"/>
      <c r="FR20" s="152"/>
      <c r="FS20" s="152"/>
      <c r="FT20" s="152"/>
      <c r="FU20" s="152"/>
      <c r="FV20" s="152"/>
      <c r="FW20" s="152"/>
      <c r="FX20" s="152"/>
      <c r="FY20" s="152"/>
      <c r="FZ20" s="152"/>
      <c r="GA20" s="152"/>
      <c r="GB20" s="152"/>
      <c r="GC20" s="152"/>
      <c r="GD20" s="152"/>
      <c r="GE20" s="152"/>
      <c r="GF20" s="152"/>
      <c r="GG20" s="152"/>
      <c r="GH20" s="152"/>
      <c r="GI20" s="152"/>
      <c r="GJ20" s="152"/>
      <c r="GK20" s="152"/>
      <c r="GL20" s="152"/>
      <c r="GM20" s="152"/>
      <c r="GN20" s="152"/>
      <c r="GO20" s="152"/>
      <c r="GP20" s="152"/>
      <c r="GQ20" s="152"/>
      <c r="GR20" s="152"/>
      <c r="GS20" s="152"/>
      <c r="GT20" s="152"/>
      <c r="GU20" s="152"/>
      <c r="GV20" s="152"/>
      <c r="GW20" s="152"/>
      <c r="GX20" s="152"/>
      <c r="GY20" s="152"/>
      <c r="GZ20" s="152"/>
      <c r="HA20" s="152"/>
      <c r="HB20" s="152"/>
      <c r="HC20" s="152"/>
      <c r="HD20" s="152"/>
      <c r="HE20" s="152"/>
      <c r="HF20" s="152"/>
      <c r="HG20" s="152"/>
      <c r="HH20" s="152"/>
      <c r="HI20" s="152"/>
      <c r="HJ20" s="152"/>
      <c r="HK20" s="152"/>
      <c r="HL20" s="152"/>
      <c r="HM20" s="152"/>
      <c r="HN20" s="152"/>
      <c r="HO20" s="152"/>
      <c r="HP20" s="152"/>
      <c r="HQ20" s="152"/>
      <c r="HR20" s="152"/>
      <c r="HS20" s="152"/>
      <c r="HT20" s="152"/>
      <c r="HU20" s="152"/>
      <c r="HV20" s="152"/>
      <c r="HW20" s="152"/>
      <c r="HX20" s="152"/>
      <c r="HY20" s="152"/>
      <c r="HZ20" s="152"/>
      <c r="IA20" s="152"/>
      <c r="IB20" s="152"/>
      <c r="IC20" s="152"/>
      <c r="ID20" s="152"/>
      <c r="IE20" s="152"/>
      <c r="IF20" s="152"/>
      <c r="IG20" s="152"/>
      <c r="IH20" s="152"/>
      <c r="II20" s="152"/>
      <c r="IJ20" s="152"/>
      <c r="IK20" s="152"/>
      <c r="IL20" s="152"/>
      <c r="IM20" s="152"/>
      <c r="IN20" s="152"/>
      <c r="IO20" s="152"/>
      <c r="IP20" s="152"/>
      <c r="IQ20" s="152"/>
      <c r="IR20" s="152"/>
      <c r="IS20" s="152"/>
      <c r="IT20" s="152"/>
      <c r="IU20" s="152"/>
      <c r="IV20" s="152"/>
      <c r="IW20" s="152"/>
      <c r="IX20" s="152"/>
      <c r="IY20" s="152"/>
      <c r="IZ20" s="152"/>
      <c r="JA20" s="152"/>
      <c r="JB20" s="152"/>
      <c r="JC20" s="152"/>
      <c r="JD20" s="152"/>
      <c r="JE20" s="152"/>
      <c r="JF20" s="152"/>
      <c r="JG20" s="152"/>
      <c r="JH20" s="152"/>
      <c r="JI20" s="152"/>
      <c r="JJ20" s="152"/>
      <c r="JK20" s="152"/>
      <c r="JL20" s="152"/>
      <c r="JM20" s="152"/>
      <c r="JN20" s="152"/>
      <c r="JO20" s="152"/>
      <c r="JP20" s="152"/>
      <c r="JQ20" s="152"/>
      <c r="JR20" s="152"/>
      <c r="JS20" s="152"/>
      <c r="JT20" s="152"/>
      <c r="JU20" s="152"/>
      <c r="JV20" s="152"/>
      <c r="JW20" s="152"/>
      <c r="JX20" s="152"/>
      <c r="JY20" s="152"/>
      <c r="JZ20" s="152"/>
      <c r="KA20" s="152"/>
      <c r="KB20" s="152"/>
      <c r="KC20" s="152"/>
      <c r="KD20" s="152"/>
      <c r="KE20" s="152"/>
      <c r="KF20" s="152"/>
      <c r="KG20" s="152"/>
      <c r="KH20" s="152"/>
      <c r="KI20" s="152"/>
      <c r="KJ20" s="152"/>
      <c r="KK20" s="152"/>
      <c r="KL20" s="152"/>
      <c r="KM20" s="152"/>
      <c r="KN20" s="152"/>
      <c r="KO20" s="152"/>
      <c r="KP20" s="152"/>
      <c r="KQ20" s="152"/>
      <c r="KR20" s="152"/>
      <c r="KS20" s="152"/>
      <c r="KT20" s="152"/>
      <c r="KU20" s="152"/>
      <c r="KV20" s="152"/>
      <c r="KW20" s="152"/>
      <c r="KX20" s="152"/>
      <c r="KY20" s="152"/>
      <c r="KZ20" s="152"/>
      <c r="LA20" s="152"/>
      <c r="LB20" s="152"/>
      <c r="LC20" s="152"/>
      <c r="LD20" s="152"/>
      <c r="LE20" s="152"/>
      <c r="LF20" s="152"/>
    </row>
    <row r="21" spans="1:318" ht="30">
      <c r="A21" s="96" t="s">
        <v>209</v>
      </c>
      <c r="B21" s="1">
        <f>B17+B20*D16</f>
        <v>1123.8356164383561</v>
      </c>
      <c r="O21" s="139"/>
      <c r="Q21" s="140"/>
      <c r="R21" s="139"/>
      <c r="S21" s="152"/>
      <c r="T21" s="152"/>
      <c r="U21" s="152"/>
      <c r="V21" s="152"/>
      <c r="W21" s="152"/>
      <c r="X21" s="152"/>
      <c r="Y21" s="152"/>
      <c r="Z21" s="152"/>
      <c r="AA21" s="152"/>
      <c r="AB21" s="152"/>
      <c r="AC21" s="152"/>
      <c r="AD21" s="152"/>
      <c r="AE21" s="152"/>
      <c r="AF21" s="152"/>
      <c r="AG21" s="152"/>
      <c r="AH21" s="152"/>
      <c r="AI21" s="152"/>
      <c r="AJ21" s="152"/>
      <c r="AK21" s="152"/>
      <c r="AL21" s="152"/>
      <c r="AM21" s="152"/>
      <c r="AN21" s="152"/>
      <c r="AO21" s="152"/>
      <c r="AP21" s="152"/>
      <c r="AQ21" s="187"/>
      <c r="AR21" s="152" t="e">
        <f t="shared" si="11"/>
        <v>#DIV/0!</v>
      </c>
      <c r="AW21" s="152"/>
      <c r="AX21" s="152"/>
      <c r="AY21" s="152"/>
      <c r="AZ21" s="152"/>
      <c r="BA21" s="152"/>
      <c r="BB21" s="152"/>
      <c r="BC21" s="152"/>
      <c r="BD21" s="152"/>
      <c r="BE21" s="152"/>
      <c r="BF21" s="152"/>
      <c r="BG21" s="152"/>
      <c r="BH21" s="152"/>
      <c r="BI21" s="152"/>
      <c r="BJ21" s="152"/>
      <c r="BK21" s="152"/>
      <c r="BL21" s="152"/>
      <c r="BM21" s="152"/>
      <c r="BN21" s="152"/>
      <c r="BO21" s="152"/>
      <c r="BP21" s="152"/>
      <c r="BQ21" s="152"/>
      <c r="BR21" s="152"/>
      <c r="BS21" s="152"/>
      <c r="BT21" s="152"/>
      <c r="BU21" s="152"/>
      <c r="BV21" s="152"/>
      <c r="BW21" s="152"/>
      <c r="BX21" s="152"/>
      <c r="BY21" s="152"/>
      <c r="BZ21" s="152"/>
      <c r="CA21" s="152"/>
      <c r="CB21" s="152"/>
      <c r="CC21" s="152"/>
      <c r="CD21" s="152"/>
      <c r="CE21" s="152"/>
      <c r="CF21" s="152"/>
      <c r="CG21" s="152"/>
      <c r="CH21" s="152"/>
      <c r="CI21" s="152"/>
      <c r="CJ21" s="152"/>
      <c r="CK21" s="152"/>
      <c r="CL21" s="152"/>
      <c r="CM21" s="152"/>
      <c r="CN21" s="152"/>
      <c r="CO21" s="152"/>
      <c r="CP21" s="152"/>
      <c r="CQ21" s="152"/>
      <c r="CR21" s="152"/>
      <c r="CS21" s="152"/>
      <c r="CT21" s="152"/>
      <c r="CU21" s="152"/>
      <c r="CV21" s="152"/>
      <c r="CW21" s="152"/>
      <c r="CX21" s="152"/>
      <c r="CY21" s="152"/>
      <c r="CZ21" s="152"/>
      <c r="DA21" s="152"/>
      <c r="DB21" s="152"/>
      <c r="DC21" s="152"/>
      <c r="DD21" s="152"/>
      <c r="DE21" s="152"/>
      <c r="DF21" s="152"/>
      <c r="DG21" s="152"/>
      <c r="DH21" s="152"/>
      <c r="DI21" s="152"/>
      <c r="DJ21" s="152"/>
      <c r="DK21" s="152"/>
      <c r="DL21" s="152"/>
      <c r="DM21" s="152"/>
      <c r="DN21" s="152"/>
      <c r="DO21" s="152"/>
      <c r="DP21" s="152"/>
      <c r="DQ21" s="152"/>
      <c r="DR21" s="152"/>
      <c r="DS21" s="152"/>
      <c r="DT21" s="152"/>
      <c r="DU21" s="152"/>
      <c r="DV21" s="152"/>
      <c r="DW21" s="152"/>
      <c r="DX21" s="152"/>
      <c r="DY21" s="152"/>
      <c r="DZ21" s="152"/>
      <c r="EA21" s="152"/>
      <c r="EB21" s="152"/>
      <c r="EC21" s="152"/>
      <c r="ED21" s="152"/>
      <c r="EE21" s="152"/>
      <c r="EF21" s="152"/>
      <c r="EG21" s="152"/>
      <c r="EH21" s="152"/>
      <c r="EI21" s="152"/>
      <c r="EJ21" s="152"/>
      <c r="EK21" s="152"/>
      <c r="EL21" s="152"/>
      <c r="EM21" s="152"/>
      <c r="EN21" s="152"/>
      <c r="EO21" s="152"/>
      <c r="EP21" s="152"/>
      <c r="EQ21" s="152"/>
      <c r="ER21" s="152"/>
      <c r="ES21" s="152"/>
      <c r="ET21" s="152"/>
      <c r="EU21" s="152"/>
      <c r="EV21" s="152"/>
      <c r="EW21" s="152"/>
      <c r="EX21" s="152"/>
      <c r="EY21" s="152"/>
      <c r="EZ21" s="152"/>
      <c r="FA21" s="152"/>
      <c r="FB21" s="152"/>
      <c r="FC21" s="152"/>
      <c r="FD21" s="152"/>
      <c r="FE21" s="152"/>
      <c r="FF21" s="152"/>
      <c r="FG21" s="152"/>
      <c r="FH21" s="152"/>
      <c r="FI21" s="152"/>
      <c r="FJ21" s="152"/>
      <c r="FK21" s="152"/>
      <c r="FL21" s="152"/>
      <c r="FM21" s="152"/>
      <c r="FN21" s="152"/>
      <c r="FO21" s="152"/>
      <c r="FP21" s="152"/>
      <c r="FQ21" s="152"/>
      <c r="FR21" s="152"/>
      <c r="FS21" s="152"/>
      <c r="FT21" s="152"/>
      <c r="FU21" s="152"/>
      <c r="FV21" s="152"/>
      <c r="FW21" s="152"/>
      <c r="FX21" s="152"/>
      <c r="FY21" s="152"/>
      <c r="FZ21" s="152"/>
      <c r="GA21" s="152"/>
      <c r="GB21" s="152"/>
      <c r="GC21" s="152"/>
      <c r="GD21" s="152"/>
      <c r="GE21" s="152"/>
      <c r="GF21" s="152"/>
      <c r="GG21" s="152"/>
      <c r="GH21" s="152"/>
      <c r="GI21" s="152"/>
      <c r="GJ21" s="152"/>
      <c r="GK21" s="152"/>
      <c r="GL21" s="152"/>
      <c r="GM21" s="152"/>
      <c r="GN21" s="152"/>
      <c r="GO21" s="152"/>
      <c r="GP21" s="152"/>
      <c r="GQ21" s="152"/>
      <c r="GR21" s="152"/>
      <c r="GS21" s="152"/>
      <c r="GT21" s="152"/>
      <c r="GU21" s="152"/>
      <c r="GV21" s="152"/>
      <c r="GW21" s="152"/>
      <c r="GX21" s="152"/>
      <c r="GY21" s="152"/>
      <c r="GZ21" s="152"/>
      <c r="HA21" s="152"/>
      <c r="HB21" s="152"/>
      <c r="HC21" s="152"/>
      <c r="HD21" s="152"/>
      <c r="HE21" s="152"/>
      <c r="HF21" s="152"/>
      <c r="HG21" s="152"/>
      <c r="HH21" s="152"/>
      <c r="HI21" s="152"/>
      <c r="HJ21" s="152"/>
      <c r="HK21" s="152"/>
      <c r="HL21" s="152"/>
      <c r="HM21" s="152"/>
      <c r="HN21" s="152"/>
      <c r="HO21" s="152"/>
      <c r="HP21" s="152"/>
      <c r="HQ21" s="152"/>
      <c r="HR21" s="152"/>
      <c r="HS21" s="152"/>
      <c r="HT21" s="152"/>
      <c r="HU21" s="152"/>
      <c r="HV21" s="152"/>
      <c r="HW21" s="152"/>
      <c r="HX21" s="152"/>
      <c r="HY21" s="152"/>
      <c r="HZ21" s="152"/>
      <c r="IA21" s="152"/>
      <c r="IB21" s="152"/>
      <c r="IC21" s="152"/>
      <c r="ID21" s="152"/>
      <c r="IE21" s="152"/>
      <c r="IF21" s="152"/>
      <c r="IG21" s="152"/>
      <c r="IH21" s="152"/>
      <c r="II21" s="152"/>
      <c r="IJ21" s="152"/>
      <c r="IK21" s="152"/>
      <c r="IL21" s="152"/>
      <c r="IM21" s="152"/>
      <c r="IN21" s="152"/>
      <c r="IO21" s="152"/>
      <c r="IP21" s="152"/>
      <c r="IQ21" s="152"/>
      <c r="IR21" s="152"/>
      <c r="IS21" s="152"/>
      <c r="IT21" s="152"/>
      <c r="IU21" s="152"/>
      <c r="IV21" s="152"/>
      <c r="IW21" s="152"/>
      <c r="IX21" s="152"/>
      <c r="IY21" s="152"/>
      <c r="IZ21" s="152"/>
      <c r="JA21" s="152"/>
      <c r="JB21" s="152"/>
      <c r="JC21" s="152"/>
      <c r="JD21" s="152"/>
      <c r="JE21" s="152"/>
      <c r="JF21" s="152"/>
      <c r="JG21" s="152"/>
      <c r="JH21" s="152"/>
      <c r="JI21" s="152"/>
      <c r="JJ21" s="152"/>
      <c r="JK21" s="152"/>
      <c r="JL21" s="152"/>
      <c r="JM21" s="152"/>
      <c r="JN21" s="152"/>
      <c r="JO21" s="152"/>
      <c r="JP21" s="152"/>
      <c r="JQ21" s="152"/>
      <c r="JR21" s="152"/>
      <c r="JS21" s="152"/>
      <c r="JT21" s="152"/>
      <c r="JU21" s="152"/>
      <c r="JV21" s="152"/>
      <c r="JW21" s="152"/>
      <c r="JX21" s="152"/>
      <c r="JY21" s="152"/>
      <c r="JZ21" s="152"/>
      <c r="KA21" s="152"/>
      <c r="KB21" s="152"/>
      <c r="KC21" s="152"/>
      <c r="KD21" s="152"/>
      <c r="KE21" s="152"/>
      <c r="KF21" s="152"/>
      <c r="KG21" s="152"/>
      <c r="KH21" s="152"/>
      <c r="KI21" s="152"/>
      <c r="KJ21" s="152"/>
      <c r="KK21" s="152"/>
      <c r="KL21" s="152"/>
      <c r="KM21" s="152"/>
      <c r="KN21" s="152"/>
      <c r="KO21" s="152"/>
      <c r="KP21" s="152"/>
      <c r="KQ21" s="152"/>
      <c r="KR21" s="152"/>
      <c r="KS21" s="152"/>
      <c r="KT21" s="152"/>
      <c r="KU21" s="152"/>
      <c r="KV21" s="152"/>
      <c r="KW21" s="152"/>
      <c r="KX21" s="152"/>
      <c r="KY21" s="152"/>
      <c r="KZ21" s="152"/>
      <c r="LA21" s="152"/>
      <c r="LB21" s="152"/>
      <c r="LC21" s="152"/>
      <c r="LD21" s="152"/>
      <c r="LE21" s="152"/>
      <c r="LF21" s="152"/>
    </row>
    <row r="22" spans="1:318" ht="30">
      <c r="A22" s="96" t="s">
        <v>210</v>
      </c>
      <c r="B22" s="155">
        <f>B21/B16</f>
        <v>0.7</v>
      </c>
      <c r="M22" s="152"/>
      <c r="O22" s="200" t="s">
        <v>211</v>
      </c>
      <c r="Q22" s="140"/>
      <c r="R22" s="139"/>
      <c r="S22" s="188">
        <f>$P$6*$A$6</f>
        <v>2400</v>
      </c>
      <c r="T22" s="188">
        <f>S22*(1+$W$6)</f>
        <v>2472</v>
      </c>
      <c r="U22" s="188">
        <f t="shared" ref="U22:AJ23" si="12">T22*(1+$W$6)</f>
        <v>2546.16</v>
      </c>
      <c r="V22" s="188">
        <f t="shared" si="12"/>
        <v>2622.5448000000001</v>
      </c>
      <c r="W22" s="188">
        <f t="shared" si="12"/>
        <v>2701.2211440000001</v>
      </c>
      <c r="X22" s="188">
        <f t="shared" si="12"/>
        <v>2782.2577783199999</v>
      </c>
      <c r="Y22" s="188">
        <f t="shared" si="12"/>
        <v>2865.7255116696001</v>
      </c>
      <c r="Z22" s="188">
        <f t="shared" si="12"/>
        <v>2951.697277019688</v>
      </c>
      <c r="AA22" s="188">
        <f t="shared" si="12"/>
        <v>3040.2481953302786</v>
      </c>
      <c r="AB22" s="188">
        <f t="shared" si="12"/>
        <v>3131.4556411901872</v>
      </c>
      <c r="AC22" s="188">
        <f t="shared" si="12"/>
        <v>3225.399310425893</v>
      </c>
      <c r="AD22" s="188">
        <f t="shared" si="12"/>
        <v>3322.1612897386699</v>
      </c>
      <c r="AE22" s="188">
        <f t="shared" si="12"/>
        <v>3421.8261284308301</v>
      </c>
      <c r="AF22" s="188">
        <f t="shared" si="12"/>
        <v>3524.4809122837551</v>
      </c>
      <c r="AG22" s="188">
        <f t="shared" si="12"/>
        <v>3630.2153396522676</v>
      </c>
      <c r="AH22" s="188">
        <f t="shared" si="12"/>
        <v>3739.1217998418356</v>
      </c>
      <c r="AI22" s="188">
        <f t="shared" si="12"/>
        <v>3851.2954538370909</v>
      </c>
      <c r="AJ22" s="188">
        <f t="shared" si="12"/>
        <v>3966.8343174522038</v>
      </c>
      <c r="AK22" s="188">
        <f t="shared" ref="AK22:AQ23" si="13">AJ22*(1+$W$6)</f>
        <v>4085.8393469757698</v>
      </c>
      <c r="AL22" s="188">
        <f t="shared" si="13"/>
        <v>4208.4145273850427</v>
      </c>
      <c r="AM22" s="188">
        <f t="shared" si="13"/>
        <v>4334.6669632065941</v>
      </c>
      <c r="AN22" s="188">
        <f t="shared" si="13"/>
        <v>4464.706972102792</v>
      </c>
      <c r="AO22" s="188">
        <f t="shared" si="13"/>
        <v>4598.6481812658758</v>
      </c>
      <c r="AP22" s="188">
        <f t="shared" si="13"/>
        <v>4736.6076267038525</v>
      </c>
      <c r="AQ22" s="189">
        <f t="shared" si="13"/>
        <v>4878.705855504968</v>
      </c>
      <c r="AR22" s="152">
        <f t="shared" si="11"/>
        <v>3500.0893748934882</v>
      </c>
      <c r="AW22" s="152"/>
      <c r="AX22" s="152"/>
      <c r="AY22" s="152"/>
      <c r="AZ22" s="152"/>
      <c r="BA22" s="152"/>
      <c r="BB22" s="152"/>
      <c r="BC22" s="152"/>
      <c r="BD22" s="152"/>
      <c r="BE22" s="152"/>
      <c r="BF22" s="152"/>
      <c r="BG22" s="152"/>
      <c r="BH22" s="152"/>
      <c r="BI22" s="152"/>
      <c r="BJ22" s="152"/>
      <c r="BK22" s="152"/>
      <c r="BL22" s="152"/>
      <c r="BM22" s="152"/>
      <c r="BN22" s="152"/>
      <c r="BO22" s="152"/>
      <c r="BP22" s="152"/>
      <c r="BQ22" s="152"/>
      <c r="BR22" s="152"/>
      <c r="BS22" s="152"/>
      <c r="BT22" s="152"/>
      <c r="BU22" s="152"/>
      <c r="BV22" s="152"/>
      <c r="BW22" s="152"/>
      <c r="BX22" s="152"/>
      <c r="BY22" s="152"/>
      <c r="BZ22" s="152"/>
      <c r="CA22" s="152"/>
      <c r="CB22" s="152"/>
      <c r="CC22" s="152"/>
      <c r="CD22" s="152"/>
      <c r="CE22" s="152"/>
      <c r="CF22" s="152"/>
      <c r="CG22" s="152"/>
      <c r="CH22" s="152"/>
      <c r="CI22" s="152"/>
      <c r="CJ22" s="152"/>
      <c r="CK22" s="152"/>
      <c r="CL22" s="152"/>
      <c r="CM22" s="152"/>
      <c r="CN22" s="152"/>
      <c r="CO22" s="152"/>
      <c r="CP22" s="152"/>
      <c r="CQ22" s="152"/>
      <c r="CR22" s="152"/>
      <c r="CS22" s="152"/>
      <c r="CT22" s="152"/>
      <c r="CU22" s="152"/>
      <c r="CV22" s="152"/>
      <c r="CW22" s="152"/>
      <c r="CX22" s="152"/>
      <c r="CY22" s="152"/>
      <c r="CZ22" s="152"/>
      <c r="DA22" s="152"/>
      <c r="DB22" s="152"/>
      <c r="DC22" s="152"/>
      <c r="DD22" s="152"/>
      <c r="DE22" s="152"/>
      <c r="DF22" s="152"/>
      <c r="DG22" s="152"/>
      <c r="DH22" s="152"/>
      <c r="DI22" s="152"/>
      <c r="DJ22" s="152"/>
      <c r="DK22" s="152"/>
      <c r="DL22" s="152"/>
      <c r="DM22" s="152"/>
      <c r="DN22" s="152"/>
      <c r="DO22" s="152"/>
      <c r="DP22" s="152"/>
      <c r="DQ22" s="152"/>
      <c r="DR22" s="152"/>
      <c r="DS22" s="152"/>
      <c r="DT22" s="152"/>
      <c r="DU22" s="152"/>
      <c r="DV22" s="152"/>
      <c r="DW22" s="152"/>
      <c r="DX22" s="152"/>
      <c r="DY22" s="152"/>
      <c r="DZ22" s="152"/>
      <c r="EA22" s="152"/>
      <c r="EB22" s="152"/>
      <c r="EC22" s="152"/>
      <c r="ED22" s="152"/>
      <c r="EE22" s="152"/>
      <c r="EF22" s="152"/>
      <c r="EG22" s="152"/>
      <c r="EH22" s="152"/>
      <c r="EI22" s="152"/>
      <c r="EJ22" s="152"/>
      <c r="EK22" s="152"/>
      <c r="EL22" s="152"/>
      <c r="EM22" s="152"/>
      <c r="EN22" s="152"/>
      <c r="EO22" s="152"/>
      <c r="EP22" s="152"/>
      <c r="EQ22" s="152"/>
      <c r="ER22" s="152"/>
      <c r="ES22" s="152"/>
      <c r="ET22" s="152"/>
      <c r="EU22" s="152"/>
      <c r="EV22" s="152"/>
      <c r="EW22" s="152"/>
      <c r="EX22" s="152"/>
      <c r="EY22" s="152"/>
      <c r="EZ22" s="152"/>
      <c r="FA22" s="152"/>
      <c r="FB22" s="152"/>
      <c r="FC22" s="152"/>
      <c r="FD22" s="152"/>
      <c r="FE22" s="152"/>
      <c r="FF22" s="152"/>
      <c r="FG22" s="152"/>
      <c r="FH22" s="152"/>
      <c r="FI22" s="152"/>
      <c r="FJ22" s="152"/>
      <c r="FK22" s="152"/>
      <c r="FL22" s="152"/>
      <c r="FM22" s="152"/>
      <c r="FN22" s="152"/>
      <c r="FO22" s="152"/>
      <c r="FP22" s="152"/>
      <c r="FQ22" s="152"/>
      <c r="FR22" s="152"/>
      <c r="FS22" s="152"/>
      <c r="FT22" s="152"/>
      <c r="FU22" s="152"/>
      <c r="FV22" s="152"/>
      <c r="FW22" s="152"/>
      <c r="FX22" s="152"/>
      <c r="FY22" s="152"/>
      <c r="FZ22" s="152"/>
      <c r="GA22" s="152"/>
      <c r="GB22" s="152"/>
      <c r="GC22" s="152"/>
      <c r="GD22" s="152"/>
      <c r="GE22" s="152"/>
      <c r="GF22" s="152"/>
      <c r="GG22" s="152"/>
      <c r="GH22" s="152"/>
      <c r="GI22" s="152"/>
      <c r="GJ22" s="152"/>
      <c r="GK22" s="152"/>
      <c r="GL22" s="152"/>
      <c r="GM22" s="152"/>
      <c r="GN22" s="152"/>
      <c r="GO22" s="152"/>
      <c r="GP22" s="152"/>
      <c r="GQ22" s="152"/>
      <c r="GR22" s="152"/>
      <c r="GS22" s="152"/>
      <c r="GT22" s="152"/>
      <c r="GU22" s="152"/>
      <c r="GV22" s="152"/>
      <c r="GW22" s="152"/>
      <c r="GX22" s="152"/>
      <c r="GY22" s="152"/>
      <c r="GZ22" s="152"/>
      <c r="HA22" s="152"/>
      <c r="HB22" s="152"/>
      <c r="HC22" s="152"/>
      <c r="HD22" s="152"/>
      <c r="HE22" s="152"/>
      <c r="HF22" s="152"/>
      <c r="HG22" s="152"/>
      <c r="HH22" s="152"/>
      <c r="HI22" s="152"/>
      <c r="HJ22" s="152"/>
      <c r="HK22" s="152"/>
      <c r="HL22" s="152"/>
      <c r="HM22" s="152"/>
      <c r="HN22" s="152"/>
      <c r="HO22" s="152"/>
      <c r="HP22" s="152"/>
      <c r="HQ22" s="152"/>
      <c r="HR22" s="152"/>
      <c r="HS22" s="152"/>
      <c r="HT22" s="152"/>
      <c r="HU22" s="152"/>
      <c r="HV22" s="152"/>
      <c r="HW22" s="152"/>
      <c r="HX22" s="152"/>
      <c r="HY22" s="152"/>
      <c r="HZ22" s="152"/>
      <c r="IA22" s="152"/>
      <c r="IB22" s="152"/>
      <c r="IC22" s="152"/>
      <c r="ID22" s="152"/>
      <c r="IE22" s="152"/>
      <c r="IF22" s="152"/>
      <c r="IG22" s="152"/>
      <c r="IH22" s="152"/>
      <c r="II22" s="152"/>
      <c r="IJ22" s="152"/>
      <c r="IK22" s="152"/>
      <c r="IL22" s="152"/>
      <c r="IM22" s="152"/>
      <c r="IN22" s="152"/>
      <c r="IO22" s="152"/>
      <c r="IP22" s="152"/>
      <c r="IQ22" s="152"/>
      <c r="IR22" s="152"/>
      <c r="IS22" s="152"/>
      <c r="IT22" s="152"/>
      <c r="IU22" s="152"/>
      <c r="IV22" s="152"/>
      <c r="IW22" s="152"/>
      <c r="IX22" s="152"/>
      <c r="IY22" s="152"/>
      <c r="IZ22" s="152"/>
      <c r="JA22" s="152"/>
      <c r="JB22" s="152"/>
      <c r="JC22" s="152"/>
      <c r="JD22" s="152"/>
      <c r="JE22" s="152"/>
      <c r="JF22" s="152"/>
      <c r="JG22" s="152"/>
      <c r="JH22" s="152"/>
      <c r="JI22" s="152"/>
      <c r="JJ22" s="152"/>
      <c r="JK22" s="152"/>
      <c r="JL22" s="152"/>
      <c r="JM22" s="152"/>
      <c r="JN22" s="152"/>
      <c r="JO22" s="152"/>
      <c r="JP22" s="152"/>
      <c r="JQ22" s="152"/>
      <c r="JR22" s="152"/>
      <c r="JS22" s="152"/>
      <c r="JT22" s="152"/>
      <c r="JU22" s="152"/>
      <c r="JV22" s="152"/>
      <c r="JW22" s="152"/>
      <c r="JX22" s="152"/>
      <c r="JY22" s="152"/>
      <c r="JZ22" s="152"/>
      <c r="KA22" s="152"/>
      <c r="KB22" s="152"/>
      <c r="KC22" s="152"/>
      <c r="KD22" s="152"/>
      <c r="KE22" s="152"/>
      <c r="KF22" s="152"/>
      <c r="KG22" s="152"/>
      <c r="KH22" s="152"/>
      <c r="KI22" s="152"/>
      <c r="KJ22" s="152"/>
      <c r="KK22" s="152"/>
      <c r="KL22" s="152"/>
      <c r="KM22" s="152"/>
      <c r="KN22" s="152"/>
      <c r="KO22" s="152"/>
      <c r="KP22" s="152"/>
      <c r="KQ22" s="152"/>
      <c r="KR22" s="152"/>
      <c r="KS22" s="152"/>
      <c r="KT22" s="152"/>
      <c r="KU22" s="152"/>
      <c r="KV22" s="152"/>
      <c r="KW22" s="152"/>
      <c r="KX22" s="152"/>
      <c r="KY22" s="152"/>
      <c r="KZ22" s="152"/>
      <c r="LA22" s="152"/>
      <c r="LB22" s="152"/>
      <c r="LC22" s="152"/>
      <c r="LD22" s="152"/>
      <c r="LE22" s="152"/>
      <c r="LF22" s="152"/>
    </row>
    <row r="23" spans="1:318">
      <c r="O23" s="200" t="s">
        <v>212</v>
      </c>
      <c r="Q23" s="140"/>
      <c r="R23" s="139"/>
      <c r="S23" s="188">
        <f>$T$6</f>
        <v>800</v>
      </c>
      <c r="T23" s="188">
        <f>S23*(1+$W$6)</f>
        <v>824</v>
      </c>
      <c r="U23" s="188">
        <f t="shared" si="12"/>
        <v>848.72</v>
      </c>
      <c r="V23" s="188">
        <f t="shared" si="12"/>
        <v>874.1816</v>
      </c>
      <c r="W23" s="188">
        <f t="shared" si="12"/>
        <v>900.40704800000003</v>
      </c>
      <c r="X23" s="188">
        <f t="shared" si="12"/>
        <v>927.41925944000002</v>
      </c>
      <c r="Y23" s="188">
        <f t="shared" si="12"/>
        <v>955.24183722320004</v>
      </c>
      <c r="Z23" s="188">
        <f t="shared" si="12"/>
        <v>983.89909233989601</v>
      </c>
      <c r="AA23" s="188">
        <f t="shared" si="12"/>
        <v>1013.416065110093</v>
      </c>
      <c r="AB23" s="188">
        <f t="shared" si="12"/>
        <v>1043.8185470633957</v>
      </c>
      <c r="AC23" s="188">
        <f t="shared" si="12"/>
        <v>1075.1331034752977</v>
      </c>
      <c r="AD23" s="188">
        <f t="shared" si="12"/>
        <v>1107.3870965795568</v>
      </c>
      <c r="AE23" s="188">
        <f t="shared" si="12"/>
        <v>1140.6087094769434</v>
      </c>
      <c r="AF23" s="188">
        <f t="shared" si="12"/>
        <v>1174.8269707612517</v>
      </c>
      <c r="AG23" s="188">
        <f t="shared" si="12"/>
        <v>1210.0717798840892</v>
      </c>
      <c r="AH23" s="188">
        <f t="shared" si="12"/>
        <v>1246.3739332806119</v>
      </c>
      <c r="AI23" s="188">
        <f t="shared" si="12"/>
        <v>1283.7651512790303</v>
      </c>
      <c r="AJ23" s="188">
        <f t="shared" si="12"/>
        <v>1322.2781058174012</v>
      </c>
      <c r="AK23" s="188">
        <f t="shared" si="13"/>
        <v>1361.9464489919233</v>
      </c>
      <c r="AL23" s="188">
        <f t="shared" si="13"/>
        <v>1402.8048424616809</v>
      </c>
      <c r="AM23" s="188">
        <f t="shared" si="13"/>
        <v>1444.8889877355314</v>
      </c>
      <c r="AN23" s="188">
        <f t="shared" si="13"/>
        <v>1488.2356573675972</v>
      </c>
      <c r="AO23" s="188">
        <f t="shared" si="13"/>
        <v>1532.8827270886252</v>
      </c>
      <c r="AP23" s="188">
        <f t="shared" si="13"/>
        <v>1578.8692089012841</v>
      </c>
      <c r="AQ23" s="189">
        <f t="shared" si="13"/>
        <v>1626.2352851683227</v>
      </c>
      <c r="AR23" s="152">
        <f t="shared" si="11"/>
        <v>1166.6964582978292</v>
      </c>
      <c r="AW23" s="152"/>
      <c r="AX23" s="152"/>
      <c r="AY23" s="152"/>
      <c r="AZ23" s="152"/>
      <c r="BA23" s="152"/>
      <c r="BB23" s="152"/>
      <c r="BC23" s="152"/>
      <c r="BD23" s="152"/>
      <c r="BE23" s="152"/>
      <c r="BF23" s="152"/>
      <c r="BG23" s="152"/>
      <c r="BH23" s="152"/>
      <c r="BI23" s="152"/>
      <c r="BJ23" s="152"/>
      <c r="BK23" s="152"/>
      <c r="BL23" s="152"/>
      <c r="BM23" s="152"/>
      <c r="BN23" s="152"/>
      <c r="BO23" s="152"/>
      <c r="BP23" s="152"/>
      <c r="BQ23" s="152"/>
      <c r="BR23" s="152"/>
      <c r="BS23" s="152"/>
      <c r="BT23" s="152"/>
      <c r="BU23" s="152"/>
      <c r="BV23" s="152"/>
      <c r="BW23" s="152"/>
      <c r="BX23" s="152"/>
      <c r="BY23" s="152"/>
      <c r="BZ23" s="152"/>
      <c r="CA23" s="152"/>
      <c r="CB23" s="152"/>
      <c r="CC23" s="152"/>
      <c r="CD23" s="152"/>
      <c r="CE23" s="152"/>
      <c r="CF23" s="152"/>
      <c r="CG23" s="152"/>
      <c r="CH23" s="152"/>
      <c r="CI23" s="152"/>
      <c r="CJ23" s="152"/>
      <c r="CK23" s="152"/>
      <c r="CL23" s="152"/>
      <c r="CM23" s="152"/>
      <c r="CN23" s="152"/>
      <c r="CO23" s="152"/>
      <c r="CP23" s="152"/>
      <c r="CQ23" s="152"/>
      <c r="CR23" s="152"/>
      <c r="CS23" s="152"/>
      <c r="CT23" s="152"/>
      <c r="CU23" s="152"/>
      <c r="CV23" s="152"/>
      <c r="CW23" s="152"/>
      <c r="CX23" s="152"/>
      <c r="CY23" s="152"/>
      <c r="CZ23" s="152"/>
      <c r="DA23" s="152"/>
      <c r="DB23" s="152"/>
      <c r="DC23" s="152"/>
      <c r="DD23" s="152"/>
      <c r="DE23" s="152"/>
      <c r="DF23" s="152"/>
      <c r="DG23" s="152"/>
      <c r="DH23" s="152"/>
      <c r="DI23" s="152"/>
      <c r="DJ23" s="152"/>
      <c r="DK23" s="152"/>
      <c r="DL23" s="152"/>
      <c r="DM23" s="152"/>
      <c r="DN23" s="152"/>
      <c r="DO23" s="152"/>
      <c r="DP23" s="152"/>
      <c r="DQ23" s="152"/>
      <c r="DR23" s="152"/>
      <c r="DS23" s="152"/>
      <c r="DT23" s="152"/>
      <c r="DU23" s="152"/>
      <c r="DV23" s="152"/>
      <c r="DW23" s="152"/>
      <c r="DX23" s="152"/>
      <c r="DY23" s="152"/>
      <c r="DZ23" s="152"/>
      <c r="EA23" s="152"/>
      <c r="EB23" s="152"/>
      <c r="EC23" s="152"/>
      <c r="ED23" s="152"/>
      <c r="EE23" s="152"/>
      <c r="EF23" s="152"/>
      <c r="EG23" s="152"/>
      <c r="EH23" s="152"/>
      <c r="EI23" s="152"/>
      <c r="EJ23" s="152"/>
      <c r="EK23" s="152"/>
      <c r="EL23" s="152"/>
      <c r="EM23" s="152"/>
      <c r="EN23" s="152"/>
      <c r="EO23" s="152"/>
      <c r="EP23" s="152"/>
      <c r="EQ23" s="152"/>
      <c r="ER23" s="152"/>
      <c r="ES23" s="152"/>
      <c r="ET23" s="152"/>
      <c r="EU23" s="152"/>
      <c r="EV23" s="152"/>
      <c r="EW23" s="152"/>
      <c r="EX23" s="152"/>
      <c r="EY23" s="152"/>
      <c r="EZ23" s="152"/>
      <c r="FA23" s="152"/>
      <c r="FB23" s="152"/>
      <c r="FC23" s="152"/>
      <c r="FD23" s="152"/>
      <c r="FE23" s="152"/>
      <c r="FF23" s="152"/>
      <c r="FG23" s="152"/>
      <c r="FH23" s="152"/>
      <c r="FI23" s="152"/>
      <c r="FJ23" s="152"/>
      <c r="FK23" s="152"/>
      <c r="FL23" s="152"/>
      <c r="FM23" s="152"/>
      <c r="FN23" s="152"/>
      <c r="FO23" s="152"/>
      <c r="FP23" s="152"/>
      <c r="FQ23" s="152"/>
      <c r="FR23" s="152"/>
      <c r="FS23" s="152"/>
      <c r="FT23" s="152"/>
      <c r="FU23" s="152"/>
      <c r="FV23" s="152"/>
      <c r="FW23" s="152"/>
      <c r="FX23" s="152"/>
      <c r="FY23" s="152"/>
      <c r="FZ23" s="152"/>
      <c r="GA23" s="152"/>
      <c r="GB23" s="152"/>
      <c r="GC23" s="152"/>
      <c r="GD23" s="152"/>
      <c r="GE23" s="152"/>
      <c r="GF23" s="152"/>
      <c r="GG23" s="152"/>
      <c r="GH23" s="152"/>
      <c r="GI23" s="152"/>
      <c r="GJ23" s="152"/>
      <c r="GK23" s="152"/>
      <c r="GL23" s="152"/>
      <c r="GM23" s="152"/>
      <c r="GN23" s="152"/>
      <c r="GO23" s="152"/>
      <c r="GP23" s="152"/>
      <c r="GQ23" s="152"/>
      <c r="GR23" s="152"/>
      <c r="GS23" s="152"/>
      <c r="GT23" s="152"/>
      <c r="GU23" s="152"/>
      <c r="GV23" s="152"/>
      <c r="GW23" s="152"/>
      <c r="GX23" s="152"/>
      <c r="GY23" s="152"/>
      <c r="GZ23" s="152"/>
      <c r="HA23" s="152"/>
      <c r="HB23" s="152"/>
      <c r="HC23" s="152"/>
      <c r="HD23" s="152"/>
      <c r="HE23" s="152"/>
      <c r="HF23" s="152"/>
      <c r="HG23" s="152"/>
      <c r="HH23" s="152"/>
      <c r="HI23" s="152"/>
      <c r="HJ23" s="152"/>
      <c r="HK23" s="152"/>
      <c r="HL23" s="152"/>
      <c r="HM23" s="152"/>
      <c r="HN23" s="152"/>
      <c r="HO23" s="152"/>
      <c r="HP23" s="152"/>
      <c r="HQ23" s="152"/>
      <c r="HR23" s="152"/>
      <c r="HS23" s="152"/>
      <c r="HT23" s="152"/>
      <c r="HU23" s="152"/>
      <c r="HV23" s="152"/>
      <c r="HW23" s="152"/>
      <c r="HX23" s="152"/>
      <c r="HY23" s="152"/>
      <c r="HZ23" s="152"/>
      <c r="IA23" s="152"/>
      <c r="IB23" s="152"/>
      <c r="IC23" s="152"/>
      <c r="ID23" s="152"/>
      <c r="IE23" s="152"/>
      <c r="IF23" s="152"/>
      <c r="IG23" s="152"/>
      <c r="IH23" s="152"/>
      <c r="II23" s="152"/>
      <c r="IJ23" s="152"/>
      <c r="IK23" s="152"/>
      <c r="IL23" s="152"/>
      <c r="IM23" s="152"/>
      <c r="IN23" s="152"/>
      <c r="IO23" s="152"/>
      <c r="IP23" s="152"/>
      <c r="IQ23" s="152"/>
      <c r="IR23" s="152"/>
      <c r="IS23" s="152"/>
      <c r="IT23" s="152"/>
      <c r="IU23" s="152"/>
      <c r="IV23" s="152"/>
      <c r="IW23" s="152"/>
      <c r="IX23" s="152"/>
      <c r="IY23" s="152"/>
      <c r="IZ23" s="152"/>
      <c r="JA23" s="152"/>
      <c r="JB23" s="152"/>
      <c r="JC23" s="152"/>
      <c r="JD23" s="152"/>
      <c r="JE23" s="152"/>
      <c r="JF23" s="152"/>
      <c r="JG23" s="152"/>
      <c r="JH23" s="152"/>
      <c r="JI23" s="152"/>
      <c r="JJ23" s="152"/>
      <c r="JK23" s="152"/>
      <c r="JL23" s="152"/>
      <c r="JM23" s="152"/>
      <c r="JN23" s="152"/>
      <c r="JO23" s="152"/>
      <c r="JP23" s="152"/>
      <c r="JQ23" s="152"/>
      <c r="JR23" s="152"/>
      <c r="JS23" s="152"/>
      <c r="JT23" s="152"/>
      <c r="JU23" s="152"/>
      <c r="JV23" s="152"/>
      <c r="JW23" s="152"/>
      <c r="JX23" s="152"/>
      <c r="JY23" s="152"/>
      <c r="JZ23" s="152"/>
      <c r="KA23" s="152"/>
      <c r="KB23" s="152"/>
      <c r="KC23" s="152"/>
      <c r="KD23" s="152"/>
      <c r="KE23" s="152"/>
      <c r="KF23" s="152"/>
      <c r="KG23" s="152"/>
      <c r="KH23" s="152"/>
      <c r="KI23" s="152"/>
      <c r="KJ23" s="152"/>
      <c r="KK23" s="152"/>
      <c r="KL23" s="152"/>
      <c r="KM23" s="152"/>
      <c r="KN23" s="152"/>
      <c r="KO23" s="152"/>
      <c r="KP23" s="152"/>
      <c r="KQ23" s="152"/>
      <c r="KR23" s="152"/>
      <c r="KS23" s="152"/>
      <c r="KT23" s="152"/>
      <c r="KU23" s="152"/>
      <c r="KV23" s="152"/>
      <c r="KW23" s="152"/>
      <c r="KX23" s="152"/>
      <c r="KY23" s="152"/>
      <c r="KZ23" s="152"/>
      <c r="LA23" s="152"/>
      <c r="LB23" s="152"/>
      <c r="LC23" s="152"/>
      <c r="LD23" s="152"/>
      <c r="LE23" s="152"/>
      <c r="LF23" s="152"/>
    </row>
    <row r="24" spans="1:318">
      <c r="O24" s="200" t="s">
        <v>213</v>
      </c>
      <c r="Q24" s="140"/>
      <c r="R24" s="139"/>
      <c r="S24" s="188">
        <f>$Q$6</f>
        <v>0</v>
      </c>
      <c r="T24" s="188">
        <f t="shared" ref="T24:AQ24" si="14">$Q$6</f>
        <v>0</v>
      </c>
      <c r="U24" s="188">
        <f t="shared" si="14"/>
        <v>0</v>
      </c>
      <c r="V24" s="188">
        <f t="shared" si="14"/>
        <v>0</v>
      </c>
      <c r="W24" s="188">
        <f t="shared" si="14"/>
        <v>0</v>
      </c>
      <c r="X24" s="188">
        <f t="shared" si="14"/>
        <v>0</v>
      </c>
      <c r="Y24" s="188">
        <f t="shared" si="14"/>
        <v>0</v>
      </c>
      <c r="Z24" s="188">
        <f t="shared" si="14"/>
        <v>0</v>
      </c>
      <c r="AA24" s="188">
        <f t="shared" si="14"/>
        <v>0</v>
      </c>
      <c r="AB24" s="188">
        <f t="shared" si="14"/>
        <v>0</v>
      </c>
      <c r="AC24" s="188">
        <f t="shared" si="14"/>
        <v>0</v>
      </c>
      <c r="AD24" s="188">
        <f t="shared" si="14"/>
        <v>0</v>
      </c>
      <c r="AE24" s="188">
        <f t="shared" si="14"/>
        <v>0</v>
      </c>
      <c r="AF24" s="188">
        <f t="shared" si="14"/>
        <v>0</v>
      </c>
      <c r="AG24" s="188">
        <f t="shared" si="14"/>
        <v>0</v>
      </c>
      <c r="AH24" s="188">
        <f t="shared" si="14"/>
        <v>0</v>
      </c>
      <c r="AI24" s="188">
        <f t="shared" si="14"/>
        <v>0</v>
      </c>
      <c r="AJ24" s="188">
        <f t="shared" si="14"/>
        <v>0</v>
      </c>
      <c r="AK24" s="188">
        <f t="shared" si="14"/>
        <v>0</v>
      </c>
      <c r="AL24" s="188">
        <f t="shared" si="14"/>
        <v>0</v>
      </c>
      <c r="AM24" s="188">
        <f t="shared" si="14"/>
        <v>0</v>
      </c>
      <c r="AN24" s="188">
        <f t="shared" si="14"/>
        <v>0</v>
      </c>
      <c r="AO24" s="188">
        <f t="shared" si="14"/>
        <v>0</v>
      </c>
      <c r="AP24" s="188">
        <f t="shared" si="14"/>
        <v>0</v>
      </c>
      <c r="AQ24" s="189">
        <f t="shared" si="14"/>
        <v>0</v>
      </c>
      <c r="AR24" s="152">
        <f t="shared" si="11"/>
        <v>0</v>
      </c>
      <c r="AW24" s="152"/>
      <c r="AX24" s="152"/>
      <c r="AY24" s="152"/>
      <c r="AZ24" s="152"/>
      <c r="BA24" s="152"/>
      <c r="BB24" s="152"/>
      <c r="BC24" s="152"/>
      <c r="BD24" s="152"/>
      <c r="BE24" s="152"/>
      <c r="BF24" s="152"/>
      <c r="BG24" s="152"/>
      <c r="BH24" s="152"/>
      <c r="BI24" s="152"/>
      <c r="BJ24" s="152"/>
      <c r="BK24" s="152"/>
      <c r="BL24" s="152"/>
      <c r="BM24" s="152"/>
      <c r="BN24" s="152"/>
      <c r="BO24" s="152"/>
      <c r="BP24" s="152"/>
      <c r="BQ24" s="152"/>
      <c r="BR24" s="152"/>
      <c r="BS24" s="152"/>
      <c r="BT24" s="152"/>
      <c r="BU24" s="152"/>
      <c r="BV24" s="152"/>
      <c r="BW24" s="152"/>
      <c r="BX24" s="152"/>
      <c r="BY24" s="152"/>
      <c r="BZ24" s="152"/>
      <c r="CA24" s="152"/>
      <c r="CB24" s="152"/>
      <c r="CC24" s="152"/>
      <c r="CD24" s="152"/>
      <c r="CE24" s="152"/>
      <c r="CF24" s="152"/>
      <c r="CG24" s="152"/>
      <c r="CH24" s="152"/>
      <c r="CI24" s="152"/>
      <c r="CJ24" s="152"/>
      <c r="CK24" s="152"/>
      <c r="CL24" s="152"/>
      <c r="CM24" s="152"/>
      <c r="CN24" s="152"/>
      <c r="CO24" s="152"/>
      <c r="CP24" s="152"/>
      <c r="CQ24" s="152"/>
      <c r="CR24" s="152"/>
      <c r="CS24" s="152"/>
      <c r="CT24" s="152"/>
      <c r="CU24" s="152"/>
      <c r="CV24" s="152"/>
      <c r="CW24" s="152"/>
      <c r="CX24" s="152"/>
      <c r="CY24" s="152"/>
      <c r="CZ24" s="152"/>
      <c r="DA24" s="152"/>
      <c r="DB24" s="152"/>
      <c r="DC24" s="152"/>
      <c r="DD24" s="152"/>
      <c r="DE24" s="152"/>
      <c r="DF24" s="152"/>
      <c r="DG24" s="152"/>
      <c r="DH24" s="152"/>
      <c r="DI24" s="152"/>
      <c r="DJ24" s="152"/>
      <c r="DK24" s="152"/>
      <c r="DL24" s="152"/>
      <c r="DM24" s="152"/>
      <c r="DN24" s="152"/>
      <c r="DO24" s="152"/>
      <c r="DP24" s="152"/>
      <c r="DQ24" s="152"/>
      <c r="DR24" s="152"/>
      <c r="DS24" s="152"/>
      <c r="DT24" s="152"/>
      <c r="DU24" s="152"/>
      <c r="DV24" s="152"/>
      <c r="DW24" s="152"/>
      <c r="DX24" s="152"/>
      <c r="DY24" s="152"/>
      <c r="DZ24" s="152"/>
      <c r="EA24" s="152"/>
      <c r="EB24" s="152"/>
      <c r="EC24" s="152"/>
      <c r="ED24" s="152"/>
      <c r="EE24" s="152"/>
      <c r="EF24" s="152"/>
      <c r="EG24" s="152"/>
      <c r="EH24" s="152"/>
      <c r="EI24" s="152"/>
      <c r="EJ24" s="152"/>
      <c r="EK24" s="152"/>
      <c r="EL24" s="152"/>
      <c r="EM24" s="152"/>
      <c r="EN24" s="152"/>
      <c r="EO24" s="152"/>
      <c r="EP24" s="152"/>
      <c r="EQ24" s="152"/>
      <c r="ER24" s="152"/>
      <c r="ES24" s="152"/>
      <c r="ET24" s="152"/>
      <c r="EU24" s="152"/>
      <c r="EV24" s="152"/>
      <c r="EW24" s="152"/>
      <c r="EX24" s="152"/>
      <c r="EY24" s="152"/>
      <c r="EZ24" s="152"/>
      <c r="FA24" s="152"/>
      <c r="FB24" s="152"/>
      <c r="FC24" s="152"/>
      <c r="FD24" s="152"/>
      <c r="FE24" s="152"/>
      <c r="FF24" s="152"/>
      <c r="FG24" s="152"/>
      <c r="FH24" s="152"/>
      <c r="FI24" s="152"/>
      <c r="FJ24" s="152"/>
      <c r="FK24" s="152"/>
      <c r="FL24" s="152"/>
      <c r="FM24" s="152"/>
      <c r="FN24" s="152"/>
      <c r="FO24" s="152"/>
      <c r="FP24" s="152"/>
      <c r="FQ24" s="152"/>
      <c r="FR24" s="152"/>
      <c r="FS24" s="152"/>
      <c r="FT24" s="152"/>
      <c r="FU24" s="152"/>
      <c r="FV24" s="152"/>
      <c r="FW24" s="152"/>
      <c r="FX24" s="152"/>
      <c r="FY24" s="152"/>
      <c r="FZ24" s="152"/>
      <c r="GA24" s="152"/>
      <c r="GB24" s="152"/>
      <c r="GC24" s="152"/>
      <c r="GD24" s="152"/>
      <c r="GE24" s="152"/>
      <c r="GF24" s="152"/>
      <c r="GG24" s="152"/>
      <c r="GH24" s="152"/>
      <c r="GI24" s="152"/>
      <c r="GJ24" s="152"/>
      <c r="GK24" s="152"/>
      <c r="GL24" s="152"/>
      <c r="GM24" s="152"/>
      <c r="GN24" s="152"/>
      <c r="GO24" s="152"/>
      <c r="GP24" s="152"/>
      <c r="GQ24" s="152"/>
      <c r="GR24" s="152"/>
      <c r="GS24" s="152"/>
      <c r="GT24" s="152"/>
      <c r="GU24" s="152"/>
      <c r="GV24" s="152"/>
      <c r="GW24" s="152"/>
      <c r="GX24" s="152"/>
      <c r="GY24" s="152"/>
      <c r="GZ24" s="152"/>
      <c r="HA24" s="152"/>
      <c r="HB24" s="152"/>
      <c r="HC24" s="152"/>
      <c r="HD24" s="152"/>
      <c r="HE24" s="152"/>
      <c r="HF24" s="152"/>
      <c r="HG24" s="152"/>
      <c r="HH24" s="152"/>
      <c r="HI24" s="152"/>
      <c r="HJ24" s="152"/>
      <c r="HK24" s="152"/>
      <c r="HL24" s="152"/>
      <c r="HM24" s="152"/>
      <c r="HN24" s="152"/>
      <c r="HO24" s="152"/>
      <c r="HP24" s="152"/>
      <c r="HQ24" s="152"/>
      <c r="HR24" s="152"/>
      <c r="HS24" s="152"/>
      <c r="HT24" s="152"/>
      <c r="HU24" s="152"/>
      <c r="HV24" s="152"/>
      <c r="HW24" s="152"/>
      <c r="HX24" s="152"/>
      <c r="HY24" s="152"/>
      <c r="HZ24" s="152"/>
      <c r="IA24" s="152"/>
      <c r="IB24" s="152"/>
      <c r="IC24" s="152"/>
      <c r="ID24" s="152"/>
      <c r="IE24" s="152"/>
      <c r="IF24" s="152"/>
      <c r="IG24" s="152"/>
      <c r="IH24" s="152"/>
      <c r="II24" s="152"/>
      <c r="IJ24" s="152"/>
      <c r="IK24" s="152"/>
      <c r="IL24" s="152"/>
      <c r="IM24" s="152"/>
      <c r="IN24" s="152"/>
      <c r="IO24" s="152"/>
      <c r="IP24" s="152"/>
      <c r="IQ24" s="152"/>
      <c r="IR24" s="152"/>
      <c r="IS24" s="152"/>
      <c r="IT24" s="152"/>
      <c r="IU24" s="152"/>
      <c r="IV24" s="152"/>
      <c r="IW24" s="152"/>
      <c r="IX24" s="152"/>
      <c r="IY24" s="152"/>
      <c r="IZ24" s="152"/>
      <c r="JA24" s="152"/>
      <c r="JB24" s="152"/>
      <c r="JC24" s="152"/>
      <c r="JD24" s="152"/>
      <c r="JE24" s="152"/>
      <c r="JF24" s="152"/>
      <c r="JG24" s="152"/>
      <c r="JH24" s="152"/>
      <c r="JI24" s="152"/>
      <c r="JJ24" s="152"/>
      <c r="JK24" s="152"/>
      <c r="JL24" s="152"/>
      <c r="JM24" s="152"/>
      <c r="JN24" s="152"/>
      <c r="JO24" s="152"/>
      <c r="JP24" s="152"/>
      <c r="JQ24" s="152"/>
      <c r="JR24" s="152"/>
      <c r="JS24" s="152"/>
      <c r="JT24" s="152"/>
      <c r="JU24" s="152"/>
      <c r="JV24" s="152"/>
      <c r="JW24" s="152"/>
      <c r="JX24" s="152"/>
      <c r="JY24" s="152"/>
      <c r="JZ24" s="152"/>
      <c r="KA24" s="152"/>
      <c r="KB24" s="152"/>
      <c r="KC24" s="152"/>
      <c r="KD24" s="152"/>
      <c r="KE24" s="152"/>
      <c r="KF24" s="152"/>
      <c r="KG24" s="152"/>
      <c r="KH24" s="152"/>
      <c r="KI24" s="152"/>
      <c r="KJ24" s="152"/>
      <c r="KK24" s="152"/>
      <c r="KL24" s="152"/>
      <c r="KM24" s="152"/>
      <c r="KN24" s="152"/>
      <c r="KO24" s="152"/>
      <c r="KP24" s="152"/>
      <c r="KQ24" s="152"/>
      <c r="KR24" s="152"/>
      <c r="KS24" s="152"/>
      <c r="KT24" s="152"/>
      <c r="KU24" s="152"/>
      <c r="KV24" s="152"/>
      <c r="KW24" s="152"/>
      <c r="KX24" s="152"/>
      <c r="KY24" s="152"/>
      <c r="KZ24" s="152"/>
      <c r="LA24" s="152"/>
      <c r="LB24" s="152"/>
      <c r="LC24" s="152"/>
      <c r="LD24" s="152"/>
      <c r="LE24" s="152"/>
      <c r="LF24" s="152"/>
    </row>
    <row r="25" spans="1:318" ht="15.75" thickBot="1">
      <c r="O25" s="200" t="s">
        <v>214</v>
      </c>
      <c r="Q25" s="140"/>
      <c r="R25" s="139"/>
      <c r="S25" s="188">
        <f>$U$6</f>
        <v>2000</v>
      </c>
      <c r="T25" s="188">
        <f>S25*(1+$W$6)</f>
        <v>2060</v>
      </c>
      <c r="U25" s="188">
        <f t="shared" ref="U25:AQ25" si="15">T25*(1+$W$6)</f>
        <v>2121.8000000000002</v>
      </c>
      <c r="V25" s="188">
        <f t="shared" si="15"/>
        <v>2185.4540000000002</v>
      </c>
      <c r="W25" s="188">
        <f t="shared" si="15"/>
        <v>2251.0176200000001</v>
      </c>
      <c r="X25" s="188">
        <f t="shared" si="15"/>
        <v>2318.5481486000003</v>
      </c>
      <c r="Y25" s="188">
        <f t="shared" si="15"/>
        <v>2388.1045930580003</v>
      </c>
      <c r="Z25" s="188">
        <f t="shared" si="15"/>
        <v>2459.7477308497405</v>
      </c>
      <c r="AA25" s="188">
        <f t="shared" si="15"/>
        <v>2533.5401627752326</v>
      </c>
      <c r="AB25" s="188">
        <f t="shared" si="15"/>
        <v>2609.5463676584895</v>
      </c>
      <c r="AC25" s="188">
        <f t="shared" si="15"/>
        <v>2687.8327586882442</v>
      </c>
      <c r="AD25" s="188">
        <f t="shared" si="15"/>
        <v>2768.4677414488915</v>
      </c>
      <c r="AE25" s="188">
        <f t="shared" si="15"/>
        <v>2851.5217736923582</v>
      </c>
      <c r="AF25" s="188">
        <f t="shared" si="15"/>
        <v>2937.0674269031292</v>
      </c>
      <c r="AG25" s="188">
        <f t="shared" si="15"/>
        <v>3025.1794497102233</v>
      </c>
      <c r="AH25" s="188">
        <f t="shared" si="15"/>
        <v>3115.9348332015302</v>
      </c>
      <c r="AI25" s="188">
        <f t="shared" si="15"/>
        <v>3209.412878197576</v>
      </c>
      <c r="AJ25" s="188">
        <f t="shared" si="15"/>
        <v>3305.6952645435035</v>
      </c>
      <c r="AK25" s="188">
        <f t="shared" si="15"/>
        <v>3404.8661224798088</v>
      </c>
      <c r="AL25" s="188">
        <f t="shared" si="15"/>
        <v>3507.0121061542031</v>
      </c>
      <c r="AM25" s="188">
        <f t="shared" si="15"/>
        <v>3612.2224693388293</v>
      </c>
      <c r="AN25" s="188">
        <f t="shared" si="15"/>
        <v>3720.5891434189944</v>
      </c>
      <c r="AO25" s="188">
        <f t="shared" si="15"/>
        <v>3832.2068177215642</v>
      </c>
      <c r="AP25" s="188">
        <f t="shared" si="15"/>
        <v>3947.1730222532115</v>
      </c>
      <c r="AQ25" s="189">
        <f t="shared" si="15"/>
        <v>4065.588212920808</v>
      </c>
      <c r="AR25" s="152">
        <f t="shared" si="11"/>
        <v>2916.7411457445733</v>
      </c>
      <c r="AW25" s="154"/>
      <c r="AX25" s="154"/>
      <c r="AY25" s="154"/>
      <c r="AZ25" s="154"/>
      <c r="BA25" s="154"/>
      <c r="BB25" s="154"/>
      <c r="BC25" s="154"/>
      <c r="BD25" s="154"/>
      <c r="BE25" s="154"/>
      <c r="BF25" s="154"/>
      <c r="BG25" s="154"/>
      <c r="BH25" s="154"/>
      <c r="BI25" s="154"/>
      <c r="BJ25" s="154"/>
      <c r="BK25" s="154"/>
      <c r="BL25" s="154"/>
      <c r="BM25" s="154"/>
      <c r="BN25" s="154"/>
      <c r="BO25" s="154"/>
      <c r="BP25" s="154"/>
      <c r="BQ25" s="154"/>
      <c r="BR25" s="154"/>
      <c r="BS25" s="154"/>
      <c r="BT25" s="154"/>
      <c r="BU25" s="154"/>
      <c r="BV25" s="154"/>
      <c r="BW25" s="154"/>
      <c r="BX25" s="154"/>
      <c r="BY25" s="154"/>
      <c r="BZ25" s="154"/>
      <c r="CA25" s="154"/>
      <c r="CB25" s="154"/>
      <c r="CC25" s="154"/>
      <c r="CD25" s="154"/>
      <c r="CE25" s="154"/>
      <c r="CF25" s="154"/>
      <c r="CG25" s="154"/>
      <c r="CH25" s="154"/>
      <c r="CI25" s="154"/>
      <c r="CJ25" s="154"/>
      <c r="CK25" s="154"/>
      <c r="CL25" s="154"/>
      <c r="CM25" s="154"/>
      <c r="CN25" s="154"/>
      <c r="CO25" s="154"/>
      <c r="CP25" s="154"/>
      <c r="CQ25" s="154"/>
      <c r="CR25" s="154"/>
      <c r="CS25" s="154"/>
      <c r="CT25" s="154"/>
      <c r="CU25" s="154"/>
      <c r="CV25" s="154"/>
      <c r="CW25" s="154"/>
      <c r="CX25" s="154"/>
      <c r="CY25" s="154"/>
      <c r="CZ25" s="154"/>
      <c r="DA25" s="154"/>
      <c r="DB25" s="154"/>
      <c r="DC25" s="154"/>
      <c r="DD25" s="154"/>
      <c r="DE25" s="154"/>
      <c r="DF25" s="154"/>
      <c r="DG25" s="154"/>
      <c r="DH25" s="154"/>
      <c r="DI25" s="154"/>
      <c r="DJ25" s="154"/>
      <c r="DK25" s="154"/>
      <c r="DL25" s="154"/>
      <c r="DM25" s="154"/>
      <c r="DN25" s="154"/>
      <c r="DO25" s="154"/>
      <c r="DP25" s="154"/>
      <c r="DQ25" s="154"/>
      <c r="DR25" s="154"/>
      <c r="DS25" s="154"/>
      <c r="DT25" s="154"/>
      <c r="DU25" s="154"/>
      <c r="DV25" s="154"/>
      <c r="DW25" s="154"/>
      <c r="DX25" s="154"/>
      <c r="DY25" s="154"/>
      <c r="DZ25" s="154"/>
      <c r="EA25" s="154"/>
      <c r="EB25" s="154"/>
      <c r="EC25" s="154"/>
      <c r="ED25" s="154"/>
      <c r="EE25" s="154"/>
      <c r="EF25" s="154"/>
      <c r="EG25" s="154"/>
      <c r="EH25" s="154"/>
      <c r="EI25" s="154"/>
      <c r="EJ25" s="154"/>
      <c r="EK25" s="154"/>
      <c r="EL25" s="154"/>
      <c r="EM25" s="154"/>
      <c r="EN25" s="154"/>
      <c r="EO25" s="154"/>
      <c r="EP25" s="154"/>
      <c r="EQ25" s="154"/>
      <c r="ER25" s="154"/>
      <c r="ES25" s="154"/>
      <c r="ET25" s="154"/>
      <c r="EU25" s="154"/>
      <c r="EV25" s="154"/>
      <c r="EW25" s="154"/>
      <c r="EX25" s="154"/>
      <c r="EY25" s="154"/>
      <c r="EZ25" s="154"/>
      <c r="FA25" s="154"/>
      <c r="FB25" s="154"/>
      <c r="FC25" s="154"/>
      <c r="FD25" s="154"/>
      <c r="FE25" s="154"/>
      <c r="FF25" s="154"/>
      <c r="FG25" s="154"/>
      <c r="FH25" s="154"/>
      <c r="FI25" s="154"/>
      <c r="FJ25" s="154"/>
      <c r="FK25" s="154"/>
      <c r="FL25" s="154"/>
      <c r="FM25" s="154"/>
      <c r="FN25" s="154"/>
      <c r="FO25" s="154"/>
      <c r="FP25" s="154"/>
      <c r="FQ25" s="154"/>
      <c r="FR25" s="154"/>
      <c r="FS25" s="154"/>
      <c r="FT25" s="154"/>
      <c r="FU25" s="154"/>
      <c r="FV25" s="154"/>
      <c r="FW25" s="154"/>
      <c r="FX25" s="154"/>
      <c r="FY25" s="154"/>
      <c r="FZ25" s="154"/>
      <c r="GA25" s="154"/>
      <c r="GB25" s="154"/>
      <c r="GC25" s="154"/>
      <c r="GD25" s="154"/>
      <c r="GE25" s="154"/>
      <c r="GF25" s="154"/>
      <c r="GG25" s="154"/>
      <c r="GH25" s="154"/>
      <c r="GI25" s="154"/>
      <c r="GJ25" s="154"/>
      <c r="GK25" s="154"/>
      <c r="GL25" s="154"/>
      <c r="GM25" s="154"/>
      <c r="GN25" s="154"/>
      <c r="GO25" s="154"/>
      <c r="GP25" s="154"/>
      <c r="GQ25" s="154"/>
      <c r="GR25" s="154"/>
      <c r="GS25" s="154"/>
      <c r="GT25" s="154"/>
      <c r="GU25" s="154"/>
      <c r="GV25" s="154"/>
      <c r="GW25" s="154"/>
      <c r="GX25" s="154"/>
      <c r="GY25" s="154"/>
      <c r="GZ25" s="154"/>
      <c r="HA25" s="154"/>
      <c r="HB25" s="154"/>
      <c r="HC25" s="154"/>
      <c r="HD25" s="154"/>
      <c r="HE25" s="154"/>
      <c r="HF25" s="154"/>
      <c r="HG25" s="154"/>
      <c r="HH25" s="154"/>
      <c r="HI25" s="154"/>
      <c r="HJ25" s="154"/>
      <c r="HK25" s="154"/>
      <c r="HL25" s="154"/>
      <c r="HM25" s="154"/>
      <c r="HN25" s="154"/>
      <c r="HO25" s="154"/>
      <c r="HP25" s="154"/>
      <c r="HQ25" s="154"/>
      <c r="HR25" s="154"/>
      <c r="HS25" s="154"/>
      <c r="HT25" s="154"/>
      <c r="HU25" s="154"/>
      <c r="HV25" s="154"/>
      <c r="HW25" s="154"/>
      <c r="HX25" s="154"/>
      <c r="HY25" s="154"/>
      <c r="HZ25" s="154"/>
      <c r="IA25" s="154"/>
      <c r="IB25" s="154"/>
      <c r="IC25" s="154"/>
      <c r="ID25" s="154"/>
      <c r="IE25" s="154"/>
      <c r="IF25" s="154"/>
      <c r="IG25" s="154"/>
      <c r="IH25" s="154"/>
      <c r="II25" s="154"/>
      <c r="IJ25" s="154"/>
      <c r="IK25" s="154"/>
      <c r="IL25" s="154"/>
      <c r="IM25" s="154"/>
      <c r="IN25" s="154"/>
      <c r="IO25" s="154"/>
      <c r="IP25" s="154"/>
      <c r="IQ25" s="154"/>
      <c r="IR25" s="154"/>
      <c r="IS25" s="154"/>
      <c r="IT25" s="154"/>
      <c r="IU25" s="154"/>
      <c r="IV25" s="154"/>
      <c r="IW25" s="154"/>
      <c r="IX25" s="154"/>
      <c r="IY25" s="154"/>
      <c r="IZ25" s="154"/>
      <c r="JA25" s="154"/>
      <c r="JB25" s="154"/>
      <c r="JC25" s="154"/>
      <c r="JD25" s="154"/>
      <c r="JE25" s="154"/>
      <c r="JF25" s="154"/>
      <c r="JG25" s="154"/>
      <c r="JH25" s="154"/>
      <c r="JI25" s="154"/>
      <c r="JJ25" s="154"/>
      <c r="JK25" s="154"/>
      <c r="JL25" s="154"/>
      <c r="JM25" s="154"/>
      <c r="JN25" s="154"/>
      <c r="JO25" s="154"/>
      <c r="JP25" s="154"/>
      <c r="JQ25" s="154"/>
      <c r="JR25" s="154"/>
      <c r="JS25" s="154"/>
      <c r="JT25" s="154"/>
      <c r="JU25" s="154"/>
      <c r="JV25" s="154"/>
      <c r="JW25" s="154"/>
      <c r="JX25" s="154"/>
      <c r="JY25" s="154"/>
      <c r="JZ25" s="154"/>
      <c r="KA25" s="154"/>
      <c r="KB25" s="154"/>
      <c r="KC25" s="154"/>
      <c r="KD25" s="154"/>
      <c r="KE25" s="154"/>
      <c r="KF25" s="154"/>
      <c r="KG25" s="154"/>
      <c r="KH25" s="154"/>
      <c r="KI25" s="154"/>
      <c r="KJ25" s="154"/>
      <c r="KK25" s="154"/>
      <c r="KL25" s="154"/>
      <c r="KM25" s="154"/>
      <c r="KN25" s="154"/>
      <c r="KO25" s="154"/>
      <c r="KP25" s="154"/>
      <c r="KQ25" s="154"/>
      <c r="KR25" s="154"/>
      <c r="KS25" s="154"/>
      <c r="KT25" s="154"/>
      <c r="KU25" s="154"/>
      <c r="KV25" s="154"/>
      <c r="KW25" s="154"/>
      <c r="KX25" s="154"/>
      <c r="KY25" s="154"/>
      <c r="KZ25" s="154"/>
      <c r="LA25" s="154"/>
      <c r="LB25" s="154"/>
      <c r="LC25" s="154"/>
      <c r="LD25" s="154"/>
      <c r="LE25" s="154"/>
      <c r="LF25" s="154"/>
    </row>
    <row r="26" spans="1:318" ht="15.75" thickBot="1">
      <c r="O26" s="201" t="s">
        <v>215</v>
      </c>
      <c r="P26" s="42"/>
      <c r="Q26" s="43"/>
      <c r="R26" s="190"/>
      <c r="S26" s="171">
        <f>$V$6</f>
        <v>0</v>
      </c>
      <c r="T26" s="171">
        <f t="shared" ref="T26:AQ26" si="16">$V$6</f>
        <v>0</v>
      </c>
      <c r="U26" s="171">
        <f t="shared" si="16"/>
        <v>0</v>
      </c>
      <c r="V26" s="171">
        <f t="shared" si="16"/>
        <v>0</v>
      </c>
      <c r="W26" s="171">
        <f t="shared" si="16"/>
        <v>0</v>
      </c>
      <c r="X26" s="171">
        <f t="shared" si="16"/>
        <v>0</v>
      </c>
      <c r="Y26" s="171">
        <f t="shared" si="16"/>
        <v>0</v>
      </c>
      <c r="Z26" s="171">
        <f t="shared" si="16"/>
        <v>0</v>
      </c>
      <c r="AA26" s="171">
        <f t="shared" si="16"/>
        <v>0</v>
      </c>
      <c r="AB26" s="171">
        <f t="shared" si="16"/>
        <v>0</v>
      </c>
      <c r="AC26" s="171">
        <f t="shared" si="16"/>
        <v>0</v>
      </c>
      <c r="AD26" s="171">
        <f t="shared" si="16"/>
        <v>0</v>
      </c>
      <c r="AE26" s="171">
        <f t="shared" si="16"/>
        <v>0</v>
      </c>
      <c r="AF26" s="171">
        <f t="shared" si="16"/>
        <v>0</v>
      </c>
      <c r="AG26" s="171">
        <f t="shared" si="16"/>
        <v>0</v>
      </c>
      <c r="AH26" s="171">
        <f t="shared" si="16"/>
        <v>0</v>
      </c>
      <c r="AI26" s="171">
        <f t="shared" si="16"/>
        <v>0</v>
      </c>
      <c r="AJ26" s="171">
        <f t="shared" si="16"/>
        <v>0</v>
      </c>
      <c r="AK26" s="171">
        <f t="shared" si="16"/>
        <v>0</v>
      </c>
      <c r="AL26" s="171">
        <f t="shared" si="16"/>
        <v>0</v>
      </c>
      <c r="AM26" s="171">
        <f t="shared" si="16"/>
        <v>0</v>
      </c>
      <c r="AN26" s="171">
        <f t="shared" si="16"/>
        <v>0</v>
      </c>
      <c r="AO26" s="171">
        <f t="shared" si="16"/>
        <v>0</v>
      </c>
      <c r="AP26" s="171">
        <f t="shared" si="16"/>
        <v>0</v>
      </c>
      <c r="AQ26" s="191">
        <f t="shared" si="16"/>
        <v>0</v>
      </c>
      <c r="AR26" s="152">
        <f t="shared" si="11"/>
        <v>0</v>
      </c>
      <c r="AW26" s="152"/>
      <c r="AX26" s="152"/>
      <c r="AY26" s="152"/>
      <c r="AZ26" s="152"/>
      <c r="BA26" s="152"/>
      <c r="BB26" s="152"/>
      <c r="BC26" s="152"/>
      <c r="BD26" s="152"/>
      <c r="BE26" s="152"/>
      <c r="BF26" s="152"/>
      <c r="BG26" s="152"/>
      <c r="BH26" s="152"/>
      <c r="BI26" s="152"/>
      <c r="BJ26" s="152"/>
      <c r="BK26" s="152"/>
      <c r="BL26" s="152"/>
      <c r="BM26" s="152"/>
      <c r="BN26" s="152"/>
      <c r="BO26" s="152"/>
      <c r="BP26" s="152"/>
      <c r="BQ26" s="152"/>
      <c r="BR26" s="152"/>
      <c r="BS26" s="152"/>
      <c r="BT26" s="152"/>
      <c r="BU26" s="152"/>
      <c r="BV26" s="152"/>
      <c r="BW26" s="152"/>
      <c r="BX26" s="152"/>
      <c r="BY26" s="152"/>
      <c r="BZ26" s="152"/>
      <c r="CA26" s="152"/>
      <c r="CB26" s="152"/>
      <c r="CC26" s="152"/>
      <c r="CD26" s="152"/>
      <c r="CE26" s="152"/>
      <c r="CF26" s="152"/>
      <c r="CG26" s="152"/>
      <c r="CH26" s="152"/>
      <c r="CI26" s="152"/>
      <c r="CJ26" s="152"/>
      <c r="CK26" s="152"/>
      <c r="CL26" s="152"/>
      <c r="CM26" s="152"/>
      <c r="CN26" s="152"/>
      <c r="CO26" s="152"/>
      <c r="CP26" s="152"/>
      <c r="CQ26" s="152"/>
      <c r="CR26" s="152"/>
      <c r="CS26" s="152"/>
      <c r="CT26" s="152"/>
      <c r="CU26" s="152"/>
      <c r="CV26" s="152"/>
      <c r="CW26" s="152"/>
      <c r="CX26" s="152"/>
      <c r="CY26" s="152"/>
      <c r="CZ26" s="152"/>
      <c r="DA26" s="152"/>
      <c r="DB26" s="152"/>
      <c r="DC26" s="152"/>
      <c r="DD26" s="152"/>
      <c r="DE26" s="152"/>
      <c r="DF26" s="152"/>
      <c r="DG26" s="152"/>
      <c r="DH26" s="152"/>
      <c r="DI26" s="152"/>
      <c r="DJ26" s="152"/>
      <c r="DK26" s="152"/>
      <c r="DL26" s="152"/>
      <c r="DM26" s="152"/>
      <c r="DN26" s="152"/>
      <c r="DO26" s="152"/>
      <c r="DP26" s="152"/>
      <c r="DQ26" s="152"/>
      <c r="DR26" s="152"/>
      <c r="DS26" s="152"/>
      <c r="DT26" s="152"/>
      <c r="DU26" s="152"/>
      <c r="DV26" s="152"/>
      <c r="DW26" s="152"/>
      <c r="DX26" s="152"/>
      <c r="DY26" s="152"/>
      <c r="DZ26" s="152"/>
      <c r="EA26" s="152"/>
      <c r="EB26" s="152"/>
      <c r="EC26" s="152"/>
      <c r="ED26" s="152"/>
      <c r="EE26" s="152"/>
      <c r="EF26" s="152"/>
      <c r="EG26" s="152"/>
      <c r="EH26" s="152"/>
      <c r="EI26" s="152"/>
      <c r="EJ26" s="152"/>
      <c r="EK26" s="152"/>
      <c r="EL26" s="152"/>
      <c r="EM26" s="152"/>
      <c r="EN26" s="152"/>
      <c r="EO26" s="152"/>
      <c r="EP26" s="152"/>
      <c r="EQ26" s="152"/>
      <c r="ER26" s="152"/>
      <c r="ES26" s="152"/>
      <c r="ET26" s="152"/>
      <c r="EU26" s="152"/>
      <c r="EV26" s="152"/>
      <c r="EW26" s="152"/>
      <c r="EX26" s="152"/>
      <c r="EY26" s="152"/>
      <c r="EZ26" s="152"/>
      <c r="FA26" s="152"/>
      <c r="FB26" s="152"/>
      <c r="FC26" s="152"/>
      <c r="FD26" s="152"/>
      <c r="FE26" s="152"/>
      <c r="FF26" s="152"/>
      <c r="FG26" s="152"/>
      <c r="FH26" s="152"/>
      <c r="FI26" s="152"/>
      <c r="FJ26" s="152"/>
      <c r="FK26" s="152"/>
      <c r="FL26" s="152"/>
      <c r="FM26" s="152"/>
      <c r="FN26" s="152"/>
      <c r="FO26" s="152"/>
      <c r="FP26" s="152"/>
      <c r="FQ26" s="152"/>
      <c r="FR26" s="152"/>
      <c r="FS26" s="152"/>
      <c r="FT26" s="152"/>
      <c r="FU26" s="152"/>
      <c r="FV26" s="152"/>
      <c r="FW26" s="152"/>
      <c r="FX26" s="152"/>
      <c r="FY26" s="152"/>
      <c r="FZ26" s="152"/>
      <c r="GA26" s="152"/>
      <c r="GB26" s="152"/>
      <c r="GC26" s="152"/>
      <c r="GD26" s="152"/>
      <c r="GE26" s="152"/>
      <c r="GF26" s="152"/>
      <c r="GG26" s="152"/>
      <c r="GH26" s="152"/>
      <c r="GI26" s="152"/>
      <c r="GJ26" s="152"/>
      <c r="GK26" s="152"/>
      <c r="GL26" s="152"/>
      <c r="GM26" s="152"/>
      <c r="GN26" s="152"/>
      <c r="GO26" s="152"/>
      <c r="GP26" s="152"/>
      <c r="GQ26" s="152"/>
      <c r="GR26" s="152"/>
      <c r="GS26" s="152"/>
      <c r="GT26" s="152"/>
      <c r="GU26" s="152"/>
      <c r="GV26" s="152"/>
      <c r="GW26" s="152"/>
      <c r="GX26" s="152"/>
      <c r="GY26" s="152"/>
      <c r="GZ26" s="152"/>
      <c r="HA26" s="152"/>
      <c r="HB26" s="152"/>
      <c r="HC26" s="152"/>
      <c r="HD26" s="152"/>
      <c r="HE26" s="152"/>
      <c r="HF26" s="152"/>
      <c r="HG26" s="152"/>
      <c r="HH26" s="152"/>
      <c r="HI26" s="152"/>
      <c r="HJ26" s="152"/>
      <c r="HK26" s="152"/>
      <c r="HL26" s="152"/>
      <c r="HM26" s="152"/>
      <c r="HN26" s="152"/>
      <c r="HO26" s="152"/>
      <c r="HP26" s="152"/>
      <c r="HQ26" s="152"/>
      <c r="HR26" s="152"/>
      <c r="HS26" s="152"/>
      <c r="HT26" s="152"/>
      <c r="HU26" s="152"/>
      <c r="HV26" s="152"/>
      <c r="HW26" s="152"/>
      <c r="HX26" s="152"/>
      <c r="HY26" s="152"/>
      <c r="HZ26" s="152"/>
      <c r="IA26" s="152"/>
      <c r="IB26" s="152"/>
      <c r="IC26" s="152"/>
      <c r="ID26" s="152"/>
      <c r="IE26" s="152"/>
      <c r="IF26" s="152"/>
      <c r="IG26" s="152"/>
      <c r="IH26" s="152"/>
      <c r="II26" s="152"/>
      <c r="IJ26" s="152"/>
      <c r="IK26" s="152"/>
      <c r="IL26" s="152"/>
      <c r="IM26" s="152"/>
      <c r="IN26" s="152"/>
      <c r="IO26" s="152"/>
      <c r="IP26" s="152"/>
      <c r="IQ26" s="152"/>
      <c r="IR26" s="152"/>
      <c r="IS26" s="152"/>
      <c r="IT26" s="152"/>
      <c r="IU26" s="152"/>
      <c r="IV26" s="152"/>
      <c r="IW26" s="152"/>
      <c r="IX26" s="152"/>
      <c r="IY26" s="152"/>
      <c r="IZ26" s="152"/>
      <c r="JA26" s="152"/>
      <c r="JB26" s="152"/>
      <c r="JC26" s="152"/>
      <c r="JD26" s="152"/>
      <c r="JE26" s="152"/>
      <c r="JF26" s="152"/>
      <c r="JG26" s="152"/>
      <c r="JH26" s="152"/>
      <c r="JI26" s="152"/>
      <c r="JJ26" s="152"/>
      <c r="JK26" s="152"/>
      <c r="JL26" s="152"/>
      <c r="JM26" s="152"/>
      <c r="JN26" s="152"/>
      <c r="JO26" s="152"/>
      <c r="JP26" s="152"/>
      <c r="JQ26" s="152"/>
      <c r="JR26" s="152"/>
      <c r="JS26" s="152"/>
      <c r="JT26" s="152"/>
      <c r="JU26" s="152"/>
      <c r="JV26" s="152"/>
      <c r="JW26" s="152"/>
      <c r="JX26" s="152"/>
      <c r="JY26" s="152"/>
      <c r="JZ26" s="152"/>
      <c r="KA26" s="152"/>
      <c r="KB26" s="152"/>
      <c r="KC26" s="152"/>
      <c r="KD26" s="152"/>
      <c r="KE26" s="152"/>
      <c r="KF26" s="152"/>
      <c r="KG26" s="152"/>
      <c r="KH26" s="152"/>
      <c r="KI26" s="152"/>
      <c r="KJ26" s="152"/>
      <c r="KK26" s="152"/>
      <c r="KL26" s="152"/>
      <c r="KM26" s="152"/>
      <c r="KN26" s="152"/>
      <c r="KO26" s="152"/>
      <c r="KP26" s="152"/>
      <c r="KQ26" s="152"/>
      <c r="KR26" s="152"/>
      <c r="KS26" s="152"/>
      <c r="KT26" s="152"/>
      <c r="KU26" s="152"/>
      <c r="KV26" s="152"/>
      <c r="KW26" s="152"/>
      <c r="KX26" s="152"/>
      <c r="KY26" s="152"/>
      <c r="KZ26" s="152"/>
      <c r="LA26" s="152"/>
      <c r="LB26" s="152"/>
      <c r="LC26" s="152"/>
      <c r="LD26" s="152"/>
      <c r="LE26" s="152"/>
      <c r="LF26" s="152"/>
    </row>
    <row r="27" spans="1:318" ht="15.75" thickBot="1">
      <c r="O27" s="197" t="s">
        <v>216</v>
      </c>
      <c r="P27" s="193"/>
      <c r="Q27" s="199"/>
      <c r="R27" s="192"/>
      <c r="S27" s="195">
        <f>S22+S23+S24+S25+S26</f>
        <v>5200</v>
      </c>
      <c r="T27" s="195">
        <f t="shared" ref="T27:AQ27" si="17">T22+T23+T24+T25+T26</f>
        <v>5356</v>
      </c>
      <c r="U27" s="195">
        <f t="shared" si="17"/>
        <v>5516.68</v>
      </c>
      <c r="V27" s="195">
        <f t="shared" si="17"/>
        <v>5682.1804000000002</v>
      </c>
      <c r="W27" s="195">
        <f t="shared" si="17"/>
        <v>5852.6458120000007</v>
      </c>
      <c r="X27" s="195">
        <f t="shared" si="17"/>
        <v>6028.2251863600004</v>
      </c>
      <c r="Y27" s="195">
        <f t="shared" si="17"/>
        <v>6209.0719419508005</v>
      </c>
      <c r="Z27" s="195">
        <f t="shared" si="17"/>
        <v>6395.3441002093241</v>
      </c>
      <c r="AA27" s="195">
        <f t="shared" si="17"/>
        <v>6587.204423215604</v>
      </c>
      <c r="AB27" s="195">
        <f t="shared" si="17"/>
        <v>6784.8205559120725</v>
      </c>
      <c r="AC27" s="195">
        <f t="shared" si="17"/>
        <v>6988.3651725894351</v>
      </c>
      <c r="AD27" s="195">
        <f t="shared" si="17"/>
        <v>7198.0161277671186</v>
      </c>
      <c r="AE27" s="195">
        <f t="shared" si="17"/>
        <v>7413.9566116001315</v>
      </c>
      <c r="AF27" s="195">
        <f t="shared" si="17"/>
        <v>7636.3753099481364</v>
      </c>
      <c r="AG27" s="195">
        <f t="shared" si="17"/>
        <v>7865.4665692465805</v>
      </c>
      <c r="AH27" s="195">
        <f t="shared" si="17"/>
        <v>8101.4305663239775</v>
      </c>
      <c r="AI27" s="195">
        <f t="shared" si="17"/>
        <v>8344.4734833136972</v>
      </c>
      <c r="AJ27" s="195">
        <f t="shared" si="17"/>
        <v>8594.8076878131087</v>
      </c>
      <c r="AK27" s="195">
        <f t="shared" si="17"/>
        <v>8852.6519184475019</v>
      </c>
      <c r="AL27" s="195">
        <f t="shared" si="17"/>
        <v>9118.2314760009267</v>
      </c>
      <c r="AM27" s="195">
        <f t="shared" si="17"/>
        <v>9391.7784202809544</v>
      </c>
      <c r="AN27" s="195">
        <f t="shared" si="17"/>
        <v>9673.5317728893824</v>
      </c>
      <c r="AO27" s="195">
        <f t="shared" si="17"/>
        <v>9963.7377260760659</v>
      </c>
      <c r="AP27" s="195">
        <f t="shared" si="17"/>
        <v>10262.649857858349</v>
      </c>
      <c r="AQ27" s="196">
        <f t="shared" si="17"/>
        <v>10570.529353594098</v>
      </c>
      <c r="AR27" s="152">
        <f t="shared" si="11"/>
        <v>7583.526978935889</v>
      </c>
      <c r="AW27" s="152"/>
      <c r="AX27" s="152"/>
      <c r="AY27" s="152"/>
      <c r="AZ27" s="152"/>
      <c r="BA27" s="152"/>
      <c r="BB27" s="152"/>
      <c r="BC27" s="152"/>
      <c r="BD27" s="152"/>
      <c r="BE27" s="152"/>
      <c r="BF27" s="152"/>
      <c r="BG27" s="152"/>
      <c r="BH27" s="152"/>
      <c r="BI27" s="152"/>
      <c r="BJ27" s="152"/>
      <c r="BK27" s="152"/>
      <c r="BL27" s="152"/>
      <c r="BM27" s="152"/>
      <c r="BN27" s="152"/>
      <c r="BO27" s="152"/>
      <c r="BP27" s="152"/>
      <c r="BQ27" s="152"/>
      <c r="BR27" s="152"/>
      <c r="BS27" s="152"/>
      <c r="BT27" s="152"/>
      <c r="BU27" s="152"/>
      <c r="BV27" s="152"/>
      <c r="BW27" s="152"/>
      <c r="BX27" s="152"/>
      <c r="BY27" s="152"/>
      <c r="BZ27" s="152"/>
      <c r="CA27" s="152"/>
      <c r="CB27" s="152"/>
      <c r="CC27" s="152"/>
      <c r="CD27" s="152"/>
      <c r="CE27" s="152"/>
      <c r="CF27" s="152"/>
      <c r="CG27" s="152"/>
      <c r="CH27" s="152"/>
      <c r="CI27" s="152"/>
      <c r="CJ27" s="152"/>
      <c r="CK27" s="152"/>
      <c r="CL27" s="152"/>
      <c r="CM27" s="152"/>
      <c r="CN27" s="152"/>
      <c r="CO27" s="152"/>
      <c r="CP27" s="152"/>
      <c r="CQ27" s="152"/>
      <c r="CR27" s="152"/>
      <c r="CS27" s="152"/>
      <c r="CT27" s="152"/>
      <c r="CU27" s="152"/>
      <c r="CV27" s="152"/>
      <c r="CW27" s="152"/>
      <c r="CX27" s="152"/>
      <c r="CY27" s="152"/>
      <c r="CZ27" s="152"/>
      <c r="DA27" s="152"/>
      <c r="DB27" s="152"/>
      <c r="DC27" s="152"/>
      <c r="DD27" s="152"/>
      <c r="DE27" s="152"/>
      <c r="DF27" s="152"/>
      <c r="DG27" s="152"/>
      <c r="DH27" s="152"/>
      <c r="DI27" s="152"/>
      <c r="DJ27" s="152"/>
      <c r="DK27" s="152"/>
      <c r="DL27" s="152"/>
      <c r="DM27" s="152"/>
      <c r="DN27" s="152"/>
      <c r="DO27" s="152"/>
      <c r="DP27" s="152"/>
      <c r="DQ27" s="152"/>
      <c r="DR27" s="152"/>
      <c r="DS27" s="152"/>
      <c r="DT27" s="152"/>
      <c r="DU27" s="152"/>
      <c r="DV27" s="152"/>
      <c r="DW27" s="152"/>
      <c r="DX27" s="152"/>
      <c r="DY27" s="152"/>
      <c r="DZ27" s="152"/>
      <c r="EA27" s="152"/>
      <c r="EB27" s="152"/>
      <c r="EC27" s="152"/>
      <c r="ED27" s="152"/>
      <c r="EE27" s="152"/>
      <c r="EF27" s="152"/>
      <c r="EG27" s="152"/>
      <c r="EH27" s="152"/>
      <c r="EI27" s="152"/>
      <c r="EJ27" s="152"/>
      <c r="EK27" s="152"/>
      <c r="EL27" s="152"/>
      <c r="EM27" s="152"/>
      <c r="EN27" s="152"/>
      <c r="EO27" s="152"/>
      <c r="EP27" s="152"/>
      <c r="EQ27" s="152"/>
      <c r="ER27" s="152"/>
      <c r="ES27" s="152"/>
      <c r="ET27" s="152"/>
      <c r="EU27" s="152"/>
      <c r="EV27" s="152"/>
      <c r="EW27" s="152"/>
      <c r="EX27" s="152"/>
      <c r="EY27" s="152"/>
      <c r="EZ27" s="152"/>
      <c r="FA27" s="152"/>
      <c r="FB27" s="152"/>
      <c r="FC27" s="152"/>
      <c r="FD27" s="152"/>
      <c r="FE27" s="152"/>
      <c r="FF27" s="152"/>
      <c r="FG27" s="152"/>
      <c r="FH27" s="152"/>
      <c r="FI27" s="152"/>
      <c r="FJ27" s="152"/>
      <c r="FK27" s="152"/>
      <c r="FL27" s="152"/>
      <c r="FM27" s="152"/>
      <c r="FN27" s="152"/>
      <c r="FO27" s="152"/>
      <c r="FP27" s="152"/>
      <c r="FQ27" s="152"/>
      <c r="FR27" s="152"/>
      <c r="FS27" s="152"/>
      <c r="FT27" s="152"/>
      <c r="FU27" s="152"/>
      <c r="FV27" s="152"/>
      <c r="FW27" s="152"/>
      <c r="FX27" s="152"/>
      <c r="FY27" s="152"/>
      <c r="FZ27" s="152"/>
      <c r="GA27" s="152"/>
      <c r="GB27" s="152"/>
      <c r="GC27" s="152"/>
      <c r="GD27" s="152"/>
      <c r="GE27" s="152"/>
      <c r="GF27" s="152"/>
      <c r="GG27" s="152"/>
      <c r="GH27" s="152"/>
      <c r="GI27" s="152"/>
      <c r="GJ27" s="152"/>
      <c r="GK27" s="152"/>
      <c r="GL27" s="152"/>
      <c r="GM27" s="152"/>
      <c r="GN27" s="152"/>
      <c r="GO27" s="152"/>
      <c r="GP27" s="152"/>
      <c r="GQ27" s="152"/>
      <c r="GR27" s="152"/>
      <c r="GS27" s="152"/>
      <c r="GT27" s="152"/>
      <c r="GU27" s="152"/>
      <c r="GV27" s="152"/>
      <c r="GW27" s="152"/>
      <c r="GX27" s="152"/>
      <c r="GY27" s="152"/>
      <c r="GZ27" s="152"/>
      <c r="HA27" s="152"/>
      <c r="HB27" s="152"/>
      <c r="HC27" s="152"/>
      <c r="HD27" s="152"/>
      <c r="HE27" s="152"/>
      <c r="HF27" s="152"/>
      <c r="HG27" s="152"/>
      <c r="HH27" s="152"/>
      <c r="HI27" s="152"/>
      <c r="HJ27" s="152"/>
      <c r="HK27" s="152"/>
      <c r="HL27" s="152"/>
      <c r="HM27" s="152"/>
      <c r="HN27" s="152"/>
      <c r="HO27" s="152"/>
      <c r="HP27" s="152"/>
      <c r="HQ27" s="152"/>
      <c r="HR27" s="152"/>
      <c r="HS27" s="152"/>
      <c r="HT27" s="152"/>
      <c r="HU27" s="152"/>
      <c r="HV27" s="152"/>
      <c r="HW27" s="152"/>
      <c r="HX27" s="152"/>
      <c r="HY27" s="152"/>
      <c r="HZ27" s="152"/>
      <c r="IA27" s="152"/>
      <c r="IB27" s="152"/>
      <c r="IC27" s="152"/>
      <c r="ID27" s="152"/>
      <c r="IE27" s="152"/>
      <c r="IF27" s="152"/>
      <c r="IG27" s="152"/>
      <c r="IH27" s="152"/>
      <c r="II27" s="152"/>
      <c r="IJ27" s="152"/>
      <c r="IK27" s="152"/>
      <c r="IL27" s="152"/>
      <c r="IM27" s="152"/>
      <c r="IN27" s="152"/>
      <c r="IO27" s="152"/>
      <c r="IP27" s="152"/>
      <c r="IQ27" s="152"/>
      <c r="IR27" s="152"/>
      <c r="IS27" s="152"/>
      <c r="IT27" s="152"/>
      <c r="IU27" s="152"/>
      <c r="IV27" s="152"/>
      <c r="IW27" s="152"/>
      <c r="IX27" s="152"/>
      <c r="IY27" s="152"/>
      <c r="IZ27" s="152"/>
      <c r="JA27" s="152"/>
      <c r="JB27" s="152"/>
      <c r="JC27" s="152"/>
      <c r="JD27" s="152"/>
      <c r="JE27" s="152"/>
      <c r="JF27" s="152"/>
      <c r="JG27" s="152"/>
      <c r="JH27" s="152"/>
      <c r="JI27" s="152"/>
      <c r="JJ27" s="152"/>
      <c r="JK27" s="152"/>
      <c r="JL27" s="152"/>
      <c r="JM27" s="152"/>
      <c r="JN27" s="152"/>
      <c r="JO27" s="152"/>
      <c r="JP27" s="152"/>
      <c r="JQ27" s="152"/>
      <c r="JR27" s="152"/>
      <c r="JS27" s="152"/>
      <c r="JT27" s="152"/>
      <c r="JU27" s="152"/>
      <c r="JV27" s="152"/>
      <c r="JW27" s="152"/>
      <c r="JX27" s="152"/>
      <c r="JY27" s="152"/>
      <c r="JZ27" s="152"/>
      <c r="KA27" s="152"/>
      <c r="KB27" s="152"/>
      <c r="KC27" s="152"/>
      <c r="KD27" s="152"/>
      <c r="KE27" s="152"/>
      <c r="KF27" s="152"/>
      <c r="KG27" s="152"/>
      <c r="KH27" s="152"/>
      <c r="KI27" s="152"/>
      <c r="KJ27" s="152"/>
      <c r="KK27" s="152"/>
      <c r="KL27" s="152"/>
      <c r="KM27" s="152"/>
      <c r="KN27" s="152"/>
      <c r="KO27" s="152"/>
      <c r="KP27" s="152"/>
      <c r="KQ27" s="152"/>
      <c r="KR27" s="152"/>
      <c r="KS27" s="152"/>
      <c r="KT27" s="152"/>
      <c r="KU27" s="152"/>
      <c r="KV27" s="152"/>
      <c r="KW27" s="152"/>
      <c r="KX27" s="152"/>
      <c r="KY27" s="152"/>
      <c r="KZ27" s="152"/>
      <c r="LA27" s="152"/>
      <c r="LB27" s="152"/>
      <c r="LC27" s="152"/>
      <c r="LD27" s="152"/>
      <c r="LE27" s="152"/>
      <c r="LF27" s="152"/>
    </row>
    <row r="28" spans="1:318" ht="18.75">
      <c r="A28" s="323" t="s">
        <v>217</v>
      </c>
      <c r="B28" s="323"/>
      <c r="C28" s="323"/>
      <c r="D28" s="323"/>
      <c r="O28" s="139"/>
      <c r="Q28" s="140"/>
      <c r="R28" s="139"/>
      <c r="S28" s="188"/>
      <c r="T28" s="188"/>
      <c r="U28" s="188"/>
      <c r="V28" s="188"/>
      <c r="W28" s="188"/>
      <c r="X28" s="188"/>
      <c r="Y28" s="188"/>
      <c r="Z28" s="188"/>
      <c r="AA28" s="188"/>
      <c r="AB28" s="188"/>
      <c r="AC28" s="188"/>
      <c r="AD28" s="188"/>
      <c r="AE28" s="188"/>
      <c r="AF28" s="188"/>
      <c r="AG28" s="188"/>
      <c r="AH28" s="188"/>
      <c r="AI28" s="188"/>
      <c r="AJ28" s="188"/>
      <c r="AK28" s="188"/>
      <c r="AL28" s="188"/>
      <c r="AM28" s="188"/>
      <c r="AN28" s="188"/>
      <c r="AO28" s="188"/>
      <c r="AP28" s="188"/>
      <c r="AQ28" s="189"/>
      <c r="AW28" s="152"/>
      <c r="AX28" s="152"/>
      <c r="AY28" s="152"/>
      <c r="AZ28" s="152"/>
      <c r="BA28" s="152"/>
      <c r="BB28" s="152"/>
      <c r="BC28" s="152"/>
      <c r="BD28" s="152"/>
      <c r="BE28" s="152"/>
      <c r="BF28" s="152"/>
      <c r="BG28" s="152"/>
      <c r="BH28" s="152"/>
      <c r="BI28" s="152"/>
      <c r="BJ28" s="152"/>
      <c r="BK28" s="152"/>
      <c r="BL28" s="152"/>
      <c r="BM28" s="152"/>
      <c r="BN28" s="152"/>
      <c r="BO28" s="152"/>
      <c r="BP28" s="152"/>
      <c r="BQ28" s="152"/>
      <c r="BR28" s="152"/>
      <c r="BS28" s="152"/>
      <c r="BT28" s="152"/>
      <c r="BU28" s="152"/>
      <c r="BV28" s="152"/>
      <c r="BW28" s="152"/>
      <c r="BX28" s="152"/>
      <c r="BY28" s="152"/>
      <c r="BZ28" s="152"/>
      <c r="CA28" s="152"/>
      <c r="CB28" s="152"/>
      <c r="CC28" s="152"/>
      <c r="CD28" s="152"/>
      <c r="CE28" s="152"/>
      <c r="CF28" s="152"/>
      <c r="CG28" s="152"/>
      <c r="CH28" s="152"/>
      <c r="CI28" s="152"/>
      <c r="CJ28" s="152"/>
      <c r="CK28" s="152"/>
      <c r="CL28" s="152"/>
      <c r="CM28" s="152"/>
      <c r="CN28" s="152"/>
      <c r="CO28" s="152"/>
      <c r="CP28" s="152"/>
      <c r="CQ28" s="152"/>
      <c r="CR28" s="152"/>
      <c r="CS28" s="152"/>
      <c r="CT28" s="152"/>
      <c r="CU28" s="152"/>
      <c r="CV28" s="152"/>
      <c r="CW28" s="152"/>
      <c r="CX28" s="152"/>
      <c r="CY28" s="152"/>
      <c r="CZ28" s="152"/>
      <c r="DA28" s="152"/>
      <c r="DB28" s="152"/>
      <c r="DC28" s="152"/>
      <c r="DD28" s="152"/>
      <c r="DE28" s="152"/>
      <c r="DF28" s="152"/>
      <c r="DG28" s="152"/>
      <c r="DH28" s="152"/>
      <c r="DI28" s="152"/>
      <c r="DJ28" s="152"/>
      <c r="DK28" s="152"/>
      <c r="DL28" s="152"/>
      <c r="DM28" s="152"/>
      <c r="DN28" s="152"/>
      <c r="DO28" s="152"/>
      <c r="DP28" s="152"/>
      <c r="DQ28" s="152"/>
      <c r="DR28" s="152"/>
      <c r="DS28" s="152"/>
      <c r="DT28" s="152"/>
      <c r="DU28" s="152"/>
      <c r="DV28" s="152"/>
      <c r="DW28" s="152"/>
      <c r="DX28" s="152"/>
      <c r="DY28" s="152"/>
      <c r="DZ28" s="152"/>
      <c r="EA28" s="152"/>
      <c r="EB28" s="152"/>
      <c r="EC28" s="152"/>
      <c r="ED28" s="152"/>
      <c r="EE28" s="152"/>
      <c r="EF28" s="152"/>
      <c r="EG28" s="152"/>
      <c r="EH28" s="152"/>
      <c r="EI28" s="152"/>
      <c r="EJ28" s="152"/>
      <c r="EK28" s="152"/>
      <c r="EL28" s="152"/>
      <c r="EM28" s="152"/>
      <c r="EN28" s="152"/>
      <c r="EO28" s="152"/>
      <c r="EP28" s="152"/>
      <c r="EQ28" s="152"/>
      <c r="ER28" s="152"/>
      <c r="ES28" s="152"/>
      <c r="ET28" s="152"/>
      <c r="EU28" s="152"/>
      <c r="EV28" s="152"/>
      <c r="EW28" s="152"/>
      <c r="EX28" s="152"/>
      <c r="EY28" s="152"/>
      <c r="EZ28" s="152"/>
      <c r="FA28" s="152"/>
      <c r="FB28" s="152"/>
      <c r="FC28" s="152"/>
      <c r="FD28" s="152"/>
      <c r="FE28" s="152"/>
      <c r="FF28" s="152"/>
      <c r="FG28" s="152"/>
      <c r="FH28" s="152"/>
      <c r="FI28" s="152"/>
      <c r="FJ28" s="152"/>
      <c r="FK28" s="152"/>
      <c r="FL28" s="152"/>
      <c r="FM28" s="152"/>
      <c r="FN28" s="152"/>
      <c r="FO28" s="152"/>
      <c r="FP28" s="152"/>
      <c r="FQ28" s="152"/>
      <c r="FR28" s="152"/>
      <c r="FS28" s="152"/>
      <c r="FT28" s="152"/>
      <c r="FU28" s="152"/>
      <c r="FV28" s="152"/>
      <c r="FW28" s="152"/>
      <c r="FX28" s="152"/>
      <c r="FY28" s="152"/>
      <c r="FZ28" s="152"/>
      <c r="GA28" s="152"/>
      <c r="GB28" s="152"/>
      <c r="GC28" s="152"/>
      <c r="GD28" s="152"/>
      <c r="GE28" s="152"/>
      <c r="GF28" s="152"/>
      <c r="GG28" s="152"/>
      <c r="GH28" s="152"/>
      <c r="GI28" s="152"/>
      <c r="GJ28" s="152"/>
      <c r="GK28" s="152"/>
      <c r="GL28" s="152"/>
      <c r="GM28" s="152"/>
      <c r="GN28" s="152"/>
      <c r="GO28" s="152"/>
      <c r="GP28" s="152"/>
      <c r="GQ28" s="152"/>
      <c r="GR28" s="152"/>
      <c r="GS28" s="152"/>
      <c r="GT28" s="152"/>
      <c r="GU28" s="152"/>
      <c r="GV28" s="152"/>
      <c r="GW28" s="152"/>
      <c r="GX28" s="152"/>
      <c r="GY28" s="152"/>
      <c r="GZ28" s="152"/>
      <c r="HA28" s="152"/>
      <c r="HB28" s="152"/>
      <c r="HC28" s="152"/>
      <c r="HD28" s="152"/>
      <c r="HE28" s="152"/>
      <c r="HF28" s="152"/>
      <c r="HG28" s="152"/>
      <c r="HH28" s="152"/>
      <c r="HI28" s="152"/>
      <c r="HJ28" s="152"/>
      <c r="HK28" s="152"/>
      <c r="HL28" s="152"/>
      <c r="HM28" s="152"/>
      <c r="HN28" s="152"/>
      <c r="HO28" s="152"/>
      <c r="HP28" s="152"/>
      <c r="HQ28" s="152"/>
      <c r="HR28" s="152"/>
      <c r="HS28" s="152"/>
      <c r="HT28" s="152"/>
      <c r="HU28" s="152"/>
      <c r="HV28" s="152"/>
      <c r="HW28" s="152"/>
      <c r="HX28" s="152"/>
      <c r="HY28" s="152"/>
      <c r="HZ28" s="152"/>
      <c r="IA28" s="152"/>
      <c r="IB28" s="152"/>
      <c r="IC28" s="152"/>
      <c r="ID28" s="152"/>
      <c r="IE28" s="152"/>
      <c r="IF28" s="152"/>
      <c r="IG28" s="152"/>
      <c r="IH28" s="152"/>
      <c r="II28" s="152"/>
      <c r="IJ28" s="152"/>
      <c r="IK28" s="152"/>
      <c r="IL28" s="152"/>
      <c r="IM28" s="152"/>
      <c r="IN28" s="152"/>
      <c r="IO28" s="152"/>
      <c r="IP28" s="152"/>
      <c r="IQ28" s="152"/>
      <c r="IR28" s="152"/>
      <c r="IS28" s="152"/>
      <c r="IT28" s="152"/>
      <c r="IU28" s="152"/>
      <c r="IV28" s="152"/>
      <c r="IW28" s="152"/>
      <c r="IX28" s="152"/>
      <c r="IY28" s="152"/>
      <c r="IZ28" s="152"/>
      <c r="JA28" s="152"/>
      <c r="JB28" s="152"/>
      <c r="JC28" s="152"/>
      <c r="JD28" s="152"/>
      <c r="JE28" s="152"/>
      <c r="JF28" s="152"/>
      <c r="JG28" s="152"/>
      <c r="JH28" s="152"/>
      <c r="JI28" s="152"/>
      <c r="JJ28" s="152"/>
      <c r="JK28" s="152"/>
      <c r="JL28" s="152"/>
      <c r="JM28" s="152"/>
      <c r="JN28" s="152"/>
      <c r="JO28" s="152"/>
      <c r="JP28" s="152"/>
      <c r="JQ28" s="152"/>
      <c r="JR28" s="152"/>
      <c r="JS28" s="152"/>
      <c r="JT28" s="152"/>
      <c r="JU28" s="152"/>
      <c r="JV28" s="152"/>
      <c r="JW28" s="152"/>
      <c r="JX28" s="152"/>
      <c r="JY28" s="152"/>
      <c r="JZ28" s="152"/>
      <c r="KA28" s="152"/>
      <c r="KB28" s="152"/>
      <c r="KC28" s="152"/>
      <c r="KD28" s="152"/>
      <c r="KE28" s="152"/>
      <c r="KF28" s="152"/>
      <c r="KG28" s="152"/>
      <c r="KH28" s="152"/>
      <c r="KI28" s="152"/>
      <c r="KJ28" s="152"/>
      <c r="KK28" s="152"/>
      <c r="KL28" s="152"/>
      <c r="KM28" s="152"/>
      <c r="KN28" s="152"/>
      <c r="KO28" s="152"/>
      <c r="KP28" s="152"/>
      <c r="KQ28" s="152"/>
      <c r="KR28" s="152"/>
      <c r="KS28" s="152"/>
      <c r="KT28" s="152"/>
      <c r="KU28" s="152"/>
      <c r="KV28" s="152"/>
      <c r="KW28" s="152"/>
      <c r="KX28" s="152"/>
      <c r="KY28" s="152"/>
      <c r="KZ28" s="152"/>
      <c r="LA28" s="152"/>
      <c r="LB28" s="152"/>
      <c r="LC28" s="152"/>
      <c r="LD28" s="152"/>
      <c r="LE28" s="152"/>
      <c r="LF28" s="152"/>
    </row>
    <row r="29" spans="1:318" ht="30">
      <c r="A29" s="156"/>
      <c r="B29" s="156"/>
      <c r="C29" s="156"/>
      <c r="D29" s="156"/>
      <c r="O29" s="202" t="s">
        <v>218</v>
      </c>
      <c r="Q29" s="140"/>
      <c r="R29" s="139"/>
      <c r="S29" s="188">
        <f t="shared" ref="S29:AQ29" si="18">S19+S27</f>
        <v>969221</v>
      </c>
      <c r="T29" s="188">
        <f t="shared" si="18"/>
        <v>969664.14</v>
      </c>
      <c r="U29" s="188">
        <f t="shared" si="18"/>
        <v>970109.95001999999</v>
      </c>
      <c r="V29" s="188">
        <f t="shared" si="18"/>
        <v>970558.58452985995</v>
      </c>
      <c r="W29" s="188">
        <f t="shared" si="18"/>
        <v>971010.20211295097</v>
      </c>
      <c r="X29" s="188">
        <f t="shared" si="18"/>
        <v>971464.96559320425</v>
      </c>
      <c r="Y29" s="188">
        <f t="shared" si="18"/>
        <v>971923.04216594726</v>
      </c>
      <c r="Z29" s="188">
        <f t="shared" si="18"/>
        <v>972384.60353263782</v>
      </c>
      <c r="AA29" s="188">
        <f t="shared" si="18"/>
        <v>972849.82603961707</v>
      </c>
      <c r="AB29" s="188">
        <f t="shared" si="18"/>
        <v>973318.8908209987</v>
      </c>
      <c r="AC29" s="188">
        <f t="shared" si="18"/>
        <v>973791.98394582048</v>
      </c>
      <c r="AD29" s="188">
        <f t="shared" si="18"/>
        <v>974269.29656958557</v>
      </c>
      <c r="AE29" s="188">
        <f t="shared" si="18"/>
        <v>974751.02509032586</v>
      </c>
      <c r="AF29" s="188">
        <f t="shared" si="18"/>
        <v>975237.37130932277</v>
      </c>
      <c r="AG29" s="188">
        <f t="shared" si="18"/>
        <v>975728.54259662563</v>
      </c>
      <c r="AH29" s="188">
        <f t="shared" si="18"/>
        <v>976224.75206151127</v>
      </c>
      <c r="AI29" s="188">
        <f t="shared" si="18"/>
        <v>976726.21872803464</v>
      </c>
      <c r="AJ29" s="188">
        <f t="shared" si="18"/>
        <v>977233.16771582107</v>
      </c>
      <c r="AK29" s="188">
        <f t="shared" si="18"/>
        <v>977745.83042625932</v>
      </c>
      <c r="AL29" s="188">
        <f t="shared" si="18"/>
        <v>978264.44473425823</v>
      </c>
      <c r="AM29" s="188">
        <f t="shared" si="18"/>
        <v>978789.25518573029</v>
      </c>
      <c r="AN29" s="188">
        <f t="shared" si="18"/>
        <v>979320.51320098073</v>
      </c>
      <c r="AO29" s="188">
        <f t="shared" si="18"/>
        <v>979858.47728417069</v>
      </c>
      <c r="AP29" s="188">
        <f t="shared" si="18"/>
        <v>980403.41323904635</v>
      </c>
      <c r="AQ29" s="189">
        <f t="shared" si="18"/>
        <v>980955.59439111373</v>
      </c>
      <c r="AW29" s="152"/>
      <c r="AX29" s="152"/>
      <c r="AY29" s="152"/>
      <c r="AZ29" s="152"/>
      <c r="BA29" s="152"/>
      <c r="BB29" s="152"/>
      <c r="BC29" s="152"/>
      <c r="BD29" s="152"/>
      <c r="BE29" s="152"/>
      <c r="BF29" s="152"/>
      <c r="BG29" s="152"/>
      <c r="BH29" s="152"/>
      <c r="BI29" s="152"/>
      <c r="BJ29" s="152"/>
      <c r="BK29" s="152"/>
      <c r="BL29" s="152"/>
      <c r="BM29" s="152"/>
      <c r="BN29" s="152"/>
      <c r="BO29" s="152"/>
      <c r="BP29" s="152"/>
      <c r="BQ29" s="152"/>
      <c r="BR29" s="152"/>
      <c r="BS29" s="152"/>
      <c r="BT29" s="152"/>
      <c r="BU29" s="152"/>
      <c r="BV29" s="152"/>
      <c r="BW29" s="152"/>
      <c r="BX29" s="152"/>
      <c r="BY29" s="152"/>
      <c r="BZ29" s="152"/>
      <c r="CA29" s="152"/>
      <c r="CB29" s="152"/>
      <c r="CC29" s="152"/>
      <c r="CD29" s="152"/>
      <c r="CE29" s="152"/>
      <c r="CF29" s="152"/>
      <c r="CG29" s="152"/>
      <c r="CH29" s="152"/>
      <c r="CI29" s="152"/>
      <c r="CJ29" s="152"/>
      <c r="CK29" s="152"/>
      <c r="CL29" s="152"/>
      <c r="CM29" s="152"/>
      <c r="CN29" s="152"/>
      <c r="CO29" s="152"/>
      <c r="CP29" s="152"/>
      <c r="CQ29" s="152"/>
      <c r="CR29" s="152"/>
      <c r="CS29" s="152"/>
      <c r="CT29" s="152"/>
      <c r="CU29" s="152"/>
      <c r="CV29" s="152"/>
      <c r="CW29" s="152"/>
      <c r="CX29" s="152"/>
      <c r="CY29" s="152"/>
      <c r="CZ29" s="152"/>
      <c r="DA29" s="152"/>
      <c r="DB29" s="152"/>
      <c r="DC29" s="152"/>
      <c r="DD29" s="152"/>
      <c r="DE29" s="152"/>
      <c r="DF29" s="152"/>
      <c r="DG29" s="152"/>
      <c r="DH29" s="152"/>
      <c r="DI29" s="152"/>
      <c r="DJ29" s="152"/>
      <c r="DK29" s="152"/>
      <c r="DL29" s="152"/>
      <c r="DM29" s="152"/>
      <c r="DN29" s="152"/>
      <c r="DO29" s="152"/>
      <c r="DP29" s="152"/>
      <c r="DQ29" s="152"/>
      <c r="DR29" s="152"/>
      <c r="DS29" s="152"/>
      <c r="DT29" s="152"/>
      <c r="DU29" s="152"/>
      <c r="DV29" s="152"/>
      <c r="DW29" s="152"/>
      <c r="DX29" s="152"/>
      <c r="DY29" s="152"/>
      <c r="DZ29" s="152"/>
      <c r="EA29" s="152"/>
      <c r="EB29" s="152"/>
      <c r="EC29" s="152"/>
      <c r="ED29" s="152"/>
      <c r="EE29" s="152"/>
      <c r="EF29" s="152"/>
      <c r="EG29" s="152"/>
      <c r="EH29" s="152"/>
      <c r="EI29" s="152"/>
      <c r="EJ29" s="152"/>
      <c r="EK29" s="152"/>
      <c r="EL29" s="152"/>
      <c r="EM29" s="152"/>
      <c r="EN29" s="152"/>
      <c r="EO29" s="152"/>
      <c r="EP29" s="152"/>
      <c r="EQ29" s="152"/>
      <c r="ER29" s="152"/>
      <c r="ES29" s="152"/>
      <c r="ET29" s="152"/>
      <c r="EU29" s="152"/>
      <c r="EV29" s="152"/>
      <c r="EW29" s="152"/>
      <c r="EX29" s="152"/>
      <c r="EY29" s="152"/>
      <c r="EZ29" s="152"/>
      <c r="FA29" s="152"/>
      <c r="FB29" s="152"/>
      <c r="FC29" s="152"/>
      <c r="FD29" s="152"/>
      <c r="FE29" s="152"/>
      <c r="FF29" s="152"/>
      <c r="FG29" s="152"/>
      <c r="FH29" s="152"/>
      <c r="FI29" s="152"/>
      <c r="FJ29" s="152"/>
      <c r="FK29" s="152"/>
      <c r="FL29" s="152"/>
      <c r="FM29" s="152"/>
      <c r="FN29" s="152"/>
      <c r="FO29" s="152"/>
      <c r="FP29" s="152"/>
      <c r="FQ29" s="152"/>
      <c r="FR29" s="152"/>
      <c r="FS29" s="152"/>
      <c r="FT29" s="152"/>
      <c r="FU29" s="152"/>
      <c r="FV29" s="152"/>
      <c r="FW29" s="152"/>
      <c r="FX29" s="152"/>
      <c r="FY29" s="152"/>
      <c r="FZ29" s="152"/>
      <c r="GA29" s="152"/>
      <c r="GB29" s="152"/>
      <c r="GC29" s="152"/>
      <c r="GD29" s="152"/>
      <c r="GE29" s="152"/>
      <c r="GF29" s="152"/>
      <c r="GG29" s="152"/>
      <c r="GH29" s="152"/>
      <c r="GI29" s="152"/>
      <c r="GJ29" s="152"/>
      <c r="GK29" s="152"/>
      <c r="GL29" s="152"/>
      <c r="GM29" s="152"/>
      <c r="GN29" s="152"/>
      <c r="GO29" s="152"/>
      <c r="GP29" s="152"/>
      <c r="GQ29" s="152"/>
      <c r="GR29" s="152"/>
      <c r="GS29" s="152"/>
      <c r="GT29" s="152"/>
      <c r="GU29" s="152"/>
      <c r="GV29" s="152"/>
      <c r="GW29" s="152"/>
      <c r="GX29" s="152"/>
      <c r="GY29" s="152"/>
      <c r="GZ29" s="152"/>
      <c r="HA29" s="152"/>
      <c r="HB29" s="152"/>
      <c r="HC29" s="152"/>
      <c r="HD29" s="152"/>
      <c r="HE29" s="152"/>
      <c r="HF29" s="152"/>
      <c r="HG29" s="152"/>
      <c r="HH29" s="152"/>
      <c r="HI29" s="152"/>
      <c r="HJ29" s="152"/>
      <c r="HK29" s="152"/>
      <c r="HL29" s="152"/>
      <c r="HM29" s="152"/>
      <c r="HN29" s="152"/>
      <c r="HO29" s="152"/>
      <c r="HP29" s="152"/>
      <c r="HQ29" s="152"/>
      <c r="HR29" s="152"/>
      <c r="HS29" s="152"/>
      <c r="HT29" s="152"/>
      <c r="HU29" s="152"/>
      <c r="HV29" s="152"/>
      <c r="HW29" s="152"/>
      <c r="HX29" s="152"/>
      <c r="HY29" s="152"/>
      <c r="HZ29" s="152"/>
      <c r="IA29" s="152"/>
      <c r="IB29" s="152"/>
      <c r="IC29" s="152"/>
      <c r="ID29" s="152"/>
      <c r="IE29" s="152"/>
      <c r="IF29" s="152"/>
      <c r="IG29" s="152"/>
      <c r="IH29" s="152"/>
      <c r="II29" s="152"/>
      <c r="IJ29" s="152"/>
      <c r="IK29" s="152"/>
      <c r="IL29" s="152"/>
      <c r="IM29" s="152"/>
      <c r="IN29" s="152"/>
      <c r="IO29" s="152"/>
      <c r="IP29" s="152"/>
      <c r="IQ29" s="152"/>
      <c r="IR29" s="152"/>
      <c r="IS29" s="152"/>
      <c r="IT29" s="152"/>
      <c r="IU29" s="152"/>
      <c r="IV29" s="152"/>
      <c r="IW29" s="152"/>
      <c r="IX29" s="152"/>
      <c r="IY29" s="152"/>
      <c r="IZ29" s="152"/>
      <c r="JA29" s="152"/>
      <c r="JB29" s="152"/>
      <c r="JC29" s="152"/>
      <c r="JD29" s="152"/>
      <c r="JE29" s="152"/>
      <c r="JF29" s="152"/>
      <c r="JG29" s="152"/>
      <c r="JH29" s="152"/>
      <c r="JI29" s="152"/>
      <c r="JJ29" s="152"/>
      <c r="JK29" s="152"/>
      <c r="JL29" s="152"/>
      <c r="JM29" s="152"/>
      <c r="JN29" s="152"/>
      <c r="JO29" s="152"/>
      <c r="JP29" s="152"/>
      <c r="JQ29" s="152"/>
      <c r="JR29" s="152"/>
      <c r="JS29" s="152"/>
      <c r="JT29" s="152"/>
      <c r="JU29" s="152"/>
      <c r="JV29" s="152"/>
      <c r="JW29" s="152"/>
      <c r="JX29" s="152"/>
      <c r="JY29" s="152"/>
      <c r="JZ29" s="152"/>
      <c r="KA29" s="152"/>
      <c r="KB29" s="152"/>
      <c r="KC29" s="152"/>
      <c r="KD29" s="152"/>
      <c r="KE29" s="152"/>
      <c r="KF29" s="152"/>
      <c r="KG29" s="152"/>
      <c r="KH29" s="152"/>
      <c r="KI29" s="152"/>
      <c r="KJ29" s="152"/>
      <c r="KK29" s="152"/>
      <c r="KL29" s="152"/>
      <c r="KM29" s="152"/>
      <c r="KN29" s="152"/>
      <c r="KO29" s="152"/>
      <c r="KP29" s="152"/>
      <c r="KQ29" s="152"/>
      <c r="KR29" s="152"/>
      <c r="KS29" s="152"/>
      <c r="KT29" s="152"/>
      <c r="KU29" s="152"/>
      <c r="KV29" s="152"/>
      <c r="KW29" s="152"/>
      <c r="KX29" s="152"/>
      <c r="KY29" s="152"/>
      <c r="KZ29" s="152"/>
      <c r="LA29" s="152"/>
      <c r="LB29" s="152"/>
      <c r="LC29" s="152"/>
      <c r="LD29" s="152"/>
      <c r="LE29" s="152"/>
      <c r="LF29" s="152"/>
    </row>
    <row r="30" spans="1:318" ht="15.75" thickBot="1">
      <c r="A30" s="156"/>
      <c r="B30" s="156"/>
      <c r="C30" s="156"/>
      <c r="D30" s="156"/>
      <c r="O30" s="139"/>
      <c r="Q30" s="140"/>
      <c r="R30" s="139"/>
      <c r="S30" s="188"/>
      <c r="T30" s="188"/>
      <c r="U30" s="188"/>
      <c r="V30" s="188"/>
      <c r="W30" s="188"/>
      <c r="X30" s="188"/>
      <c r="Y30" s="188"/>
      <c r="Z30" s="188"/>
      <c r="AA30" s="188"/>
      <c r="AB30" s="188"/>
      <c r="AC30" s="188"/>
      <c r="AD30" s="188"/>
      <c r="AE30" s="188"/>
      <c r="AF30" s="188"/>
      <c r="AG30" s="188"/>
      <c r="AH30" s="188"/>
      <c r="AI30" s="188"/>
      <c r="AJ30" s="188"/>
      <c r="AK30" s="188"/>
      <c r="AL30" s="188"/>
      <c r="AM30" s="188"/>
      <c r="AN30" s="188"/>
      <c r="AO30" s="188"/>
      <c r="AP30" s="188"/>
      <c r="AQ30" s="189"/>
      <c r="AW30" s="154"/>
      <c r="AX30" s="154"/>
      <c r="AY30" s="154"/>
      <c r="AZ30" s="154"/>
      <c r="BA30" s="154"/>
      <c r="BB30" s="154"/>
      <c r="BC30" s="154"/>
      <c r="BD30" s="154"/>
      <c r="BE30" s="154"/>
      <c r="BF30" s="154"/>
      <c r="BG30" s="154"/>
      <c r="BH30" s="154"/>
      <c r="BI30" s="154"/>
      <c r="BJ30" s="154"/>
      <c r="BK30" s="154"/>
      <c r="BL30" s="154"/>
      <c r="BM30" s="154"/>
      <c r="BN30" s="154"/>
      <c r="BO30" s="154"/>
      <c r="BP30" s="154"/>
      <c r="BQ30" s="154"/>
      <c r="BR30" s="154"/>
      <c r="BS30" s="154"/>
      <c r="BT30" s="154"/>
      <c r="BU30" s="154"/>
      <c r="BV30" s="154"/>
      <c r="BW30" s="154"/>
      <c r="BX30" s="154"/>
      <c r="BY30" s="154"/>
      <c r="BZ30" s="154"/>
      <c r="CA30" s="154"/>
      <c r="CB30" s="154"/>
      <c r="CC30" s="154"/>
      <c r="CD30" s="154"/>
      <c r="CE30" s="154"/>
      <c r="CF30" s="154"/>
      <c r="CG30" s="154"/>
      <c r="CH30" s="154"/>
      <c r="CI30" s="154"/>
      <c r="CJ30" s="154"/>
      <c r="CK30" s="154"/>
      <c r="CL30" s="154"/>
      <c r="CM30" s="154"/>
      <c r="CN30" s="154"/>
      <c r="CO30" s="154"/>
      <c r="CP30" s="154"/>
      <c r="CQ30" s="154"/>
      <c r="CR30" s="154"/>
      <c r="CS30" s="154"/>
      <c r="CT30" s="154"/>
      <c r="CU30" s="154"/>
      <c r="CV30" s="154"/>
      <c r="CW30" s="154"/>
      <c r="CX30" s="154"/>
      <c r="CY30" s="154"/>
      <c r="CZ30" s="154"/>
      <c r="DA30" s="154"/>
      <c r="DB30" s="154"/>
      <c r="DC30" s="154"/>
      <c r="DD30" s="154"/>
      <c r="DE30" s="154"/>
      <c r="DF30" s="154"/>
      <c r="DG30" s="154"/>
      <c r="DH30" s="154"/>
      <c r="DI30" s="154"/>
      <c r="DJ30" s="154"/>
      <c r="DK30" s="154"/>
      <c r="DL30" s="154"/>
      <c r="DM30" s="154"/>
      <c r="DN30" s="154"/>
      <c r="DO30" s="154"/>
      <c r="DP30" s="154"/>
      <c r="DQ30" s="154"/>
      <c r="DR30" s="154"/>
      <c r="DS30" s="154"/>
      <c r="DT30" s="154"/>
      <c r="DU30" s="154"/>
      <c r="DV30" s="154"/>
      <c r="DW30" s="154"/>
      <c r="DX30" s="154"/>
      <c r="DY30" s="154"/>
      <c r="DZ30" s="154"/>
      <c r="EA30" s="154"/>
      <c r="EB30" s="154"/>
      <c r="EC30" s="154"/>
      <c r="ED30" s="154"/>
      <c r="EE30" s="154"/>
      <c r="EF30" s="154"/>
      <c r="EG30" s="154"/>
      <c r="EH30" s="154"/>
      <c r="EI30" s="154"/>
      <c r="EJ30" s="154"/>
      <c r="EK30" s="154"/>
      <c r="EL30" s="154"/>
      <c r="EM30" s="154"/>
      <c r="EN30" s="154"/>
      <c r="EO30" s="154"/>
      <c r="EP30" s="154"/>
      <c r="EQ30" s="154"/>
      <c r="ER30" s="154"/>
      <c r="ES30" s="154"/>
      <c r="ET30" s="154"/>
      <c r="EU30" s="154"/>
      <c r="EV30" s="154"/>
      <c r="EW30" s="154"/>
      <c r="EX30" s="154"/>
      <c r="EY30" s="154"/>
      <c r="EZ30" s="154"/>
      <c r="FA30" s="154"/>
      <c r="FB30" s="154"/>
      <c r="FC30" s="154"/>
      <c r="FD30" s="154"/>
      <c r="FE30" s="154"/>
      <c r="FF30" s="154"/>
      <c r="FG30" s="154"/>
      <c r="FH30" s="154"/>
      <c r="FI30" s="154"/>
      <c r="FJ30" s="154"/>
      <c r="FK30" s="154"/>
      <c r="FL30" s="154"/>
      <c r="FM30" s="154"/>
      <c r="FN30" s="154"/>
      <c r="FO30" s="154"/>
      <c r="FP30" s="154"/>
      <c r="FQ30" s="154"/>
      <c r="FR30" s="154"/>
      <c r="FS30" s="154"/>
      <c r="FT30" s="154"/>
      <c r="FU30" s="154"/>
      <c r="FV30" s="154"/>
      <c r="FW30" s="154"/>
      <c r="FX30" s="154"/>
      <c r="FY30" s="154"/>
      <c r="FZ30" s="154"/>
      <c r="GA30" s="154"/>
      <c r="GB30" s="154"/>
      <c r="GC30" s="154"/>
      <c r="GD30" s="154"/>
      <c r="GE30" s="154"/>
      <c r="GF30" s="154"/>
      <c r="GG30" s="154"/>
      <c r="GH30" s="154"/>
      <c r="GI30" s="154"/>
      <c r="GJ30" s="154"/>
      <c r="GK30" s="154"/>
      <c r="GL30" s="154"/>
      <c r="GM30" s="154"/>
      <c r="GN30" s="154"/>
      <c r="GO30" s="154"/>
      <c r="GP30" s="154"/>
      <c r="GQ30" s="154"/>
      <c r="GR30" s="154"/>
      <c r="GS30" s="154"/>
      <c r="GT30" s="154"/>
      <c r="GU30" s="154"/>
      <c r="GV30" s="154"/>
      <c r="GW30" s="154"/>
      <c r="GX30" s="154"/>
      <c r="GY30" s="154"/>
      <c r="GZ30" s="154"/>
      <c r="HA30" s="154"/>
      <c r="HB30" s="154"/>
      <c r="HC30" s="154"/>
      <c r="HD30" s="154"/>
      <c r="HE30" s="154"/>
      <c r="HF30" s="154"/>
      <c r="HG30" s="154"/>
      <c r="HH30" s="154"/>
      <c r="HI30" s="154"/>
      <c r="HJ30" s="154"/>
      <c r="HK30" s="154"/>
      <c r="HL30" s="154"/>
      <c r="HM30" s="154"/>
      <c r="HN30" s="154"/>
      <c r="HO30" s="154"/>
      <c r="HP30" s="154"/>
      <c r="HQ30" s="154"/>
      <c r="HR30" s="154"/>
      <c r="HS30" s="154"/>
      <c r="HT30" s="154"/>
      <c r="HU30" s="154"/>
      <c r="HV30" s="154"/>
      <c r="HW30" s="154"/>
      <c r="HX30" s="154"/>
      <c r="HY30" s="154"/>
      <c r="HZ30" s="154"/>
      <c r="IA30" s="154"/>
      <c r="IB30" s="154"/>
      <c r="IC30" s="154"/>
      <c r="ID30" s="154"/>
      <c r="IE30" s="154"/>
      <c r="IF30" s="154"/>
      <c r="IG30" s="154"/>
      <c r="IH30" s="154"/>
      <c r="II30" s="154"/>
      <c r="IJ30" s="154"/>
      <c r="IK30" s="154"/>
      <c r="IL30" s="154"/>
      <c r="IM30" s="154"/>
      <c r="IN30" s="154"/>
      <c r="IO30" s="154"/>
      <c r="IP30" s="154"/>
      <c r="IQ30" s="154"/>
      <c r="IR30" s="154"/>
      <c r="IS30" s="154"/>
      <c r="IT30" s="154"/>
      <c r="IU30" s="154"/>
      <c r="IV30" s="154"/>
      <c r="IW30" s="154"/>
      <c r="IX30" s="154"/>
      <c r="IY30" s="154"/>
      <c r="IZ30" s="154"/>
      <c r="JA30" s="154"/>
      <c r="JB30" s="154"/>
      <c r="JC30" s="154"/>
      <c r="JD30" s="154"/>
      <c r="JE30" s="154"/>
      <c r="JF30" s="154"/>
      <c r="JG30" s="154"/>
      <c r="JH30" s="154"/>
      <c r="JI30" s="154"/>
      <c r="JJ30" s="154"/>
      <c r="JK30" s="154"/>
      <c r="JL30" s="154"/>
      <c r="JM30" s="154"/>
      <c r="JN30" s="154"/>
      <c r="JO30" s="154"/>
      <c r="JP30" s="154"/>
      <c r="JQ30" s="154"/>
      <c r="JR30" s="154"/>
      <c r="JS30" s="154"/>
      <c r="JT30" s="154"/>
      <c r="JU30" s="154"/>
      <c r="JV30" s="154"/>
      <c r="JW30" s="154"/>
      <c r="JX30" s="154"/>
      <c r="JY30" s="154"/>
      <c r="JZ30" s="154"/>
      <c r="KA30" s="154"/>
      <c r="KB30" s="154"/>
      <c r="KC30" s="154"/>
      <c r="KD30" s="154"/>
      <c r="KE30" s="154"/>
      <c r="KF30" s="154"/>
      <c r="KG30" s="154"/>
      <c r="KH30" s="154"/>
      <c r="KI30" s="154"/>
      <c r="KJ30" s="154"/>
      <c r="KK30" s="154"/>
      <c r="KL30" s="154"/>
      <c r="KM30" s="154"/>
      <c r="KN30" s="154"/>
      <c r="KO30" s="154"/>
      <c r="KP30" s="154"/>
      <c r="KQ30" s="154"/>
      <c r="KR30" s="154"/>
      <c r="KS30" s="154"/>
      <c r="KT30" s="154"/>
      <c r="KU30" s="154"/>
      <c r="KV30" s="154"/>
      <c r="KW30" s="154"/>
      <c r="KX30" s="154"/>
      <c r="KY30" s="154"/>
      <c r="KZ30" s="154"/>
      <c r="LA30" s="154"/>
      <c r="LB30" s="154"/>
      <c r="LC30" s="154"/>
      <c r="LD30" s="154"/>
      <c r="LE30" s="154"/>
      <c r="LF30" s="154"/>
    </row>
    <row r="31" spans="1:318" ht="15.75" thickBot="1">
      <c r="A31" s="156" t="s">
        <v>219</v>
      </c>
      <c r="B31" s="156">
        <f>A6*B6</f>
        <v>240000</v>
      </c>
      <c r="C31" s="157" t="s">
        <v>220</v>
      </c>
      <c r="D31" s="158">
        <f>F6*(B31+B32+B33+B34)</f>
        <v>49280</v>
      </c>
      <c r="O31" s="197" t="s">
        <v>221</v>
      </c>
      <c r="P31" s="193"/>
      <c r="Q31" s="199"/>
      <c r="R31" s="194"/>
      <c r="S31" s="195">
        <f t="shared" ref="S31:AQ31" si="19">S18-S27</f>
        <v>54279</v>
      </c>
      <c r="T31" s="195">
        <f t="shared" si="19"/>
        <v>53835.86</v>
      </c>
      <c r="U31" s="195">
        <f t="shared" si="19"/>
        <v>53390.049980000003</v>
      </c>
      <c r="V31" s="195">
        <f t="shared" si="19"/>
        <v>52941.415470139997</v>
      </c>
      <c r="W31" s="195">
        <f t="shared" si="19"/>
        <v>52489.797887049019</v>
      </c>
      <c r="X31" s="195">
        <f t="shared" si="19"/>
        <v>52035.034406795654</v>
      </c>
      <c r="Y31" s="195">
        <f t="shared" si="19"/>
        <v>51576.957834052773</v>
      </c>
      <c r="Z31" s="195">
        <f t="shared" si="19"/>
        <v>51115.396467362218</v>
      </c>
      <c r="AA31" s="195">
        <f t="shared" si="19"/>
        <v>50650.173960382948</v>
      </c>
      <c r="AB31" s="195">
        <f t="shared" si="19"/>
        <v>50181.109179001287</v>
      </c>
      <c r="AC31" s="195">
        <f t="shared" si="19"/>
        <v>49708.016054179527</v>
      </c>
      <c r="AD31" s="195">
        <f t="shared" si="19"/>
        <v>49230.703430414454</v>
      </c>
      <c r="AE31" s="195">
        <f t="shared" si="19"/>
        <v>48748.97490967418</v>
      </c>
      <c r="AF31" s="195">
        <f t="shared" si="19"/>
        <v>48262.628690677244</v>
      </c>
      <c r="AG31" s="195">
        <f t="shared" si="19"/>
        <v>47771.457403374443</v>
      </c>
      <c r="AH31" s="195">
        <f t="shared" si="19"/>
        <v>47275.247938488683</v>
      </c>
      <c r="AI31" s="195">
        <f t="shared" si="19"/>
        <v>46773.781271965294</v>
      </c>
      <c r="AJ31" s="195">
        <f t="shared" si="19"/>
        <v>46266.83228417892</v>
      </c>
      <c r="AK31" s="195">
        <f t="shared" si="19"/>
        <v>45754.169573740583</v>
      </c>
      <c r="AL31" s="195">
        <f t="shared" si="19"/>
        <v>45235.555265741852</v>
      </c>
      <c r="AM31" s="195">
        <f t="shared" si="19"/>
        <v>44710.744814269608</v>
      </c>
      <c r="AN31" s="195">
        <f t="shared" si="19"/>
        <v>44179.486799019331</v>
      </c>
      <c r="AO31" s="195">
        <f t="shared" si="19"/>
        <v>43641.522715829284</v>
      </c>
      <c r="AP31" s="195">
        <f t="shared" si="19"/>
        <v>43096.586760953658</v>
      </c>
      <c r="AQ31" s="196">
        <f t="shared" si="19"/>
        <v>42544.405608886227</v>
      </c>
      <c r="AW31" s="152"/>
      <c r="AX31" s="152"/>
      <c r="AY31" s="152"/>
      <c r="AZ31" s="152"/>
      <c r="BA31" s="152"/>
      <c r="BB31" s="152"/>
      <c r="BC31" s="152"/>
      <c r="BD31" s="152"/>
      <c r="BE31" s="152"/>
      <c r="BF31" s="152"/>
      <c r="BG31" s="152"/>
      <c r="BH31" s="152"/>
      <c r="BI31" s="152"/>
      <c r="BJ31" s="152"/>
      <c r="BK31" s="152"/>
      <c r="BL31" s="152"/>
      <c r="BM31" s="152"/>
      <c r="BN31" s="152"/>
      <c r="BO31" s="152"/>
      <c r="BP31" s="152"/>
      <c r="BQ31" s="152"/>
      <c r="BR31" s="152"/>
      <c r="BS31" s="152"/>
      <c r="BT31" s="152"/>
      <c r="BU31" s="152"/>
      <c r="BV31" s="152"/>
      <c r="BW31" s="152"/>
      <c r="BX31" s="152"/>
      <c r="BY31" s="152"/>
      <c r="BZ31" s="152"/>
      <c r="CA31" s="152"/>
      <c r="CB31" s="152"/>
      <c r="CC31" s="152"/>
      <c r="CD31" s="152"/>
      <c r="CE31" s="152"/>
      <c r="CF31" s="152"/>
      <c r="CG31" s="152"/>
      <c r="CH31" s="152"/>
      <c r="CI31" s="152"/>
      <c r="CJ31" s="152"/>
      <c r="CK31" s="152"/>
      <c r="CL31" s="152"/>
      <c r="CM31" s="152"/>
      <c r="CN31" s="152"/>
      <c r="CO31" s="152"/>
      <c r="CP31" s="152"/>
      <c r="CQ31" s="152"/>
      <c r="CR31" s="152"/>
      <c r="CS31" s="152"/>
      <c r="CT31" s="152"/>
      <c r="CU31" s="152"/>
      <c r="CV31" s="152"/>
      <c r="CW31" s="152"/>
      <c r="CX31" s="152"/>
      <c r="CY31" s="152"/>
      <c r="CZ31" s="152"/>
      <c r="DA31" s="152"/>
      <c r="DB31" s="152"/>
      <c r="DC31" s="152"/>
      <c r="DD31" s="152"/>
      <c r="DE31" s="152"/>
      <c r="DF31" s="152"/>
      <c r="DG31" s="152"/>
      <c r="DH31" s="152"/>
      <c r="DI31" s="152"/>
      <c r="DJ31" s="152"/>
      <c r="DK31" s="152"/>
      <c r="DL31" s="152"/>
      <c r="DM31" s="152"/>
      <c r="DN31" s="152"/>
      <c r="DO31" s="152"/>
      <c r="DP31" s="152"/>
      <c r="DQ31" s="152"/>
      <c r="DR31" s="152"/>
      <c r="DS31" s="152"/>
      <c r="DT31" s="152"/>
      <c r="DU31" s="152"/>
      <c r="DV31" s="152"/>
      <c r="DW31" s="152"/>
      <c r="DX31" s="152"/>
      <c r="DY31" s="152"/>
      <c r="DZ31" s="152"/>
      <c r="EA31" s="152"/>
      <c r="EB31" s="152"/>
      <c r="EC31" s="152"/>
      <c r="ED31" s="152"/>
      <c r="EE31" s="152"/>
      <c r="EF31" s="152"/>
      <c r="EG31" s="152"/>
      <c r="EH31" s="152"/>
      <c r="EI31" s="152"/>
      <c r="EJ31" s="152"/>
      <c r="EK31" s="152"/>
      <c r="EL31" s="152"/>
      <c r="EM31" s="152"/>
      <c r="EN31" s="152"/>
      <c r="EO31" s="152"/>
      <c r="EP31" s="152"/>
      <c r="EQ31" s="152"/>
      <c r="ER31" s="152"/>
      <c r="ES31" s="152"/>
      <c r="ET31" s="152"/>
      <c r="EU31" s="152"/>
      <c r="EV31" s="152"/>
      <c r="EW31" s="152"/>
      <c r="EX31" s="152"/>
      <c r="EY31" s="152"/>
      <c r="EZ31" s="152"/>
      <c r="FA31" s="152"/>
      <c r="FB31" s="152"/>
      <c r="FC31" s="152"/>
      <c r="FD31" s="152"/>
      <c r="FE31" s="152"/>
      <c r="FF31" s="152"/>
      <c r="FG31" s="152"/>
      <c r="FH31" s="152"/>
      <c r="FI31" s="152"/>
      <c r="FJ31" s="152"/>
      <c r="FK31" s="152"/>
      <c r="FL31" s="152"/>
      <c r="FM31" s="152"/>
      <c r="FN31" s="152"/>
      <c r="FO31" s="152"/>
      <c r="FP31" s="152"/>
      <c r="FQ31" s="152"/>
      <c r="FR31" s="152"/>
      <c r="FS31" s="152"/>
      <c r="FT31" s="152"/>
      <c r="FU31" s="152"/>
      <c r="FV31" s="152"/>
      <c r="FW31" s="152"/>
      <c r="FX31" s="152"/>
      <c r="FY31" s="152"/>
      <c r="FZ31" s="152"/>
      <c r="GA31" s="152"/>
      <c r="GB31" s="152"/>
      <c r="GC31" s="152"/>
      <c r="GD31" s="152"/>
      <c r="GE31" s="152"/>
      <c r="GF31" s="152"/>
      <c r="GG31" s="152"/>
      <c r="GH31" s="152"/>
      <c r="GI31" s="152"/>
      <c r="GJ31" s="152"/>
      <c r="GK31" s="152"/>
      <c r="GL31" s="152"/>
      <c r="GM31" s="152"/>
      <c r="GN31" s="152"/>
      <c r="GO31" s="152"/>
      <c r="GP31" s="152"/>
      <c r="GQ31" s="152"/>
      <c r="GR31" s="152"/>
      <c r="GS31" s="152"/>
      <c r="GT31" s="152"/>
      <c r="GU31" s="152"/>
      <c r="GV31" s="152"/>
      <c r="GW31" s="152"/>
      <c r="GX31" s="152"/>
      <c r="GY31" s="152"/>
      <c r="GZ31" s="152"/>
      <c r="HA31" s="152"/>
      <c r="HB31" s="152"/>
      <c r="HC31" s="152"/>
      <c r="HD31" s="152"/>
      <c r="HE31" s="152"/>
      <c r="HF31" s="152"/>
      <c r="HG31" s="152"/>
      <c r="HH31" s="152"/>
      <c r="HI31" s="152"/>
      <c r="HJ31" s="152"/>
      <c r="HK31" s="152"/>
      <c r="HL31" s="152"/>
      <c r="HM31" s="152"/>
      <c r="HN31" s="152"/>
      <c r="HO31" s="152"/>
      <c r="HP31" s="152"/>
      <c r="HQ31" s="152"/>
      <c r="HR31" s="152"/>
      <c r="HS31" s="152"/>
      <c r="HT31" s="152"/>
      <c r="HU31" s="152"/>
      <c r="HV31" s="152"/>
      <c r="HW31" s="152"/>
      <c r="HX31" s="152"/>
      <c r="HY31" s="152"/>
      <c r="HZ31" s="152"/>
      <c r="IA31" s="152"/>
      <c r="IB31" s="152"/>
      <c r="IC31" s="152"/>
      <c r="ID31" s="152"/>
      <c r="IE31" s="152"/>
      <c r="IF31" s="152"/>
      <c r="IG31" s="152"/>
      <c r="IH31" s="152"/>
      <c r="II31" s="152"/>
      <c r="IJ31" s="152"/>
      <c r="IK31" s="152"/>
      <c r="IL31" s="152"/>
      <c r="IM31" s="152"/>
      <c r="IN31" s="152"/>
      <c r="IO31" s="152"/>
      <c r="IP31" s="152"/>
      <c r="IQ31" s="152"/>
      <c r="IR31" s="152"/>
      <c r="IS31" s="152"/>
      <c r="IT31" s="152"/>
      <c r="IU31" s="152"/>
      <c r="IV31" s="152"/>
      <c r="IW31" s="152"/>
      <c r="IX31" s="152"/>
      <c r="IY31" s="152"/>
      <c r="IZ31" s="152"/>
      <c r="JA31" s="152"/>
      <c r="JB31" s="152"/>
      <c r="JC31" s="152"/>
      <c r="JD31" s="152"/>
      <c r="JE31" s="152"/>
      <c r="JF31" s="152"/>
      <c r="JG31" s="152"/>
      <c r="JH31" s="152"/>
      <c r="JI31" s="152"/>
      <c r="JJ31" s="152"/>
      <c r="JK31" s="152"/>
      <c r="JL31" s="152"/>
      <c r="JM31" s="152"/>
      <c r="JN31" s="152"/>
      <c r="JO31" s="152"/>
      <c r="JP31" s="152"/>
      <c r="JQ31" s="152"/>
      <c r="JR31" s="152"/>
      <c r="JS31" s="152"/>
      <c r="JT31" s="152"/>
      <c r="JU31" s="152"/>
      <c r="JV31" s="152"/>
      <c r="JW31" s="152"/>
      <c r="JX31" s="152"/>
      <c r="JY31" s="152"/>
      <c r="JZ31" s="152"/>
      <c r="KA31" s="152"/>
      <c r="KB31" s="152"/>
      <c r="KC31" s="152"/>
      <c r="KD31" s="152"/>
      <c r="KE31" s="152"/>
      <c r="KF31" s="152"/>
      <c r="KG31" s="152"/>
      <c r="KH31" s="152"/>
      <c r="KI31" s="152"/>
      <c r="KJ31" s="152"/>
      <c r="KK31" s="152"/>
      <c r="KL31" s="152"/>
      <c r="KM31" s="152"/>
      <c r="KN31" s="152"/>
      <c r="KO31" s="152"/>
      <c r="KP31" s="152"/>
      <c r="KQ31" s="152"/>
      <c r="KR31" s="152"/>
      <c r="KS31" s="152"/>
      <c r="KT31" s="152"/>
      <c r="KU31" s="152"/>
      <c r="KV31" s="152"/>
      <c r="KW31" s="152"/>
      <c r="KX31" s="152"/>
      <c r="KY31" s="152"/>
      <c r="KZ31" s="152"/>
      <c r="LA31" s="152"/>
      <c r="LB31" s="152"/>
      <c r="LC31" s="152"/>
      <c r="LD31" s="152"/>
      <c r="LE31" s="152"/>
      <c r="LF31" s="152"/>
    </row>
    <row r="32" spans="1:318">
      <c r="A32" s="156" t="s">
        <v>222</v>
      </c>
      <c r="B32" s="156">
        <f>R6</f>
        <v>1600</v>
      </c>
      <c r="C32" s="157" t="s">
        <v>223</v>
      </c>
      <c r="D32" s="156">
        <f>(1-F6)*(B31+B32+B33+B34)</f>
        <v>197120</v>
      </c>
      <c r="E32" s="1">
        <f>D31+D32</f>
        <v>246400</v>
      </c>
      <c r="O32" s="139"/>
      <c r="Q32" s="140"/>
      <c r="R32" s="139"/>
      <c r="S32" s="188"/>
      <c r="T32" s="188"/>
      <c r="U32" s="188"/>
      <c r="V32" s="188"/>
      <c r="W32" s="188"/>
      <c r="X32" s="188"/>
      <c r="Y32" s="188"/>
      <c r="Z32" s="188"/>
      <c r="AA32" s="188"/>
      <c r="AB32" s="188"/>
      <c r="AC32" s="188"/>
      <c r="AD32" s="188"/>
      <c r="AE32" s="188"/>
      <c r="AF32" s="188"/>
      <c r="AG32" s="188"/>
      <c r="AH32" s="188"/>
      <c r="AI32" s="188"/>
      <c r="AJ32" s="188"/>
      <c r="AK32" s="188"/>
      <c r="AL32" s="188"/>
      <c r="AM32" s="188"/>
      <c r="AN32" s="188"/>
      <c r="AO32" s="188"/>
      <c r="AP32" s="188"/>
      <c r="AQ32" s="189"/>
      <c r="AW32" s="152"/>
      <c r="AX32" s="152"/>
      <c r="AY32" s="152"/>
      <c r="AZ32" s="152"/>
      <c r="BA32" s="152"/>
      <c r="BB32" s="152"/>
      <c r="BC32" s="152"/>
      <c r="BD32" s="152"/>
      <c r="BE32" s="152"/>
      <c r="BF32" s="152"/>
      <c r="BG32" s="152"/>
      <c r="BH32" s="152"/>
      <c r="BI32" s="152"/>
      <c r="BJ32" s="152"/>
      <c r="BK32" s="152"/>
      <c r="BL32" s="152"/>
      <c r="BM32" s="152"/>
      <c r="BN32" s="152"/>
      <c r="BO32" s="152"/>
      <c r="BP32" s="152"/>
      <c r="BQ32" s="152"/>
      <c r="BR32" s="152"/>
      <c r="BS32" s="152"/>
      <c r="BT32" s="152"/>
      <c r="BU32" s="152"/>
      <c r="BV32" s="152"/>
      <c r="BW32" s="152"/>
      <c r="BX32" s="152"/>
      <c r="BY32" s="152"/>
      <c r="BZ32" s="152"/>
      <c r="CA32" s="152"/>
      <c r="CB32" s="152"/>
      <c r="CC32" s="152"/>
      <c r="CD32" s="152"/>
      <c r="CE32" s="152"/>
      <c r="CF32" s="152"/>
      <c r="CG32" s="152"/>
      <c r="CH32" s="152"/>
      <c r="CI32" s="152"/>
      <c r="CJ32" s="152"/>
      <c r="CK32" s="152"/>
      <c r="CL32" s="152"/>
      <c r="CM32" s="152"/>
      <c r="CN32" s="152"/>
      <c r="CO32" s="152"/>
      <c r="CP32" s="152"/>
      <c r="CQ32" s="152"/>
      <c r="CR32" s="152"/>
      <c r="CS32" s="152"/>
      <c r="CT32" s="152"/>
      <c r="CU32" s="152"/>
      <c r="CV32" s="152"/>
      <c r="CW32" s="152"/>
      <c r="CX32" s="152"/>
      <c r="CY32" s="152"/>
      <c r="CZ32" s="152"/>
      <c r="DA32" s="152"/>
      <c r="DB32" s="152"/>
      <c r="DC32" s="152"/>
      <c r="DD32" s="152"/>
      <c r="DE32" s="152"/>
      <c r="DF32" s="152"/>
      <c r="DG32" s="152"/>
      <c r="DH32" s="152"/>
      <c r="DI32" s="152"/>
      <c r="DJ32" s="152"/>
      <c r="DK32" s="152"/>
      <c r="DL32" s="152"/>
      <c r="DM32" s="152"/>
      <c r="DN32" s="152"/>
      <c r="DO32" s="152"/>
      <c r="DP32" s="152"/>
      <c r="DQ32" s="152"/>
      <c r="DR32" s="152"/>
      <c r="DS32" s="152"/>
      <c r="DT32" s="152"/>
      <c r="DU32" s="152"/>
      <c r="DV32" s="152"/>
      <c r="DW32" s="152"/>
      <c r="DX32" s="152"/>
      <c r="DY32" s="152"/>
      <c r="DZ32" s="152"/>
      <c r="EA32" s="152"/>
      <c r="EB32" s="152"/>
      <c r="EC32" s="152"/>
      <c r="ED32" s="152"/>
      <c r="EE32" s="152"/>
      <c r="EF32" s="152"/>
      <c r="EG32" s="152"/>
      <c r="EH32" s="152"/>
      <c r="EI32" s="152"/>
      <c r="EJ32" s="152"/>
      <c r="EK32" s="152"/>
      <c r="EL32" s="152"/>
      <c r="EM32" s="152"/>
      <c r="EN32" s="152"/>
      <c r="EO32" s="152"/>
      <c r="EP32" s="152"/>
      <c r="EQ32" s="152"/>
      <c r="ER32" s="152"/>
      <c r="ES32" s="152"/>
      <c r="ET32" s="152"/>
      <c r="EU32" s="152"/>
      <c r="EV32" s="152"/>
      <c r="EW32" s="152"/>
      <c r="EX32" s="152"/>
      <c r="EY32" s="152"/>
      <c r="EZ32" s="152"/>
      <c r="FA32" s="152"/>
      <c r="FB32" s="152"/>
      <c r="FC32" s="152"/>
      <c r="FD32" s="152"/>
      <c r="FE32" s="152"/>
      <c r="FF32" s="152"/>
      <c r="FG32" s="152"/>
      <c r="FH32" s="152"/>
      <c r="FI32" s="152"/>
      <c r="FJ32" s="152"/>
      <c r="FK32" s="152"/>
      <c r="FL32" s="152"/>
      <c r="FM32" s="152"/>
      <c r="FN32" s="152"/>
      <c r="FO32" s="152"/>
      <c r="FP32" s="152"/>
      <c r="FQ32" s="152"/>
      <c r="FR32" s="152"/>
      <c r="FS32" s="152"/>
      <c r="FT32" s="152"/>
      <c r="FU32" s="152"/>
      <c r="FV32" s="152"/>
      <c r="FW32" s="152"/>
      <c r="FX32" s="152"/>
      <c r="FY32" s="152"/>
      <c r="FZ32" s="152"/>
      <c r="GA32" s="152"/>
      <c r="GB32" s="152"/>
      <c r="GC32" s="152"/>
      <c r="GD32" s="152"/>
      <c r="GE32" s="152"/>
      <c r="GF32" s="152"/>
      <c r="GG32" s="152"/>
      <c r="GH32" s="152"/>
      <c r="GI32" s="152"/>
      <c r="GJ32" s="152"/>
      <c r="GK32" s="152"/>
      <c r="GL32" s="152"/>
      <c r="GM32" s="152"/>
      <c r="GN32" s="152"/>
      <c r="GO32" s="152"/>
      <c r="GP32" s="152"/>
      <c r="GQ32" s="152"/>
      <c r="GR32" s="152"/>
      <c r="GS32" s="152"/>
      <c r="GT32" s="152"/>
      <c r="GU32" s="152"/>
      <c r="GV32" s="152"/>
      <c r="GW32" s="152"/>
      <c r="GX32" s="152"/>
      <c r="GY32" s="152"/>
      <c r="GZ32" s="152"/>
      <c r="HA32" s="152"/>
      <c r="HB32" s="152"/>
      <c r="HC32" s="152"/>
      <c r="HD32" s="152"/>
      <c r="HE32" s="152"/>
      <c r="HF32" s="152"/>
      <c r="HG32" s="152"/>
      <c r="HH32" s="152"/>
      <c r="HI32" s="152"/>
      <c r="HJ32" s="152"/>
      <c r="HK32" s="152"/>
      <c r="HL32" s="152"/>
      <c r="HM32" s="152"/>
      <c r="HN32" s="152"/>
      <c r="HO32" s="152"/>
      <c r="HP32" s="152"/>
      <c r="HQ32" s="152"/>
      <c r="HR32" s="152"/>
      <c r="HS32" s="152"/>
      <c r="HT32" s="152"/>
      <c r="HU32" s="152"/>
      <c r="HV32" s="152"/>
      <c r="HW32" s="152"/>
      <c r="HX32" s="152"/>
      <c r="HY32" s="152"/>
      <c r="HZ32" s="152"/>
      <c r="IA32" s="152"/>
      <c r="IB32" s="152"/>
      <c r="IC32" s="152"/>
      <c r="ID32" s="152"/>
      <c r="IE32" s="152"/>
      <c r="IF32" s="152"/>
      <c r="IG32" s="152"/>
      <c r="IH32" s="152"/>
      <c r="II32" s="152"/>
      <c r="IJ32" s="152"/>
      <c r="IK32" s="152"/>
      <c r="IL32" s="152"/>
      <c r="IM32" s="152"/>
      <c r="IN32" s="152"/>
      <c r="IO32" s="152"/>
      <c r="IP32" s="152"/>
      <c r="IQ32" s="152"/>
      <c r="IR32" s="152"/>
      <c r="IS32" s="152"/>
      <c r="IT32" s="152"/>
      <c r="IU32" s="152"/>
      <c r="IV32" s="152"/>
      <c r="IW32" s="152"/>
      <c r="IX32" s="152"/>
      <c r="IY32" s="152"/>
      <c r="IZ32" s="152"/>
      <c r="JA32" s="152"/>
      <c r="JB32" s="152"/>
      <c r="JC32" s="152"/>
      <c r="JD32" s="152"/>
      <c r="JE32" s="152"/>
      <c r="JF32" s="152"/>
      <c r="JG32" s="152"/>
      <c r="JH32" s="152"/>
      <c r="JI32" s="152"/>
      <c r="JJ32" s="152"/>
      <c r="JK32" s="152"/>
      <c r="JL32" s="152"/>
      <c r="JM32" s="152"/>
      <c r="JN32" s="152"/>
      <c r="JO32" s="152"/>
      <c r="JP32" s="152"/>
      <c r="JQ32" s="152"/>
      <c r="JR32" s="152"/>
      <c r="JS32" s="152"/>
      <c r="JT32" s="152"/>
      <c r="JU32" s="152"/>
      <c r="JV32" s="152"/>
      <c r="JW32" s="152"/>
      <c r="JX32" s="152"/>
      <c r="JY32" s="152"/>
      <c r="JZ32" s="152"/>
      <c r="KA32" s="152"/>
      <c r="KB32" s="152"/>
      <c r="KC32" s="152"/>
      <c r="KD32" s="152"/>
      <c r="KE32" s="152"/>
      <c r="KF32" s="152"/>
      <c r="KG32" s="152"/>
      <c r="KH32" s="152"/>
      <c r="KI32" s="152"/>
      <c r="KJ32" s="152"/>
      <c r="KK32" s="152"/>
      <c r="KL32" s="152"/>
      <c r="KM32" s="152"/>
      <c r="KN32" s="152"/>
      <c r="KO32" s="152"/>
      <c r="KP32" s="152"/>
      <c r="KQ32" s="152"/>
      <c r="KR32" s="152"/>
      <c r="KS32" s="152"/>
      <c r="KT32" s="152"/>
      <c r="KU32" s="152"/>
      <c r="KV32" s="152"/>
      <c r="KW32" s="152"/>
      <c r="KX32" s="152"/>
      <c r="KY32" s="152"/>
      <c r="KZ32" s="152"/>
      <c r="LA32" s="152"/>
      <c r="LB32" s="152"/>
      <c r="LC32" s="152"/>
      <c r="LD32" s="152"/>
      <c r="LE32" s="152"/>
      <c r="LF32" s="152"/>
    </row>
    <row r="33" spans="1:318">
      <c r="A33" s="156" t="s">
        <v>224</v>
      </c>
      <c r="B33" s="156">
        <f>S6</f>
        <v>2000</v>
      </c>
      <c r="C33" s="157"/>
      <c r="D33" s="156"/>
      <c r="O33" s="139" t="s">
        <v>225</v>
      </c>
      <c r="Q33" s="140"/>
      <c r="R33" s="139"/>
      <c r="S33" s="188">
        <f>($A$6*$B$6+(1-$J$9)*$A$9*$B$9+$R$6+$S$6+$X$6+$Y$6)*85%*10%</f>
        <v>20944</v>
      </c>
      <c r="T33" s="188">
        <f t="shared" ref="T33:AB33" si="20">($A$6*$B$6+(1-$J$9)*$A$9*$B$9+$R$6+$S$6+$X$6+$Y$6)*85%*10%</f>
        <v>20944</v>
      </c>
      <c r="U33" s="188">
        <f t="shared" si="20"/>
        <v>20944</v>
      </c>
      <c r="V33" s="188">
        <f t="shared" si="20"/>
        <v>20944</v>
      </c>
      <c r="W33" s="188">
        <f t="shared" si="20"/>
        <v>20944</v>
      </c>
      <c r="X33" s="188">
        <f t="shared" si="20"/>
        <v>20944</v>
      </c>
      <c r="Y33" s="188">
        <f t="shared" si="20"/>
        <v>20944</v>
      </c>
      <c r="Z33" s="188">
        <f t="shared" si="20"/>
        <v>20944</v>
      </c>
      <c r="AA33" s="188">
        <f t="shared" si="20"/>
        <v>20944</v>
      </c>
      <c r="AB33" s="188">
        <f t="shared" si="20"/>
        <v>20944</v>
      </c>
      <c r="AC33" s="188"/>
      <c r="AD33" s="188"/>
      <c r="AE33" s="188"/>
      <c r="AF33" s="188"/>
      <c r="AG33" s="188"/>
      <c r="AH33" s="188"/>
      <c r="AI33" s="188"/>
      <c r="AJ33" s="188"/>
      <c r="AK33" s="188"/>
      <c r="AL33" s="188"/>
      <c r="AM33" s="188"/>
      <c r="AN33" s="188"/>
      <c r="AO33" s="188"/>
      <c r="AP33" s="188"/>
      <c r="AQ33" s="189"/>
      <c r="AW33" s="152"/>
      <c r="AX33" s="152"/>
      <c r="AY33" s="152"/>
      <c r="AZ33" s="152"/>
      <c r="BA33" s="152"/>
      <c r="BB33" s="152"/>
      <c r="BC33" s="152"/>
      <c r="BD33" s="152"/>
      <c r="BE33" s="152"/>
      <c r="BF33" s="152"/>
      <c r="BG33" s="152"/>
      <c r="BH33" s="152"/>
      <c r="BI33" s="152"/>
      <c r="BJ33" s="152"/>
      <c r="BK33" s="152"/>
      <c r="BL33" s="152"/>
      <c r="BM33" s="152"/>
      <c r="BN33" s="152"/>
      <c r="BO33" s="152"/>
      <c r="BP33" s="152"/>
      <c r="BQ33" s="152"/>
      <c r="BR33" s="152"/>
      <c r="BS33" s="152"/>
      <c r="BT33" s="152"/>
      <c r="BU33" s="152"/>
      <c r="BV33" s="152"/>
      <c r="BW33" s="152"/>
      <c r="BX33" s="152"/>
      <c r="BY33" s="152"/>
      <c r="BZ33" s="152"/>
      <c r="CA33" s="152"/>
      <c r="CB33" s="152"/>
      <c r="CC33" s="152"/>
      <c r="CD33" s="152"/>
      <c r="CE33" s="152"/>
      <c r="CF33" s="152"/>
      <c r="CG33" s="152"/>
      <c r="CH33" s="152"/>
      <c r="CI33" s="152"/>
      <c r="CJ33" s="152"/>
      <c r="CK33" s="152"/>
      <c r="CL33" s="152"/>
      <c r="CM33" s="152"/>
      <c r="CN33" s="152"/>
      <c r="CO33" s="152"/>
      <c r="CP33" s="152"/>
      <c r="CQ33" s="152"/>
      <c r="CR33" s="152"/>
      <c r="CS33" s="152"/>
      <c r="CT33" s="152"/>
      <c r="CU33" s="152"/>
      <c r="CV33" s="152"/>
      <c r="CW33" s="152"/>
      <c r="CX33" s="152"/>
      <c r="CY33" s="152"/>
      <c r="CZ33" s="152"/>
      <c r="DA33" s="152"/>
      <c r="DB33" s="152"/>
      <c r="DC33" s="152"/>
      <c r="DD33" s="152"/>
      <c r="DE33" s="152"/>
      <c r="DF33" s="152"/>
      <c r="DG33" s="152"/>
      <c r="DH33" s="152"/>
      <c r="DI33" s="152"/>
      <c r="DJ33" s="152"/>
      <c r="DK33" s="152"/>
      <c r="DL33" s="152"/>
      <c r="DM33" s="152"/>
      <c r="DN33" s="152"/>
      <c r="DO33" s="152"/>
      <c r="DP33" s="152"/>
      <c r="DQ33" s="152"/>
      <c r="DR33" s="152"/>
      <c r="DS33" s="152"/>
      <c r="DT33" s="152"/>
      <c r="DU33" s="152"/>
      <c r="DV33" s="152"/>
      <c r="DW33" s="152"/>
      <c r="DX33" s="152"/>
      <c r="DY33" s="152"/>
      <c r="DZ33" s="152"/>
      <c r="EA33" s="152"/>
      <c r="EB33" s="152"/>
      <c r="EC33" s="152"/>
      <c r="ED33" s="152"/>
      <c r="EE33" s="152"/>
      <c r="EF33" s="152"/>
      <c r="EG33" s="152"/>
      <c r="EH33" s="152"/>
      <c r="EI33" s="152"/>
      <c r="EJ33" s="152"/>
      <c r="EK33" s="152"/>
      <c r="EL33" s="152"/>
      <c r="EM33" s="152"/>
      <c r="EN33" s="152"/>
      <c r="EO33" s="152"/>
      <c r="EP33" s="152"/>
      <c r="EQ33" s="152"/>
      <c r="ER33" s="152"/>
      <c r="ES33" s="152"/>
      <c r="ET33" s="152"/>
      <c r="EU33" s="152"/>
      <c r="EV33" s="152"/>
      <c r="EW33" s="152"/>
      <c r="EX33" s="152"/>
      <c r="EY33" s="152"/>
      <c r="EZ33" s="152"/>
      <c r="FA33" s="152"/>
      <c r="FB33" s="152"/>
      <c r="FC33" s="152"/>
      <c r="FD33" s="152"/>
      <c r="FE33" s="152"/>
      <c r="FF33" s="152"/>
      <c r="FG33" s="152"/>
      <c r="FH33" s="152"/>
      <c r="FI33" s="152"/>
      <c r="FJ33" s="152"/>
      <c r="FK33" s="152"/>
      <c r="FL33" s="152"/>
      <c r="FM33" s="152"/>
      <c r="FN33" s="152"/>
      <c r="FO33" s="152"/>
      <c r="FP33" s="152"/>
      <c r="FQ33" s="152"/>
      <c r="FR33" s="152"/>
      <c r="FS33" s="152"/>
      <c r="FT33" s="152"/>
      <c r="FU33" s="152"/>
      <c r="FV33" s="152"/>
      <c r="FW33" s="152"/>
      <c r="FX33" s="152"/>
      <c r="FY33" s="152"/>
      <c r="FZ33" s="152"/>
      <c r="GA33" s="152"/>
      <c r="GB33" s="152"/>
      <c r="GC33" s="152"/>
      <c r="GD33" s="152"/>
      <c r="GE33" s="152"/>
      <c r="GF33" s="152"/>
      <c r="GG33" s="152"/>
      <c r="GH33" s="152"/>
      <c r="GI33" s="152"/>
      <c r="GJ33" s="152"/>
      <c r="GK33" s="152"/>
      <c r="GL33" s="152"/>
      <c r="GM33" s="152"/>
      <c r="GN33" s="152"/>
      <c r="GO33" s="152"/>
      <c r="GP33" s="152"/>
      <c r="GQ33" s="152"/>
      <c r="GR33" s="152"/>
      <c r="GS33" s="152"/>
      <c r="GT33" s="152"/>
      <c r="GU33" s="152"/>
      <c r="GV33" s="152"/>
      <c r="GW33" s="152"/>
      <c r="GX33" s="152"/>
      <c r="GY33" s="152"/>
      <c r="GZ33" s="152"/>
      <c r="HA33" s="152"/>
      <c r="HB33" s="152"/>
      <c r="HC33" s="152"/>
      <c r="HD33" s="152"/>
      <c r="HE33" s="152"/>
      <c r="HF33" s="152"/>
      <c r="HG33" s="152"/>
      <c r="HH33" s="152"/>
      <c r="HI33" s="152"/>
      <c r="HJ33" s="152"/>
      <c r="HK33" s="152"/>
      <c r="HL33" s="152"/>
      <c r="HM33" s="152"/>
      <c r="HN33" s="152"/>
      <c r="HO33" s="152"/>
      <c r="HP33" s="152"/>
      <c r="HQ33" s="152"/>
      <c r="HR33" s="152"/>
      <c r="HS33" s="152"/>
      <c r="HT33" s="152"/>
      <c r="HU33" s="152"/>
      <c r="HV33" s="152"/>
      <c r="HW33" s="152"/>
      <c r="HX33" s="152"/>
      <c r="HY33" s="152"/>
      <c r="HZ33" s="152"/>
      <c r="IA33" s="152"/>
      <c r="IB33" s="152"/>
      <c r="IC33" s="152"/>
      <c r="ID33" s="152"/>
      <c r="IE33" s="152"/>
      <c r="IF33" s="152"/>
      <c r="IG33" s="152"/>
      <c r="IH33" s="152"/>
      <c r="II33" s="152"/>
      <c r="IJ33" s="152"/>
      <c r="IK33" s="152"/>
      <c r="IL33" s="152"/>
      <c r="IM33" s="152"/>
      <c r="IN33" s="152"/>
      <c r="IO33" s="152"/>
      <c r="IP33" s="152"/>
      <c r="IQ33" s="152"/>
      <c r="IR33" s="152"/>
      <c r="IS33" s="152"/>
      <c r="IT33" s="152"/>
      <c r="IU33" s="152"/>
      <c r="IV33" s="152"/>
      <c r="IW33" s="152"/>
      <c r="IX33" s="152"/>
      <c r="IY33" s="152"/>
      <c r="IZ33" s="152"/>
      <c r="JA33" s="152"/>
      <c r="JB33" s="152"/>
      <c r="JC33" s="152"/>
      <c r="JD33" s="152"/>
      <c r="JE33" s="152"/>
      <c r="JF33" s="152"/>
      <c r="JG33" s="152"/>
      <c r="JH33" s="152"/>
      <c r="JI33" s="152"/>
      <c r="JJ33" s="152"/>
      <c r="JK33" s="152"/>
      <c r="JL33" s="152"/>
      <c r="JM33" s="152"/>
      <c r="JN33" s="152"/>
      <c r="JO33" s="152"/>
      <c r="JP33" s="152"/>
      <c r="JQ33" s="152"/>
      <c r="JR33" s="152"/>
      <c r="JS33" s="152"/>
      <c r="JT33" s="152"/>
      <c r="JU33" s="152"/>
      <c r="JV33" s="152"/>
      <c r="JW33" s="152"/>
      <c r="JX33" s="152"/>
      <c r="JY33" s="152"/>
      <c r="JZ33" s="152"/>
      <c r="KA33" s="152"/>
      <c r="KB33" s="152"/>
      <c r="KC33" s="152"/>
      <c r="KD33" s="152"/>
      <c r="KE33" s="152"/>
      <c r="KF33" s="152"/>
      <c r="KG33" s="152"/>
      <c r="KH33" s="152"/>
      <c r="KI33" s="152"/>
      <c r="KJ33" s="152"/>
      <c r="KK33" s="152"/>
      <c r="KL33" s="152"/>
      <c r="KM33" s="152"/>
      <c r="KN33" s="152"/>
      <c r="KO33" s="152"/>
      <c r="KP33" s="152"/>
      <c r="KQ33" s="152"/>
      <c r="KR33" s="152"/>
      <c r="KS33" s="152"/>
      <c r="KT33" s="152"/>
      <c r="KU33" s="152"/>
      <c r="KV33" s="152"/>
      <c r="KW33" s="152"/>
      <c r="KX33" s="152"/>
      <c r="KY33" s="152"/>
      <c r="KZ33" s="152"/>
      <c r="LA33" s="152"/>
      <c r="LB33" s="152"/>
      <c r="LC33" s="152"/>
      <c r="LD33" s="152"/>
      <c r="LE33" s="152"/>
      <c r="LF33" s="152"/>
    </row>
    <row r="34" spans="1:318" ht="30">
      <c r="A34" s="159" t="s">
        <v>226</v>
      </c>
      <c r="B34" s="156">
        <f>X6+Y6</f>
        <v>2800</v>
      </c>
      <c r="C34" s="157"/>
      <c r="D34" s="156"/>
      <c r="O34" s="139" t="s">
        <v>227</v>
      </c>
      <c r="Q34" s="140"/>
      <c r="R34" s="139"/>
      <c r="S34" s="188">
        <f>($A$6*$B$6+(1-$J$9)*$A$9*$B$9+$S$6+$X$6+$Y$6)*15%*4%</f>
        <v>1468.8</v>
      </c>
      <c r="T34" s="188">
        <f t="shared" ref="T34:AQ34" si="21">($A$6*$B$6+(1-$J$9)*$A$9*$B$9+$S$6+$X$6+$Y$6)*15%*4%</f>
        <v>1468.8</v>
      </c>
      <c r="U34" s="188">
        <f t="shared" si="21"/>
        <v>1468.8</v>
      </c>
      <c r="V34" s="188">
        <f t="shared" si="21"/>
        <v>1468.8</v>
      </c>
      <c r="W34" s="188">
        <f t="shared" si="21"/>
        <v>1468.8</v>
      </c>
      <c r="X34" s="188">
        <f t="shared" si="21"/>
        <v>1468.8</v>
      </c>
      <c r="Y34" s="188">
        <f t="shared" si="21"/>
        <v>1468.8</v>
      </c>
      <c r="Z34" s="188">
        <f t="shared" si="21"/>
        <v>1468.8</v>
      </c>
      <c r="AA34" s="188">
        <f t="shared" si="21"/>
        <v>1468.8</v>
      </c>
      <c r="AB34" s="188">
        <f t="shared" si="21"/>
        <v>1468.8</v>
      </c>
      <c r="AC34" s="188">
        <f t="shared" si="21"/>
        <v>1468.8</v>
      </c>
      <c r="AD34" s="188">
        <f t="shared" si="21"/>
        <v>1468.8</v>
      </c>
      <c r="AE34" s="188">
        <f t="shared" si="21"/>
        <v>1468.8</v>
      </c>
      <c r="AF34" s="188">
        <f t="shared" si="21"/>
        <v>1468.8</v>
      </c>
      <c r="AG34" s="188">
        <f t="shared" si="21"/>
        <v>1468.8</v>
      </c>
      <c r="AH34" s="188">
        <f t="shared" si="21"/>
        <v>1468.8</v>
      </c>
      <c r="AI34" s="188">
        <f t="shared" si="21"/>
        <v>1468.8</v>
      </c>
      <c r="AJ34" s="188">
        <f t="shared" si="21"/>
        <v>1468.8</v>
      </c>
      <c r="AK34" s="188">
        <f t="shared" si="21"/>
        <v>1468.8</v>
      </c>
      <c r="AL34" s="188">
        <f t="shared" si="21"/>
        <v>1468.8</v>
      </c>
      <c r="AM34" s="188">
        <f t="shared" si="21"/>
        <v>1468.8</v>
      </c>
      <c r="AN34" s="188">
        <f t="shared" si="21"/>
        <v>1468.8</v>
      </c>
      <c r="AO34" s="188">
        <f t="shared" si="21"/>
        <v>1468.8</v>
      </c>
      <c r="AP34" s="188">
        <f t="shared" si="21"/>
        <v>1468.8</v>
      </c>
      <c r="AQ34" s="189">
        <f t="shared" si="21"/>
        <v>1468.8</v>
      </c>
      <c r="AW34" s="152"/>
      <c r="AX34" s="152"/>
      <c r="AY34" s="152"/>
      <c r="AZ34" s="152"/>
      <c r="BA34" s="152"/>
      <c r="BB34" s="152"/>
      <c r="BC34" s="152"/>
      <c r="BD34" s="152"/>
      <c r="BE34" s="152"/>
      <c r="BF34" s="152"/>
      <c r="BG34" s="152"/>
      <c r="BH34" s="152"/>
      <c r="BI34" s="152"/>
      <c r="BJ34" s="152"/>
      <c r="BK34" s="152"/>
      <c r="BL34" s="152"/>
      <c r="BM34" s="152"/>
      <c r="BN34" s="152"/>
      <c r="BO34" s="152"/>
      <c r="BP34" s="152"/>
      <c r="BQ34" s="152"/>
      <c r="BR34" s="152"/>
      <c r="BS34" s="152"/>
      <c r="BT34" s="152"/>
      <c r="BU34" s="152"/>
      <c r="BV34" s="152"/>
      <c r="BW34" s="152"/>
      <c r="BX34" s="152"/>
      <c r="BY34" s="152"/>
      <c r="BZ34" s="152"/>
      <c r="CA34" s="152"/>
      <c r="CB34" s="152"/>
      <c r="CC34" s="152"/>
      <c r="CD34" s="152"/>
      <c r="CE34" s="152"/>
      <c r="CF34" s="152"/>
      <c r="CG34" s="152"/>
      <c r="CH34" s="152"/>
      <c r="CI34" s="152"/>
      <c r="CJ34" s="152"/>
      <c r="CK34" s="152"/>
      <c r="CL34" s="152"/>
      <c r="CM34" s="152"/>
      <c r="CN34" s="152"/>
      <c r="CO34" s="152"/>
      <c r="CP34" s="152"/>
      <c r="CQ34" s="152"/>
      <c r="CR34" s="152"/>
      <c r="CS34" s="152"/>
      <c r="CT34" s="152"/>
      <c r="CU34" s="152"/>
      <c r="CV34" s="152"/>
      <c r="CW34" s="152"/>
      <c r="CX34" s="152"/>
      <c r="CY34" s="152"/>
      <c r="CZ34" s="152"/>
      <c r="DA34" s="152"/>
      <c r="DB34" s="152"/>
      <c r="DC34" s="152"/>
      <c r="DD34" s="152"/>
      <c r="DE34" s="152"/>
      <c r="DF34" s="152"/>
      <c r="DG34" s="152"/>
      <c r="DH34" s="152"/>
      <c r="DI34" s="152"/>
      <c r="DJ34" s="152"/>
      <c r="DK34" s="152"/>
      <c r="DL34" s="152"/>
      <c r="DM34" s="152"/>
      <c r="DN34" s="152"/>
      <c r="DO34" s="152"/>
      <c r="DP34" s="152"/>
      <c r="DQ34" s="152"/>
      <c r="DR34" s="152"/>
      <c r="DS34" s="152"/>
      <c r="DT34" s="152"/>
      <c r="DU34" s="152"/>
      <c r="DV34" s="152"/>
      <c r="DW34" s="152"/>
      <c r="DX34" s="152"/>
      <c r="DY34" s="152"/>
      <c r="DZ34" s="152"/>
      <c r="EA34" s="152"/>
      <c r="EB34" s="152"/>
      <c r="EC34" s="152"/>
      <c r="ED34" s="152"/>
      <c r="EE34" s="152"/>
      <c r="EF34" s="152"/>
      <c r="EG34" s="152"/>
      <c r="EH34" s="152"/>
      <c r="EI34" s="152"/>
      <c r="EJ34" s="152"/>
      <c r="EK34" s="152"/>
      <c r="EL34" s="152"/>
      <c r="EM34" s="152"/>
      <c r="EN34" s="152"/>
      <c r="EO34" s="152"/>
      <c r="EP34" s="152"/>
      <c r="EQ34" s="152"/>
      <c r="ER34" s="152"/>
      <c r="ES34" s="152"/>
      <c r="ET34" s="152"/>
      <c r="EU34" s="152"/>
      <c r="EV34" s="152"/>
      <c r="EW34" s="152"/>
      <c r="EX34" s="152"/>
      <c r="EY34" s="152"/>
      <c r="EZ34" s="152"/>
      <c r="FA34" s="152"/>
      <c r="FB34" s="152"/>
      <c r="FC34" s="152"/>
      <c r="FD34" s="152"/>
      <c r="FE34" s="152"/>
      <c r="FF34" s="152"/>
      <c r="FG34" s="152"/>
      <c r="FH34" s="152"/>
      <c r="FI34" s="152"/>
      <c r="FJ34" s="152"/>
      <c r="FK34" s="152"/>
      <c r="FL34" s="152"/>
      <c r="FM34" s="152"/>
      <c r="FN34" s="152"/>
      <c r="FO34" s="152"/>
      <c r="FP34" s="152"/>
      <c r="FQ34" s="152"/>
      <c r="FR34" s="152"/>
      <c r="FS34" s="152"/>
      <c r="FT34" s="152"/>
      <c r="FU34" s="152"/>
      <c r="FV34" s="152"/>
      <c r="FW34" s="152"/>
      <c r="FX34" s="152"/>
      <c r="FY34" s="152"/>
      <c r="FZ34" s="152"/>
      <c r="GA34" s="152"/>
      <c r="GB34" s="152"/>
      <c r="GC34" s="152"/>
      <c r="GD34" s="152"/>
      <c r="GE34" s="152"/>
      <c r="GF34" s="152"/>
      <c r="GG34" s="152"/>
      <c r="GH34" s="152"/>
      <c r="GI34" s="152"/>
      <c r="GJ34" s="152"/>
      <c r="GK34" s="152"/>
      <c r="GL34" s="152"/>
      <c r="GM34" s="152"/>
      <c r="GN34" s="152"/>
      <c r="GO34" s="152"/>
      <c r="GP34" s="152"/>
      <c r="GQ34" s="152"/>
      <c r="GR34" s="152"/>
      <c r="GS34" s="152"/>
      <c r="GT34" s="152"/>
      <c r="GU34" s="152"/>
      <c r="GV34" s="152"/>
      <c r="GW34" s="152"/>
      <c r="GX34" s="152"/>
      <c r="GY34" s="152"/>
      <c r="GZ34" s="152"/>
      <c r="HA34" s="152"/>
      <c r="HB34" s="152"/>
      <c r="HC34" s="152"/>
      <c r="HD34" s="152"/>
      <c r="HE34" s="152"/>
      <c r="HF34" s="152"/>
      <c r="HG34" s="152"/>
      <c r="HH34" s="152"/>
      <c r="HI34" s="152"/>
      <c r="HJ34" s="152"/>
      <c r="HK34" s="152"/>
      <c r="HL34" s="152"/>
      <c r="HM34" s="152"/>
      <c r="HN34" s="152"/>
      <c r="HO34" s="152"/>
      <c r="HP34" s="152"/>
      <c r="HQ34" s="152"/>
      <c r="HR34" s="152"/>
      <c r="HS34" s="152"/>
      <c r="HT34" s="152"/>
      <c r="HU34" s="152"/>
      <c r="HV34" s="152"/>
      <c r="HW34" s="152"/>
      <c r="HX34" s="152"/>
      <c r="HY34" s="152"/>
      <c r="HZ34" s="152"/>
      <c r="IA34" s="152"/>
      <c r="IB34" s="152"/>
      <c r="IC34" s="152"/>
      <c r="ID34" s="152"/>
      <c r="IE34" s="152"/>
      <c r="IF34" s="152"/>
      <c r="IG34" s="152"/>
      <c r="IH34" s="152"/>
      <c r="II34" s="152"/>
      <c r="IJ34" s="152"/>
      <c r="IK34" s="152"/>
      <c r="IL34" s="152"/>
      <c r="IM34" s="152"/>
      <c r="IN34" s="152"/>
      <c r="IO34" s="152"/>
      <c r="IP34" s="152"/>
      <c r="IQ34" s="152"/>
      <c r="IR34" s="152"/>
      <c r="IS34" s="152"/>
      <c r="IT34" s="152"/>
      <c r="IU34" s="152"/>
      <c r="IV34" s="152"/>
      <c r="IW34" s="152"/>
      <c r="IX34" s="152"/>
      <c r="IY34" s="152"/>
      <c r="IZ34" s="152"/>
      <c r="JA34" s="152"/>
      <c r="JB34" s="152"/>
      <c r="JC34" s="152"/>
      <c r="JD34" s="152"/>
      <c r="JE34" s="152"/>
      <c r="JF34" s="152"/>
      <c r="JG34" s="152"/>
      <c r="JH34" s="152"/>
      <c r="JI34" s="152"/>
      <c r="JJ34" s="152"/>
      <c r="JK34" s="152"/>
      <c r="JL34" s="152"/>
      <c r="JM34" s="152"/>
      <c r="JN34" s="152"/>
      <c r="JO34" s="152"/>
      <c r="JP34" s="152"/>
      <c r="JQ34" s="152"/>
      <c r="JR34" s="152"/>
      <c r="JS34" s="152"/>
      <c r="JT34" s="152"/>
      <c r="JU34" s="152"/>
      <c r="JV34" s="152"/>
      <c r="JW34" s="152"/>
      <c r="JX34" s="152"/>
      <c r="JY34" s="152"/>
      <c r="JZ34" s="152"/>
      <c r="KA34" s="152"/>
      <c r="KB34" s="152"/>
      <c r="KC34" s="152"/>
      <c r="KD34" s="152"/>
      <c r="KE34" s="152"/>
      <c r="KF34" s="152"/>
      <c r="KG34" s="152"/>
      <c r="KH34" s="152"/>
      <c r="KI34" s="152"/>
      <c r="KJ34" s="152"/>
      <c r="KK34" s="152"/>
      <c r="KL34" s="152"/>
      <c r="KM34" s="152"/>
      <c r="KN34" s="152"/>
      <c r="KO34" s="152"/>
      <c r="KP34" s="152"/>
      <c r="KQ34" s="152"/>
      <c r="KR34" s="152"/>
      <c r="KS34" s="152"/>
      <c r="KT34" s="152"/>
      <c r="KU34" s="152"/>
      <c r="KV34" s="152"/>
      <c r="KW34" s="152"/>
      <c r="KX34" s="152"/>
      <c r="KY34" s="152"/>
      <c r="KZ34" s="152"/>
      <c r="LA34" s="152"/>
      <c r="LB34" s="152"/>
      <c r="LC34" s="152"/>
      <c r="LD34" s="152"/>
      <c r="LE34" s="152"/>
      <c r="LF34" s="152"/>
    </row>
    <row r="35" spans="1:318" ht="15.75" thickBot="1">
      <c r="A35" s="156" t="s">
        <v>228</v>
      </c>
      <c r="B35" s="160">
        <f>F6</f>
        <v>0.2</v>
      </c>
      <c r="C35" s="157"/>
      <c r="D35" s="156"/>
      <c r="O35" s="139"/>
      <c r="Q35" s="140"/>
      <c r="R35" s="139"/>
      <c r="S35" s="188"/>
      <c r="T35" s="188"/>
      <c r="U35" s="188"/>
      <c r="V35" s="188"/>
      <c r="W35" s="188"/>
      <c r="X35" s="188"/>
      <c r="Y35" s="188"/>
      <c r="Z35" s="188"/>
      <c r="AA35" s="188"/>
      <c r="AB35" s="188"/>
      <c r="AC35" s="188"/>
      <c r="AD35" s="188"/>
      <c r="AE35" s="188"/>
      <c r="AF35" s="188"/>
      <c r="AG35" s="188"/>
      <c r="AH35" s="188"/>
      <c r="AI35" s="188"/>
      <c r="AJ35" s="188"/>
      <c r="AK35" s="188"/>
      <c r="AL35" s="188"/>
      <c r="AM35" s="188"/>
      <c r="AN35" s="188"/>
      <c r="AO35" s="188"/>
      <c r="AP35" s="188"/>
      <c r="AQ35" s="189"/>
      <c r="AW35" s="154"/>
      <c r="AX35" s="154"/>
      <c r="AY35" s="154"/>
      <c r="AZ35" s="154"/>
      <c r="BA35" s="154"/>
      <c r="BB35" s="154"/>
      <c r="BC35" s="154"/>
      <c r="BD35" s="154"/>
      <c r="BE35" s="154"/>
      <c r="BF35" s="154"/>
      <c r="BG35" s="154"/>
      <c r="BH35" s="154"/>
      <c r="BI35" s="154"/>
      <c r="BJ35" s="154"/>
      <c r="BK35" s="154"/>
      <c r="BL35" s="154"/>
      <c r="BM35" s="154"/>
      <c r="BN35" s="154"/>
      <c r="BO35" s="154"/>
      <c r="BP35" s="154"/>
      <c r="BQ35" s="154"/>
      <c r="BR35" s="154"/>
      <c r="BS35" s="154"/>
      <c r="BT35" s="154"/>
      <c r="BU35" s="154"/>
      <c r="BV35" s="154"/>
      <c r="BW35" s="154"/>
      <c r="BX35" s="154"/>
      <c r="BY35" s="154"/>
      <c r="BZ35" s="154"/>
      <c r="CA35" s="154"/>
      <c r="CB35" s="154"/>
      <c r="CC35" s="154"/>
      <c r="CD35" s="154"/>
      <c r="CE35" s="154"/>
      <c r="CF35" s="154"/>
      <c r="CG35" s="154"/>
      <c r="CH35" s="154"/>
      <c r="CI35" s="154"/>
      <c r="CJ35" s="154"/>
      <c r="CK35" s="154"/>
      <c r="CL35" s="154"/>
      <c r="CM35" s="154"/>
      <c r="CN35" s="154"/>
      <c r="CO35" s="154"/>
      <c r="CP35" s="154"/>
      <c r="CQ35" s="154"/>
      <c r="CR35" s="154"/>
      <c r="CS35" s="154"/>
      <c r="CT35" s="154"/>
      <c r="CU35" s="154"/>
      <c r="CV35" s="154"/>
      <c r="CW35" s="154"/>
      <c r="CX35" s="154"/>
      <c r="CY35" s="154"/>
      <c r="CZ35" s="154"/>
      <c r="DA35" s="154"/>
      <c r="DB35" s="154"/>
      <c r="DC35" s="154"/>
      <c r="DD35" s="154"/>
      <c r="DE35" s="154"/>
      <c r="DF35" s="154"/>
      <c r="DG35" s="154"/>
      <c r="DH35" s="154"/>
      <c r="DI35" s="154"/>
      <c r="DJ35" s="154"/>
      <c r="DK35" s="154"/>
      <c r="DL35" s="154"/>
      <c r="DM35" s="154"/>
      <c r="DN35" s="154"/>
      <c r="DO35" s="154"/>
      <c r="DP35" s="154"/>
      <c r="DQ35" s="154"/>
      <c r="DR35" s="154"/>
      <c r="DS35" s="154"/>
      <c r="DT35" s="154"/>
      <c r="DU35" s="154"/>
      <c r="DV35" s="154"/>
      <c r="DW35" s="154"/>
      <c r="DX35" s="154"/>
      <c r="DY35" s="154"/>
      <c r="DZ35" s="154"/>
      <c r="EA35" s="154"/>
      <c r="EB35" s="154"/>
      <c r="EC35" s="154"/>
      <c r="ED35" s="154"/>
      <c r="EE35" s="154"/>
      <c r="EF35" s="154"/>
      <c r="EG35" s="154"/>
      <c r="EH35" s="154"/>
      <c r="EI35" s="154"/>
      <c r="EJ35" s="154"/>
      <c r="EK35" s="154"/>
      <c r="EL35" s="154"/>
      <c r="EM35" s="154"/>
      <c r="EN35" s="154"/>
      <c r="EO35" s="154"/>
      <c r="EP35" s="154"/>
      <c r="EQ35" s="154"/>
      <c r="ER35" s="154"/>
      <c r="ES35" s="154"/>
      <c r="ET35" s="154"/>
      <c r="EU35" s="154"/>
      <c r="EV35" s="154"/>
      <c r="EW35" s="154"/>
      <c r="EX35" s="154"/>
      <c r="EY35" s="154"/>
      <c r="EZ35" s="154"/>
      <c r="FA35" s="154"/>
      <c r="FB35" s="154"/>
      <c r="FC35" s="154"/>
      <c r="FD35" s="154"/>
      <c r="FE35" s="154"/>
      <c r="FF35" s="154"/>
      <c r="FG35" s="154"/>
      <c r="FH35" s="154"/>
      <c r="FI35" s="154"/>
      <c r="FJ35" s="154"/>
      <c r="FK35" s="154"/>
      <c r="FL35" s="154"/>
      <c r="FM35" s="154"/>
      <c r="FN35" s="154"/>
      <c r="FO35" s="154"/>
      <c r="FP35" s="154"/>
      <c r="FQ35" s="154"/>
      <c r="FR35" s="154"/>
      <c r="FS35" s="154"/>
      <c r="FT35" s="154"/>
      <c r="FU35" s="154"/>
      <c r="FV35" s="154"/>
      <c r="FW35" s="154"/>
      <c r="FX35" s="154"/>
      <c r="FY35" s="154"/>
      <c r="FZ35" s="154"/>
      <c r="GA35" s="154"/>
      <c r="GB35" s="154"/>
      <c r="GC35" s="154"/>
      <c r="GD35" s="154"/>
      <c r="GE35" s="154"/>
      <c r="GF35" s="154"/>
      <c r="GG35" s="154"/>
      <c r="GH35" s="154"/>
      <c r="GI35" s="154"/>
      <c r="GJ35" s="154"/>
      <c r="GK35" s="154"/>
      <c r="GL35" s="154"/>
      <c r="GM35" s="154"/>
      <c r="GN35" s="154"/>
      <c r="GO35" s="154"/>
      <c r="GP35" s="154"/>
      <c r="GQ35" s="154"/>
      <c r="GR35" s="154"/>
      <c r="GS35" s="154"/>
      <c r="GT35" s="154"/>
      <c r="GU35" s="154"/>
      <c r="GV35" s="154"/>
      <c r="GW35" s="154"/>
      <c r="GX35" s="154"/>
      <c r="GY35" s="154"/>
      <c r="GZ35" s="154"/>
      <c r="HA35" s="154"/>
      <c r="HB35" s="154"/>
      <c r="HC35" s="154"/>
      <c r="HD35" s="154"/>
      <c r="HE35" s="154"/>
      <c r="HF35" s="154"/>
      <c r="HG35" s="154"/>
      <c r="HH35" s="154"/>
      <c r="HI35" s="154"/>
      <c r="HJ35" s="154"/>
      <c r="HK35" s="154"/>
      <c r="HL35" s="154"/>
      <c r="HM35" s="154"/>
      <c r="HN35" s="154"/>
      <c r="HO35" s="154"/>
      <c r="HP35" s="154"/>
      <c r="HQ35" s="154"/>
      <c r="HR35" s="154"/>
      <c r="HS35" s="154"/>
      <c r="HT35" s="154"/>
      <c r="HU35" s="154"/>
      <c r="HV35" s="154"/>
      <c r="HW35" s="154"/>
      <c r="HX35" s="154"/>
      <c r="HY35" s="154"/>
      <c r="HZ35" s="154"/>
      <c r="IA35" s="154"/>
      <c r="IB35" s="154"/>
      <c r="IC35" s="154"/>
      <c r="ID35" s="154"/>
      <c r="IE35" s="154"/>
      <c r="IF35" s="154"/>
      <c r="IG35" s="154"/>
      <c r="IH35" s="154"/>
      <c r="II35" s="154"/>
      <c r="IJ35" s="154"/>
      <c r="IK35" s="154"/>
      <c r="IL35" s="154"/>
      <c r="IM35" s="154"/>
      <c r="IN35" s="154"/>
      <c r="IO35" s="154"/>
      <c r="IP35" s="154"/>
      <c r="IQ35" s="154"/>
      <c r="IR35" s="154"/>
      <c r="IS35" s="154"/>
      <c r="IT35" s="154"/>
      <c r="IU35" s="154"/>
      <c r="IV35" s="154"/>
      <c r="IW35" s="154"/>
      <c r="IX35" s="154"/>
      <c r="IY35" s="154"/>
      <c r="IZ35" s="154"/>
      <c r="JA35" s="154"/>
      <c r="JB35" s="154"/>
      <c r="JC35" s="154"/>
      <c r="JD35" s="154"/>
      <c r="JE35" s="154"/>
      <c r="JF35" s="154"/>
      <c r="JG35" s="154"/>
      <c r="JH35" s="154"/>
      <c r="JI35" s="154"/>
      <c r="JJ35" s="154"/>
      <c r="JK35" s="154"/>
      <c r="JL35" s="154"/>
      <c r="JM35" s="154"/>
      <c r="JN35" s="154"/>
      <c r="JO35" s="154"/>
      <c r="JP35" s="154"/>
      <c r="JQ35" s="154"/>
      <c r="JR35" s="154"/>
      <c r="JS35" s="154"/>
      <c r="JT35" s="154"/>
      <c r="JU35" s="154"/>
      <c r="JV35" s="154"/>
      <c r="JW35" s="154"/>
      <c r="JX35" s="154"/>
      <c r="JY35" s="154"/>
      <c r="JZ35" s="154"/>
      <c r="KA35" s="154"/>
      <c r="KB35" s="154"/>
      <c r="KC35" s="154"/>
      <c r="KD35" s="154"/>
      <c r="KE35" s="154"/>
      <c r="KF35" s="154"/>
      <c r="KG35" s="154"/>
      <c r="KH35" s="154"/>
      <c r="KI35" s="154"/>
      <c r="KJ35" s="154"/>
      <c r="KK35" s="154"/>
      <c r="KL35" s="154"/>
      <c r="KM35" s="154"/>
      <c r="KN35" s="154"/>
      <c r="KO35" s="154"/>
      <c r="KP35" s="154"/>
      <c r="KQ35" s="154"/>
      <c r="KR35" s="154"/>
      <c r="KS35" s="154"/>
      <c r="KT35" s="154"/>
      <c r="KU35" s="154"/>
      <c r="KV35" s="154"/>
      <c r="KW35" s="154"/>
      <c r="KX35" s="154"/>
      <c r="KY35" s="154"/>
      <c r="KZ35" s="154"/>
      <c r="LA35" s="154"/>
      <c r="LB35" s="154"/>
      <c r="LC35" s="154"/>
      <c r="LD35" s="154"/>
      <c r="LE35" s="154"/>
      <c r="LF35" s="154"/>
    </row>
    <row r="36" spans="1:318" ht="15.75" thickBot="1">
      <c r="O36" s="192" t="s">
        <v>229</v>
      </c>
      <c r="P36" s="193"/>
      <c r="Q36" s="199"/>
      <c r="R36" s="194"/>
      <c r="S36" s="195">
        <f>S31-S33-S34</f>
        <v>31866.2</v>
      </c>
      <c r="T36" s="195">
        <f t="shared" ref="T36:AQ36" si="22">T31-T33-T34</f>
        <v>31423.06</v>
      </c>
      <c r="U36" s="195">
        <f t="shared" si="22"/>
        <v>30977.249980000004</v>
      </c>
      <c r="V36" s="195">
        <f t="shared" si="22"/>
        <v>30528.615470139997</v>
      </c>
      <c r="W36" s="195">
        <f t="shared" si="22"/>
        <v>30076.997887049019</v>
      </c>
      <c r="X36" s="195">
        <f t="shared" si="22"/>
        <v>29622.234406795655</v>
      </c>
      <c r="Y36" s="195">
        <f t="shared" si="22"/>
        <v>29164.157834052774</v>
      </c>
      <c r="Z36" s="195">
        <f t="shared" si="22"/>
        <v>28702.596467362218</v>
      </c>
      <c r="AA36" s="195">
        <f t="shared" si="22"/>
        <v>28237.373960382949</v>
      </c>
      <c r="AB36" s="195">
        <f t="shared" si="22"/>
        <v>27768.309179001288</v>
      </c>
      <c r="AC36" s="195">
        <f t="shared" si="22"/>
        <v>48239.216054179524</v>
      </c>
      <c r="AD36" s="195">
        <f t="shared" si="22"/>
        <v>47761.903430414452</v>
      </c>
      <c r="AE36" s="195">
        <f t="shared" si="22"/>
        <v>47280.174909674177</v>
      </c>
      <c r="AF36" s="195">
        <f t="shared" si="22"/>
        <v>46793.828690677241</v>
      </c>
      <c r="AG36" s="195">
        <f t="shared" si="22"/>
        <v>46302.65740337444</v>
      </c>
      <c r="AH36" s="195">
        <f t="shared" si="22"/>
        <v>45806.44793848868</v>
      </c>
      <c r="AI36" s="195">
        <f t="shared" si="22"/>
        <v>45304.981271965291</v>
      </c>
      <c r="AJ36" s="195">
        <f t="shared" si="22"/>
        <v>44798.032284178917</v>
      </c>
      <c r="AK36" s="195">
        <f t="shared" si="22"/>
        <v>44285.36957374058</v>
      </c>
      <c r="AL36" s="195">
        <f t="shared" si="22"/>
        <v>43766.755265741849</v>
      </c>
      <c r="AM36" s="195">
        <f t="shared" si="22"/>
        <v>43241.944814269606</v>
      </c>
      <c r="AN36" s="195">
        <f t="shared" si="22"/>
        <v>42710.686799019328</v>
      </c>
      <c r="AO36" s="195">
        <f t="shared" si="22"/>
        <v>42172.722715829281</v>
      </c>
      <c r="AP36" s="195">
        <f t="shared" si="22"/>
        <v>41627.786760953655</v>
      </c>
      <c r="AQ36" s="196">
        <f t="shared" si="22"/>
        <v>41075.605608886224</v>
      </c>
      <c r="AW36" s="152"/>
      <c r="AX36" s="152"/>
      <c r="AY36" s="152"/>
      <c r="AZ36" s="152"/>
      <c r="BA36" s="152"/>
      <c r="BB36" s="152"/>
      <c r="BC36" s="152"/>
      <c r="BD36" s="152"/>
      <c r="BE36" s="152"/>
      <c r="BF36" s="152"/>
      <c r="BG36" s="152"/>
      <c r="BH36" s="152"/>
      <c r="BI36" s="152"/>
      <c r="BJ36" s="152"/>
      <c r="BK36" s="152"/>
      <c r="BL36" s="152"/>
      <c r="BM36" s="152"/>
      <c r="BN36" s="152"/>
      <c r="BO36" s="152"/>
      <c r="BP36" s="152"/>
      <c r="BQ36" s="152"/>
      <c r="BR36" s="152"/>
      <c r="BS36" s="152"/>
      <c r="BT36" s="152"/>
      <c r="BU36" s="152"/>
      <c r="BV36" s="152"/>
      <c r="BW36" s="152"/>
      <c r="BX36" s="152"/>
      <c r="BY36" s="152"/>
      <c r="BZ36" s="152"/>
      <c r="CA36" s="152"/>
      <c r="CB36" s="152"/>
      <c r="CC36" s="152"/>
      <c r="CD36" s="152"/>
      <c r="CE36" s="152"/>
      <c r="CF36" s="152"/>
      <c r="CG36" s="152"/>
      <c r="CH36" s="152"/>
      <c r="CI36" s="152"/>
      <c r="CJ36" s="152"/>
      <c r="CK36" s="152"/>
      <c r="CL36" s="152"/>
      <c r="CM36" s="152"/>
      <c r="CN36" s="152"/>
      <c r="CO36" s="152"/>
      <c r="CP36" s="152"/>
      <c r="CQ36" s="152"/>
      <c r="CR36" s="152"/>
      <c r="CS36" s="152"/>
      <c r="CT36" s="152"/>
      <c r="CU36" s="152"/>
      <c r="CV36" s="152"/>
      <c r="CW36" s="152"/>
      <c r="CX36" s="152"/>
      <c r="CY36" s="152"/>
      <c r="CZ36" s="152"/>
      <c r="DA36" s="152"/>
      <c r="DB36" s="152"/>
      <c r="DC36" s="152"/>
      <c r="DD36" s="152"/>
      <c r="DE36" s="152"/>
      <c r="DF36" s="152"/>
      <c r="DG36" s="152"/>
      <c r="DH36" s="152"/>
      <c r="DI36" s="152"/>
      <c r="DJ36" s="152"/>
      <c r="DK36" s="152"/>
      <c r="DL36" s="152"/>
      <c r="DM36" s="152"/>
      <c r="DN36" s="152"/>
      <c r="DO36" s="152"/>
      <c r="DP36" s="152"/>
      <c r="DQ36" s="152"/>
      <c r="DR36" s="152"/>
      <c r="DS36" s="152"/>
      <c r="DT36" s="152"/>
      <c r="DU36" s="152"/>
      <c r="DV36" s="152"/>
      <c r="DW36" s="152"/>
      <c r="DX36" s="152"/>
      <c r="DY36" s="152"/>
      <c r="DZ36" s="152"/>
      <c r="EA36" s="152"/>
      <c r="EB36" s="152"/>
      <c r="EC36" s="152"/>
      <c r="ED36" s="152"/>
      <c r="EE36" s="152"/>
      <c r="EF36" s="152"/>
      <c r="EG36" s="152"/>
      <c r="EH36" s="152"/>
      <c r="EI36" s="152"/>
      <c r="EJ36" s="152"/>
      <c r="EK36" s="152"/>
      <c r="EL36" s="152"/>
      <c r="EM36" s="152"/>
      <c r="EN36" s="152"/>
      <c r="EO36" s="152"/>
      <c r="EP36" s="152"/>
      <c r="EQ36" s="152"/>
      <c r="ER36" s="152"/>
      <c r="ES36" s="152"/>
      <c r="ET36" s="152"/>
      <c r="EU36" s="152"/>
      <c r="EV36" s="152"/>
      <c r="EW36" s="152"/>
      <c r="EX36" s="152"/>
      <c r="EY36" s="152"/>
      <c r="EZ36" s="152"/>
      <c r="FA36" s="152"/>
      <c r="FB36" s="152"/>
      <c r="FC36" s="152"/>
      <c r="FD36" s="152"/>
      <c r="FE36" s="152"/>
      <c r="FF36" s="152"/>
      <c r="FG36" s="152"/>
      <c r="FH36" s="152"/>
      <c r="FI36" s="152"/>
      <c r="FJ36" s="152"/>
      <c r="FK36" s="152"/>
      <c r="FL36" s="152"/>
      <c r="FM36" s="152"/>
      <c r="FN36" s="152"/>
      <c r="FO36" s="152"/>
      <c r="FP36" s="152"/>
      <c r="FQ36" s="152"/>
      <c r="FR36" s="152"/>
      <c r="FS36" s="152"/>
      <c r="FT36" s="152"/>
      <c r="FU36" s="152"/>
      <c r="FV36" s="152"/>
      <c r="FW36" s="152"/>
      <c r="FX36" s="152"/>
      <c r="FY36" s="152"/>
      <c r="FZ36" s="152"/>
      <c r="GA36" s="152"/>
      <c r="GB36" s="152"/>
      <c r="GC36" s="152"/>
      <c r="GD36" s="152"/>
      <c r="GE36" s="152"/>
      <c r="GF36" s="152"/>
      <c r="GG36" s="152"/>
      <c r="GH36" s="152"/>
      <c r="GI36" s="152"/>
      <c r="GJ36" s="152"/>
      <c r="GK36" s="152"/>
      <c r="GL36" s="152"/>
      <c r="GM36" s="152"/>
      <c r="GN36" s="152"/>
      <c r="GO36" s="152"/>
      <c r="GP36" s="152"/>
      <c r="GQ36" s="152"/>
      <c r="GR36" s="152"/>
      <c r="GS36" s="152"/>
      <c r="GT36" s="152"/>
      <c r="GU36" s="152"/>
      <c r="GV36" s="152"/>
      <c r="GW36" s="152"/>
      <c r="GX36" s="152"/>
      <c r="GY36" s="152"/>
      <c r="GZ36" s="152"/>
      <c r="HA36" s="152"/>
      <c r="HB36" s="152"/>
      <c r="HC36" s="152"/>
      <c r="HD36" s="152"/>
      <c r="HE36" s="152"/>
      <c r="HF36" s="152"/>
      <c r="HG36" s="152"/>
      <c r="HH36" s="152"/>
      <c r="HI36" s="152"/>
      <c r="HJ36" s="152"/>
      <c r="HK36" s="152"/>
      <c r="HL36" s="152"/>
      <c r="HM36" s="152"/>
      <c r="HN36" s="152"/>
      <c r="HO36" s="152"/>
      <c r="HP36" s="152"/>
      <c r="HQ36" s="152"/>
      <c r="HR36" s="152"/>
      <c r="HS36" s="152"/>
      <c r="HT36" s="152"/>
      <c r="HU36" s="152"/>
      <c r="HV36" s="152"/>
      <c r="HW36" s="152"/>
      <c r="HX36" s="152"/>
      <c r="HY36" s="152"/>
      <c r="HZ36" s="152"/>
      <c r="IA36" s="152"/>
      <c r="IB36" s="152"/>
      <c r="IC36" s="152"/>
      <c r="ID36" s="152"/>
      <c r="IE36" s="152"/>
      <c r="IF36" s="152"/>
      <c r="IG36" s="152"/>
      <c r="IH36" s="152"/>
      <c r="II36" s="152"/>
      <c r="IJ36" s="152"/>
      <c r="IK36" s="152"/>
      <c r="IL36" s="152"/>
      <c r="IM36" s="152"/>
      <c r="IN36" s="152"/>
      <c r="IO36" s="152"/>
      <c r="IP36" s="152"/>
      <c r="IQ36" s="152"/>
      <c r="IR36" s="152"/>
      <c r="IS36" s="152"/>
      <c r="IT36" s="152"/>
      <c r="IU36" s="152"/>
      <c r="IV36" s="152"/>
      <c r="IW36" s="152"/>
      <c r="IX36" s="152"/>
      <c r="IY36" s="152"/>
      <c r="IZ36" s="152"/>
      <c r="JA36" s="152"/>
      <c r="JB36" s="152"/>
      <c r="JC36" s="152"/>
      <c r="JD36" s="152"/>
      <c r="JE36" s="152"/>
      <c r="JF36" s="152"/>
      <c r="JG36" s="152"/>
      <c r="JH36" s="152"/>
      <c r="JI36" s="152"/>
      <c r="JJ36" s="152"/>
      <c r="JK36" s="152"/>
      <c r="JL36" s="152"/>
      <c r="JM36" s="152"/>
      <c r="JN36" s="152"/>
      <c r="JO36" s="152"/>
      <c r="JP36" s="152"/>
      <c r="JQ36" s="152"/>
      <c r="JR36" s="152"/>
      <c r="JS36" s="152"/>
      <c r="JT36" s="152"/>
      <c r="JU36" s="152"/>
      <c r="JV36" s="152"/>
      <c r="JW36" s="152"/>
      <c r="JX36" s="152"/>
      <c r="JY36" s="152"/>
      <c r="JZ36" s="152"/>
      <c r="KA36" s="152"/>
      <c r="KB36" s="152"/>
      <c r="KC36" s="152"/>
      <c r="KD36" s="152"/>
      <c r="KE36" s="152"/>
      <c r="KF36" s="152"/>
      <c r="KG36" s="152"/>
      <c r="KH36" s="152"/>
      <c r="KI36" s="152"/>
      <c r="KJ36" s="152"/>
      <c r="KK36" s="152"/>
      <c r="KL36" s="152"/>
      <c r="KM36" s="152"/>
      <c r="KN36" s="152"/>
      <c r="KO36" s="152"/>
      <c r="KP36" s="152"/>
      <c r="KQ36" s="152"/>
      <c r="KR36" s="152"/>
      <c r="KS36" s="152"/>
      <c r="KT36" s="152"/>
      <c r="KU36" s="152"/>
      <c r="KV36" s="152"/>
      <c r="KW36" s="152"/>
      <c r="KX36" s="152"/>
      <c r="KY36" s="152"/>
      <c r="KZ36" s="152"/>
      <c r="LA36" s="152"/>
      <c r="LB36" s="152"/>
      <c r="LC36" s="152"/>
      <c r="LD36" s="152"/>
      <c r="LE36" s="152"/>
      <c r="LF36" s="152"/>
    </row>
    <row r="37" spans="1:318">
      <c r="O37" s="139"/>
      <c r="Q37" s="140"/>
      <c r="R37" s="139"/>
      <c r="S37" s="188"/>
      <c r="T37" s="188"/>
      <c r="U37" s="188"/>
      <c r="V37" s="188"/>
      <c r="W37" s="188"/>
      <c r="X37" s="188"/>
      <c r="Y37" s="188"/>
      <c r="Z37" s="188"/>
      <c r="AA37" s="188"/>
      <c r="AB37" s="188"/>
      <c r="AC37" s="188"/>
      <c r="AD37" s="188"/>
      <c r="AE37" s="188"/>
      <c r="AF37" s="188"/>
      <c r="AG37" s="188"/>
      <c r="AH37" s="188"/>
      <c r="AI37" s="188"/>
      <c r="AJ37" s="188"/>
      <c r="AK37" s="188"/>
      <c r="AL37" s="188"/>
      <c r="AM37" s="188"/>
      <c r="AN37" s="188"/>
      <c r="AO37" s="188"/>
      <c r="AP37" s="188"/>
      <c r="AQ37" s="189"/>
      <c r="AW37" s="152"/>
      <c r="AX37" s="152"/>
      <c r="AY37" s="152"/>
      <c r="AZ37" s="152"/>
      <c r="BA37" s="152"/>
      <c r="BB37" s="152"/>
      <c r="BC37" s="152"/>
      <c r="BD37" s="152"/>
      <c r="BE37" s="152"/>
      <c r="BF37" s="152"/>
      <c r="BG37" s="152"/>
      <c r="BH37" s="152"/>
      <c r="BI37" s="152"/>
      <c r="BJ37" s="152"/>
      <c r="BK37" s="152"/>
      <c r="BL37" s="152"/>
      <c r="BM37" s="152"/>
      <c r="BN37" s="152"/>
      <c r="BO37" s="152"/>
      <c r="BP37" s="152"/>
      <c r="BQ37" s="152"/>
      <c r="BR37" s="152"/>
      <c r="BS37" s="152"/>
      <c r="BT37" s="152"/>
      <c r="BU37" s="152"/>
      <c r="BV37" s="152"/>
      <c r="BW37" s="152"/>
      <c r="BX37" s="152"/>
      <c r="BY37" s="152"/>
      <c r="BZ37" s="152"/>
      <c r="CA37" s="152"/>
      <c r="CB37" s="152"/>
      <c r="CC37" s="152"/>
      <c r="CD37" s="152"/>
      <c r="CE37" s="152"/>
      <c r="CF37" s="152"/>
      <c r="CG37" s="152"/>
      <c r="CH37" s="152"/>
      <c r="CI37" s="152"/>
      <c r="CJ37" s="152"/>
      <c r="CK37" s="152"/>
      <c r="CL37" s="152"/>
      <c r="CM37" s="152"/>
      <c r="CN37" s="152"/>
      <c r="CO37" s="152"/>
      <c r="CP37" s="152"/>
      <c r="CQ37" s="152"/>
      <c r="CR37" s="152"/>
      <c r="CS37" s="152"/>
      <c r="CT37" s="152"/>
      <c r="CU37" s="152"/>
      <c r="CV37" s="152"/>
      <c r="CW37" s="152"/>
      <c r="CX37" s="152"/>
      <c r="CY37" s="152"/>
      <c r="CZ37" s="152"/>
      <c r="DA37" s="152"/>
      <c r="DB37" s="152"/>
      <c r="DC37" s="152"/>
      <c r="DD37" s="152"/>
      <c r="DE37" s="152"/>
      <c r="DF37" s="152"/>
      <c r="DG37" s="152"/>
      <c r="DH37" s="152"/>
      <c r="DI37" s="152"/>
      <c r="DJ37" s="152"/>
      <c r="DK37" s="152"/>
      <c r="DL37" s="152"/>
      <c r="DM37" s="152"/>
      <c r="DN37" s="152"/>
      <c r="DO37" s="152"/>
      <c r="DP37" s="152"/>
      <c r="DQ37" s="152"/>
      <c r="DR37" s="152"/>
      <c r="DS37" s="152"/>
      <c r="DT37" s="152"/>
      <c r="DU37" s="152"/>
      <c r="DV37" s="152"/>
      <c r="DW37" s="152"/>
      <c r="DX37" s="152"/>
      <c r="DY37" s="152"/>
      <c r="DZ37" s="152"/>
      <c r="EA37" s="152"/>
      <c r="EB37" s="152"/>
      <c r="EC37" s="152"/>
      <c r="ED37" s="152"/>
      <c r="EE37" s="152"/>
      <c r="EF37" s="152"/>
      <c r="EG37" s="152"/>
      <c r="EH37" s="152"/>
      <c r="EI37" s="152"/>
      <c r="EJ37" s="152"/>
      <c r="EK37" s="152"/>
      <c r="EL37" s="152"/>
      <c r="EM37" s="152"/>
      <c r="EN37" s="152"/>
      <c r="EO37" s="152"/>
      <c r="EP37" s="152"/>
      <c r="EQ37" s="152"/>
      <c r="ER37" s="152"/>
      <c r="ES37" s="152"/>
      <c r="ET37" s="152"/>
      <c r="EU37" s="152"/>
      <c r="EV37" s="152"/>
      <c r="EW37" s="152"/>
      <c r="EX37" s="152"/>
      <c r="EY37" s="152"/>
      <c r="EZ37" s="152"/>
      <c r="FA37" s="152"/>
      <c r="FB37" s="152"/>
      <c r="FC37" s="152"/>
      <c r="FD37" s="152"/>
      <c r="FE37" s="152"/>
      <c r="FF37" s="152"/>
      <c r="FG37" s="152"/>
      <c r="FH37" s="152"/>
      <c r="FI37" s="152"/>
      <c r="FJ37" s="152"/>
      <c r="FK37" s="152"/>
      <c r="FL37" s="152"/>
      <c r="FM37" s="152"/>
      <c r="FN37" s="152"/>
      <c r="FO37" s="152"/>
      <c r="FP37" s="152"/>
      <c r="FQ37" s="152"/>
      <c r="FR37" s="152"/>
      <c r="FS37" s="152"/>
      <c r="FT37" s="152"/>
      <c r="FU37" s="152"/>
      <c r="FV37" s="152"/>
      <c r="FW37" s="152"/>
      <c r="FX37" s="152"/>
      <c r="FY37" s="152"/>
      <c r="FZ37" s="152"/>
      <c r="GA37" s="152"/>
      <c r="GB37" s="152"/>
      <c r="GC37" s="152"/>
      <c r="GD37" s="152"/>
      <c r="GE37" s="152"/>
      <c r="GF37" s="152"/>
      <c r="GG37" s="152"/>
      <c r="GH37" s="152"/>
      <c r="GI37" s="152"/>
      <c r="GJ37" s="152"/>
      <c r="GK37" s="152"/>
      <c r="GL37" s="152"/>
      <c r="GM37" s="152"/>
      <c r="GN37" s="152"/>
      <c r="GO37" s="152"/>
      <c r="GP37" s="152"/>
      <c r="GQ37" s="152"/>
      <c r="GR37" s="152"/>
      <c r="GS37" s="152"/>
      <c r="GT37" s="152"/>
      <c r="GU37" s="152"/>
      <c r="GV37" s="152"/>
      <c r="GW37" s="152"/>
      <c r="GX37" s="152"/>
      <c r="GY37" s="152"/>
      <c r="GZ37" s="152"/>
      <c r="HA37" s="152"/>
      <c r="HB37" s="152"/>
      <c r="HC37" s="152"/>
      <c r="HD37" s="152"/>
      <c r="HE37" s="152"/>
      <c r="HF37" s="152"/>
      <c r="HG37" s="152"/>
      <c r="HH37" s="152"/>
      <c r="HI37" s="152"/>
      <c r="HJ37" s="152"/>
      <c r="HK37" s="152"/>
      <c r="HL37" s="152"/>
      <c r="HM37" s="152"/>
      <c r="HN37" s="152"/>
      <c r="HO37" s="152"/>
      <c r="HP37" s="152"/>
      <c r="HQ37" s="152"/>
      <c r="HR37" s="152"/>
      <c r="HS37" s="152"/>
      <c r="HT37" s="152"/>
      <c r="HU37" s="152"/>
      <c r="HV37" s="152"/>
      <c r="HW37" s="152"/>
      <c r="HX37" s="152"/>
      <c r="HY37" s="152"/>
      <c r="HZ37" s="152"/>
      <c r="IA37" s="152"/>
      <c r="IB37" s="152"/>
      <c r="IC37" s="152"/>
      <c r="ID37" s="152"/>
      <c r="IE37" s="152"/>
      <c r="IF37" s="152"/>
      <c r="IG37" s="152"/>
      <c r="IH37" s="152"/>
      <c r="II37" s="152"/>
      <c r="IJ37" s="152"/>
      <c r="IK37" s="152"/>
      <c r="IL37" s="152"/>
      <c r="IM37" s="152"/>
      <c r="IN37" s="152"/>
      <c r="IO37" s="152"/>
      <c r="IP37" s="152"/>
      <c r="IQ37" s="152"/>
      <c r="IR37" s="152"/>
      <c r="IS37" s="152"/>
      <c r="IT37" s="152"/>
      <c r="IU37" s="152"/>
      <c r="IV37" s="152"/>
      <c r="IW37" s="152"/>
      <c r="IX37" s="152"/>
      <c r="IY37" s="152"/>
      <c r="IZ37" s="152"/>
      <c r="JA37" s="152"/>
      <c r="JB37" s="152"/>
      <c r="JC37" s="152"/>
      <c r="JD37" s="152"/>
      <c r="JE37" s="152"/>
      <c r="JF37" s="152"/>
      <c r="JG37" s="152"/>
      <c r="JH37" s="152"/>
      <c r="JI37" s="152"/>
      <c r="JJ37" s="152"/>
      <c r="JK37" s="152"/>
      <c r="JL37" s="152"/>
      <c r="JM37" s="152"/>
      <c r="JN37" s="152"/>
      <c r="JO37" s="152"/>
      <c r="JP37" s="152"/>
      <c r="JQ37" s="152"/>
      <c r="JR37" s="152"/>
      <c r="JS37" s="152"/>
      <c r="JT37" s="152"/>
      <c r="JU37" s="152"/>
      <c r="JV37" s="152"/>
      <c r="JW37" s="152"/>
      <c r="JX37" s="152"/>
      <c r="JY37" s="152"/>
      <c r="JZ37" s="152"/>
      <c r="KA37" s="152"/>
      <c r="KB37" s="152"/>
      <c r="KC37" s="152"/>
      <c r="KD37" s="152"/>
      <c r="KE37" s="152"/>
      <c r="KF37" s="152"/>
      <c r="KG37" s="152"/>
      <c r="KH37" s="152"/>
      <c r="KI37" s="152"/>
      <c r="KJ37" s="152"/>
      <c r="KK37" s="152"/>
      <c r="KL37" s="152"/>
      <c r="KM37" s="152"/>
      <c r="KN37" s="152"/>
      <c r="KO37" s="152"/>
      <c r="KP37" s="152"/>
      <c r="KQ37" s="152"/>
      <c r="KR37" s="152"/>
      <c r="KS37" s="152"/>
      <c r="KT37" s="152"/>
      <c r="KU37" s="152"/>
      <c r="KV37" s="152"/>
      <c r="KW37" s="152"/>
      <c r="KX37" s="152"/>
      <c r="KY37" s="152"/>
      <c r="KZ37" s="152"/>
      <c r="LA37" s="152"/>
      <c r="LB37" s="152"/>
      <c r="LC37" s="152"/>
      <c r="LD37" s="152"/>
      <c r="LE37" s="152"/>
      <c r="LF37" s="152"/>
    </row>
    <row r="38" spans="1:318">
      <c r="O38" s="139" t="s">
        <v>230</v>
      </c>
      <c r="Q38" s="140"/>
      <c r="R38" s="139"/>
      <c r="S38" s="188">
        <f t="shared" ref="S38:AB38" si="23">(S11&lt;=$G$6)*(-IPMT($H$6,S11,$G$6,($A$6*$B$6+(1-$J$9)*$A$9*$B$9)*(1-$F$6)))</f>
        <v>5376</v>
      </c>
      <c r="T38" s="188">
        <f t="shared" si="23"/>
        <v>4902.7125882821192</v>
      </c>
      <c r="U38" s="188">
        <f t="shared" si="23"/>
        <v>4416.1731290361377</v>
      </c>
      <c r="V38" s="188">
        <f t="shared" si="23"/>
        <v>3916.0105649312686</v>
      </c>
      <c r="W38" s="188">
        <f t="shared" si="23"/>
        <v>3401.8434490314635</v>
      </c>
      <c r="X38" s="188">
        <f t="shared" si="23"/>
        <v>2873.2796538864645</v>
      </c>
      <c r="Y38" s="188">
        <f t="shared" si="23"/>
        <v>2329.9160724774042</v>
      </c>
      <c r="Z38" s="188">
        <f t="shared" si="23"/>
        <v>1771.3383107888903</v>
      </c>
      <c r="AA38" s="188">
        <f t="shared" si="23"/>
        <v>1197.1203717730987</v>
      </c>
      <c r="AB38" s="188">
        <f t="shared" si="23"/>
        <v>606.8243304648646</v>
      </c>
      <c r="AC38" s="188"/>
      <c r="AD38" s="188"/>
      <c r="AE38" s="188"/>
      <c r="AF38" s="188"/>
      <c r="AG38" s="188"/>
      <c r="AH38" s="188"/>
      <c r="AI38" s="188"/>
      <c r="AJ38" s="188"/>
      <c r="AK38" s="188"/>
      <c r="AL38" s="188"/>
      <c r="AM38" s="188"/>
      <c r="AN38" s="188"/>
      <c r="AO38" s="188"/>
      <c r="AP38" s="188"/>
      <c r="AQ38" s="189"/>
      <c r="AW38" s="152"/>
      <c r="AX38" s="152"/>
      <c r="AY38" s="152"/>
      <c r="AZ38" s="152"/>
      <c r="BA38" s="152"/>
      <c r="BB38" s="152"/>
      <c r="BC38" s="152"/>
      <c r="BD38" s="152"/>
      <c r="BE38" s="152"/>
      <c r="BF38" s="152"/>
      <c r="BG38" s="152"/>
      <c r="BH38" s="152"/>
      <c r="BI38" s="152"/>
      <c r="BJ38" s="152"/>
      <c r="BK38" s="152"/>
      <c r="BL38" s="152"/>
      <c r="BM38" s="152"/>
      <c r="BN38" s="152"/>
      <c r="BO38" s="152"/>
      <c r="BP38" s="152"/>
      <c r="BQ38" s="152"/>
      <c r="BR38" s="152"/>
      <c r="BS38" s="152"/>
      <c r="BT38" s="152"/>
      <c r="BU38" s="152"/>
      <c r="BV38" s="152"/>
      <c r="BW38" s="152"/>
      <c r="BX38" s="152"/>
      <c r="BY38" s="152"/>
      <c r="BZ38" s="152"/>
      <c r="CA38" s="152"/>
      <c r="CB38" s="152"/>
      <c r="CC38" s="152"/>
      <c r="CD38" s="152"/>
      <c r="CE38" s="152"/>
      <c r="CF38" s="152"/>
      <c r="CG38" s="152"/>
      <c r="CH38" s="152"/>
      <c r="CI38" s="152"/>
      <c r="CJ38" s="152"/>
      <c r="CK38" s="152"/>
      <c r="CL38" s="152"/>
      <c r="CM38" s="152"/>
      <c r="CN38" s="152"/>
      <c r="CO38" s="152"/>
      <c r="CP38" s="152"/>
      <c r="CQ38" s="152"/>
      <c r="CR38" s="152"/>
      <c r="CS38" s="152"/>
      <c r="CT38" s="152"/>
      <c r="CU38" s="152"/>
      <c r="CV38" s="152"/>
      <c r="CW38" s="152"/>
      <c r="CX38" s="152"/>
      <c r="CY38" s="152"/>
      <c r="CZ38" s="152"/>
      <c r="DA38" s="152"/>
      <c r="DB38" s="152"/>
      <c r="DC38" s="152"/>
      <c r="DD38" s="152"/>
      <c r="DE38" s="152"/>
      <c r="DF38" s="152"/>
      <c r="DG38" s="152"/>
      <c r="DH38" s="152"/>
      <c r="DI38" s="152"/>
      <c r="DJ38" s="152"/>
      <c r="DK38" s="152"/>
      <c r="DL38" s="152"/>
      <c r="DM38" s="152"/>
      <c r="DN38" s="152"/>
      <c r="DO38" s="152"/>
      <c r="DP38" s="152"/>
      <c r="DQ38" s="152"/>
      <c r="DR38" s="152"/>
      <c r="DS38" s="152"/>
      <c r="DT38" s="152"/>
      <c r="DU38" s="152"/>
      <c r="DV38" s="152"/>
      <c r="DW38" s="152"/>
      <c r="DX38" s="152"/>
      <c r="DY38" s="152"/>
      <c r="DZ38" s="152"/>
      <c r="EA38" s="152"/>
      <c r="EB38" s="152"/>
      <c r="EC38" s="152"/>
      <c r="ED38" s="152"/>
      <c r="EE38" s="152"/>
      <c r="EF38" s="152"/>
      <c r="EG38" s="152"/>
      <c r="EH38" s="152"/>
      <c r="EI38" s="152"/>
      <c r="EJ38" s="152"/>
      <c r="EK38" s="152"/>
      <c r="EL38" s="152"/>
      <c r="EM38" s="152"/>
      <c r="EN38" s="152"/>
      <c r="EO38" s="152"/>
      <c r="EP38" s="152"/>
      <c r="EQ38" s="152"/>
      <c r="ER38" s="152"/>
      <c r="ES38" s="152"/>
      <c r="ET38" s="152"/>
      <c r="EU38" s="152"/>
      <c r="EV38" s="152"/>
      <c r="EW38" s="152"/>
      <c r="EX38" s="152"/>
      <c r="EY38" s="152"/>
      <c r="EZ38" s="152"/>
      <c r="FA38" s="152"/>
      <c r="FB38" s="152"/>
      <c r="FC38" s="152"/>
      <c r="FD38" s="152"/>
      <c r="FE38" s="152"/>
      <c r="FF38" s="152"/>
      <c r="FG38" s="152"/>
      <c r="FH38" s="152"/>
      <c r="FI38" s="152"/>
      <c r="FJ38" s="152"/>
      <c r="FK38" s="152"/>
      <c r="FL38" s="152"/>
      <c r="FM38" s="152"/>
      <c r="FN38" s="152"/>
      <c r="FO38" s="152"/>
      <c r="FP38" s="152"/>
      <c r="FQ38" s="152"/>
      <c r="FR38" s="152"/>
      <c r="FS38" s="152"/>
      <c r="FT38" s="152"/>
      <c r="FU38" s="152"/>
      <c r="FV38" s="152"/>
      <c r="FW38" s="152"/>
      <c r="FX38" s="152"/>
      <c r="FY38" s="152"/>
      <c r="FZ38" s="152"/>
      <c r="GA38" s="152"/>
      <c r="GB38" s="152"/>
      <c r="GC38" s="152"/>
      <c r="GD38" s="152"/>
      <c r="GE38" s="152"/>
      <c r="GF38" s="152"/>
      <c r="GG38" s="152"/>
      <c r="GH38" s="152"/>
      <c r="GI38" s="152"/>
      <c r="GJ38" s="152"/>
      <c r="GK38" s="152"/>
      <c r="GL38" s="152"/>
      <c r="GM38" s="152"/>
      <c r="GN38" s="152"/>
      <c r="GO38" s="152"/>
      <c r="GP38" s="152"/>
      <c r="GQ38" s="152"/>
      <c r="GR38" s="152"/>
      <c r="GS38" s="152"/>
      <c r="GT38" s="152"/>
      <c r="GU38" s="152"/>
      <c r="GV38" s="152"/>
      <c r="GW38" s="152"/>
      <c r="GX38" s="152"/>
      <c r="GY38" s="152"/>
      <c r="GZ38" s="152"/>
      <c r="HA38" s="152"/>
      <c r="HB38" s="152"/>
      <c r="HC38" s="152"/>
      <c r="HD38" s="152"/>
      <c r="HE38" s="152"/>
      <c r="HF38" s="152"/>
      <c r="HG38" s="152"/>
      <c r="HH38" s="152"/>
      <c r="HI38" s="152"/>
      <c r="HJ38" s="152"/>
      <c r="HK38" s="152"/>
      <c r="HL38" s="152"/>
      <c r="HM38" s="152"/>
      <c r="HN38" s="152"/>
      <c r="HO38" s="152"/>
      <c r="HP38" s="152"/>
      <c r="HQ38" s="152"/>
      <c r="HR38" s="152"/>
      <c r="HS38" s="152"/>
      <c r="HT38" s="152"/>
      <c r="HU38" s="152"/>
      <c r="HV38" s="152"/>
      <c r="HW38" s="152"/>
      <c r="HX38" s="152"/>
      <c r="HY38" s="152"/>
      <c r="HZ38" s="152"/>
      <c r="IA38" s="152"/>
      <c r="IB38" s="152"/>
      <c r="IC38" s="152"/>
      <c r="ID38" s="152"/>
      <c r="IE38" s="152"/>
      <c r="IF38" s="152"/>
      <c r="IG38" s="152"/>
      <c r="IH38" s="152"/>
      <c r="II38" s="152"/>
      <c r="IJ38" s="152"/>
      <c r="IK38" s="152"/>
      <c r="IL38" s="152"/>
      <c r="IM38" s="152"/>
      <c r="IN38" s="152"/>
      <c r="IO38" s="152"/>
      <c r="IP38" s="152"/>
      <c r="IQ38" s="152"/>
      <c r="IR38" s="152"/>
      <c r="IS38" s="152"/>
      <c r="IT38" s="152"/>
      <c r="IU38" s="152"/>
      <c r="IV38" s="152"/>
      <c r="IW38" s="152"/>
      <c r="IX38" s="152"/>
      <c r="IY38" s="152"/>
      <c r="IZ38" s="152"/>
      <c r="JA38" s="152"/>
      <c r="JB38" s="152"/>
      <c r="JC38" s="152"/>
      <c r="JD38" s="152"/>
      <c r="JE38" s="152"/>
      <c r="JF38" s="152"/>
      <c r="JG38" s="152"/>
      <c r="JH38" s="152"/>
      <c r="JI38" s="152"/>
      <c r="JJ38" s="152"/>
      <c r="JK38" s="152"/>
      <c r="JL38" s="152"/>
      <c r="JM38" s="152"/>
      <c r="JN38" s="152"/>
      <c r="JO38" s="152"/>
      <c r="JP38" s="152"/>
      <c r="JQ38" s="152"/>
      <c r="JR38" s="152"/>
      <c r="JS38" s="152"/>
      <c r="JT38" s="152"/>
      <c r="JU38" s="152"/>
      <c r="JV38" s="152"/>
      <c r="JW38" s="152"/>
      <c r="JX38" s="152"/>
      <c r="JY38" s="152"/>
      <c r="JZ38" s="152"/>
      <c r="KA38" s="152"/>
      <c r="KB38" s="152"/>
      <c r="KC38" s="152"/>
      <c r="KD38" s="152"/>
      <c r="KE38" s="152"/>
      <c r="KF38" s="152"/>
      <c r="KG38" s="152"/>
      <c r="KH38" s="152"/>
      <c r="KI38" s="152"/>
      <c r="KJ38" s="152"/>
      <c r="KK38" s="152"/>
      <c r="KL38" s="152"/>
      <c r="KM38" s="152"/>
      <c r="KN38" s="152"/>
      <c r="KO38" s="152"/>
      <c r="KP38" s="152"/>
      <c r="KQ38" s="152"/>
      <c r="KR38" s="152"/>
      <c r="KS38" s="152"/>
      <c r="KT38" s="152"/>
      <c r="KU38" s="152"/>
      <c r="KV38" s="152"/>
      <c r="KW38" s="152"/>
      <c r="KX38" s="152"/>
      <c r="KY38" s="152"/>
      <c r="KZ38" s="152"/>
      <c r="LA38" s="152"/>
      <c r="LB38" s="152"/>
      <c r="LC38" s="152"/>
      <c r="LD38" s="152"/>
      <c r="LE38" s="152"/>
      <c r="LF38" s="152"/>
    </row>
    <row r="39" spans="1:318">
      <c r="N39" s="58"/>
      <c r="O39" s="139" t="s">
        <v>231</v>
      </c>
      <c r="Q39" s="140"/>
      <c r="R39" s="139"/>
      <c r="S39" s="188">
        <f t="shared" ref="S39:AB39" si="24">(S11&lt;=$G$6)*(-PPMT($H$6,S11,$G$6,($A$6*$B$6+(1-$J$9)*$A$9*$B$9)*(1-$F$6)))</f>
        <v>16903.121847067174</v>
      </c>
      <c r="T39" s="188">
        <f t="shared" si="24"/>
        <v>17376.409258785054</v>
      </c>
      <c r="U39" s="188">
        <f t="shared" si="24"/>
        <v>17862.948718031035</v>
      </c>
      <c r="V39" s="188">
        <f t="shared" si="24"/>
        <v>18363.111282135906</v>
      </c>
      <c r="W39" s="188">
        <f t="shared" si="24"/>
        <v>18877.278398035709</v>
      </c>
      <c r="X39" s="188">
        <f t="shared" si="24"/>
        <v>19405.84219318071</v>
      </c>
      <c r="Y39" s="188">
        <f t="shared" si="24"/>
        <v>19949.205774589769</v>
      </c>
      <c r="Z39" s="188">
        <f t="shared" si="24"/>
        <v>20507.783536278283</v>
      </c>
      <c r="AA39" s="188">
        <f t="shared" si="24"/>
        <v>21082.001475294077</v>
      </c>
      <c r="AB39" s="188">
        <f t="shared" si="24"/>
        <v>21672.29751660231</v>
      </c>
      <c r="AC39" s="188"/>
      <c r="AD39" s="188"/>
      <c r="AE39" s="188"/>
      <c r="AF39" s="188"/>
      <c r="AG39" s="188"/>
      <c r="AH39" s="188"/>
      <c r="AI39" s="188"/>
      <c r="AJ39" s="188"/>
      <c r="AK39" s="188"/>
      <c r="AL39" s="188"/>
      <c r="AM39" s="188"/>
      <c r="AN39" s="188"/>
      <c r="AO39" s="188"/>
      <c r="AP39" s="188"/>
      <c r="AQ39" s="189"/>
      <c r="AW39" s="152"/>
      <c r="AX39" s="152"/>
      <c r="AY39" s="152"/>
      <c r="AZ39" s="152"/>
      <c r="BA39" s="152"/>
      <c r="BB39" s="152"/>
      <c r="BC39" s="152"/>
      <c r="BD39" s="152"/>
      <c r="BE39" s="152"/>
      <c r="BF39" s="152"/>
      <c r="BG39" s="152"/>
      <c r="BH39" s="152"/>
      <c r="BI39" s="152"/>
      <c r="BJ39" s="152"/>
      <c r="BK39" s="152"/>
      <c r="BL39" s="152"/>
      <c r="BM39" s="152"/>
      <c r="BN39" s="152"/>
      <c r="BO39" s="152"/>
      <c r="BP39" s="152"/>
      <c r="BQ39" s="152"/>
      <c r="BR39" s="152"/>
      <c r="BS39" s="152"/>
      <c r="BT39" s="152"/>
      <c r="BU39" s="152"/>
      <c r="BV39" s="152"/>
      <c r="BW39" s="152"/>
      <c r="BX39" s="152"/>
      <c r="BY39" s="152"/>
      <c r="BZ39" s="152"/>
      <c r="CA39" s="152"/>
      <c r="CB39" s="152"/>
      <c r="CC39" s="152"/>
      <c r="CD39" s="152"/>
      <c r="CE39" s="152"/>
      <c r="CF39" s="152"/>
      <c r="CG39" s="152"/>
      <c r="CH39" s="152"/>
      <c r="CI39" s="152"/>
      <c r="CJ39" s="152"/>
      <c r="CK39" s="152"/>
      <c r="CL39" s="152"/>
      <c r="CM39" s="152"/>
      <c r="CN39" s="152"/>
      <c r="CO39" s="152"/>
      <c r="CP39" s="152"/>
      <c r="CQ39" s="152"/>
      <c r="CR39" s="152"/>
      <c r="CS39" s="152"/>
      <c r="CT39" s="152"/>
      <c r="CU39" s="152"/>
      <c r="CV39" s="152"/>
      <c r="CW39" s="152"/>
      <c r="CX39" s="152"/>
      <c r="CY39" s="152"/>
      <c r="CZ39" s="152"/>
      <c r="DA39" s="152"/>
      <c r="DB39" s="152"/>
      <c r="DC39" s="152"/>
      <c r="DD39" s="152"/>
      <c r="DE39" s="152"/>
      <c r="DF39" s="152"/>
      <c r="DG39" s="152"/>
      <c r="DH39" s="152"/>
      <c r="DI39" s="152"/>
      <c r="DJ39" s="152"/>
      <c r="DK39" s="152"/>
      <c r="DL39" s="152"/>
      <c r="DM39" s="152"/>
      <c r="DN39" s="152"/>
      <c r="DO39" s="152"/>
      <c r="DP39" s="152"/>
      <c r="DQ39" s="152"/>
      <c r="DR39" s="152"/>
      <c r="DS39" s="152"/>
      <c r="DT39" s="152"/>
      <c r="DU39" s="152"/>
      <c r="DV39" s="152"/>
      <c r="DW39" s="152"/>
      <c r="DX39" s="152"/>
      <c r="DY39" s="152"/>
      <c r="DZ39" s="152"/>
      <c r="EA39" s="152"/>
      <c r="EB39" s="152"/>
      <c r="EC39" s="152"/>
      <c r="ED39" s="152"/>
      <c r="EE39" s="152"/>
      <c r="EF39" s="152"/>
      <c r="EG39" s="152"/>
      <c r="EH39" s="152"/>
      <c r="EI39" s="152"/>
      <c r="EJ39" s="152"/>
      <c r="EK39" s="152"/>
      <c r="EL39" s="152"/>
      <c r="EM39" s="152"/>
      <c r="EN39" s="152"/>
      <c r="EO39" s="152"/>
      <c r="EP39" s="152"/>
      <c r="EQ39" s="152"/>
      <c r="ER39" s="152"/>
      <c r="ES39" s="152"/>
      <c r="ET39" s="152"/>
      <c r="EU39" s="152"/>
      <c r="EV39" s="152"/>
      <c r="EW39" s="152"/>
      <c r="EX39" s="152"/>
      <c r="EY39" s="152"/>
      <c r="EZ39" s="152"/>
      <c r="FA39" s="152"/>
      <c r="FB39" s="152"/>
      <c r="FC39" s="152"/>
      <c r="FD39" s="152"/>
      <c r="FE39" s="152"/>
      <c r="FF39" s="152"/>
      <c r="FG39" s="152"/>
      <c r="FH39" s="152"/>
      <c r="FI39" s="152"/>
      <c r="FJ39" s="152"/>
      <c r="FK39" s="152"/>
      <c r="FL39" s="152"/>
      <c r="FM39" s="152"/>
      <c r="FN39" s="152"/>
      <c r="FO39" s="152"/>
      <c r="FP39" s="152"/>
      <c r="FQ39" s="152"/>
      <c r="FR39" s="152"/>
      <c r="FS39" s="152"/>
      <c r="FT39" s="152"/>
      <c r="FU39" s="152"/>
      <c r="FV39" s="152"/>
      <c r="FW39" s="152"/>
      <c r="FX39" s="152"/>
      <c r="FY39" s="152"/>
      <c r="FZ39" s="152"/>
      <c r="GA39" s="152"/>
      <c r="GB39" s="152"/>
      <c r="GC39" s="152"/>
      <c r="GD39" s="152"/>
      <c r="GE39" s="152"/>
      <c r="GF39" s="152"/>
      <c r="GG39" s="152"/>
      <c r="GH39" s="152"/>
      <c r="GI39" s="152"/>
      <c r="GJ39" s="152"/>
      <c r="GK39" s="152"/>
      <c r="GL39" s="152"/>
      <c r="GM39" s="152"/>
      <c r="GN39" s="152"/>
      <c r="GO39" s="152"/>
      <c r="GP39" s="152"/>
      <c r="GQ39" s="152"/>
      <c r="GR39" s="152"/>
      <c r="GS39" s="152"/>
      <c r="GT39" s="152"/>
      <c r="GU39" s="152"/>
      <c r="GV39" s="152"/>
      <c r="GW39" s="152"/>
      <c r="GX39" s="152"/>
      <c r="GY39" s="152"/>
      <c r="GZ39" s="152"/>
      <c r="HA39" s="152"/>
      <c r="HB39" s="152"/>
      <c r="HC39" s="152"/>
      <c r="HD39" s="152"/>
      <c r="HE39" s="152"/>
      <c r="HF39" s="152"/>
      <c r="HG39" s="152"/>
      <c r="HH39" s="152"/>
      <c r="HI39" s="152"/>
      <c r="HJ39" s="152"/>
      <c r="HK39" s="152"/>
      <c r="HL39" s="152"/>
      <c r="HM39" s="152"/>
      <c r="HN39" s="152"/>
      <c r="HO39" s="152"/>
      <c r="HP39" s="152"/>
      <c r="HQ39" s="152"/>
      <c r="HR39" s="152"/>
      <c r="HS39" s="152"/>
      <c r="HT39" s="152"/>
      <c r="HU39" s="152"/>
      <c r="HV39" s="152"/>
      <c r="HW39" s="152"/>
      <c r="HX39" s="152"/>
      <c r="HY39" s="152"/>
      <c r="HZ39" s="152"/>
      <c r="IA39" s="152"/>
      <c r="IB39" s="152"/>
      <c r="IC39" s="152"/>
      <c r="ID39" s="152"/>
      <c r="IE39" s="152"/>
      <c r="IF39" s="152"/>
      <c r="IG39" s="152"/>
      <c r="IH39" s="152"/>
      <c r="II39" s="152"/>
      <c r="IJ39" s="152"/>
      <c r="IK39" s="152"/>
      <c r="IL39" s="152"/>
      <c r="IM39" s="152"/>
      <c r="IN39" s="152"/>
      <c r="IO39" s="152"/>
      <c r="IP39" s="152"/>
      <c r="IQ39" s="152"/>
      <c r="IR39" s="152"/>
      <c r="IS39" s="152"/>
      <c r="IT39" s="152"/>
      <c r="IU39" s="152"/>
      <c r="IV39" s="152"/>
      <c r="IW39" s="152"/>
      <c r="IX39" s="152"/>
      <c r="IY39" s="152"/>
      <c r="IZ39" s="152"/>
      <c r="JA39" s="152"/>
      <c r="JB39" s="152"/>
      <c r="JC39" s="152"/>
      <c r="JD39" s="152"/>
      <c r="JE39" s="152"/>
      <c r="JF39" s="152"/>
      <c r="JG39" s="152"/>
      <c r="JH39" s="152"/>
      <c r="JI39" s="152"/>
      <c r="JJ39" s="152"/>
      <c r="JK39" s="152"/>
      <c r="JL39" s="152"/>
      <c r="JM39" s="152"/>
      <c r="JN39" s="152"/>
      <c r="JO39" s="152"/>
      <c r="JP39" s="152"/>
      <c r="JQ39" s="152"/>
      <c r="JR39" s="152"/>
      <c r="JS39" s="152"/>
      <c r="JT39" s="152"/>
      <c r="JU39" s="152"/>
      <c r="JV39" s="152"/>
      <c r="JW39" s="152"/>
      <c r="JX39" s="152"/>
      <c r="JY39" s="152"/>
      <c r="JZ39" s="152"/>
      <c r="KA39" s="152"/>
      <c r="KB39" s="152"/>
      <c r="KC39" s="152"/>
      <c r="KD39" s="152"/>
      <c r="KE39" s="152"/>
      <c r="KF39" s="152"/>
      <c r="KG39" s="152"/>
      <c r="KH39" s="152"/>
      <c r="KI39" s="152"/>
      <c r="KJ39" s="152"/>
      <c r="KK39" s="152"/>
      <c r="KL39" s="152"/>
      <c r="KM39" s="152"/>
      <c r="KN39" s="152"/>
      <c r="KO39" s="152"/>
      <c r="KP39" s="152"/>
      <c r="KQ39" s="152"/>
      <c r="KR39" s="152"/>
      <c r="KS39" s="152"/>
      <c r="KT39" s="152"/>
      <c r="KU39" s="152"/>
      <c r="KV39" s="152"/>
      <c r="KW39" s="152"/>
      <c r="KX39" s="152"/>
      <c r="KY39" s="152"/>
      <c r="KZ39" s="152"/>
      <c r="LA39" s="152"/>
      <c r="LB39" s="152"/>
      <c r="LC39" s="152"/>
      <c r="LD39" s="152"/>
      <c r="LE39" s="152"/>
      <c r="LF39" s="152"/>
    </row>
    <row r="40" spans="1:318" ht="45.75" thickBot="1">
      <c r="O40" s="200" t="s">
        <v>232</v>
      </c>
      <c r="Q40" s="140"/>
      <c r="R40" s="139"/>
      <c r="S40" s="188">
        <f>S29+S38+S39</f>
        <v>991500.12184706714</v>
      </c>
      <c r="T40" s="188">
        <f t="shared" ref="T40:AQ40" si="25">T29+T38+T39</f>
        <v>991943.26184706716</v>
      </c>
      <c r="U40" s="188">
        <f t="shared" si="25"/>
        <v>992389.07186706713</v>
      </c>
      <c r="V40" s="188">
        <f t="shared" si="25"/>
        <v>992837.70637692721</v>
      </c>
      <c r="W40" s="188">
        <f t="shared" si="25"/>
        <v>993289.32396001811</v>
      </c>
      <c r="X40" s="188">
        <f t="shared" si="25"/>
        <v>993744.0874402714</v>
      </c>
      <c r="Y40" s="188">
        <f t="shared" si="25"/>
        <v>994202.16401301441</v>
      </c>
      <c r="Z40" s="188">
        <f t="shared" si="25"/>
        <v>994663.72537970496</v>
      </c>
      <c r="AA40" s="188">
        <f t="shared" si="25"/>
        <v>995128.94788668433</v>
      </c>
      <c r="AB40" s="188">
        <f t="shared" si="25"/>
        <v>995598.01266806584</v>
      </c>
      <c r="AC40" s="188">
        <f t="shared" si="25"/>
        <v>973791.98394582048</v>
      </c>
      <c r="AD40" s="188">
        <f t="shared" si="25"/>
        <v>974269.29656958557</v>
      </c>
      <c r="AE40" s="188">
        <f t="shared" si="25"/>
        <v>974751.02509032586</v>
      </c>
      <c r="AF40" s="188">
        <f t="shared" si="25"/>
        <v>975237.37130932277</v>
      </c>
      <c r="AG40" s="188">
        <f t="shared" si="25"/>
        <v>975728.54259662563</v>
      </c>
      <c r="AH40" s="188">
        <f t="shared" si="25"/>
        <v>976224.75206151127</v>
      </c>
      <c r="AI40" s="188">
        <f t="shared" si="25"/>
        <v>976726.21872803464</v>
      </c>
      <c r="AJ40" s="188">
        <f t="shared" si="25"/>
        <v>977233.16771582107</v>
      </c>
      <c r="AK40" s="188">
        <f t="shared" si="25"/>
        <v>977745.83042625932</v>
      </c>
      <c r="AL40" s="188">
        <f t="shared" si="25"/>
        <v>978264.44473425823</v>
      </c>
      <c r="AM40" s="188">
        <f t="shared" si="25"/>
        <v>978789.25518573029</v>
      </c>
      <c r="AN40" s="188">
        <f t="shared" si="25"/>
        <v>979320.51320098073</v>
      </c>
      <c r="AO40" s="188">
        <f t="shared" si="25"/>
        <v>979858.47728417069</v>
      </c>
      <c r="AP40" s="188">
        <f t="shared" si="25"/>
        <v>980403.41323904635</v>
      </c>
      <c r="AQ40" s="189">
        <f t="shared" si="25"/>
        <v>980955.59439111373</v>
      </c>
      <c r="AW40" s="154"/>
      <c r="AX40" s="154"/>
      <c r="AY40" s="154"/>
      <c r="AZ40" s="154"/>
      <c r="BA40" s="154"/>
      <c r="BB40" s="154"/>
      <c r="BC40" s="154"/>
      <c r="BD40" s="154"/>
      <c r="BE40" s="154"/>
      <c r="BF40" s="154"/>
      <c r="BG40" s="154"/>
      <c r="BH40" s="154"/>
      <c r="BI40" s="154"/>
      <c r="BJ40" s="154"/>
      <c r="BK40" s="154"/>
      <c r="BL40" s="154"/>
      <c r="BM40" s="154"/>
      <c r="BN40" s="154"/>
      <c r="BO40" s="154"/>
      <c r="BP40" s="154"/>
      <c r="BQ40" s="154"/>
      <c r="BR40" s="154"/>
      <c r="BS40" s="154"/>
      <c r="BT40" s="154"/>
      <c r="BU40" s="154"/>
      <c r="BV40" s="154"/>
      <c r="BW40" s="154"/>
      <c r="BX40" s="154"/>
      <c r="BY40" s="154"/>
      <c r="BZ40" s="154"/>
      <c r="CA40" s="154"/>
      <c r="CB40" s="154"/>
      <c r="CC40" s="154"/>
      <c r="CD40" s="154"/>
      <c r="CE40" s="154"/>
      <c r="CF40" s="154"/>
      <c r="CG40" s="154"/>
      <c r="CH40" s="154"/>
      <c r="CI40" s="154"/>
      <c r="CJ40" s="154"/>
      <c r="CK40" s="154"/>
      <c r="CL40" s="154"/>
      <c r="CM40" s="154"/>
      <c r="CN40" s="154"/>
      <c r="CO40" s="154"/>
      <c r="CP40" s="154"/>
      <c r="CQ40" s="154"/>
      <c r="CR40" s="154"/>
      <c r="CS40" s="154"/>
      <c r="CT40" s="154"/>
      <c r="CU40" s="154"/>
      <c r="CV40" s="154"/>
      <c r="CW40" s="154"/>
      <c r="CX40" s="154"/>
      <c r="CY40" s="154"/>
      <c r="CZ40" s="154"/>
      <c r="DA40" s="154"/>
      <c r="DB40" s="154"/>
      <c r="DC40" s="154"/>
      <c r="DD40" s="154"/>
      <c r="DE40" s="154"/>
      <c r="DF40" s="154"/>
      <c r="DG40" s="154"/>
      <c r="DH40" s="154"/>
      <c r="DI40" s="154"/>
      <c r="DJ40" s="154"/>
      <c r="DK40" s="154"/>
      <c r="DL40" s="154"/>
      <c r="DM40" s="154"/>
      <c r="DN40" s="154"/>
      <c r="DO40" s="154"/>
      <c r="DP40" s="154"/>
      <c r="DQ40" s="154"/>
      <c r="DR40" s="154"/>
      <c r="DS40" s="154"/>
      <c r="DT40" s="154"/>
      <c r="DU40" s="154"/>
      <c r="DV40" s="154"/>
      <c r="DW40" s="154"/>
      <c r="DX40" s="154"/>
      <c r="DY40" s="154"/>
      <c r="DZ40" s="154"/>
      <c r="EA40" s="154"/>
      <c r="EB40" s="154"/>
      <c r="EC40" s="154"/>
      <c r="ED40" s="154"/>
      <c r="EE40" s="154"/>
      <c r="EF40" s="154"/>
      <c r="EG40" s="154"/>
      <c r="EH40" s="154"/>
      <c r="EI40" s="154"/>
      <c r="EJ40" s="154"/>
      <c r="EK40" s="154"/>
      <c r="EL40" s="154"/>
      <c r="EM40" s="154"/>
      <c r="EN40" s="154"/>
      <c r="EO40" s="154"/>
      <c r="EP40" s="154"/>
      <c r="EQ40" s="154"/>
      <c r="ER40" s="154"/>
      <c r="ES40" s="154"/>
      <c r="ET40" s="154"/>
      <c r="EU40" s="154"/>
      <c r="EV40" s="154"/>
      <c r="EW40" s="154"/>
      <c r="EX40" s="154"/>
      <c r="EY40" s="154"/>
      <c r="EZ40" s="154"/>
      <c r="FA40" s="154"/>
      <c r="FB40" s="154"/>
      <c r="FC40" s="154"/>
      <c r="FD40" s="154"/>
      <c r="FE40" s="154"/>
      <c r="FF40" s="154"/>
      <c r="FG40" s="154"/>
      <c r="FH40" s="154"/>
      <c r="FI40" s="154"/>
      <c r="FJ40" s="154"/>
      <c r="FK40" s="154"/>
      <c r="FL40" s="154"/>
      <c r="FM40" s="154"/>
      <c r="FN40" s="154"/>
      <c r="FO40" s="154"/>
      <c r="FP40" s="154"/>
      <c r="FQ40" s="154"/>
      <c r="FR40" s="154"/>
      <c r="FS40" s="154"/>
      <c r="FT40" s="154"/>
      <c r="FU40" s="154"/>
      <c r="FV40" s="154"/>
      <c r="FW40" s="154"/>
      <c r="FX40" s="154"/>
      <c r="FY40" s="154"/>
      <c r="FZ40" s="154"/>
      <c r="GA40" s="154"/>
      <c r="GB40" s="154"/>
      <c r="GC40" s="154"/>
      <c r="GD40" s="154"/>
      <c r="GE40" s="154"/>
      <c r="GF40" s="154"/>
      <c r="GG40" s="154"/>
      <c r="GH40" s="154"/>
      <c r="GI40" s="154"/>
      <c r="GJ40" s="154"/>
      <c r="GK40" s="154"/>
      <c r="GL40" s="154"/>
      <c r="GM40" s="154"/>
      <c r="GN40" s="154"/>
      <c r="GO40" s="154"/>
      <c r="GP40" s="154"/>
      <c r="GQ40" s="154"/>
      <c r="GR40" s="154"/>
      <c r="GS40" s="154"/>
      <c r="GT40" s="154"/>
      <c r="GU40" s="154"/>
      <c r="GV40" s="154"/>
      <c r="GW40" s="154"/>
      <c r="GX40" s="154"/>
      <c r="GY40" s="154"/>
      <c r="GZ40" s="154"/>
      <c r="HA40" s="154"/>
      <c r="HB40" s="154"/>
      <c r="HC40" s="154"/>
      <c r="HD40" s="154"/>
      <c r="HE40" s="154"/>
      <c r="HF40" s="154"/>
      <c r="HG40" s="154"/>
      <c r="HH40" s="154"/>
      <c r="HI40" s="154"/>
      <c r="HJ40" s="154"/>
      <c r="HK40" s="154"/>
      <c r="HL40" s="154"/>
      <c r="HM40" s="154"/>
      <c r="HN40" s="154"/>
      <c r="HO40" s="154"/>
      <c r="HP40" s="154"/>
      <c r="HQ40" s="154"/>
      <c r="HR40" s="154"/>
      <c r="HS40" s="154"/>
      <c r="HT40" s="154"/>
      <c r="HU40" s="154"/>
      <c r="HV40" s="154"/>
      <c r="HW40" s="154"/>
      <c r="HX40" s="154"/>
      <c r="HY40" s="154"/>
      <c r="HZ40" s="154"/>
      <c r="IA40" s="154"/>
      <c r="IB40" s="154"/>
      <c r="IC40" s="154"/>
      <c r="ID40" s="154"/>
      <c r="IE40" s="154"/>
      <c r="IF40" s="154"/>
      <c r="IG40" s="154"/>
      <c r="IH40" s="154"/>
      <c r="II40" s="154"/>
      <c r="IJ40" s="154"/>
      <c r="IK40" s="154"/>
      <c r="IL40" s="154"/>
      <c r="IM40" s="154"/>
      <c r="IN40" s="154"/>
      <c r="IO40" s="154"/>
      <c r="IP40" s="154"/>
      <c r="IQ40" s="154"/>
      <c r="IR40" s="154"/>
      <c r="IS40" s="154"/>
      <c r="IT40" s="154"/>
      <c r="IU40" s="154"/>
      <c r="IV40" s="154"/>
      <c r="IW40" s="154"/>
      <c r="IX40" s="154"/>
      <c r="IY40" s="154"/>
      <c r="IZ40" s="154"/>
      <c r="JA40" s="154"/>
      <c r="JB40" s="154"/>
      <c r="JC40" s="154"/>
      <c r="JD40" s="154"/>
      <c r="JE40" s="154"/>
      <c r="JF40" s="154"/>
      <c r="JG40" s="154"/>
      <c r="JH40" s="154"/>
      <c r="JI40" s="154"/>
      <c r="JJ40" s="154"/>
      <c r="JK40" s="154"/>
      <c r="JL40" s="154"/>
      <c r="JM40" s="154"/>
      <c r="JN40" s="154"/>
      <c r="JO40" s="154"/>
      <c r="JP40" s="154"/>
      <c r="JQ40" s="154"/>
      <c r="JR40" s="154"/>
      <c r="JS40" s="154"/>
      <c r="JT40" s="154"/>
      <c r="JU40" s="154"/>
      <c r="JV40" s="154"/>
      <c r="JW40" s="154"/>
      <c r="JX40" s="154"/>
      <c r="JY40" s="154"/>
      <c r="JZ40" s="154"/>
      <c r="KA40" s="154"/>
      <c r="KB40" s="154"/>
      <c r="KC40" s="154"/>
      <c r="KD40" s="154"/>
      <c r="KE40" s="154"/>
      <c r="KF40" s="154"/>
      <c r="KG40" s="154"/>
      <c r="KH40" s="154"/>
      <c r="KI40" s="154"/>
      <c r="KJ40" s="154"/>
      <c r="KK40" s="154"/>
      <c r="KL40" s="154"/>
      <c r="KM40" s="154"/>
      <c r="KN40" s="154"/>
      <c r="KO40" s="154"/>
      <c r="KP40" s="154"/>
      <c r="KQ40" s="154"/>
      <c r="KR40" s="154"/>
      <c r="KS40" s="154"/>
      <c r="KT40" s="154"/>
      <c r="KU40" s="154"/>
      <c r="KV40" s="154"/>
      <c r="KW40" s="154"/>
      <c r="KX40" s="154"/>
      <c r="KY40" s="154"/>
      <c r="KZ40" s="154"/>
      <c r="LA40" s="154"/>
      <c r="LB40" s="154"/>
      <c r="LC40" s="154"/>
      <c r="LD40" s="154"/>
      <c r="LE40" s="154"/>
      <c r="LF40" s="154"/>
    </row>
    <row r="41" spans="1:318" ht="15.75" thickBot="1">
      <c r="O41" s="192" t="s">
        <v>233</v>
      </c>
      <c r="P41" s="193"/>
      <c r="Q41" s="199"/>
      <c r="R41" s="194">
        <f>R36-R38</f>
        <v>0</v>
      </c>
      <c r="S41" s="195">
        <f>S36-S38</f>
        <v>26490.2</v>
      </c>
      <c r="T41" s="195">
        <f t="shared" ref="T41:AQ41" si="26">T36-T38</f>
        <v>26520.347411717881</v>
      </c>
      <c r="U41" s="195">
        <f t="shared" si="26"/>
        <v>26561.076850963866</v>
      </c>
      <c r="V41" s="195">
        <f t="shared" si="26"/>
        <v>26612.604905208729</v>
      </c>
      <c r="W41" s="195">
        <f t="shared" si="26"/>
        <v>26675.154438017555</v>
      </c>
      <c r="X41" s="195">
        <f t="shared" si="26"/>
        <v>26748.954752909191</v>
      </c>
      <c r="Y41" s="195">
        <f t="shared" si="26"/>
        <v>26834.241761575369</v>
      </c>
      <c r="Z41" s="195">
        <f t="shared" si="26"/>
        <v>26931.258156573327</v>
      </c>
      <c r="AA41" s="195">
        <f t="shared" si="26"/>
        <v>27040.253588609849</v>
      </c>
      <c r="AB41" s="195">
        <f t="shared" si="26"/>
        <v>27161.484848536424</v>
      </c>
      <c r="AC41" s="195">
        <f t="shared" si="26"/>
        <v>48239.216054179524</v>
      </c>
      <c r="AD41" s="195">
        <f t="shared" si="26"/>
        <v>47761.903430414452</v>
      </c>
      <c r="AE41" s="195">
        <f t="shared" si="26"/>
        <v>47280.174909674177</v>
      </c>
      <c r="AF41" s="195">
        <f t="shared" si="26"/>
        <v>46793.828690677241</v>
      </c>
      <c r="AG41" s="195">
        <f t="shared" si="26"/>
        <v>46302.65740337444</v>
      </c>
      <c r="AH41" s="195">
        <f t="shared" si="26"/>
        <v>45806.44793848868</v>
      </c>
      <c r="AI41" s="195">
        <f t="shared" si="26"/>
        <v>45304.981271965291</v>
      </c>
      <c r="AJ41" s="195">
        <f t="shared" si="26"/>
        <v>44798.032284178917</v>
      </c>
      <c r="AK41" s="195">
        <f t="shared" si="26"/>
        <v>44285.36957374058</v>
      </c>
      <c r="AL41" s="195">
        <f t="shared" si="26"/>
        <v>43766.755265741849</v>
      </c>
      <c r="AM41" s="195">
        <f t="shared" si="26"/>
        <v>43241.944814269606</v>
      </c>
      <c r="AN41" s="195">
        <f t="shared" si="26"/>
        <v>42710.686799019328</v>
      </c>
      <c r="AO41" s="195">
        <f t="shared" si="26"/>
        <v>42172.722715829281</v>
      </c>
      <c r="AP41" s="195">
        <f t="shared" si="26"/>
        <v>41627.786760953655</v>
      </c>
      <c r="AQ41" s="196">
        <f t="shared" si="26"/>
        <v>41075.605608886224</v>
      </c>
    </row>
    <row r="42" spans="1:318">
      <c r="O42" s="139"/>
      <c r="Q42" s="140"/>
      <c r="R42" s="139"/>
      <c r="S42" s="188"/>
      <c r="T42" s="188"/>
      <c r="U42" s="188"/>
      <c r="V42" s="188"/>
      <c r="W42" s="188"/>
      <c r="X42" s="188"/>
      <c r="Y42" s="188"/>
      <c r="Z42" s="188"/>
      <c r="AA42" s="188"/>
      <c r="AB42" s="188"/>
      <c r="AC42" s="188"/>
      <c r="AD42" s="188"/>
      <c r="AE42" s="188"/>
      <c r="AF42" s="188"/>
      <c r="AG42" s="188"/>
      <c r="AH42" s="188"/>
      <c r="AI42" s="188"/>
      <c r="AJ42" s="188"/>
      <c r="AK42" s="188"/>
      <c r="AL42" s="188"/>
      <c r="AM42" s="188"/>
      <c r="AN42" s="188"/>
      <c r="AO42" s="188"/>
      <c r="AP42" s="188"/>
      <c r="AQ42" s="189"/>
      <c r="AR42" s="152"/>
      <c r="AW42" s="152"/>
      <c r="AX42" s="152"/>
      <c r="AY42" s="152"/>
      <c r="AZ42" s="152"/>
      <c r="BA42" s="152"/>
      <c r="BB42" s="152"/>
      <c r="BC42" s="152"/>
      <c r="BD42" s="152"/>
      <c r="BE42" s="152"/>
      <c r="BF42" s="152"/>
      <c r="BG42" s="152"/>
      <c r="BH42" s="152"/>
      <c r="BI42" s="152"/>
      <c r="BJ42" s="152"/>
      <c r="BK42" s="152"/>
      <c r="BL42" s="152"/>
      <c r="BM42" s="152"/>
      <c r="BN42" s="152"/>
      <c r="BO42" s="152"/>
      <c r="BP42" s="152"/>
      <c r="BQ42" s="152"/>
      <c r="BR42" s="152"/>
      <c r="BS42" s="152"/>
      <c r="BT42" s="152"/>
      <c r="BU42" s="152"/>
      <c r="BV42" s="152"/>
      <c r="BW42" s="152"/>
      <c r="BX42" s="152"/>
      <c r="BY42" s="152"/>
      <c r="BZ42" s="152"/>
      <c r="CA42" s="152"/>
      <c r="CB42" s="152"/>
      <c r="CC42" s="152"/>
      <c r="CD42" s="152"/>
      <c r="CE42" s="152"/>
      <c r="CF42" s="152"/>
      <c r="CG42" s="152"/>
      <c r="CH42" s="152"/>
      <c r="CI42" s="152"/>
      <c r="CJ42" s="152"/>
      <c r="CK42" s="152"/>
      <c r="CL42" s="152"/>
      <c r="CM42" s="152"/>
      <c r="CN42" s="152"/>
      <c r="CO42" s="152"/>
      <c r="CP42" s="152"/>
      <c r="CQ42" s="152"/>
      <c r="CR42" s="152"/>
      <c r="CS42" s="152"/>
      <c r="CT42" s="152"/>
      <c r="CU42" s="152"/>
      <c r="CV42" s="152"/>
      <c r="CW42" s="152"/>
      <c r="CX42" s="152"/>
      <c r="CY42" s="152"/>
      <c r="CZ42" s="152"/>
      <c r="DA42" s="152"/>
      <c r="DB42" s="152"/>
      <c r="DC42" s="152"/>
      <c r="DD42" s="152"/>
      <c r="DE42" s="152"/>
      <c r="DF42" s="152"/>
      <c r="DG42" s="152"/>
      <c r="DH42" s="152"/>
      <c r="DI42" s="152"/>
      <c r="DJ42" s="152"/>
      <c r="DK42" s="152"/>
      <c r="DL42" s="152"/>
      <c r="DM42" s="152"/>
      <c r="DN42" s="152"/>
      <c r="DO42" s="152"/>
      <c r="DP42" s="152"/>
      <c r="DQ42" s="152"/>
      <c r="DR42" s="152"/>
      <c r="DS42" s="152"/>
      <c r="DT42" s="152"/>
      <c r="DU42" s="152"/>
      <c r="DV42" s="152"/>
      <c r="DW42" s="152"/>
      <c r="DX42" s="152"/>
      <c r="DY42" s="152"/>
      <c r="DZ42" s="152"/>
      <c r="EA42" s="152"/>
      <c r="EB42" s="152"/>
      <c r="EC42" s="152"/>
      <c r="ED42" s="152"/>
      <c r="EE42" s="152"/>
      <c r="EF42" s="152"/>
      <c r="EG42" s="152"/>
      <c r="EH42" s="152"/>
      <c r="EI42" s="152"/>
      <c r="EJ42" s="152"/>
      <c r="EK42" s="152"/>
      <c r="EL42" s="152"/>
      <c r="EM42" s="152"/>
      <c r="EN42" s="152"/>
      <c r="EO42" s="152"/>
      <c r="EP42" s="152"/>
      <c r="EQ42" s="152"/>
      <c r="ER42" s="152"/>
      <c r="ES42" s="152"/>
      <c r="ET42" s="152"/>
      <c r="EU42" s="152"/>
      <c r="EV42" s="152"/>
      <c r="EW42" s="152"/>
      <c r="EX42" s="152"/>
      <c r="EY42" s="152"/>
      <c r="EZ42" s="152"/>
      <c r="FA42" s="152"/>
      <c r="FB42" s="152"/>
      <c r="FC42" s="152"/>
      <c r="FD42" s="152"/>
      <c r="FE42" s="152"/>
      <c r="FF42" s="152"/>
      <c r="FG42" s="152"/>
      <c r="FH42" s="152"/>
      <c r="FI42" s="152"/>
      <c r="FJ42" s="152"/>
      <c r="FK42" s="152"/>
      <c r="FL42" s="152"/>
      <c r="FM42" s="152"/>
      <c r="FN42" s="152"/>
      <c r="FO42" s="152"/>
      <c r="FP42" s="152"/>
      <c r="FQ42" s="152"/>
      <c r="FR42" s="152"/>
      <c r="FS42" s="152"/>
      <c r="FT42" s="152"/>
      <c r="FU42" s="152"/>
      <c r="FV42" s="152"/>
      <c r="FW42" s="152"/>
      <c r="FX42" s="152"/>
      <c r="FY42" s="152"/>
      <c r="FZ42" s="152"/>
      <c r="GA42" s="152"/>
      <c r="GB42" s="152"/>
      <c r="GC42" s="152"/>
      <c r="GD42" s="152"/>
      <c r="GE42" s="152"/>
      <c r="GF42" s="152"/>
      <c r="GG42" s="152"/>
      <c r="GH42" s="152"/>
      <c r="GI42" s="152"/>
      <c r="GJ42" s="152"/>
      <c r="GK42" s="152"/>
      <c r="GL42" s="152"/>
      <c r="GM42" s="152"/>
      <c r="GN42" s="152"/>
      <c r="GO42" s="152"/>
      <c r="GP42" s="152"/>
      <c r="GQ42" s="152"/>
      <c r="GR42" s="152"/>
      <c r="GS42" s="152"/>
      <c r="GT42" s="152"/>
      <c r="GU42" s="152"/>
      <c r="GV42" s="152"/>
      <c r="GW42" s="152"/>
      <c r="GX42" s="152"/>
      <c r="GY42" s="152"/>
      <c r="GZ42" s="152"/>
      <c r="HA42" s="152"/>
      <c r="HB42" s="152"/>
      <c r="HC42" s="152"/>
      <c r="HD42" s="152"/>
      <c r="HE42" s="152"/>
      <c r="HF42" s="152"/>
      <c r="HG42" s="152"/>
      <c r="HH42" s="152"/>
      <c r="HI42" s="152"/>
      <c r="HJ42" s="152"/>
      <c r="HK42" s="152"/>
      <c r="HL42" s="152"/>
      <c r="HM42" s="152"/>
      <c r="HN42" s="152"/>
      <c r="HO42" s="152"/>
      <c r="HP42" s="152"/>
      <c r="HQ42" s="152"/>
      <c r="HR42" s="152"/>
      <c r="HS42" s="152"/>
      <c r="HT42" s="152"/>
      <c r="HU42" s="152"/>
      <c r="HV42" s="152"/>
      <c r="HW42" s="152"/>
      <c r="HX42" s="152"/>
      <c r="HY42" s="152"/>
      <c r="HZ42" s="152"/>
      <c r="IA42" s="152"/>
      <c r="IB42" s="152"/>
      <c r="IC42" s="152"/>
      <c r="ID42" s="152"/>
      <c r="IE42" s="152"/>
      <c r="IF42" s="152"/>
      <c r="IG42" s="152"/>
      <c r="IH42" s="152"/>
      <c r="II42" s="152"/>
      <c r="IJ42" s="152"/>
      <c r="IK42" s="152"/>
      <c r="IL42" s="152"/>
      <c r="IM42" s="152"/>
      <c r="IN42" s="152"/>
      <c r="IO42" s="152"/>
      <c r="IP42" s="152"/>
      <c r="IQ42" s="152"/>
      <c r="IR42" s="152"/>
      <c r="IS42" s="152"/>
      <c r="IT42" s="152"/>
      <c r="IU42" s="152"/>
      <c r="IV42" s="152"/>
      <c r="IW42" s="152"/>
      <c r="IX42" s="152"/>
      <c r="IY42" s="152"/>
      <c r="IZ42" s="152"/>
      <c r="JA42" s="152"/>
      <c r="JB42" s="152"/>
      <c r="JC42" s="152"/>
      <c r="JD42" s="152"/>
      <c r="JE42" s="152"/>
      <c r="JF42" s="152"/>
      <c r="JG42" s="152"/>
      <c r="JH42" s="152"/>
      <c r="JI42" s="152"/>
      <c r="JJ42" s="152"/>
      <c r="JK42" s="152"/>
      <c r="JL42" s="152"/>
      <c r="JM42" s="152"/>
      <c r="JN42" s="152"/>
      <c r="JO42" s="152"/>
      <c r="JP42" s="152"/>
      <c r="JQ42" s="152"/>
      <c r="JR42" s="152"/>
      <c r="JS42" s="152"/>
      <c r="JT42" s="152"/>
      <c r="JU42" s="152"/>
      <c r="JV42" s="152"/>
      <c r="JW42" s="152"/>
      <c r="JX42" s="152"/>
      <c r="JY42" s="152"/>
      <c r="JZ42" s="152"/>
      <c r="KA42" s="152"/>
      <c r="KB42" s="152"/>
      <c r="KC42" s="152"/>
      <c r="KD42" s="152"/>
      <c r="KE42" s="152"/>
      <c r="KF42" s="152"/>
      <c r="KG42" s="152"/>
      <c r="KH42" s="152"/>
      <c r="KI42" s="152"/>
      <c r="KJ42" s="152"/>
      <c r="KK42" s="152"/>
      <c r="KL42" s="152"/>
      <c r="KM42" s="152"/>
      <c r="KN42" s="152"/>
      <c r="KO42" s="152"/>
      <c r="KP42" s="152"/>
      <c r="KQ42" s="152"/>
      <c r="KR42" s="152"/>
      <c r="KS42" s="152"/>
      <c r="KT42" s="152"/>
      <c r="KU42" s="152"/>
      <c r="KV42" s="152"/>
      <c r="KW42" s="152"/>
      <c r="KX42" s="152"/>
      <c r="KY42" s="152"/>
      <c r="KZ42" s="152"/>
      <c r="LA42" s="152"/>
      <c r="LB42" s="152"/>
      <c r="LC42" s="152"/>
      <c r="LD42" s="152"/>
      <c r="LE42" s="152"/>
      <c r="LF42" s="152"/>
    </row>
    <row r="43" spans="1:318">
      <c r="O43" s="139" t="s">
        <v>234</v>
      </c>
      <c r="Q43" s="140"/>
      <c r="R43" s="139"/>
      <c r="S43" s="188">
        <f>S41*22%</f>
        <v>5827.8440000000001</v>
      </c>
      <c r="T43" s="188">
        <f t="shared" ref="T43:AQ43" si="27">T41*22%</f>
        <v>5834.4764305779336</v>
      </c>
      <c r="U43" s="188">
        <f t="shared" si="27"/>
        <v>5843.4369072120508</v>
      </c>
      <c r="V43" s="188">
        <f t="shared" si="27"/>
        <v>5854.7730791459207</v>
      </c>
      <c r="W43" s="188">
        <f t="shared" si="27"/>
        <v>5868.5339763638622</v>
      </c>
      <c r="X43" s="188">
        <f t="shared" si="27"/>
        <v>5884.7700456400216</v>
      </c>
      <c r="Y43" s="188">
        <f t="shared" si="27"/>
        <v>5903.5331875465808</v>
      </c>
      <c r="Z43" s="188">
        <f t="shared" si="27"/>
        <v>5924.8767944461324</v>
      </c>
      <c r="AA43" s="188">
        <f t="shared" si="27"/>
        <v>5948.8557894941669</v>
      </c>
      <c r="AB43" s="188">
        <f t="shared" si="27"/>
        <v>5975.5266666780135</v>
      </c>
      <c r="AC43" s="188">
        <f t="shared" si="27"/>
        <v>10612.627531919496</v>
      </c>
      <c r="AD43" s="188">
        <f t="shared" si="27"/>
        <v>10507.618754691179</v>
      </c>
      <c r="AE43" s="188">
        <f t="shared" si="27"/>
        <v>10401.638480128318</v>
      </c>
      <c r="AF43" s="188">
        <f t="shared" si="27"/>
        <v>10294.642311948994</v>
      </c>
      <c r="AG43" s="188">
        <f t="shared" si="27"/>
        <v>10186.584628742377</v>
      </c>
      <c r="AH43" s="188">
        <f t="shared" si="27"/>
        <v>10077.41854646751</v>
      </c>
      <c r="AI43" s="188">
        <f t="shared" si="27"/>
        <v>9967.0958798323645</v>
      </c>
      <c r="AJ43" s="188">
        <f t="shared" si="27"/>
        <v>9855.5671025193624</v>
      </c>
      <c r="AK43" s="188">
        <f t="shared" si="27"/>
        <v>9742.781306222927</v>
      </c>
      <c r="AL43" s="188">
        <f t="shared" si="27"/>
        <v>9628.6861584632061</v>
      </c>
      <c r="AM43" s="188">
        <f t="shared" si="27"/>
        <v>9513.2278591393133</v>
      </c>
      <c r="AN43" s="188">
        <f t="shared" si="27"/>
        <v>9396.3510957842518</v>
      </c>
      <c r="AO43" s="188">
        <f t="shared" si="27"/>
        <v>9277.9989974824421</v>
      </c>
      <c r="AP43" s="188">
        <f t="shared" si="27"/>
        <v>9158.1130874098035</v>
      </c>
      <c r="AQ43" s="189">
        <f t="shared" si="27"/>
        <v>9036.6332339549699</v>
      </c>
      <c r="AR43" s="152"/>
      <c r="AW43" s="152"/>
      <c r="AX43" s="152"/>
      <c r="AY43" s="152"/>
      <c r="AZ43" s="152"/>
      <c r="BA43" s="152"/>
      <c r="BB43" s="152"/>
      <c r="BC43" s="152"/>
      <c r="BD43" s="152"/>
      <c r="BE43" s="152"/>
      <c r="BF43" s="152"/>
      <c r="BG43" s="152"/>
      <c r="BH43" s="152"/>
      <c r="BI43" s="152"/>
      <c r="BJ43" s="152"/>
      <c r="BK43" s="152"/>
      <c r="BL43" s="152"/>
      <c r="BM43" s="152"/>
      <c r="BN43" s="152"/>
      <c r="BO43" s="152"/>
      <c r="BP43" s="152"/>
      <c r="BQ43" s="152"/>
      <c r="BR43" s="152"/>
      <c r="BS43" s="152"/>
      <c r="BT43" s="152"/>
      <c r="BU43" s="152"/>
      <c r="BV43" s="152"/>
      <c r="BW43" s="152"/>
      <c r="BX43" s="152"/>
      <c r="BY43" s="152"/>
      <c r="BZ43" s="152"/>
      <c r="CA43" s="152"/>
      <c r="CB43" s="152"/>
      <c r="CC43" s="152"/>
      <c r="CD43" s="152"/>
      <c r="CE43" s="152"/>
      <c r="CF43" s="152"/>
      <c r="CG43" s="152"/>
      <c r="CH43" s="152"/>
      <c r="CI43" s="152"/>
      <c r="CJ43" s="152"/>
      <c r="CK43" s="152"/>
      <c r="CL43" s="152"/>
      <c r="CM43" s="152"/>
      <c r="CN43" s="152"/>
      <c r="CO43" s="152"/>
      <c r="CP43" s="152"/>
      <c r="CQ43" s="152"/>
      <c r="CR43" s="152"/>
      <c r="CS43" s="152"/>
      <c r="CT43" s="152"/>
      <c r="CU43" s="152"/>
      <c r="CV43" s="152"/>
      <c r="CW43" s="152"/>
      <c r="CX43" s="152"/>
      <c r="CY43" s="152"/>
      <c r="CZ43" s="152"/>
      <c r="DA43" s="152"/>
      <c r="DB43" s="152"/>
      <c r="DC43" s="152"/>
      <c r="DD43" s="152"/>
      <c r="DE43" s="152"/>
      <c r="DF43" s="152"/>
      <c r="DG43" s="152"/>
      <c r="DH43" s="152"/>
      <c r="DI43" s="152"/>
      <c r="DJ43" s="152"/>
      <c r="DK43" s="152"/>
      <c r="DL43" s="152"/>
      <c r="DM43" s="152"/>
      <c r="DN43" s="152"/>
      <c r="DO43" s="152"/>
      <c r="DP43" s="152"/>
      <c r="DQ43" s="152"/>
      <c r="DR43" s="152"/>
      <c r="DS43" s="152"/>
      <c r="DT43" s="152"/>
      <c r="DU43" s="152"/>
      <c r="DV43" s="152"/>
      <c r="DW43" s="152"/>
      <c r="DX43" s="152"/>
      <c r="DY43" s="152"/>
      <c r="DZ43" s="152"/>
      <c r="EA43" s="152"/>
      <c r="EB43" s="152"/>
      <c r="EC43" s="152"/>
      <c r="ED43" s="152"/>
      <c r="EE43" s="152"/>
      <c r="EF43" s="152"/>
      <c r="EG43" s="152"/>
      <c r="EH43" s="152"/>
      <c r="EI43" s="152"/>
      <c r="EJ43" s="152"/>
      <c r="EK43" s="152"/>
      <c r="EL43" s="152"/>
      <c r="EM43" s="152"/>
      <c r="EN43" s="152"/>
      <c r="EO43" s="152"/>
      <c r="EP43" s="152"/>
      <c r="EQ43" s="152"/>
      <c r="ER43" s="152"/>
      <c r="ES43" s="152"/>
      <c r="ET43" s="152"/>
      <c r="EU43" s="152"/>
      <c r="EV43" s="152"/>
      <c r="EW43" s="152"/>
      <c r="EX43" s="152"/>
      <c r="EY43" s="152"/>
      <c r="EZ43" s="152"/>
      <c r="FA43" s="152"/>
      <c r="FB43" s="152"/>
      <c r="FC43" s="152"/>
      <c r="FD43" s="152"/>
      <c r="FE43" s="152"/>
      <c r="FF43" s="152"/>
      <c r="FG43" s="152"/>
      <c r="FH43" s="152"/>
      <c r="FI43" s="152"/>
      <c r="FJ43" s="152"/>
      <c r="FK43" s="152"/>
      <c r="FL43" s="152"/>
      <c r="FM43" s="152"/>
      <c r="FN43" s="152"/>
      <c r="FO43" s="152"/>
      <c r="FP43" s="152"/>
      <c r="FQ43" s="152"/>
      <c r="FR43" s="152"/>
      <c r="FS43" s="152"/>
      <c r="FT43" s="152"/>
      <c r="FU43" s="152"/>
      <c r="FV43" s="152"/>
      <c r="FW43" s="152"/>
      <c r="FX43" s="152"/>
      <c r="FY43" s="152"/>
      <c r="FZ43" s="152"/>
      <c r="GA43" s="152"/>
      <c r="GB43" s="152"/>
      <c r="GC43" s="152"/>
      <c r="GD43" s="152"/>
      <c r="GE43" s="152"/>
      <c r="GF43" s="152"/>
      <c r="GG43" s="152"/>
      <c r="GH43" s="152"/>
      <c r="GI43" s="152"/>
      <c r="GJ43" s="152"/>
      <c r="GK43" s="152"/>
      <c r="GL43" s="152"/>
      <c r="GM43" s="152"/>
      <c r="GN43" s="152"/>
      <c r="GO43" s="152"/>
      <c r="GP43" s="152"/>
      <c r="GQ43" s="152"/>
      <c r="GR43" s="152"/>
      <c r="GS43" s="152"/>
      <c r="GT43" s="152"/>
      <c r="GU43" s="152"/>
      <c r="GV43" s="152"/>
      <c r="GW43" s="152"/>
      <c r="GX43" s="152"/>
      <c r="GY43" s="152"/>
      <c r="GZ43" s="152"/>
      <c r="HA43" s="152"/>
      <c r="HB43" s="152"/>
      <c r="HC43" s="152"/>
      <c r="HD43" s="152"/>
      <c r="HE43" s="152"/>
      <c r="HF43" s="152"/>
      <c r="HG43" s="152"/>
      <c r="HH43" s="152"/>
      <c r="HI43" s="152"/>
      <c r="HJ43" s="152"/>
      <c r="HK43" s="152"/>
      <c r="HL43" s="152"/>
      <c r="HM43" s="152"/>
      <c r="HN43" s="152"/>
      <c r="HO43" s="152"/>
      <c r="HP43" s="152"/>
      <c r="HQ43" s="152"/>
      <c r="HR43" s="152"/>
      <c r="HS43" s="152"/>
      <c r="HT43" s="152"/>
      <c r="HU43" s="152"/>
      <c r="HV43" s="152"/>
      <c r="HW43" s="152"/>
      <c r="HX43" s="152"/>
      <c r="HY43" s="152"/>
      <c r="HZ43" s="152"/>
      <c r="IA43" s="152"/>
      <c r="IB43" s="152"/>
      <c r="IC43" s="152"/>
      <c r="ID43" s="152"/>
      <c r="IE43" s="152"/>
      <c r="IF43" s="152"/>
      <c r="IG43" s="152"/>
      <c r="IH43" s="152"/>
      <c r="II43" s="152"/>
      <c r="IJ43" s="152"/>
      <c r="IK43" s="152"/>
      <c r="IL43" s="152"/>
      <c r="IM43" s="152"/>
      <c r="IN43" s="152"/>
      <c r="IO43" s="152"/>
      <c r="IP43" s="152"/>
      <c r="IQ43" s="152"/>
      <c r="IR43" s="152"/>
      <c r="IS43" s="152"/>
      <c r="IT43" s="152"/>
      <c r="IU43" s="152"/>
      <c r="IV43" s="152"/>
      <c r="IW43" s="152"/>
      <c r="IX43" s="152"/>
      <c r="IY43" s="152"/>
      <c r="IZ43" s="152"/>
      <c r="JA43" s="152"/>
      <c r="JB43" s="152"/>
      <c r="JC43" s="152"/>
      <c r="JD43" s="152"/>
      <c r="JE43" s="152"/>
      <c r="JF43" s="152"/>
      <c r="JG43" s="152"/>
      <c r="JH43" s="152"/>
      <c r="JI43" s="152"/>
      <c r="JJ43" s="152"/>
      <c r="JK43" s="152"/>
      <c r="JL43" s="152"/>
      <c r="JM43" s="152"/>
      <c r="JN43" s="152"/>
      <c r="JO43" s="152"/>
      <c r="JP43" s="152"/>
      <c r="JQ43" s="152"/>
      <c r="JR43" s="152"/>
      <c r="JS43" s="152"/>
      <c r="JT43" s="152"/>
      <c r="JU43" s="152"/>
      <c r="JV43" s="152"/>
      <c r="JW43" s="152"/>
      <c r="JX43" s="152"/>
      <c r="JY43" s="152"/>
      <c r="JZ43" s="152"/>
      <c r="KA43" s="152"/>
      <c r="KB43" s="152"/>
      <c r="KC43" s="152"/>
      <c r="KD43" s="152"/>
      <c r="KE43" s="152"/>
      <c r="KF43" s="152"/>
      <c r="KG43" s="152"/>
      <c r="KH43" s="152"/>
      <c r="KI43" s="152"/>
      <c r="KJ43" s="152"/>
      <c r="KK43" s="152"/>
      <c r="KL43" s="152"/>
      <c r="KM43" s="152"/>
      <c r="KN43" s="152"/>
      <c r="KO43" s="152"/>
      <c r="KP43" s="152"/>
      <c r="KQ43" s="152"/>
      <c r="KR43" s="152"/>
      <c r="KS43" s="152"/>
      <c r="KT43" s="152"/>
      <c r="KU43" s="152"/>
      <c r="KV43" s="152"/>
      <c r="KW43" s="152"/>
      <c r="KX43" s="152"/>
      <c r="KY43" s="152"/>
      <c r="KZ43" s="152"/>
      <c r="LA43" s="152"/>
      <c r="LB43" s="152"/>
      <c r="LC43" s="152"/>
      <c r="LD43" s="152"/>
      <c r="LE43" s="152"/>
      <c r="LF43" s="152"/>
    </row>
    <row r="44" spans="1:318" ht="15.75" thickBot="1">
      <c r="O44" s="139" t="s">
        <v>235</v>
      </c>
      <c r="Q44" s="140"/>
      <c r="R44" s="139"/>
      <c r="S44" s="188">
        <f>S43*95%</f>
        <v>5536.4517999999998</v>
      </c>
      <c r="T44" s="188">
        <f t="shared" ref="T44:AQ44" si="28">T43*95%</f>
        <v>5542.7526090490364</v>
      </c>
      <c r="U44" s="188">
        <f t="shared" si="28"/>
        <v>5551.2650618514481</v>
      </c>
      <c r="V44" s="188">
        <f t="shared" si="28"/>
        <v>5562.0344251886245</v>
      </c>
      <c r="W44" s="188">
        <f t="shared" si="28"/>
        <v>5575.1072775456687</v>
      </c>
      <c r="X44" s="188">
        <f t="shared" si="28"/>
        <v>5590.5315433580199</v>
      </c>
      <c r="Y44" s="188">
        <f t="shared" si="28"/>
        <v>5608.3565281692518</v>
      </c>
      <c r="Z44" s="188">
        <f t="shared" si="28"/>
        <v>5628.6329547238256</v>
      </c>
      <c r="AA44" s="188">
        <f t="shared" si="28"/>
        <v>5651.4130000194582</v>
      </c>
      <c r="AB44" s="188">
        <f t="shared" si="28"/>
        <v>5676.7503333441127</v>
      </c>
      <c r="AC44" s="188">
        <f t="shared" si="28"/>
        <v>10081.996155323521</v>
      </c>
      <c r="AD44" s="188">
        <f t="shared" si="28"/>
        <v>9982.23781695662</v>
      </c>
      <c r="AE44" s="188">
        <f t="shared" si="28"/>
        <v>9881.5565561219028</v>
      </c>
      <c r="AF44" s="188">
        <f t="shared" si="28"/>
        <v>9779.9101963515441</v>
      </c>
      <c r="AG44" s="188">
        <f t="shared" si="28"/>
        <v>9677.2553973052582</v>
      </c>
      <c r="AH44" s="188">
        <f t="shared" si="28"/>
        <v>9573.5476191441339</v>
      </c>
      <c r="AI44" s="188">
        <f t="shared" si="28"/>
        <v>9468.7410858407457</v>
      </c>
      <c r="AJ44" s="188">
        <f t="shared" si="28"/>
        <v>9362.7887473933934</v>
      </c>
      <c r="AK44" s="188">
        <f t="shared" si="28"/>
        <v>9255.6422409117804</v>
      </c>
      <c r="AL44" s="188">
        <f t="shared" si="28"/>
        <v>9147.2518505400458</v>
      </c>
      <c r="AM44" s="188">
        <f t="shared" si="28"/>
        <v>9037.5664661823466</v>
      </c>
      <c r="AN44" s="188">
        <f t="shared" si="28"/>
        <v>8926.5335409950385</v>
      </c>
      <c r="AO44" s="188">
        <f t="shared" si="28"/>
        <v>8814.0990476083189</v>
      </c>
      <c r="AP44" s="188">
        <f t="shared" si="28"/>
        <v>8700.2074330393134</v>
      </c>
      <c r="AQ44" s="189">
        <f t="shared" si="28"/>
        <v>8584.8015722572218</v>
      </c>
      <c r="AR44" s="152"/>
      <c r="AW44" s="152"/>
      <c r="AX44" s="152"/>
      <c r="AY44" s="152"/>
      <c r="AZ44" s="152"/>
      <c r="BA44" s="152"/>
      <c r="BB44" s="152"/>
      <c r="BC44" s="152"/>
      <c r="BD44" s="152"/>
      <c r="BE44" s="152"/>
      <c r="BF44" s="152"/>
      <c r="BG44" s="152"/>
      <c r="BH44" s="152"/>
      <c r="BI44" s="152"/>
      <c r="BJ44" s="152"/>
      <c r="BK44" s="152"/>
      <c r="BL44" s="152"/>
      <c r="BM44" s="152"/>
      <c r="BN44" s="152"/>
      <c r="BO44" s="152"/>
      <c r="BP44" s="152"/>
      <c r="BQ44" s="152"/>
      <c r="BR44" s="152"/>
      <c r="BS44" s="152"/>
      <c r="BT44" s="152"/>
      <c r="BU44" s="152"/>
      <c r="BV44" s="152"/>
      <c r="BW44" s="152"/>
      <c r="BX44" s="152"/>
      <c r="BY44" s="152"/>
      <c r="BZ44" s="152"/>
      <c r="CA44" s="152"/>
      <c r="CB44" s="152"/>
      <c r="CC44" s="152"/>
      <c r="CD44" s="152"/>
      <c r="CE44" s="152"/>
      <c r="CF44" s="152"/>
      <c r="CG44" s="152"/>
      <c r="CH44" s="152"/>
      <c r="CI44" s="152"/>
      <c r="CJ44" s="152"/>
      <c r="CK44" s="152"/>
      <c r="CL44" s="152"/>
      <c r="CM44" s="152"/>
      <c r="CN44" s="152"/>
      <c r="CO44" s="152"/>
      <c r="CP44" s="152"/>
      <c r="CQ44" s="152"/>
      <c r="CR44" s="152"/>
      <c r="CS44" s="152"/>
      <c r="CT44" s="152"/>
      <c r="CU44" s="152"/>
      <c r="CV44" s="152"/>
      <c r="CW44" s="152"/>
      <c r="CX44" s="152"/>
      <c r="CY44" s="152"/>
      <c r="CZ44" s="152"/>
      <c r="DA44" s="152"/>
      <c r="DB44" s="152"/>
      <c r="DC44" s="152"/>
      <c r="DD44" s="152"/>
      <c r="DE44" s="152"/>
      <c r="DF44" s="152"/>
      <c r="DG44" s="152"/>
      <c r="DH44" s="152"/>
      <c r="DI44" s="152"/>
      <c r="DJ44" s="152"/>
      <c r="DK44" s="152"/>
      <c r="DL44" s="152"/>
      <c r="DM44" s="152"/>
      <c r="DN44" s="152"/>
      <c r="DO44" s="152"/>
      <c r="DP44" s="152"/>
      <c r="DQ44" s="152"/>
      <c r="DR44" s="152"/>
      <c r="DS44" s="152"/>
      <c r="DT44" s="152"/>
      <c r="DU44" s="152"/>
      <c r="DV44" s="152"/>
      <c r="DW44" s="152"/>
      <c r="DX44" s="152"/>
      <c r="DY44" s="152"/>
      <c r="DZ44" s="152"/>
      <c r="EA44" s="152"/>
      <c r="EB44" s="152"/>
      <c r="EC44" s="152"/>
      <c r="ED44" s="152"/>
      <c r="EE44" s="152"/>
      <c r="EF44" s="152"/>
      <c r="EG44" s="152"/>
      <c r="EH44" s="152"/>
      <c r="EI44" s="152"/>
      <c r="EJ44" s="152"/>
      <c r="EK44" s="152"/>
      <c r="EL44" s="152"/>
      <c r="EM44" s="152"/>
      <c r="EN44" s="152"/>
      <c r="EO44" s="152"/>
      <c r="EP44" s="152"/>
      <c r="EQ44" s="152"/>
      <c r="ER44" s="152"/>
      <c r="ES44" s="152"/>
      <c r="ET44" s="152"/>
      <c r="EU44" s="152"/>
      <c r="EV44" s="152"/>
      <c r="EW44" s="152"/>
      <c r="EX44" s="152"/>
      <c r="EY44" s="152"/>
      <c r="EZ44" s="152"/>
      <c r="FA44" s="152"/>
      <c r="FB44" s="152"/>
      <c r="FC44" s="152"/>
      <c r="FD44" s="152"/>
      <c r="FE44" s="152"/>
      <c r="FF44" s="152"/>
      <c r="FG44" s="152"/>
      <c r="FH44" s="152"/>
      <c r="FI44" s="152"/>
      <c r="FJ44" s="152"/>
      <c r="FK44" s="152"/>
      <c r="FL44" s="152"/>
      <c r="FM44" s="152"/>
      <c r="FN44" s="152"/>
      <c r="FO44" s="152"/>
      <c r="FP44" s="152"/>
      <c r="FQ44" s="152"/>
      <c r="FR44" s="152"/>
      <c r="FS44" s="152"/>
      <c r="FT44" s="152"/>
      <c r="FU44" s="152"/>
      <c r="FV44" s="152"/>
      <c r="FW44" s="152"/>
      <c r="FX44" s="152"/>
      <c r="FY44" s="152"/>
      <c r="FZ44" s="152"/>
      <c r="GA44" s="152"/>
      <c r="GB44" s="152"/>
      <c r="GC44" s="152"/>
      <c r="GD44" s="152"/>
      <c r="GE44" s="152"/>
      <c r="GF44" s="152"/>
      <c r="GG44" s="152"/>
      <c r="GH44" s="152"/>
      <c r="GI44" s="152"/>
      <c r="GJ44" s="152"/>
      <c r="GK44" s="152"/>
      <c r="GL44" s="152"/>
      <c r="GM44" s="152"/>
      <c r="GN44" s="152"/>
      <c r="GO44" s="152"/>
      <c r="GP44" s="152"/>
      <c r="GQ44" s="152"/>
      <c r="GR44" s="152"/>
      <c r="GS44" s="152"/>
      <c r="GT44" s="152"/>
      <c r="GU44" s="152"/>
      <c r="GV44" s="152"/>
      <c r="GW44" s="152"/>
      <c r="GX44" s="152"/>
      <c r="GY44" s="152"/>
      <c r="GZ44" s="152"/>
      <c r="HA44" s="152"/>
      <c r="HB44" s="152"/>
      <c r="HC44" s="152"/>
      <c r="HD44" s="152"/>
      <c r="HE44" s="152"/>
      <c r="HF44" s="152"/>
      <c r="HG44" s="152"/>
      <c r="HH44" s="152"/>
      <c r="HI44" s="152"/>
      <c r="HJ44" s="152"/>
      <c r="HK44" s="152"/>
      <c r="HL44" s="152"/>
      <c r="HM44" s="152"/>
      <c r="HN44" s="152"/>
      <c r="HO44" s="152"/>
      <c r="HP44" s="152"/>
      <c r="HQ44" s="152"/>
      <c r="HR44" s="152"/>
      <c r="HS44" s="152"/>
      <c r="HT44" s="152"/>
      <c r="HU44" s="152"/>
      <c r="HV44" s="152"/>
      <c r="HW44" s="152"/>
      <c r="HX44" s="152"/>
      <c r="HY44" s="152"/>
      <c r="HZ44" s="152"/>
      <c r="IA44" s="152"/>
      <c r="IB44" s="152"/>
      <c r="IC44" s="152"/>
      <c r="ID44" s="152"/>
      <c r="IE44" s="152"/>
      <c r="IF44" s="152"/>
      <c r="IG44" s="152"/>
      <c r="IH44" s="152"/>
      <c r="II44" s="152"/>
      <c r="IJ44" s="152"/>
      <c r="IK44" s="152"/>
      <c r="IL44" s="152"/>
      <c r="IM44" s="152"/>
      <c r="IN44" s="152"/>
      <c r="IO44" s="152"/>
      <c r="IP44" s="152"/>
      <c r="IQ44" s="152"/>
      <c r="IR44" s="152"/>
      <c r="IS44" s="152"/>
      <c r="IT44" s="152"/>
      <c r="IU44" s="152"/>
      <c r="IV44" s="152"/>
      <c r="IW44" s="152"/>
      <c r="IX44" s="152"/>
      <c r="IY44" s="152"/>
      <c r="IZ44" s="152"/>
      <c r="JA44" s="152"/>
      <c r="JB44" s="152"/>
      <c r="JC44" s="152"/>
      <c r="JD44" s="152"/>
      <c r="JE44" s="152"/>
      <c r="JF44" s="152"/>
      <c r="JG44" s="152"/>
      <c r="JH44" s="152"/>
      <c r="JI44" s="152"/>
      <c r="JJ44" s="152"/>
      <c r="JK44" s="152"/>
      <c r="JL44" s="152"/>
      <c r="JM44" s="152"/>
      <c r="JN44" s="152"/>
      <c r="JO44" s="152"/>
      <c r="JP44" s="152"/>
      <c r="JQ44" s="152"/>
      <c r="JR44" s="152"/>
      <c r="JS44" s="152"/>
      <c r="JT44" s="152"/>
      <c r="JU44" s="152"/>
      <c r="JV44" s="152"/>
      <c r="JW44" s="152"/>
      <c r="JX44" s="152"/>
      <c r="JY44" s="152"/>
      <c r="JZ44" s="152"/>
      <c r="KA44" s="152"/>
      <c r="KB44" s="152"/>
      <c r="KC44" s="152"/>
      <c r="KD44" s="152"/>
      <c r="KE44" s="152"/>
      <c r="KF44" s="152"/>
      <c r="KG44" s="152"/>
      <c r="KH44" s="152"/>
      <c r="KI44" s="152"/>
      <c r="KJ44" s="152"/>
      <c r="KK44" s="152"/>
      <c r="KL44" s="152"/>
      <c r="KM44" s="152"/>
      <c r="KN44" s="152"/>
      <c r="KO44" s="152"/>
      <c r="KP44" s="152"/>
      <c r="KQ44" s="152"/>
      <c r="KR44" s="152"/>
      <c r="KS44" s="152"/>
      <c r="KT44" s="152"/>
      <c r="KU44" s="152"/>
      <c r="KV44" s="152"/>
      <c r="KW44" s="152"/>
      <c r="KX44" s="152"/>
      <c r="KY44" s="152"/>
      <c r="KZ44" s="152"/>
      <c r="LA44" s="152"/>
      <c r="LB44" s="152"/>
      <c r="LC44" s="152"/>
      <c r="LD44" s="152"/>
      <c r="LE44" s="152"/>
      <c r="LF44" s="152"/>
    </row>
    <row r="45" spans="1:318" ht="15.75" thickBot="1">
      <c r="O45" s="192" t="s">
        <v>236</v>
      </c>
      <c r="P45" s="193"/>
      <c r="Q45" s="199"/>
      <c r="R45" s="192"/>
      <c r="S45" s="195">
        <f>S43+S44-R44</f>
        <v>11364.2958</v>
      </c>
      <c r="T45" s="195">
        <f t="shared" ref="T45:AQ45" si="29">T43+T44-S44</f>
        <v>5840.7772396269711</v>
      </c>
      <c r="U45" s="195">
        <f t="shared" si="29"/>
        <v>5851.9493600144624</v>
      </c>
      <c r="V45" s="195">
        <f t="shared" si="29"/>
        <v>5865.5424424830971</v>
      </c>
      <c r="W45" s="195">
        <f t="shared" si="29"/>
        <v>5881.6068287209064</v>
      </c>
      <c r="X45" s="195">
        <f t="shared" si="29"/>
        <v>5900.1943114523729</v>
      </c>
      <c r="Y45" s="195">
        <f t="shared" si="29"/>
        <v>5921.3581723578118</v>
      </c>
      <c r="Z45" s="195">
        <f t="shared" si="29"/>
        <v>5945.1532210007063</v>
      </c>
      <c r="AA45" s="195">
        <f t="shared" si="29"/>
        <v>5971.6358347898004</v>
      </c>
      <c r="AB45" s="195">
        <f t="shared" si="29"/>
        <v>6000.864000002668</v>
      </c>
      <c r="AC45" s="195">
        <f t="shared" si="29"/>
        <v>15017.873353898904</v>
      </c>
      <c r="AD45" s="195">
        <f t="shared" si="29"/>
        <v>10407.860416324276</v>
      </c>
      <c r="AE45" s="195">
        <f t="shared" si="29"/>
        <v>10300.957219293601</v>
      </c>
      <c r="AF45" s="195">
        <f t="shared" si="29"/>
        <v>10192.995952178635</v>
      </c>
      <c r="AG45" s="195">
        <f t="shared" si="29"/>
        <v>10083.92982969609</v>
      </c>
      <c r="AH45" s="195">
        <f t="shared" si="29"/>
        <v>9973.7107683063859</v>
      </c>
      <c r="AI45" s="195">
        <f t="shared" si="29"/>
        <v>9862.2893465289744</v>
      </c>
      <c r="AJ45" s="195">
        <f t="shared" si="29"/>
        <v>9749.6147640720083</v>
      </c>
      <c r="AK45" s="195">
        <f t="shared" si="29"/>
        <v>9635.6347997413122</v>
      </c>
      <c r="AL45" s="195">
        <f t="shared" si="29"/>
        <v>9520.2957680914697</v>
      </c>
      <c r="AM45" s="195">
        <f t="shared" si="29"/>
        <v>9403.5424747816123</v>
      </c>
      <c r="AN45" s="195">
        <f t="shared" si="29"/>
        <v>9285.3181705969437</v>
      </c>
      <c r="AO45" s="195">
        <f t="shared" si="29"/>
        <v>9165.5645040957206</v>
      </c>
      <c r="AP45" s="195">
        <f t="shared" si="29"/>
        <v>9044.221472840798</v>
      </c>
      <c r="AQ45" s="196">
        <f t="shared" si="29"/>
        <v>8921.2273731728801</v>
      </c>
      <c r="AR45" s="152"/>
      <c r="AW45" s="152"/>
      <c r="AX45" s="152"/>
      <c r="AY45" s="152"/>
      <c r="AZ45" s="152"/>
      <c r="BA45" s="152"/>
      <c r="BB45" s="152"/>
      <c r="BC45" s="152"/>
      <c r="BD45" s="152"/>
      <c r="BE45" s="152"/>
      <c r="BF45" s="152"/>
      <c r="BG45" s="152"/>
      <c r="BH45" s="152"/>
      <c r="BI45" s="152"/>
      <c r="BJ45" s="152"/>
      <c r="BK45" s="152"/>
      <c r="BL45" s="152"/>
      <c r="BM45" s="152"/>
      <c r="BN45" s="152"/>
      <c r="BO45" s="152"/>
      <c r="BP45" s="152"/>
      <c r="BQ45" s="152"/>
      <c r="BR45" s="152"/>
      <c r="BS45" s="152"/>
      <c r="BT45" s="152"/>
      <c r="BU45" s="152"/>
      <c r="BV45" s="152"/>
      <c r="BW45" s="152"/>
      <c r="BX45" s="152"/>
      <c r="BY45" s="152"/>
      <c r="BZ45" s="152"/>
      <c r="CA45" s="152"/>
      <c r="CB45" s="152"/>
      <c r="CC45" s="152"/>
      <c r="CD45" s="152"/>
      <c r="CE45" s="152"/>
      <c r="CF45" s="152"/>
      <c r="CG45" s="152"/>
      <c r="CH45" s="152"/>
      <c r="CI45" s="152"/>
      <c r="CJ45" s="152"/>
      <c r="CK45" s="152"/>
      <c r="CL45" s="152"/>
      <c r="CM45" s="152"/>
      <c r="CN45" s="152"/>
      <c r="CO45" s="152"/>
      <c r="CP45" s="152"/>
      <c r="CQ45" s="152"/>
      <c r="CR45" s="152"/>
      <c r="CS45" s="152"/>
      <c r="CT45" s="152"/>
      <c r="CU45" s="152"/>
      <c r="CV45" s="152"/>
      <c r="CW45" s="152"/>
      <c r="CX45" s="152"/>
      <c r="CY45" s="152"/>
      <c r="CZ45" s="152"/>
      <c r="DA45" s="152"/>
      <c r="DB45" s="152"/>
      <c r="DC45" s="152"/>
      <c r="DD45" s="152"/>
      <c r="DE45" s="152"/>
      <c r="DF45" s="152"/>
      <c r="DG45" s="152"/>
      <c r="DH45" s="152"/>
      <c r="DI45" s="152"/>
      <c r="DJ45" s="152"/>
      <c r="DK45" s="152"/>
      <c r="DL45" s="152"/>
      <c r="DM45" s="152"/>
      <c r="DN45" s="152"/>
      <c r="DO45" s="152"/>
      <c r="DP45" s="152"/>
      <c r="DQ45" s="152"/>
      <c r="DR45" s="152"/>
      <c r="DS45" s="152"/>
      <c r="DT45" s="152"/>
      <c r="DU45" s="152"/>
      <c r="DV45" s="152"/>
      <c r="DW45" s="152"/>
      <c r="DX45" s="152"/>
      <c r="DY45" s="152"/>
      <c r="DZ45" s="152"/>
      <c r="EA45" s="152"/>
      <c r="EB45" s="152"/>
      <c r="EC45" s="152"/>
      <c r="ED45" s="152"/>
      <c r="EE45" s="152"/>
      <c r="EF45" s="152"/>
      <c r="EG45" s="152"/>
      <c r="EH45" s="152"/>
      <c r="EI45" s="152"/>
      <c r="EJ45" s="152"/>
      <c r="EK45" s="152"/>
      <c r="EL45" s="152"/>
      <c r="EM45" s="152"/>
      <c r="EN45" s="152"/>
      <c r="EO45" s="152"/>
      <c r="EP45" s="152"/>
      <c r="EQ45" s="152"/>
      <c r="ER45" s="152"/>
      <c r="ES45" s="152"/>
      <c r="ET45" s="152"/>
      <c r="EU45" s="152"/>
      <c r="EV45" s="152"/>
      <c r="EW45" s="152"/>
      <c r="EX45" s="152"/>
      <c r="EY45" s="152"/>
      <c r="EZ45" s="152"/>
      <c r="FA45" s="152"/>
      <c r="FB45" s="152"/>
      <c r="FC45" s="152"/>
      <c r="FD45" s="152"/>
      <c r="FE45" s="152"/>
      <c r="FF45" s="152"/>
      <c r="FG45" s="152"/>
      <c r="FH45" s="152"/>
      <c r="FI45" s="152"/>
      <c r="FJ45" s="152"/>
      <c r="FK45" s="152"/>
      <c r="FL45" s="152"/>
      <c r="FM45" s="152"/>
      <c r="FN45" s="152"/>
      <c r="FO45" s="152"/>
      <c r="FP45" s="152"/>
      <c r="FQ45" s="152"/>
      <c r="FR45" s="152"/>
      <c r="FS45" s="152"/>
      <c r="FT45" s="152"/>
      <c r="FU45" s="152"/>
      <c r="FV45" s="152"/>
      <c r="FW45" s="152"/>
      <c r="FX45" s="152"/>
      <c r="FY45" s="152"/>
      <c r="FZ45" s="152"/>
      <c r="GA45" s="152"/>
      <c r="GB45" s="152"/>
      <c r="GC45" s="152"/>
      <c r="GD45" s="152"/>
      <c r="GE45" s="152"/>
      <c r="GF45" s="152"/>
      <c r="GG45" s="152"/>
      <c r="GH45" s="152"/>
      <c r="GI45" s="152"/>
      <c r="GJ45" s="152"/>
      <c r="GK45" s="152"/>
      <c r="GL45" s="152"/>
      <c r="GM45" s="152"/>
      <c r="GN45" s="152"/>
      <c r="GO45" s="152"/>
      <c r="GP45" s="152"/>
      <c r="GQ45" s="152"/>
      <c r="GR45" s="152"/>
      <c r="GS45" s="152"/>
      <c r="GT45" s="152"/>
      <c r="GU45" s="152"/>
      <c r="GV45" s="152"/>
      <c r="GW45" s="152"/>
      <c r="GX45" s="152"/>
      <c r="GY45" s="152"/>
      <c r="GZ45" s="152"/>
      <c r="HA45" s="152"/>
      <c r="HB45" s="152"/>
      <c r="HC45" s="152"/>
      <c r="HD45" s="152"/>
      <c r="HE45" s="152"/>
      <c r="HF45" s="152"/>
      <c r="HG45" s="152"/>
      <c r="HH45" s="152"/>
      <c r="HI45" s="152"/>
      <c r="HJ45" s="152"/>
      <c r="HK45" s="152"/>
      <c r="HL45" s="152"/>
      <c r="HM45" s="152"/>
      <c r="HN45" s="152"/>
      <c r="HO45" s="152"/>
      <c r="HP45" s="152"/>
      <c r="HQ45" s="152"/>
      <c r="HR45" s="152"/>
      <c r="HS45" s="152"/>
      <c r="HT45" s="152"/>
      <c r="HU45" s="152"/>
      <c r="HV45" s="152"/>
      <c r="HW45" s="152"/>
      <c r="HX45" s="152"/>
      <c r="HY45" s="152"/>
      <c r="HZ45" s="152"/>
      <c r="IA45" s="152"/>
      <c r="IB45" s="152"/>
      <c r="IC45" s="152"/>
      <c r="ID45" s="152"/>
      <c r="IE45" s="152"/>
      <c r="IF45" s="152"/>
      <c r="IG45" s="152"/>
      <c r="IH45" s="152"/>
      <c r="II45" s="152"/>
      <c r="IJ45" s="152"/>
      <c r="IK45" s="152"/>
      <c r="IL45" s="152"/>
      <c r="IM45" s="152"/>
      <c r="IN45" s="152"/>
      <c r="IO45" s="152"/>
      <c r="IP45" s="152"/>
      <c r="IQ45" s="152"/>
      <c r="IR45" s="152"/>
      <c r="IS45" s="152"/>
      <c r="IT45" s="152"/>
      <c r="IU45" s="152"/>
      <c r="IV45" s="152"/>
      <c r="IW45" s="152"/>
      <c r="IX45" s="152"/>
      <c r="IY45" s="152"/>
      <c r="IZ45" s="152"/>
      <c r="JA45" s="152"/>
      <c r="JB45" s="152"/>
      <c r="JC45" s="152"/>
      <c r="JD45" s="152"/>
      <c r="JE45" s="152"/>
      <c r="JF45" s="152"/>
      <c r="JG45" s="152"/>
      <c r="JH45" s="152"/>
      <c r="JI45" s="152"/>
      <c r="JJ45" s="152"/>
      <c r="JK45" s="152"/>
      <c r="JL45" s="152"/>
      <c r="JM45" s="152"/>
      <c r="JN45" s="152"/>
      <c r="JO45" s="152"/>
      <c r="JP45" s="152"/>
      <c r="JQ45" s="152"/>
      <c r="JR45" s="152"/>
      <c r="JS45" s="152"/>
      <c r="JT45" s="152"/>
      <c r="JU45" s="152"/>
      <c r="JV45" s="152"/>
      <c r="JW45" s="152"/>
      <c r="JX45" s="152"/>
      <c r="JY45" s="152"/>
      <c r="JZ45" s="152"/>
      <c r="KA45" s="152"/>
      <c r="KB45" s="152"/>
      <c r="KC45" s="152"/>
      <c r="KD45" s="152"/>
      <c r="KE45" s="152"/>
      <c r="KF45" s="152"/>
      <c r="KG45" s="152"/>
      <c r="KH45" s="152"/>
      <c r="KI45" s="152"/>
      <c r="KJ45" s="152"/>
      <c r="KK45" s="152"/>
      <c r="KL45" s="152"/>
      <c r="KM45" s="152"/>
      <c r="KN45" s="152"/>
      <c r="KO45" s="152"/>
      <c r="KP45" s="152"/>
      <c r="KQ45" s="152"/>
      <c r="KR45" s="152"/>
      <c r="KS45" s="152"/>
      <c r="KT45" s="152"/>
      <c r="KU45" s="152"/>
      <c r="KV45" s="152"/>
      <c r="KW45" s="152"/>
      <c r="KX45" s="152"/>
      <c r="KY45" s="152"/>
      <c r="KZ45" s="152"/>
      <c r="LA45" s="152"/>
      <c r="LB45" s="152"/>
      <c r="LC45" s="152"/>
      <c r="LD45" s="152"/>
      <c r="LE45" s="152"/>
      <c r="LF45" s="152"/>
    </row>
    <row r="46" spans="1:318">
      <c r="O46" s="139" t="s">
        <v>237</v>
      </c>
      <c r="Q46" s="140"/>
      <c r="R46" s="139"/>
      <c r="S46" s="188"/>
      <c r="T46" s="188"/>
      <c r="U46" s="188"/>
      <c r="V46" s="188"/>
      <c r="W46" s="188"/>
      <c r="X46" s="188"/>
      <c r="Y46" s="188"/>
      <c r="Z46" s="188"/>
      <c r="AA46" s="188"/>
      <c r="AB46" s="188"/>
      <c r="AC46" s="188"/>
      <c r="AD46" s="188"/>
      <c r="AE46" s="188"/>
      <c r="AF46" s="188"/>
      <c r="AG46" s="188"/>
      <c r="AH46" s="188"/>
      <c r="AI46" s="188"/>
      <c r="AJ46" s="188"/>
      <c r="AK46" s="188"/>
      <c r="AL46" s="188"/>
      <c r="AM46" s="188"/>
      <c r="AN46" s="188"/>
      <c r="AO46" s="188"/>
      <c r="AP46" s="188"/>
      <c r="AQ46" s="189"/>
      <c r="AR46" s="152"/>
      <c r="AW46" s="152"/>
      <c r="AX46" s="152"/>
      <c r="AY46" s="152"/>
      <c r="AZ46" s="152"/>
      <c r="BA46" s="152"/>
      <c r="BB46" s="152"/>
      <c r="BC46" s="152"/>
      <c r="BD46" s="152"/>
      <c r="BE46" s="152"/>
      <c r="BF46" s="152"/>
      <c r="BG46" s="152"/>
      <c r="BH46" s="152"/>
      <c r="BI46" s="152"/>
      <c r="BJ46" s="152"/>
      <c r="BK46" s="152"/>
      <c r="BL46" s="152"/>
      <c r="BM46" s="152"/>
      <c r="BN46" s="152"/>
      <c r="BO46" s="152"/>
      <c r="BP46" s="152"/>
      <c r="BQ46" s="152"/>
      <c r="BR46" s="152"/>
      <c r="BS46" s="152"/>
      <c r="BT46" s="152"/>
      <c r="BU46" s="152"/>
      <c r="BV46" s="152"/>
      <c r="BW46" s="152"/>
      <c r="BX46" s="152"/>
      <c r="BY46" s="152"/>
      <c r="BZ46" s="152"/>
      <c r="CA46" s="152"/>
      <c r="CB46" s="152"/>
      <c r="CC46" s="152"/>
      <c r="CD46" s="152"/>
      <c r="CE46" s="152"/>
      <c r="CF46" s="152"/>
      <c r="CG46" s="152"/>
      <c r="CH46" s="152"/>
      <c r="CI46" s="152"/>
      <c r="CJ46" s="152"/>
      <c r="CK46" s="152"/>
      <c r="CL46" s="152"/>
      <c r="CM46" s="152"/>
      <c r="CN46" s="152"/>
      <c r="CO46" s="152"/>
      <c r="CP46" s="152"/>
      <c r="CQ46" s="152"/>
      <c r="CR46" s="152"/>
      <c r="CS46" s="152"/>
      <c r="CT46" s="152"/>
      <c r="CU46" s="152"/>
      <c r="CV46" s="152"/>
      <c r="CW46" s="152"/>
      <c r="CX46" s="152"/>
      <c r="CY46" s="152"/>
      <c r="CZ46" s="152"/>
      <c r="DA46" s="152"/>
      <c r="DB46" s="152"/>
      <c r="DC46" s="152"/>
      <c r="DD46" s="152"/>
      <c r="DE46" s="152"/>
      <c r="DF46" s="152"/>
      <c r="DG46" s="152"/>
      <c r="DH46" s="152"/>
      <c r="DI46" s="152"/>
      <c r="DJ46" s="152"/>
      <c r="DK46" s="152"/>
      <c r="DL46" s="152"/>
      <c r="DM46" s="152"/>
      <c r="DN46" s="152"/>
      <c r="DO46" s="152"/>
      <c r="DP46" s="152"/>
      <c r="DQ46" s="152"/>
      <c r="DR46" s="152"/>
      <c r="DS46" s="152"/>
      <c r="DT46" s="152"/>
      <c r="DU46" s="152"/>
      <c r="DV46" s="152"/>
      <c r="DW46" s="152"/>
      <c r="DX46" s="152"/>
      <c r="DY46" s="152"/>
      <c r="DZ46" s="152"/>
      <c r="EA46" s="152"/>
      <c r="EB46" s="152"/>
      <c r="EC46" s="152"/>
      <c r="ED46" s="152"/>
      <c r="EE46" s="152"/>
      <c r="EF46" s="152"/>
      <c r="EG46" s="152"/>
      <c r="EH46" s="152"/>
      <c r="EI46" s="152"/>
      <c r="EJ46" s="152"/>
      <c r="EK46" s="152"/>
      <c r="EL46" s="152"/>
      <c r="EM46" s="152"/>
      <c r="EN46" s="152"/>
      <c r="EO46" s="152"/>
      <c r="EP46" s="152"/>
      <c r="EQ46" s="152"/>
      <c r="ER46" s="152"/>
      <c r="ES46" s="152"/>
      <c r="ET46" s="152"/>
      <c r="EU46" s="152"/>
      <c r="EV46" s="152"/>
      <c r="EW46" s="152"/>
      <c r="EX46" s="152"/>
      <c r="EY46" s="152"/>
      <c r="EZ46" s="152"/>
      <c r="FA46" s="152"/>
      <c r="FB46" s="152"/>
      <c r="FC46" s="152"/>
      <c r="FD46" s="152"/>
      <c r="FE46" s="152"/>
      <c r="FF46" s="152"/>
      <c r="FG46" s="152"/>
      <c r="FH46" s="152"/>
      <c r="FI46" s="152"/>
      <c r="FJ46" s="152"/>
      <c r="FK46" s="152"/>
      <c r="FL46" s="152"/>
      <c r="FM46" s="152"/>
      <c r="FN46" s="152"/>
      <c r="FO46" s="152"/>
      <c r="FP46" s="152"/>
      <c r="FQ46" s="152"/>
      <c r="FR46" s="152"/>
      <c r="FS46" s="152"/>
      <c r="FT46" s="152"/>
      <c r="FU46" s="152"/>
      <c r="FV46" s="152"/>
      <c r="FW46" s="152"/>
      <c r="FX46" s="152"/>
      <c r="FY46" s="152"/>
      <c r="FZ46" s="152"/>
      <c r="GA46" s="152"/>
      <c r="GB46" s="152"/>
      <c r="GC46" s="152"/>
      <c r="GD46" s="152"/>
      <c r="GE46" s="152"/>
      <c r="GF46" s="152"/>
      <c r="GG46" s="152"/>
      <c r="GH46" s="152"/>
      <c r="GI46" s="152"/>
      <c r="GJ46" s="152"/>
      <c r="GK46" s="152"/>
      <c r="GL46" s="152"/>
      <c r="GM46" s="152"/>
      <c r="GN46" s="152"/>
      <c r="GO46" s="152"/>
      <c r="GP46" s="152"/>
      <c r="GQ46" s="152"/>
      <c r="GR46" s="152"/>
      <c r="GS46" s="152"/>
      <c r="GT46" s="152"/>
      <c r="GU46" s="152"/>
      <c r="GV46" s="152"/>
      <c r="GW46" s="152"/>
      <c r="GX46" s="152"/>
      <c r="GY46" s="152"/>
      <c r="GZ46" s="152"/>
      <c r="HA46" s="152"/>
      <c r="HB46" s="152"/>
      <c r="HC46" s="152"/>
      <c r="HD46" s="152"/>
      <c r="HE46" s="152"/>
      <c r="HF46" s="152"/>
      <c r="HG46" s="152"/>
      <c r="HH46" s="152"/>
      <c r="HI46" s="152"/>
      <c r="HJ46" s="152"/>
      <c r="HK46" s="152"/>
      <c r="HL46" s="152"/>
      <c r="HM46" s="152"/>
      <c r="HN46" s="152"/>
      <c r="HO46" s="152"/>
      <c r="HP46" s="152"/>
      <c r="HQ46" s="152"/>
      <c r="HR46" s="152"/>
      <c r="HS46" s="152"/>
      <c r="HT46" s="152"/>
      <c r="HU46" s="152"/>
      <c r="HV46" s="152"/>
      <c r="HW46" s="152"/>
      <c r="HX46" s="152"/>
      <c r="HY46" s="152"/>
      <c r="HZ46" s="152"/>
      <c r="IA46" s="152"/>
      <c r="IB46" s="152"/>
      <c r="IC46" s="152"/>
      <c r="ID46" s="152"/>
      <c r="IE46" s="152"/>
      <c r="IF46" s="152"/>
      <c r="IG46" s="152"/>
      <c r="IH46" s="152"/>
      <c r="II46" s="152"/>
      <c r="IJ46" s="152"/>
      <c r="IK46" s="152"/>
      <c r="IL46" s="152"/>
      <c r="IM46" s="152"/>
      <c r="IN46" s="152"/>
      <c r="IO46" s="152"/>
      <c r="IP46" s="152"/>
      <c r="IQ46" s="152"/>
      <c r="IR46" s="152"/>
      <c r="IS46" s="152"/>
      <c r="IT46" s="152"/>
      <c r="IU46" s="152"/>
      <c r="IV46" s="152"/>
      <c r="IW46" s="152"/>
      <c r="IX46" s="152"/>
      <c r="IY46" s="152"/>
      <c r="IZ46" s="152"/>
      <c r="JA46" s="152"/>
      <c r="JB46" s="152"/>
      <c r="JC46" s="152"/>
      <c r="JD46" s="152"/>
      <c r="JE46" s="152"/>
      <c r="JF46" s="152"/>
      <c r="JG46" s="152"/>
      <c r="JH46" s="152"/>
      <c r="JI46" s="152"/>
      <c r="JJ46" s="152"/>
      <c r="JK46" s="152"/>
      <c r="JL46" s="152"/>
      <c r="JM46" s="152"/>
      <c r="JN46" s="152"/>
      <c r="JO46" s="152"/>
      <c r="JP46" s="152"/>
      <c r="JQ46" s="152"/>
      <c r="JR46" s="152"/>
      <c r="JS46" s="152"/>
      <c r="JT46" s="152"/>
      <c r="JU46" s="152"/>
      <c r="JV46" s="152"/>
      <c r="JW46" s="152"/>
      <c r="JX46" s="152"/>
      <c r="JY46" s="152"/>
      <c r="JZ46" s="152"/>
      <c r="KA46" s="152"/>
      <c r="KB46" s="152"/>
      <c r="KC46" s="152"/>
      <c r="KD46" s="152"/>
      <c r="KE46" s="152"/>
      <c r="KF46" s="152"/>
      <c r="KG46" s="152"/>
      <c r="KH46" s="152"/>
      <c r="KI46" s="152"/>
      <c r="KJ46" s="152"/>
      <c r="KK46" s="152"/>
      <c r="KL46" s="152"/>
      <c r="KM46" s="152"/>
      <c r="KN46" s="152"/>
      <c r="KO46" s="152"/>
      <c r="KP46" s="152"/>
      <c r="KQ46" s="152"/>
      <c r="KR46" s="152"/>
      <c r="KS46" s="152"/>
      <c r="KT46" s="152"/>
      <c r="KU46" s="152"/>
      <c r="KV46" s="152"/>
      <c r="KW46" s="152"/>
      <c r="KX46" s="152"/>
      <c r="KY46" s="152"/>
      <c r="KZ46" s="152"/>
      <c r="LA46" s="152"/>
      <c r="LB46" s="152"/>
      <c r="LC46" s="152"/>
      <c r="LD46" s="152"/>
      <c r="LE46" s="152"/>
      <c r="LF46" s="152"/>
    </row>
    <row r="47" spans="1:318" ht="15.75" thickBot="1">
      <c r="O47" s="190" t="s">
        <v>238</v>
      </c>
      <c r="P47" s="42"/>
      <c r="Q47" s="43"/>
      <c r="R47" s="190"/>
      <c r="S47" s="171"/>
      <c r="T47" s="171"/>
      <c r="U47" s="171"/>
      <c r="V47" s="171"/>
      <c r="W47" s="171"/>
      <c r="X47" s="171"/>
      <c r="Y47" s="171"/>
      <c r="Z47" s="171"/>
      <c r="AA47" s="171"/>
      <c r="AB47" s="171"/>
      <c r="AC47" s="171"/>
      <c r="AD47" s="171"/>
      <c r="AE47" s="171"/>
      <c r="AF47" s="171"/>
      <c r="AG47" s="171"/>
      <c r="AH47" s="171"/>
      <c r="AI47" s="171"/>
      <c r="AJ47" s="171"/>
      <c r="AK47" s="171"/>
      <c r="AL47" s="171"/>
      <c r="AM47" s="171"/>
      <c r="AN47" s="171"/>
      <c r="AO47" s="171"/>
      <c r="AP47" s="171"/>
      <c r="AQ47" s="191"/>
    </row>
    <row r="48" spans="1:318">
      <c r="S48" s="169"/>
      <c r="T48" s="169"/>
      <c r="U48" s="169"/>
      <c r="V48" s="169"/>
      <c r="W48" s="169"/>
      <c r="X48" s="169"/>
      <c r="Y48" s="169"/>
      <c r="Z48" s="169"/>
      <c r="AA48" s="169"/>
      <c r="AB48" s="169"/>
      <c r="AC48" s="169"/>
      <c r="AD48" s="169"/>
      <c r="AE48" s="169"/>
      <c r="AF48" s="169"/>
      <c r="AG48" s="169"/>
      <c r="AH48" s="169"/>
      <c r="AI48" s="169"/>
      <c r="AJ48" s="169"/>
      <c r="AK48" s="169"/>
      <c r="AL48" s="169"/>
      <c r="AM48" s="169"/>
      <c r="AN48" s="169"/>
      <c r="AO48" s="169"/>
      <c r="AP48" s="169"/>
      <c r="AQ48" s="169"/>
    </row>
    <row r="49" spans="14:318" ht="15.75" thickBot="1">
      <c r="R49" s="169"/>
      <c r="S49" s="169"/>
      <c r="T49" s="169"/>
      <c r="U49" s="169"/>
      <c r="V49" s="169"/>
      <c r="W49" s="169"/>
      <c r="X49" s="169"/>
      <c r="Y49" s="169"/>
      <c r="Z49" s="169"/>
      <c r="AA49" s="169"/>
      <c r="AB49" s="169"/>
      <c r="AC49" s="169"/>
      <c r="AD49" s="169"/>
      <c r="AE49" s="169"/>
      <c r="AF49" s="169"/>
      <c r="AG49" s="169"/>
      <c r="AH49" s="169"/>
      <c r="AI49" s="169"/>
      <c r="AJ49" s="169"/>
      <c r="AK49" s="169"/>
      <c r="AL49" s="169"/>
      <c r="AM49" s="169"/>
      <c r="AN49" s="169"/>
      <c r="AO49" s="169"/>
      <c r="AP49" s="169"/>
      <c r="AQ49" s="169"/>
      <c r="AR49" s="152"/>
      <c r="AW49" s="152"/>
      <c r="AX49" s="152"/>
      <c r="AY49" s="152"/>
      <c r="AZ49" s="152"/>
      <c r="BA49" s="152"/>
      <c r="BB49" s="152"/>
      <c r="BC49" s="152"/>
      <c r="BD49" s="152"/>
      <c r="BE49" s="152"/>
      <c r="BF49" s="152"/>
      <c r="BG49" s="152"/>
      <c r="BH49" s="152"/>
      <c r="BI49" s="152"/>
      <c r="BJ49" s="152"/>
      <c r="BK49" s="152"/>
      <c r="BL49" s="152"/>
      <c r="BM49" s="152"/>
      <c r="BN49" s="152"/>
      <c r="BO49" s="152"/>
      <c r="BP49" s="152"/>
      <c r="BQ49" s="152"/>
      <c r="BR49" s="152"/>
      <c r="BS49" s="152"/>
      <c r="BT49" s="152"/>
      <c r="BU49" s="152"/>
      <c r="BV49" s="152"/>
      <c r="BW49" s="152"/>
      <c r="BX49" s="152"/>
      <c r="BY49" s="152"/>
      <c r="BZ49" s="152"/>
      <c r="CA49" s="152"/>
      <c r="CB49" s="152"/>
      <c r="CC49" s="152"/>
      <c r="CD49" s="152"/>
      <c r="CE49" s="152"/>
      <c r="CF49" s="152"/>
      <c r="CG49" s="152"/>
      <c r="CH49" s="152"/>
      <c r="CI49" s="152"/>
      <c r="CJ49" s="152"/>
      <c r="CK49" s="152"/>
      <c r="CL49" s="152"/>
      <c r="CM49" s="152"/>
      <c r="CN49" s="152"/>
      <c r="CO49" s="152"/>
      <c r="CP49" s="152"/>
      <c r="CQ49" s="152"/>
      <c r="CR49" s="152"/>
      <c r="CS49" s="152"/>
      <c r="CT49" s="152"/>
      <c r="CU49" s="152"/>
      <c r="CV49" s="152"/>
      <c r="CW49" s="152"/>
      <c r="CX49" s="152"/>
      <c r="CY49" s="152"/>
      <c r="CZ49" s="152"/>
      <c r="DA49" s="152"/>
      <c r="DB49" s="152"/>
      <c r="DC49" s="152"/>
      <c r="DD49" s="152"/>
      <c r="DE49" s="152"/>
      <c r="DF49" s="152"/>
      <c r="DG49" s="152"/>
      <c r="DH49" s="152"/>
      <c r="DI49" s="152"/>
      <c r="DJ49" s="152"/>
      <c r="DK49" s="152"/>
      <c r="DL49" s="152"/>
      <c r="DM49" s="152"/>
      <c r="DN49" s="152"/>
      <c r="DO49" s="152"/>
      <c r="DP49" s="152"/>
      <c r="DQ49" s="152"/>
      <c r="DR49" s="152"/>
      <c r="DS49" s="152"/>
      <c r="DT49" s="152"/>
      <c r="DU49" s="152"/>
      <c r="DV49" s="152"/>
      <c r="DW49" s="152"/>
      <c r="DX49" s="152"/>
      <c r="DY49" s="152"/>
      <c r="DZ49" s="152"/>
      <c r="EA49" s="152"/>
      <c r="EB49" s="152"/>
      <c r="EC49" s="152"/>
      <c r="ED49" s="152"/>
      <c r="EE49" s="152"/>
      <c r="EF49" s="152"/>
      <c r="EG49" s="152"/>
      <c r="EH49" s="152"/>
      <c r="EI49" s="152"/>
      <c r="EJ49" s="152"/>
      <c r="EK49" s="152"/>
      <c r="EL49" s="152"/>
      <c r="EM49" s="152"/>
      <c r="EN49" s="152"/>
      <c r="EO49" s="152"/>
      <c r="EP49" s="152"/>
      <c r="EQ49" s="152"/>
      <c r="ER49" s="152"/>
      <c r="ES49" s="152"/>
      <c r="ET49" s="152"/>
      <c r="EU49" s="152"/>
      <c r="EV49" s="152"/>
      <c r="EW49" s="152"/>
      <c r="EX49" s="152"/>
      <c r="EY49" s="152"/>
      <c r="EZ49" s="152"/>
      <c r="FA49" s="152"/>
      <c r="FB49" s="152"/>
      <c r="FC49" s="152"/>
      <c r="FD49" s="152"/>
      <c r="FE49" s="152"/>
      <c r="FF49" s="152"/>
      <c r="FG49" s="152"/>
      <c r="FH49" s="152"/>
      <c r="FI49" s="152"/>
      <c r="FJ49" s="152"/>
      <c r="FK49" s="152"/>
      <c r="FL49" s="152"/>
      <c r="FM49" s="152"/>
      <c r="FN49" s="152"/>
      <c r="FO49" s="152"/>
      <c r="FP49" s="152"/>
      <c r="FQ49" s="152"/>
      <c r="FR49" s="152"/>
      <c r="FS49" s="152"/>
      <c r="FT49" s="152"/>
      <c r="FU49" s="152"/>
      <c r="FV49" s="152"/>
      <c r="FW49" s="152"/>
      <c r="FX49" s="152"/>
      <c r="FY49" s="152"/>
      <c r="FZ49" s="152"/>
      <c r="GA49" s="152"/>
      <c r="GB49" s="152"/>
      <c r="GC49" s="152"/>
      <c r="GD49" s="152"/>
      <c r="GE49" s="152"/>
      <c r="GF49" s="152"/>
      <c r="GG49" s="152"/>
      <c r="GH49" s="152"/>
      <c r="GI49" s="152"/>
      <c r="GJ49" s="152"/>
      <c r="GK49" s="152"/>
      <c r="GL49" s="152"/>
      <c r="GM49" s="152"/>
      <c r="GN49" s="152"/>
      <c r="GO49" s="152"/>
      <c r="GP49" s="152"/>
      <c r="GQ49" s="152"/>
      <c r="GR49" s="152"/>
      <c r="GS49" s="152"/>
      <c r="GT49" s="152"/>
      <c r="GU49" s="152"/>
      <c r="GV49" s="152"/>
      <c r="GW49" s="152"/>
      <c r="GX49" s="152"/>
      <c r="GY49" s="152"/>
      <c r="GZ49" s="152"/>
      <c r="HA49" s="152"/>
      <c r="HB49" s="152"/>
      <c r="HC49" s="152"/>
      <c r="HD49" s="152"/>
      <c r="HE49" s="152"/>
      <c r="HF49" s="152"/>
      <c r="HG49" s="152"/>
      <c r="HH49" s="152"/>
      <c r="HI49" s="152"/>
      <c r="HJ49" s="152"/>
      <c r="HK49" s="152"/>
      <c r="HL49" s="152"/>
      <c r="HM49" s="152"/>
      <c r="HN49" s="152"/>
      <c r="HO49" s="152"/>
      <c r="HP49" s="152"/>
      <c r="HQ49" s="152"/>
      <c r="HR49" s="152"/>
      <c r="HS49" s="152"/>
      <c r="HT49" s="152"/>
      <c r="HU49" s="152"/>
      <c r="HV49" s="152"/>
      <c r="HW49" s="152"/>
      <c r="HX49" s="152"/>
      <c r="HY49" s="152"/>
      <c r="HZ49" s="152"/>
      <c r="IA49" s="152"/>
      <c r="IB49" s="152"/>
      <c r="IC49" s="152"/>
      <c r="ID49" s="152"/>
      <c r="IE49" s="152"/>
      <c r="IF49" s="152"/>
      <c r="IG49" s="152"/>
      <c r="IH49" s="152"/>
      <c r="II49" s="152"/>
      <c r="IJ49" s="152"/>
      <c r="IK49" s="152"/>
      <c r="IL49" s="152"/>
      <c r="IM49" s="152"/>
      <c r="IN49" s="152"/>
      <c r="IO49" s="152"/>
      <c r="IP49" s="152"/>
      <c r="IQ49" s="152"/>
      <c r="IR49" s="152"/>
      <c r="IS49" s="152"/>
      <c r="IT49" s="152"/>
      <c r="IU49" s="152"/>
      <c r="IV49" s="152"/>
      <c r="IW49" s="152"/>
      <c r="IX49" s="152"/>
      <c r="IY49" s="152"/>
      <c r="IZ49" s="152"/>
      <c r="JA49" s="152"/>
      <c r="JB49" s="152"/>
      <c r="JC49" s="152"/>
      <c r="JD49" s="152"/>
      <c r="JE49" s="152"/>
      <c r="JF49" s="152"/>
      <c r="JG49" s="152"/>
      <c r="JH49" s="152"/>
      <c r="JI49" s="152"/>
      <c r="JJ49" s="152"/>
      <c r="JK49" s="152"/>
      <c r="JL49" s="152"/>
      <c r="JM49" s="152"/>
      <c r="JN49" s="152"/>
      <c r="JO49" s="152"/>
      <c r="JP49" s="152"/>
      <c r="JQ49" s="152"/>
      <c r="JR49" s="152"/>
      <c r="JS49" s="152"/>
      <c r="JT49" s="152"/>
      <c r="JU49" s="152"/>
      <c r="JV49" s="152"/>
      <c r="JW49" s="152"/>
      <c r="JX49" s="152"/>
      <c r="JY49" s="152"/>
      <c r="JZ49" s="152"/>
      <c r="KA49" s="152"/>
      <c r="KB49" s="152"/>
      <c r="KC49" s="152"/>
      <c r="KD49" s="152"/>
      <c r="KE49" s="152"/>
      <c r="KF49" s="152"/>
      <c r="KG49" s="152"/>
      <c r="KH49" s="152"/>
      <c r="KI49" s="152"/>
      <c r="KJ49" s="152"/>
      <c r="KK49" s="152"/>
      <c r="KL49" s="152"/>
      <c r="KM49" s="152"/>
      <c r="KN49" s="152"/>
      <c r="KO49" s="152"/>
      <c r="KP49" s="152"/>
      <c r="KQ49" s="152"/>
      <c r="KR49" s="152"/>
      <c r="KS49" s="152"/>
      <c r="KT49" s="152"/>
      <c r="KU49" s="152"/>
      <c r="KV49" s="152"/>
      <c r="KW49" s="152"/>
      <c r="KX49" s="152"/>
      <c r="KY49" s="152"/>
      <c r="KZ49" s="152"/>
      <c r="LA49" s="152"/>
      <c r="LB49" s="152"/>
      <c r="LC49" s="152"/>
      <c r="LD49" s="152"/>
      <c r="LE49" s="152"/>
      <c r="LF49" s="152"/>
    </row>
    <row r="50" spans="14:318">
      <c r="N50" s="324" t="s">
        <v>220</v>
      </c>
      <c r="O50" s="161" t="s">
        <v>239</v>
      </c>
      <c r="P50" s="162"/>
      <c r="R50" s="169">
        <f>-($A$6*$B$6+(1-$J$9)*$A$9*$B$9+$S$6+$R$6+$X$6+$Y$6)*$F$6</f>
        <v>-49280</v>
      </c>
      <c r="S50" s="169">
        <f>S31-S38-S39-S45</f>
        <v>20635.582352932826</v>
      </c>
      <c r="T50" s="169">
        <f t="shared" ref="T50:AQ50" si="30">T31-T38-T39-T45</f>
        <v>25715.960913305855</v>
      </c>
      <c r="U50" s="169">
        <f t="shared" si="30"/>
        <v>25258.97877291837</v>
      </c>
      <c r="V50" s="169">
        <f t="shared" si="30"/>
        <v>24796.751180589727</v>
      </c>
      <c r="W50" s="169">
        <f t="shared" si="30"/>
        <v>24329.069211260943</v>
      </c>
      <c r="X50" s="169">
        <f t="shared" si="30"/>
        <v>23855.718248276105</v>
      </c>
      <c r="Y50" s="169">
        <f t="shared" si="30"/>
        <v>23376.477814627789</v>
      </c>
      <c r="Z50" s="169">
        <f t="shared" si="30"/>
        <v>22891.121399294341</v>
      </c>
      <c r="AA50" s="169">
        <f t="shared" si="30"/>
        <v>22399.416278525976</v>
      </c>
      <c r="AB50" s="169">
        <f t="shared" si="30"/>
        <v>21901.123331931445</v>
      </c>
      <c r="AC50" s="169">
        <f t="shared" si="30"/>
        <v>34690.142700280623</v>
      </c>
      <c r="AD50" s="169">
        <f t="shared" si="30"/>
        <v>38822.843014090176</v>
      </c>
      <c r="AE50" s="169">
        <f t="shared" si="30"/>
        <v>38448.017690380577</v>
      </c>
      <c r="AF50" s="169">
        <f t="shared" si="30"/>
        <v>38069.632738498607</v>
      </c>
      <c r="AG50" s="169">
        <f t="shared" si="30"/>
        <v>37687.527573678351</v>
      </c>
      <c r="AH50" s="169">
        <f t="shared" si="30"/>
        <v>37301.537170182295</v>
      </c>
      <c r="AI50" s="169">
        <f t="shared" si="30"/>
        <v>36911.491925436319</v>
      </c>
      <c r="AJ50" s="169">
        <f t="shared" si="30"/>
        <v>36517.217520106911</v>
      </c>
      <c r="AK50" s="169">
        <f t="shared" si="30"/>
        <v>36118.534773999272</v>
      </c>
      <c r="AL50" s="169">
        <f t="shared" si="30"/>
        <v>35715.259497650382</v>
      </c>
      <c r="AM50" s="169">
        <f t="shared" si="30"/>
        <v>35307.202339487994</v>
      </c>
      <c r="AN50" s="169">
        <f t="shared" si="30"/>
        <v>34894.168628422383</v>
      </c>
      <c r="AO50" s="169">
        <f t="shared" si="30"/>
        <v>34475.958211733567</v>
      </c>
      <c r="AP50" s="169">
        <f t="shared" si="30"/>
        <v>34052.365288112858</v>
      </c>
      <c r="AQ50" s="169">
        <f t="shared" si="30"/>
        <v>33623.178235713349</v>
      </c>
      <c r="AR50" s="152"/>
      <c r="AW50" s="152"/>
      <c r="AX50" s="152"/>
      <c r="AY50" s="152"/>
      <c r="AZ50" s="152"/>
      <c r="BA50" s="152"/>
      <c r="BB50" s="152"/>
      <c r="BC50" s="152"/>
      <c r="BD50" s="152"/>
      <c r="BE50" s="152"/>
      <c r="BF50" s="152"/>
      <c r="BG50" s="152"/>
      <c r="BH50" s="152"/>
      <c r="BI50" s="152"/>
      <c r="BJ50" s="152"/>
      <c r="BK50" s="152"/>
      <c r="BL50" s="152"/>
      <c r="BM50" s="152"/>
      <c r="BN50" s="152"/>
      <c r="BO50" s="152"/>
      <c r="BP50" s="152"/>
      <c r="BQ50" s="152"/>
      <c r="BR50" s="152"/>
      <c r="BS50" s="152"/>
      <c r="BT50" s="152"/>
      <c r="BU50" s="152"/>
      <c r="BV50" s="152"/>
      <c r="BW50" s="152"/>
      <c r="BX50" s="152"/>
      <c r="BY50" s="152"/>
      <c r="BZ50" s="152"/>
      <c r="CA50" s="152"/>
      <c r="CB50" s="152"/>
      <c r="CC50" s="152"/>
      <c r="CD50" s="152"/>
      <c r="CE50" s="152"/>
      <c r="CF50" s="152"/>
      <c r="CG50" s="152"/>
      <c r="CH50" s="152"/>
      <c r="CI50" s="152"/>
      <c r="CJ50" s="152"/>
      <c r="CK50" s="152"/>
      <c r="CL50" s="152"/>
      <c r="CM50" s="152"/>
      <c r="CN50" s="152"/>
      <c r="CO50" s="152"/>
      <c r="CP50" s="152"/>
      <c r="CQ50" s="152"/>
      <c r="CR50" s="152"/>
      <c r="CS50" s="152"/>
      <c r="CT50" s="152"/>
      <c r="CU50" s="152"/>
      <c r="CV50" s="152"/>
      <c r="CW50" s="152"/>
      <c r="CX50" s="152"/>
      <c r="CY50" s="152"/>
      <c r="CZ50" s="152"/>
      <c r="DA50" s="152"/>
      <c r="DB50" s="152"/>
      <c r="DC50" s="152"/>
      <c r="DD50" s="152"/>
      <c r="DE50" s="152"/>
      <c r="DF50" s="152"/>
      <c r="DG50" s="152"/>
      <c r="DH50" s="152"/>
      <c r="DI50" s="152"/>
      <c r="DJ50" s="152"/>
      <c r="DK50" s="152"/>
      <c r="DL50" s="152"/>
      <c r="DM50" s="152"/>
      <c r="DN50" s="152"/>
      <c r="DO50" s="152"/>
      <c r="DP50" s="152"/>
      <c r="DQ50" s="152"/>
      <c r="DR50" s="152"/>
      <c r="DS50" s="152"/>
      <c r="DT50" s="152"/>
      <c r="DU50" s="152"/>
      <c r="DV50" s="152"/>
      <c r="DW50" s="152"/>
      <c r="DX50" s="152"/>
      <c r="DY50" s="152"/>
      <c r="DZ50" s="152"/>
      <c r="EA50" s="152"/>
      <c r="EB50" s="152"/>
      <c r="EC50" s="152"/>
      <c r="ED50" s="152"/>
      <c r="EE50" s="152"/>
      <c r="EF50" s="152"/>
      <c r="EG50" s="152"/>
      <c r="EH50" s="152"/>
      <c r="EI50" s="152"/>
      <c r="EJ50" s="152"/>
      <c r="EK50" s="152"/>
      <c r="EL50" s="152"/>
      <c r="EM50" s="152"/>
      <c r="EN50" s="152"/>
      <c r="EO50" s="152"/>
      <c r="EP50" s="152"/>
      <c r="EQ50" s="152"/>
      <c r="ER50" s="152"/>
      <c r="ES50" s="152"/>
      <c r="ET50" s="152"/>
      <c r="EU50" s="152"/>
      <c r="EV50" s="152"/>
      <c r="EW50" s="152"/>
      <c r="EX50" s="152"/>
      <c r="EY50" s="152"/>
      <c r="EZ50" s="152"/>
      <c r="FA50" s="152"/>
      <c r="FB50" s="152"/>
      <c r="FC50" s="152"/>
      <c r="FD50" s="152"/>
      <c r="FE50" s="152"/>
      <c r="FF50" s="152"/>
      <c r="FG50" s="152"/>
      <c r="FH50" s="152"/>
      <c r="FI50" s="152"/>
      <c r="FJ50" s="152"/>
      <c r="FK50" s="152"/>
      <c r="FL50" s="152"/>
      <c r="FM50" s="152"/>
      <c r="FN50" s="152"/>
      <c r="FO50" s="152"/>
      <c r="FP50" s="152"/>
      <c r="FQ50" s="152"/>
      <c r="FR50" s="152"/>
      <c r="FS50" s="152"/>
      <c r="FT50" s="152"/>
      <c r="FU50" s="152"/>
      <c r="FV50" s="152"/>
      <c r="FW50" s="152"/>
      <c r="FX50" s="152"/>
      <c r="FY50" s="152"/>
      <c r="FZ50" s="152"/>
      <c r="GA50" s="152"/>
      <c r="GB50" s="152"/>
      <c r="GC50" s="152"/>
      <c r="GD50" s="152"/>
      <c r="GE50" s="152"/>
      <c r="GF50" s="152"/>
      <c r="GG50" s="152"/>
      <c r="GH50" s="152"/>
      <c r="GI50" s="152"/>
      <c r="GJ50" s="152"/>
      <c r="GK50" s="152"/>
      <c r="GL50" s="152"/>
      <c r="GM50" s="152"/>
      <c r="GN50" s="152"/>
      <c r="GO50" s="152"/>
      <c r="GP50" s="152"/>
      <c r="GQ50" s="152"/>
      <c r="GR50" s="152"/>
      <c r="GS50" s="152"/>
      <c r="GT50" s="152"/>
      <c r="GU50" s="152"/>
      <c r="GV50" s="152"/>
      <c r="GW50" s="152"/>
      <c r="GX50" s="152"/>
      <c r="GY50" s="152"/>
      <c r="GZ50" s="152"/>
      <c r="HA50" s="152"/>
      <c r="HB50" s="152"/>
      <c r="HC50" s="152"/>
      <c r="HD50" s="152"/>
      <c r="HE50" s="152"/>
      <c r="HF50" s="152"/>
      <c r="HG50" s="152"/>
      <c r="HH50" s="152"/>
      <c r="HI50" s="152"/>
      <c r="HJ50" s="152"/>
      <c r="HK50" s="152"/>
      <c r="HL50" s="152"/>
      <c r="HM50" s="152"/>
      <c r="HN50" s="152"/>
      <c r="HO50" s="152"/>
      <c r="HP50" s="152"/>
      <c r="HQ50" s="152"/>
      <c r="HR50" s="152"/>
      <c r="HS50" s="152"/>
      <c r="HT50" s="152"/>
      <c r="HU50" s="152"/>
      <c r="HV50" s="152"/>
      <c r="HW50" s="152"/>
      <c r="HX50" s="152"/>
      <c r="HY50" s="152"/>
      <c r="HZ50" s="152"/>
      <c r="IA50" s="152"/>
      <c r="IB50" s="152"/>
      <c r="IC50" s="152"/>
      <c r="ID50" s="152"/>
      <c r="IE50" s="152"/>
      <c r="IF50" s="152"/>
      <c r="IG50" s="152"/>
      <c r="IH50" s="152"/>
      <c r="II50" s="152"/>
      <c r="IJ50" s="152"/>
      <c r="IK50" s="152"/>
      <c r="IL50" s="152"/>
      <c r="IM50" s="152"/>
      <c r="IN50" s="152"/>
      <c r="IO50" s="152"/>
      <c r="IP50" s="152"/>
      <c r="IQ50" s="152"/>
      <c r="IR50" s="152"/>
      <c r="IS50" s="152"/>
      <c r="IT50" s="152"/>
      <c r="IU50" s="152"/>
      <c r="IV50" s="152"/>
      <c r="IW50" s="152"/>
      <c r="IX50" s="152"/>
      <c r="IY50" s="152"/>
      <c r="IZ50" s="152"/>
      <c r="JA50" s="152"/>
      <c r="JB50" s="152"/>
      <c r="JC50" s="152"/>
      <c r="JD50" s="152"/>
      <c r="JE50" s="152"/>
      <c r="JF50" s="152"/>
      <c r="JG50" s="152"/>
      <c r="JH50" s="152"/>
      <c r="JI50" s="152"/>
      <c r="JJ50" s="152"/>
      <c r="JK50" s="152"/>
      <c r="JL50" s="152"/>
      <c r="JM50" s="152"/>
      <c r="JN50" s="152"/>
      <c r="JO50" s="152"/>
      <c r="JP50" s="152"/>
      <c r="JQ50" s="152"/>
      <c r="JR50" s="152"/>
      <c r="JS50" s="152"/>
      <c r="JT50" s="152"/>
      <c r="JU50" s="152"/>
      <c r="JV50" s="152"/>
      <c r="JW50" s="152"/>
      <c r="JX50" s="152"/>
      <c r="JY50" s="152"/>
      <c r="JZ50" s="152"/>
      <c r="KA50" s="152"/>
      <c r="KB50" s="152"/>
      <c r="KC50" s="152"/>
      <c r="KD50" s="152"/>
      <c r="KE50" s="152"/>
      <c r="KF50" s="152"/>
      <c r="KG50" s="152"/>
      <c r="KH50" s="152"/>
      <c r="KI50" s="152"/>
      <c r="KJ50" s="152"/>
      <c r="KK50" s="152"/>
      <c r="KL50" s="152"/>
      <c r="KM50" s="152"/>
      <c r="KN50" s="152"/>
      <c r="KO50" s="152"/>
      <c r="KP50" s="152"/>
      <c r="KQ50" s="152"/>
      <c r="KR50" s="152"/>
      <c r="KS50" s="152"/>
      <c r="KT50" s="152"/>
      <c r="KU50" s="152"/>
      <c r="KV50" s="152"/>
      <c r="KW50" s="152"/>
      <c r="KX50" s="152"/>
      <c r="KY50" s="152"/>
      <c r="KZ50" s="152"/>
      <c r="LA50" s="152"/>
      <c r="LB50" s="152"/>
      <c r="LC50" s="152"/>
      <c r="LD50" s="152"/>
      <c r="LE50" s="152"/>
      <c r="LF50" s="152"/>
    </row>
    <row r="51" spans="14:318">
      <c r="N51" s="325"/>
      <c r="P51" s="140"/>
      <c r="R51" s="169">
        <f>SUM($R$50:R50)</f>
        <v>-49280</v>
      </c>
      <c r="S51" s="169">
        <f>SUM($R$50:S50)</f>
        <v>-28644.417647067174</v>
      </c>
      <c r="T51" s="169">
        <f>SUM($R$50:T50)</f>
        <v>-2928.4567337613189</v>
      </c>
      <c r="U51" s="169">
        <f>SUM($R$50:U50)</f>
        <v>22330.522039157051</v>
      </c>
      <c r="V51" s="169">
        <f>SUM($R$50:V50)</f>
        <v>47127.273219746778</v>
      </c>
      <c r="W51" s="169">
        <f>SUM($R$50:W50)</f>
        <v>71456.342431007724</v>
      </c>
      <c r="X51" s="169">
        <f>SUM($R$50:X50)</f>
        <v>95312.060679283837</v>
      </c>
      <c r="Y51" s="169">
        <f>SUM($R$50:Y50)</f>
        <v>118688.53849391162</v>
      </c>
      <c r="Z51" s="169">
        <f>SUM($R$50:Z50)</f>
        <v>141579.65989320597</v>
      </c>
      <c r="AA51" s="169">
        <f>SUM($R$50:AA50)</f>
        <v>163979.07617173195</v>
      </c>
      <c r="AB51" s="169">
        <f>SUM($R$50:AB50)</f>
        <v>185880.1995036634</v>
      </c>
      <c r="AC51" s="169">
        <f>SUM($R$50:AC50)</f>
        <v>220570.34220394402</v>
      </c>
      <c r="AD51" s="169">
        <f>SUM($R$50:AD50)</f>
        <v>259393.1852180342</v>
      </c>
      <c r="AE51" s="169">
        <f>SUM($R$50:AE50)</f>
        <v>297841.20290841477</v>
      </c>
      <c r="AF51" s="169">
        <f>SUM($R$50:AF50)</f>
        <v>335910.83564691339</v>
      </c>
      <c r="AG51" s="169">
        <f>SUM($R$50:AG50)</f>
        <v>373598.36322059174</v>
      </c>
      <c r="AH51" s="169">
        <f>SUM($R$50:AH50)</f>
        <v>410899.90039077401</v>
      </c>
      <c r="AI51" s="169">
        <f>SUM($R$50:AI50)</f>
        <v>447811.39231621032</v>
      </c>
      <c r="AJ51" s="169">
        <f>SUM($R$50:AJ50)</f>
        <v>484328.60983631725</v>
      </c>
      <c r="AK51" s="169">
        <f>SUM($R$50:AK50)</f>
        <v>520447.14461031649</v>
      </c>
      <c r="AL51" s="169">
        <f>SUM($R$50:AL50)</f>
        <v>556162.40410796693</v>
      </c>
      <c r="AM51" s="169">
        <f>SUM($R$50:AM50)</f>
        <v>591469.60644745489</v>
      </c>
      <c r="AN51" s="169">
        <f>SUM($R$50:AN50)</f>
        <v>626363.77507587732</v>
      </c>
      <c r="AO51" s="169">
        <f>SUM($R$50:AO50)</f>
        <v>660839.73328761093</v>
      </c>
      <c r="AP51" s="169">
        <f>SUM($R$50:AP50)</f>
        <v>694892.09857572382</v>
      </c>
      <c r="AQ51" s="169">
        <f>SUM($R$50:AQ50)</f>
        <v>728515.27681143722</v>
      </c>
    </row>
    <row r="52" spans="14:318">
      <c r="N52" s="325"/>
      <c r="O52" s="172" t="s">
        <v>240</v>
      </c>
      <c r="P52" s="173">
        <f>R50+NPV($H$6,S50:LF50)</f>
        <v>487448.87302346469</v>
      </c>
      <c r="S52" s="152"/>
      <c r="AR52" s="152"/>
      <c r="AW52" s="152"/>
      <c r="AX52" s="152"/>
      <c r="AY52" s="152"/>
      <c r="AZ52" s="152"/>
      <c r="BA52" s="152"/>
      <c r="BB52" s="152"/>
      <c r="BC52" s="152"/>
      <c r="BD52" s="152"/>
      <c r="BE52" s="152"/>
      <c r="BF52" s="152"/>
      <c r="BG52" s="152"/>
      <c r="BH52" s="152"/>
      <c r="BI52" s="152"/>
      <c r="BJ52" s="152"/>
      <c r="BK52" s="152"/>
      <c r="BL52" s="152"/>
      <c r="BM52" s="152"/>
      <c r="BN52" s="152"/>
      <c r="BO52" s="152"/>
      <c r="BP52" s="152"/>
      <c r="BQ52" s="152"/>
      <c r="BR52" s="152"/>
      <c r="BS52" s="152"/>
      <c r="BT52" s="152"/>
      <c r="BU52" s="152"/>
      <c r="BV52" s="152"/>
      <c r="BW52" s="152"/>
      <c r="BX52" s="152"/>
      <c r="BY52" s="152"/>
      <c r="BZ52" s="152"/>
      <c r="CA52" s="152"/>
      <c r="CB52" s="152"/>
      <c r="CC52" s="152"/>
      <c r="CD52" s="152"/>
      <c r="CE52" s="152"/>
      <c r="CF52" s="152"/>
      <c r="CG52" s="152"/>
      <c r="CH52" s="152"/>
      <c r="CI52" s="152"/>
      <c r="CJ52" s="152"/>
      <c r="CK52" s="152"/>
      <c r="CL52" s="152"/>
      <c r="CM52" s="152"/>
      <c r="CN52" s="152"/>
      <c r="CO52" s="152"/>
      <c r="CP52" s="152"/>
      <c r="CQ52" s="152"/>
      <c r="CR52" s="152"/>
      <c r="CS52" s="152"/>
      <c r="CT52" s="152"/>
      <c r="CU52" s="152"/>
      <c r="CV52" s="152"/>
      <c r="CW52" s="152"/>
      <c r="CX52" s="152"/>
      <c r="CY52" s="152"/>
      <c r="CZ52" s="152"/>
      <c r="DA52" s="152"/>
      <c r="DB52" s="152"/>
      <c r="DC52" s="152"/>
      <c r="DD52" s="152"/>
      <c r="DE52" s="152"/>
      <c r="DF52" s="152"/>
      <c r="DG52" s="152"/>
      <c r="DH52" s="152"/>
      <c r="DI52" s="152"/>
      <c r="DJ52" s="152"/>
      <c r="DK52" s="152"/>
      <c r="DL52" s="152"/>
      <c r="DM52" s="152"/>
      <c r="DN52" s="152"/>
      <c r="DO52" s="152"/>
      <c r="DP52" s="152"/>
      <c r="DQ52" s="152"/>
      <c r="DR52" s="152"/>
      <c r="DS52" s="152"/>
      <c r="DT52" s="152"/>
      <c r="DU52" s="152"/>
      <c r="DV52" s="152"/>
      <c r="DW52" s="152"/>
      <c r="DX52" s="152"/>
      <c r="DY52" s="152"/>
      <c r="DZ52" s="152"/>
      <c r="EA52" s="152"/>
      <c r="EB52" s="152"/>
      <c r="EC52" s="152"/>
      <c r="ED52" s="152"/>
      <c r="EE52" s="152"/>
      <c r="EF52" s="152"/>
      <c r="EG52" s="152"/>
      <c r="EH52" s="152"/>
      <c r="EI52" s="152"/>
      <c r="EJ52" s="152"/>
      <c r="EK52" s="152"/>
      <c r="EL52" s="152"/>
      <c r="EM52" s="152"/>
      <c r="EN52" s="152"/>
      <c r="EO52" s="152"/>
      <c r="EP52" s="152"/>
      <c r="EQ52" s="152"/>
      <c r="ER52" s="152"/>
      <c r="ES52" s="152"/>
      <c r="ET52" s="152"/>
      <c r="EU52" s="152"/>
      <c r="EV52" s="152"/>
      <c r="EW52" s="152"/>
      <c r="EX52" s="152"/>
      <c r="EY52" s="152"/>
      <c r="EZ52" s="152"/>
      <c r="FA52" s="152"/>
      <c r="FB52" s="152"/>
      <c r="FC52" s="152"/>
      <c r="FD52" s="152"/>
      <c r="FE52" s="152"/>
      <c r="FF52" s="152"/>
      <c r="FG52" s="152"/>
      <c r="FH52" s="152"/>
      <c r="FI52" s="152"/>
      <c r="FJ52" s="152"/>
      <c r="FK52" s="152"/>
      <c r="FL52" s="152"/>
      <c r="FM52" s="152"/>
      <c r="FN52" s="152"/>
      <c r="FO52" s="152"/>
      <c r="FP52" s="152"/>
      <c r="FQ52" s="152"/>
      <c r="FR52" s="152"/>
      <c r="FS52" s="152"/>
      <c r="FT52" s="152"/>
      <c r="FU52" s="152"/>
      <c r="FV52" s="152"/>
      <c r="FW52" s="152"/>
      <c r="FX52" s="152"/>
      <c r="FY52" s="152"/>
      <c r="FZ52" s="152"/>
      <c r="GA52" s="152"/>
      <c r="GB52" s="152"/>
      <c r="GC52" s="152"/>
      <c r="GD52" s="152"/>
      <c r="GE52" s="152"/>
      <c r="GF52" s="152"/>
      <c r="GG52" s="152"/>
      <c r="GH52" s="152"/>
      <c r="GI52" s="152"/>
      <c r="GJ52" s="152"/>
      <c r="GK52" s="152"/>
      <c r="GL52" s="152"/>
      <c r="GM52" s="152"/>
      <c r="GN52" s="152"/>
      <c r="GO52" s="152"/>
      <c r="GP52" s="152"/>
      <c r="GQ52" s="152"/>
      <c r="GR52" s="152"/>
      <c r="GS52" s="152"/>
      <c r="GT52" s="152"/>
      <c r="GU52" s="152"/>
      <c r="GV52" s="152"/>
      <c r="GW52" s="152"/>
      <c r="GX52" s="152"/>
      <c r="GY52" s="152"/>
      <c r="GZ52" s="152"/>
      <c r="HA52" s="152"/>
      <c r="HB52" s="152"/>
      <c r="HC52" s="152"/>
      <c r="HD52" s="152"/>
      <c r="HE52" s="152"/>
      <c r="HF52" s="152"/>
      <c r="HG52" s="152"/>
      <c r="HH52" s="152"/>
      <c r="HI52" s="152"/>
      <c r="HJ52" s="152"/>
      <c r="HK52" s="152"/>
      <c r="HL52" s="152"/>
      <c r="HM52" s="152"/>
      <c r="HN52" s="152"/>
      <c r="HO52" s="152"/>
      <c r="HP52" s="152"/>
      <c r="HQ52" s="152"/>
      <c r="HR52" s="152"/>
      <c r="HS52" s="152"/>
      <c r="HT52" s="152"/>
      <c r="HU52" s="152"/>
      <c r="HV52" s="152"/>
      <c r="HW52" s="152"/>
      <c r="HX52" s="152"/>
      <c r="HY52" s="152"/>
      <c r="HZ52" s="152"/>
      <c r="IA52" s="152"/>
      <c r="IB52" s="152"/>
      <c r="IC52" s="152"/>
      <c r="ID52" s="152"/>
      <c r="IE52" s="152"/>
      <c r="IF52" s="152"/>
      <c r="IG52" s="152"/>
      <c r="IH52" s="152"/>
      <c r="II52" s="152"/>
      <c r="IJ52" s="152"/>
      <c r="IK52" s="152"/>
      <c r="IL52" s="152"/>
      <c r="IM52" s="152"/>
      <c r="IN52" s="152"/>
      <c r="IO52" s="152"/>
      <c r="IP52" s="152"/>
      <c r="IQ52" s="152"/>
      <c r="IR52" s="152"/>
      <c r="IS52" s="152"/>
      <c r="IT52" s="152"/>
      <c r="IU52" s="152"/>
      <c r="IV52" s="152"/>
      <c r="IW52" s="152"/>
      <c r="IX52" s="152"/>
      <c r="IY52" s="152"/>
      <c r="IZ52" s="152"/>
      <c r="JA52" s="152"/>
      <c r="JB52" s="152"/>
      <c r="JC52" s="152"/>
      <c r="JD52" s="152"/>
      <c r="JE52" s="152"/>
      <c r="JF52" s="152"/>
      <c r="JG52" s="152"/>
      <c r="JH52" s="152"/>
      <c r="JI52" s="152"/>
      <c r="JJ52" s="152"/>
      <c r="JK52" s="152"/>
      <c r="JL52" s="152"/>
      <c r="JM52" s="152"/>
      <c r="JN52" s="152"/>
      <c r="JO52" s="152"/>
      <c r="JP52" s="152"/>
      <c r="JQ52" s="152"/>
      <c r="JR52" s="152"/>
      <c r="JS52" s="152"/>
      <c r="JT52" s="152"/>
      <c r="JU52" s="152"/>
      <c r="JV52" s="152"/>
      <c r="JW52" s="152"/>
      <c r="JX52" s="152"/>
      <c r="JY52" s="152"/>
      <c r="JZ52" s="152"/>
      <c r="KA52" s="152"/>
      <c r="KB52" s="152"/>
      <c r="KC52" s="152"/>
      <c r="KD52" s="152"/>
      <c r="KE52" s="152"/>
      <c r="KF52" s="152"/>
      <c r="KG52" s="152"/>
      <c r="KH52" s="152"/>
      <c r="KI52" s="152"/>
      <c r="KJ52" s="152"/>
      <c r="KK52" s="152"/>
      <c r="KL52" s="152"/>
      <c r="KM52" s="152"/>
      <c r="KN52" s="152"/>
      <c r="KO52" s="152"/>
      <c r="KP52" s="152"/>
      <c r="KQ52" s="152"/>
      <c r="KR52" s="152"/>
      <c r="KS52" s="152"/>
      <c r="KT52" s="152"/>
      <c r="KU52" s="152"/>
      <c r="KV52" s="152"/>
      <c r="KW52" s="152"/>
      <c r="KX52" s="152"/>
      <c r="KY52" s="152"/>
      <c r="KZ52" s="152"/>
      <c r="LA52" s="152"/>
      <c r="LB52" s="152"/>
      <c r="LC52" s="152"/>
      <c r="LD52" s="152"/>
      <c r="LE52" s="152"/>
      <c r="LF52" s="152"/>
    </row>
    <row r="53" spans="14:318">
      <c r="N53" s="325"/>
      <c r="O53" s="172"/>
      <c r="P53" s="174"/>
      <c r="S53" s="152"/>
      <c r="T53" s="152"/>
      <c r="U53" s="152"/>
      <c r="V53" s="152"/>
      <c r="W53" s="152"/>
      <c r="X53" s="152"/>
      <c r="Y53" s="152"/>
      <c r="Z53" s="152"/>
      <c r="AA53" s="152"/>
      <c r="AB53" s="152"/>
      <c r="AC53" s="152"/>
      <c r="AD53" s="152"/>
      <c r="AE53" s="152"/>
      <c r="AF53" s="152"/>
      <c r="AG53" s="152"/>
      <c r="AH53" s="152"/>
      <c r="AI53" s="152"/>
      <c r="AJ53" s="152"/>
      <c r="AK53" s="152"/>
      <c r="AL53" s="152"/>
      <c r="AM53" s="152"/>
      <c r="AN53" s="152"/>
      <c r="AO53" s="152"/>
      <c r="AP53" s="152"/>
      <c r="AQ53" s="152"/>
    </row>
    <row r="54" spans="14:318" ht="18.75">
      <c r="N54" s="325"/>
      <c r="O54" s="175" t="s">
        <v>241</v>
      </c>
      <c r="P54" s="204">
        <f>MAX(S55:LF55)</f>
        <v>3</v>
      </c>
      <c r="S54" s="1">
        <f>(SUM($R$50:S50)&gt;0)*(SUM($R$50:R50)&lt;0)*1</f>
        <v>0</v>
      </c>
      <c r="T54" s="1">
        <f>(SUM($R$50:T50)&gt;0)*(SUM($R$50:S50)&lt;0)*1</f>
        <v>0</v>
      </c>
      <c r="U54" s="1">
        <f>(SUM($R$50:U50)&gt;0)*(SUM($R$50:T50)&lt;0)*1</f>
        <v>1</v>
      </c>
      <c r="V54" s="1">
        <f>(SUM($R$50:V50)&gt;0)*(SUM($R$50:U50)&lt;0)*1</f>
        <v>0</v>
      </c>
      <c r="W54" s="1">
        <f>(SUM($R$50:W50)&gt;0)*(SUM($R$50:V50)&lt;0)*1</f>
        <v>0</v>
      </c>
      <c r="X54" s="1">
        <f>(SUM($R$50:X50)&gt;0)*(SUM($R$50:W50)&lt;0)*1</f>
        <v>0</v>
      </c>
      <c r="Y54" s="1">
        <f>(SUM($R$50:Y50)&gt;0)*(SUM($R$50:X50)&lt;0)*1</f>
        <v>0</v>
      </c>
      <c r="Z54" s="1">
        <f>(SUM($R$50:Z50)&gt;0)*(SUM($R$50:Y50)&lt;0)*1</f>
        <v>0</v>
      </c>
      <c r="AA54" s="1">
        <f>(SUM($R$50:AA50)&gt;0)*(SUM($R$50:Z50)&lt;0)*1</f>
        <v>0</v>
      </c>
      <c r="AB54" s="1">
        <f>(SUM($R$50:AB50)&gt;0)*(SUM($R$50:AA50)&lt;0)*1</f>
        <v>0</v>
      </c>
      <c r="AC54" s="1">
        <f>(SUM($R$50:AC50)&gt;0)*(SUM($R$50:AB50)&lt;0)*1</f>
        <v>0</v>
      </c>
      <c r="AD54" s="1">
        <f>(SUM($R$50:AD50)&gt;0)*(SUM($R$50:AC50)&lt;0)*1</f>
        <v>0</v>
      </c>
      <c r="AE54" s="1">
        <f>(SUM($R$50:AE50)&gt;0)*(SUM($R$50:AD50)&lt;0)*1</f>
        <v>0</v>
      </c>
      <c r="AF54" s="1">
        <f>(SUM($R$50:AF50)&gt;0)*(SUM($R$50:AE50)&lt;0)*1</f>
        <v>0</v>
      </c>
      <c r="AG54" s="1">
        <f>(SUM($R$50:AG50)&gt;0)*(SUM($R$50:AF50)&lt;0)*1</f>
        <v>0</v>
      </c>
      <c r="AH54" s="1">
        <f>(SUM($R$50:AH50)&gt;0)*(SUM($R$50:AG50)&lt;0)*1</f>
        <v>0</v>
      </c>
      <c r="AI54" s="1">
        <f>(SUM($R$50:AI50)&gt;0)*(SUM($R$50:AH50)&lt;0)*1</f>
        <v>0</v>
      </c>
      <c r="AJ54" s="1">
        <f>(SUM($R$50:AJ50)&gt;0)*(SUM($R$50:AI50)&lt;0)*1</f>
        <v>0</v>
      </c>
      <c r="AK54" s="1">
        <f>(SUM($R$50:AK50)&gt;0)*(SUM($R$50:AJ50)&lt;0)*1</f>
        <v>0</v>
      </c>
      <c r="AL54" s="1">
        <f>(SUM($R$50:AL50)&gt;0)*(SUM($R$50:AK50)&lt;0)*1</f>
        <v>0</v>
      </c>
      <c r="AM54" s="1">
        <f>(SUM($R$50:AM50)&gt;0)*(SUM($R$50:AL50)&lt;0)*1</f>
        <v>0</v>
      </c>
      <c r="AN54" s="1">
        <f>(SUM($R$50:AN50)&gt;0)*(SUM($R$50:AM50)&lt;0)*1</f>
        <v>0</v>
      </c>
      <c r="AO54" s="1">
        <f>(SUM($R$50:AO50)&gt;0)*(SUM($R$50:AN50)&lt;0)*1</f>
        <v>0</v>
      </c>
      <c r="AP54" s="1">
        <f>(SUM($R$50:AP50)&gt;0)*(SUM($R$50:AO50)&lt;0)*1</f>
        <v>0</v>
      </c>
      <c r="AQ54" s="1">
        <f>(SUM($R$50:AQ50)&gt;0)*(SUM($R$50:AP50)&lt;0)*1</f>
        <v>0</v>
      </c>
    </row>
    <row r="55" spans="14:318">
      <c r="N55" s="325"/>
      <c r="O55" s="172"/>
      <c r="P55" s="174"/>
      <c r="S55" s="1">
        <f t="shared" ref="S55:AQ55" si="31">S54*S11</f>
        <v>0</v>
      </c>
      <c r="T55" s="1">
        <f t="shared" si="31"/>
        <v>0</v>
      </c>
      <c r="U55" s="1">
        <f t="shared" si="31"/>
        <v>3</v>
      </c>
      <c r="V55" s="1">
        <f t="shared" si="31"/>
        <v>0</v>
      </c>
      <c r="W55" s="1">
        <f t="shared" si="31"/>
        <v>0</v>
      </c>
      <c r="X55" s="1">
        <f t="shared" si="31"/>
        <v>0</v>
      </c>
      <c r="Y55" s="1">
        <f t="shared" si="31"/>
        <v>0</v>
      </c>
      <c r="Z55" s="1">
        <f t="shared" si="31"/>
        <v>0</v>
      </c>
      <c r="AA55" s="1">
        <f t="shared" si="31"/>
        <v>0</v>
      </c>
      <c r="AB55" s="1">
        <f t="shared" si="31"/>
        <v>0</v>
      </c>
      <c r="AC55" s="1">
        <f t="shared" si="31"/>
        <v>0</v>
      </c>
      <c r="AD55" s="1">
        <f t="shared" si="31"/>
        <v>0</v>
      </c>
      <c r="AE55" s="1">
        <f t="shared" si="31"/>
        <v>0</v>
      </c>
      <c r="AF55" s="1">
        <f t="shared" si="31"/>
        <v>0</v>
      </c>
      <c r="AG55" s="1">
        <f t="shared" si="31"/>
        <v>0</v>
      </c>
      <c r="AH55" s="1">
        <f t="shared" si="31"/>
        <v>0</v>
      </c>
      <c r="AI55" s="1">
        <f t="shared" si="31"/>
        <v>0</v>
      </c>
      <c r="AJ55" s="1">
        <f t="shared" si="31"/>
        <v>0</v>
      </c>
      <c r="AK55" s="1">
        <f t="shared" si="31"/>
        <v>0</v>
      </c>
      <c r="AL55" s="1">
        <f t="shared" si="31"/>
        <v>0</v>
      </c>
      <c r="AM55" s="1">
        <f t="shared" si="31"/>
        <v>0</v>
      </c>
      <c r="AN55" s="1">
        <f t="shared" si="31"/>
        <v>0</v>
      </c>
      <c r="AO55" s="1">
        <f t="shared" si="31"/>
        <v>0</v>
      </c>
      <c r="AP55" s="1">
        <f t="shared" si="31"/>
        <v>0</v>
      </c>
      <c r="AQ55" s="1">
        <f t="shared" si="31"/>
        <v>0</v>
      </c>
    </row>
    <row r="56" spans="14:318" ht="19.5" thickBot="1">
      <c r="N56" s="326"/>
      <c r="O56" s="177" t="s">
        <v>242</v>
      </c>
      <c r="P56" s="178">
        <f>IRR(R50:LF50)</f>
        <v>0.48158247808165378</v>
      </c>
    </row>
    <row r="59" spans="14:318" ht="15.75" thickBot="1"/>
    <row r="60" spans="14:318">
      <c r="N60" s="324" t="s">
        <v>243</v>
      </c>
      <c r="O60" s="161" t="s">
        <v>239</v>
      </c>
      <c r="P60" s="162"/>
      <c r="R60" s="169">
        <f>-($A$6*$B$6+$S$6+$R$6+$X$6+$Y$6)</f>
        <v>-246400</v>
      </c>
      <c r="S60" s="169">
        <f>S31-S38-S39-S45</f>
        <v>20635.582352932826</v>
      </c>
      <c r="T60" s="169">
        <f t="shared" ref="T60:AQ60" si="32">T31-T38-T39-T45</f>
        <v>25715.960913305855</v>
      </c>
      <c r="U60" s="169">
        <f t="shared" si="32"/>
        <v>25258.97877291837</v>
      </c>
      <c r="V60" s="169">
        <f t="shared" si="32"/>
        <v>24796.751180589727</v>
      </c>
      <c r="W60" s="169">
        <f t="shared" si="32"/>
        <v>24329.069211260943</v>
      </c>
      <c r="X60" s="169">
        <f t="shared" si="32"/>
        <v>23855.718248276105</v>
      </c>
      <c r="Y60" s="169">
        <f t="shared" si="32"/>
        <v>23376.477814627789</v>
      </c>
      <c r="Z60" s="169">
        <f t="shared" si="32"/>
        <v>22891.121399294341</v>
      </c>
      <c r="AA60" s="169">
        <f t="shared" si="32"/>
        <v>22399.416278525976</v>
      </c>
      <c r="AB60" s="169">
        <f t="shared" si="32"/>
        <v>21901.123331931445</v>
      </c>
      <c r="AC60" s="169">
        <f t="shared" si="32"/>
        <v>34690.142700280623</v>
      </c>
      <c r="AD60" s="169">
        <f t="shared" si="32"/>
        <v>38822.843014090176</v>
      </c>
      <c r="AE60" s="169">
        <f t="shared" si="32"/>
        <v>38448.017690380577</v>
      </c>
      <c r="AF60" s="169">
        <f t="shared" si="32"/>
        <v>38069.632738498607</v>
      </c>
      <c r="AG60" s="169">
        <f t="shared" si="32"/>
        <v>37687.527573678351</v>
      </c>
      <c r="AH60" s="169">
        <f t="shared" si="32"/>
        <v>37301.537170182295</v>
      </c>
      <c r="AI60" s="169">
        <f t="shared" si="32"/>
        <v>36911.491925436319</v>
      </c>
      <c r="AJ60" s="169">
        <f t="shared" si="32"/>
        <v>36517.217520106911</v>
      </c>
      <c r="AK60" s="169">
        <f t="shared" si="32"/>
        <v>36118.534773999272</v>
      </c>
      <c r="AL60" s="169">
        <f t="shared" si="32"/>
        <v>35715.259497650382</v>
      </c>
      <c r="AM60" s="169">
        <f t="shared" si="32"/>
        <v>35307.202339487994</v>
      </c>
      <c r="AN60" s="169">
        <f t="shared" si="32"/>
        <v>34894.168628422383</v>
      </c>
      <c r="AO60" s="169">
        <f t="shared" si="32"/>
        <v>34475.958211733567</v>
      </c>
      <c r="AP60" s="169">
        <f t="shared" si="32"/>
        <v>34052.365288112858</v>
      </c>
      <c r="AQ60" s="169">
        <f t="shared" si="32"/>
        <v>33623.178235713349</v>
      </c>
    </row>
    <row r="61" spans="14:318">
      <c r="N61" s="325"/>
      <c r="P61" s="140"/>
    </row>
    <row r="62" spans="14:318">
      <c r="N62" s="325"/>
      <c r="O62" s="172" t="s">
        <v>240</v>
      </c>
      <c r="P62" s="173">
        <f>R60+NPV($H$6,S60:LF60)</f>
        <v>290328.87302346469</v>
      </c>
    </row>
    <row r="63" spans="14:318">
      <c r="N63" s="325"/>
      <c r="O63" s="172"/>
      <c r="P63" s="174"/>
    </row>
    <row r="64" spans="14:318" ht="18.75">
      <c r="N64" s="325"/>
      <c r="O64" s="175" t="s">
        <v>241</v>
      </c>
      <c r="P64" s="176">
        <f>MAX(S65:LF65)</f>
        <v>11</v>
      </c>
      <c r="S64" s="1">
        <f>(SUM($R$60:S60)&gt;0)*(SUM($R$60:R60)&lt;0)*1</f>
        <v>0</v>
      </c>
      <c r="T64" s="1">
        <f>(SUM($R$60:T60)&gt;0)*(SUM($R$60:S60)&lt;0)*1</f>
        <v>0</v>
      </c>
      <c r="U64" s="1">
        <f>(SUM($R$60:U60)&gt;0)*(SUM($R$60:T60)&lt;0)*1</f>
        <v>0</v>
      </c>
      <c r="V64" s="1">
        <f>(SUM($R$60:V60)&gt;0)*(SUM($R$60:U60)&lt;0)*1</f>
        <v>0</v>
      </c>
      <c r="W64" s="1">
        <f>(SUM($R$60:W60)&gt;0)*(SUM($R$60:V60)&lt;0)*1</f>
        <v>0</v>
      </c>
      <c r="X64" s="1">
        <f>(SUM($R$60:X60)&gt;0)*(SUM($R$60:W60)&lt;0)*1</f>
        <v>0</v>
      </c>
      <c r="Y64" s="1">
        <f>(SUM($R$60:Y60)&gt;0)*(SUM($R$60:X60)&lt;0)*1</f>
        <v>0</v>
      </c>
      <c r="Z64" s="1">
        <f>(SUM($R$60:Z60)&gt;0)*(SUM($R$60:Y60)&lt;0)*1</f>
        <v>0</v>
      </c>
      <c r="AA64" s="1">
        <f>(SUM($R$60:AA60)&gt;0)*(SUM($R$60:Z60)&lt;0)*1</f>
        <v>0</v>
      </c>
      <c r="AB64" s="1">
        <f>(SUM($R$60:AB60)&gt;0)*(SUM($R$60:AA60)&lt;0)*1</f>
        <v>0</v>
      </c>
      <c r="AC64" s="1">
        <f>(SUM($R$60:AC60)&gt;0)*(SUM($R$60:AB60)&lt;0)*1</f>
        <v>1</v>
      </c>
      <c r="AD64" s="1">
        <f>(SUM($R$60:AD60)&gt;0)*(SUM($R$60:AC60)&lt;0)*1</f>
        <v>0</v>
      </c>
      <c r="AE64" s="1">
        <f>(SUM($R$60:AE60)&gt;0)*(SUM($R$60:AD60)&lt;0)*1</f>
        <v>0</v>
      </c>
      <c r="AF64" s="1">
        <f>(SUM($R$60:AF60)&gt;0)*(SUM($R$60:AE60)&lt;0)*1</f>
        <v>0</v>
      </c>
      <c r="AG64" s="1">
        <f>(SUM($R$60:AG60)&gt;0)*(SUM($R$60:AF60)&lt;0)*1</f>
        <v>0</v>
      </c>
      <c r="AH64" s="1">
        <f>(SUM($R$60:AH60)&gt;0)*(SUM($R$60:AG60)&lt;0)*1</f>
        <v>0</v>
      </c>
      <c r="AI64" s="1">
        <f>(SUM($R$60:AI60)&gt;0)*(SUM($R$60:AH60)&lt;0)*1</f>
        <v>0</v>
      </c>
      <c r="AJ64" s="1">
        <f>(SUM($R$60:AJ60)&gt;0)*(SUM($R$60:AI60)&lt;0)*1</f>
        <v>0</v>
      </c>
      <c r="AK64" s="1">
        <f>(SUM($R$60:AK60)&gt;0)*(SUM($R$60:AJ60)&lt;0)*1</f>
        <v>0</v>
      </c>
      <c r="AL64" s="1">
        <f>(SUM($R$60:AL60)&gt;0)*(SUM($R$60:AK60)&lt;0)*1</f>
        <v>0</v>
      </c>
      <c r="AM64" s="1">
        <f>(SUM($R$60:AM60)&gt;0)*(SUM($R$60:AL60)&lt;0)*1</f>
        <v>0</v>
      </c>
      <c r="AN64" s="1">
        <f>(SUM($R$60:AN60)&gt;0)*(SUM($R$60:AM60)&lt;0)*1</f>
        <v>0</v>
      </c>
      <c r="AO64" s="1">
        <f>(SUM($R$60:AO60)&gt;0)*(SUM($R$60:AN60)&lt;0)*1</f>
        <v>0</v>
      </c>
      <c r="AP64" s="1">
        <f>(SUM($R$60:AP60)&gt;0)*(SUM($R$60:AO60)&lt;0)*1</f>
        <v>0</v>
      </c>
      <c r="AQ64" s="1">
        <f>(SUM($R$60:AQ60)&gt;0)*(SUM($R$60:AP60)&lt;0)*1</f>
        <v>0</v>
      </c>
    </row>
    <row r="65" spans="14:43">
      <c r="N65" s="325"/>
      <c r="O65" s="172"/>
      <c r="P65" s="174"/>
      <c r="S65" s="1">
        <f t="shared" ref="S65:AQ65" si="33">S64*S11</f>
        <v>0</v>
      </c>
      <c r="T65" s="1">
        <f t="shared" si="33"/>
        <v>0</v>
      </c>
      <c r="U65" s="1">
        <f t="shared" si="33"/>
        <v>0</v>
      </c>
      <c r="V65" s="1">
        <f t="shared" si="33"/>
        <v>0</v>
      </c>
      <c r="W65" s="1">
        <f t="shared" si="33"/>
        <v>0</v>
      </c>
      <c r="X65" s="1">
        <f t="shared" si="33"/>
        <v>0</v>
      </c>
      <c r="Y65" s="1">
        <f t="shared" si="33"/>
        <v>0</v>
      </c>
      <c r="Z65" s="1">
        <f t="shared" si="33"/>
        <v>0</v>
      </c>
      <c r="AA65" s="1">
        <f t="shared" si="33"/>
        <v>0</v>
      </c>
      <c r="AB65" s="1">
        <f t="shared" si="33"/>
        <v>0</v>
      </c>
      <c r="AC65" s="1">
        <f t="shared" si="33"/>
        <v>11</v>
      </c>
      <c r="AD65" s="1">
        <f t="shared" si="33"/>
        <v>0</v>
      </c>
      <c r="AE65" s="1">
        <f t="shared" si="33"/>
        <v>0</v>
      </c>
      <c r="AF65" s="1">
        <f t="shared" si="33"/>
        <v>0</v>
      </c>
      <c r="AG65" s="1">
        <f t="shared" si="33"/>
        <v>0</v>
      </c>
      <c r="AH65" s="1">
        <f t="shared" si="33"/>
        <v>0</v>
      </c>
      <c r="AI65" s="1">
        <f t="shared" si="33"/>
        <v>0</v>
      </c>
      <c r="AJ65" s="1">
        <f t="shared" si="33"/>
        <v>0</v>
      </c>
      <c r="AK65" s="1">
        <f t="shared" si="33"/>
        <v>0</v>
      </c>
      <c r="AL65" s="1">
        <f t="shared" si="33"/>
        <v>0</v>
      </c>
      <c r="AM65" s="1">
        <f t="shared" si="33"/>
        <v>0</v>
      </c>
      <c r="AN65" s="1">
        <f t="shared" si="33"/>
        <v>0</v>
      </c>
      <c r="AO65" s="1">
        <f t="shared" si="33"/>
        <v>0</v>
      </c>
      <c r="AP65" s="1">
        <f t="shared" si="33"/>
        <v>0</v>
      </c>
      <c r="AQ65" s="1">
        <f t="shared" si="33"/>
        <v>0</v>
      </c>
    </row>
    <row r="66" spans="14:43" ht="19.5" thickBot="1">
      <c r="N66" s="326"/>
      <c r="O66" s="177" t="s">
        <v>244</v>
      </c>
      <c r="P66" s="178">
        <f>IRR(R60:AQ60)</f>
        <v>0.1028291334338971</v>
      </c>
    </row>
    <row r="69" spans="14:43">
      <c r="N69" s="327" t="s">
        <v>245</v>
      </c>
      <c r="O69" s="327"/>
      <c r="P69" s="327"/>
      <c r="R69" s="328" t="s">
        <v>246</v>
      </c>
      <c r="S69" s="329"/>
      <c r="T69" s="330"/>
      <c r="X69" s="328" t="s">
        <v>247</v>
      </c>
      <c r="Y69" s="329"/>
      <c r="Z69" s="330"/>
      <c r="AC69" s="328" t="s">
        <v>248</v>
      </c>
      <c r="AD69" s="329"/>
      <c r="AE69" s="330"/>
    </row>
    <row r="70" spans="14:43" ht="15" customHeight="1">
      <c r="N70" s="319" t="s">
        <v>162</v>
      </c>
      <c r="O70" s="163"/>
      <c r="P70" s="163">
        <f>P54</f>
        <v>3</v>
      </c>
      <c r="R70" s="3"/>
      <c r="S70" s="163"/>
      <c r="T70" s="203">
        <f>P64</f>
        <v>11</v>
      </c>
      <c r="X70" s="3"/>
      <c r="Y70" s="164"/>
      <c r="Z70" s="205">
        <f>P56</f>
        <v>0.48158247808165378</v>
      </c>
      <c r="AC70" s="3"/>
      <c r="AE70" s="164">
        <f>P66</f>
        <v>0.1028291334338971</v>
      </c>
    </row>
    <row r="71" spans="14:43">
      <c r="N71" s="319"/>
      <c r="O71" s="179">
        <v>57</v>
      </c>
      <c r="P71" s="180">
        <f t="dataTable" ref="P71:P88" dt2D="0" dtr="0" r1="I6"/>
        <v>3</v>
      </c>
      <c r="R71" s="319" t="s">
        <v>162</v>
      </c>
      <c r="S71" s="179">
        <v>57</v>
      </c>
      <c r="T71" s="166">
        <f t="dataTable" ref="T71:T88" dt2D="0" dtr="0" r1="I6" ca="1"/>
        <v>13</v>
      </c>
      <c r="X71" s="319" t="s">
        <v>162</v>
      </c>
      <c r="Y71" s="179">
        <v>57</v>
      </c>
      <c r="Z71" s="167">
        <f t="dataTable" ref="Z71:Z88" dt2D="0" dtr="0" r1="I6" ca="1"/>
        <v>0.37913835905128757</v>
      </c>
      <c r="AC71" s="319" t="s">
        <v>162</v>
      </c>
      <c r="AD71" s="179">
        <v>57</v>
      </c>
      <c r="AE71" s="167">
        <f t="dataTable" ref="AE71:AE88" dt2D="0" dtr="0" r1="I6" ca="1"/>
        <v>7.9307300448456353E-2</v>
      </c>
    </row>
    <row r="72" spans="14:43">
      <c r="N72" s="319"/>
      <c r="O72" s="179">
        <v>62</v>
      </c>
      <c r="P72" s="180">
        <v>3</v>
      </c>
      <c r="R72" s="319"/>
      <c r="S72" s="179">
        <v>62</v>
      </c>
      <c r="T72" s="166">
        <v>12</v>
      </c>
      <c r="X72" s="319"/>
      <c r="Y72" s="179">
        <v>62</v>
      </c>
      <c r="Z72" s="167">
        <v>0.41838188586318736</v>
      </c>
      <c r="AC72" s="319"/>
      <c r="AD72" s="179">
        <v>62</v>
      </c>
      <c r="AE72" s="167">
        <v>8.8469162838696214E-2</v>
      </c>
    </row>
    <row r="73" spans="14:43">
      <c r="N73" s="319"/>
      <c r="O73" s="179">
        <v>64</v>
      </c>
      <c r="P73" s="180">
        <v>3</v>
      </c>
      <c r="R73" s="319"/>
      <c r="S73" s="179">
        <v>64</v>
      </c>
      <c r="T73" s="166">
        <v>12</v>
      </c>
      <c r="X73" s="319"/>
      <c r="Y73" s="179">
        <v>64</v>
      </c>
      <c r="Z73" s="167">
        <v>0.43415174101362175</v>
      </c>
      <c r="AC73" s="319"/>
      <c r="AD73" s="179">
        <v>64</v>
      </c>
      <c r="AE73" s="167">
        <v>9.2090864903269676E-2</v>
      </c>
    </row>
    <row r="74" spans="14:43">
      <c r="N74" s="319"/>
      <c r="O74" s="179">
        <v>66</v>
      </c>
      <c r="P74" s="180">
        <v>3</v>
      </c>
      <c r="R74" s="319"/>
      <c r="S74" s="179">
        <v>66</v>
      </c>
      <c r="T74" s="166">
        <v>11</v>
      </c>
      <c r="X74" s="319"/>
      <c r="Y74" s="179">
        <v>66</v>
      </c>
      <c r="Z74" s="167">
        <v>0.44994739180401266</v>
      </c>
      <c r="AC74" s="319"/>
      <c r="AD74" s="179">
        <v>66</v>
      </c>
      <c r="AE74" s="167">
        <v>9.5690454972470862E-2</v>
      </c>
    </row>
    <row r="75" spans="14:43">
      <c r="N75" s="319"/>
      <c r="O75" s="179">
        <v>68</v>
      </c>
      <c r="P75" s="180">
        <v>3</v>
      </c>
      <c r="R75" s="319"/>
      <c r="S75" s="179">
        <v>68</v>
      </c>
      <c r="T75" s="166">
        <v>11</v>
      </c>
      <c r="X75" s="319"/>
      <c r="Y75" s="179">
        <v>68</v>
      </c>
      <c r="Z75" s="167">
        <v>0.46576015420925265</v>
      </c>
      <c r="AC75" s="319"/>
      <c r="AD75" s="179">
        <v>68</v>
      </c>
      <c r="AE75" s="167">
        <v>9.9269419018094718E-2</v>
      </c>
    </row>
    <row r="76" spans="14:43">
      <c r="N76" s="319"/>
      <c r="O76" s="179">
        <v>70</v>
      </c>
      <c r="P76" s="180">
        <v>3</v>
      </c>
      <c r="R76" s="319"/>
      <c r="S76" s="179">
        <v>70</v>
      </c>
      <c r="T76" s="166">
        <v>11</v>
      </c>
      <c r="X76" s="319"/>
      <c r="Y76" s="179">
        <v>70</v>
      </c>
      <c r="Z76" s="167">
        <v>0.48158247808165378</v>
      </c>
      <c r="AC76" s="319"/>
      <c r="AD76" s="179">
        <v>70</v>
      </c>
      <c r="AE76" s="167">
        <v>0.1028291334338971</v>
      </c>
    </row>
    <row r="77" spans="14:43">
      <c r="N77" s="319"/>
      <c r="O77" s="179">
        <v>75</v>
      </c>
      <c r="P77" s="180">
        <v>2</v>
      </c>
      <c r="R77" s="319"/>
      <c r="S77" s="179">
        <v>75</v>
      </c>
      <c r="T77" s="166">
        <v>10</v>
      </c>
      <c r="X77" s="319"/>
      <c r="Y77" s="179">
        <v>75</v>
      </c>
      <c r="Z77" s="167">
        <v>0.52113962073557185</v>
      </c>
      <c r="AC77" s="319"/>
      <c r="AD77" s="179">
        <v>75</v>
      </c>
      <c r="AE77" s="167">
        <v>0.11165235286691888</v>
      </c>
    </row>
    <row r="78" spans="14:43">
      <c r="N78" s="319"/>
      <c r="O78" s="179">
        <v>80</v>
      </c>
      <c r="P78" s="180">
        <v>2</v>
      </c>
      <c r="R78" s="319"/>
      <c r="S78" s="179">
        <v>80</v>
      </c>
      <c r="T78" s="166">
        <v>9</v>
      </c>
      <c r="X78" s="319"/>
      <c r="Y78" s="179">
        <v>80</v>
      </c>
      <c r="Z78" s="167">
        <v>0.56063995577648207</v>
      </c>
      <c r="AC78" s="319"/>
      <c r="AD78" s="179">
        <v>80</v>
      </c>
      <c r="AE78" s="167">
        <v>0.1203805628267447</v>
      </c>
    </row>
    <row r="79" spans="14:43">
      <c r="N79" s="319"/>
      <c r="O79" s="179">
        <v>85</v>
      </c>
      <c r="P79" s="180">
        <v>2</v>
      </c>
      <c r="R79" s="319"/>
      <c r="S79" s="179">
        <v>85</v>
      </c>
      <c r="T79" s="166">
        <v>9</v>
      </c>
      <c r="X79" s="319"/>
      <c r="Y79" s="179">
        <v>85</v>
      </c>
      <c r="Z79" s="167">
        <v>0.60003228100330963</v>
      </c>
      <c r="AC79" s="319"/>
      <c r="AD79" s="179">
        <v>85</v>
      </c>
      <c r="AE79" s="167">
        <v>0.12902840654685233</v>
      </c>
    </row>
    <row r="80" spans="14:43">
      <c r="N80" s="319"/>
      <c r="O80" s="179">
        <v>90</v>
      </c>
      <c r="P80" s="180">
        <v>2</v>
      </c>
      <c r="R80" s="319"/>
      <c r="S80" s="179">
        <v>90</v>
      </c>
      <c r="T80" s="166">
        <v>8</v>
      </c>
      <c r="X80" s="319"/>
      <c r="Y80" s="179">
        <v>90</v>
      </c>
      <c r="Z80" s="167">
        <v>0.63928484204273706</v>
      </c>
      <c r="AC80" s="319"/>
      <c r="AD80" s="179">
        <v>90</v>
      </c>
      <c r="AE80" s="167">
        <v>0.13760812481317286</v>
      </c>
    </row>
    <row r="81" spans="14:31">
      <c r="N81" s="319"/>
      <c r="O81" s="179">
        <v>95</v>
      </c>
      <c r="P81" s="180">
        <v>2</v>
      </c>
      <c r="R81" s="319"/>
      <c r="S81" s="179">
        <v>95</v>
      </c>
      <c r="T81" s="166">
        <v>8</v>
      </c>
      <c r="X81" s="319"/>
      <c r="Y81" s="179">
        <v>95</v>
      </c>
      <c r="Z81" s="167">
        <v>0.67837940391559215</v>
      </c>
      <c r="AC81" s="319"/>
      <c r="AD81" s="179">
        <v>95</v>
      </c>
      <c r="AE81" s="167">
        <v>0.14612997274053652</v>
      </c>
    </row>
    <row r="82" spans="14:31">
      <c r="N82" s="319"/>
      <c r="O82" s="179">
        <v>100</v>
      </c>
      <c r="P82" s="180">
        <v>2</v>
      </c>
      <c r="R82" s="319"/>
      <c r="S82" s="179">
        <v>100</v>
      </c>
      <c r="T82" s="166">
        <v>7</v>
      </c>
      <c r="X82" s="319"/>
      <c r="Y82" s="179">
        <v>100</v>
      </c>
      <c r="Z82" s="167">
        <v>0.71730692803192309</v>
      </c>
      <c r="AC82" s="319"/>
      <c r="AD82" s="179">
        <v>100</v>
      </c>
      <c r="AE82" s="167">
        <v>0.15460255196662898</v>
      </c>
    </row>
    <row r="83" spans="14:31">
      <c r="N83" s="319"/>
      <c r="O83" s="179">
        <v>110</v>
      </c>
      <c r="P83" s="180">
        <v>2</v>
      </c>
      <c r="R83" s="319"/>
      <c r="S83" s="179">
        <v>110</v>
      </c>
      <c r="T83" s="166">
        <v>6</v>
      </c>
      <c r="X83" s="319"/>
      <c r="Y83" s="179">
        <v>110</v>
      </c>
      <c r="Z83" s="167">
        <v>0.79465326898915878</v>
      </c>
      <c r="AC83" s="319"/>
      <c r="AD83" s="179">
        <v>110</v>
      </c>
      <c r="AE83" s="167">
        <v>0.17142760397094792</v>
      </c>
    </row>
    <row r="84" spans="14:31">
      <c r="N84" s="319"/>
      <c r="O84" s="179">
        <v>120</v>
      </c>
      <c r="P84" s="180">
        <v>2</v>
      </c>
      <c r="R84" s="319"/>
      <c r="S84" s="179">
        <v>120</v>
      </c>
      <c r="T84" s="166">
        <v>6</v>
      </c>
      <c r="X84" s="319"/>
      <c r="Y84" s="179">
        <v>120</v>
      </c>
      <c r="Z84" s="167">
        <v>0.87134051557985503</v>
      </c>
      <c r="AC84" s="319"/>
      <c r="AD84" s="179">
        <v>120</v>
      </c>
      <c r="AE84" s="167">
        <v>0.1881280756414847</v>
      </c>
    </row>
    <row r="85" spans="14:31">
      <c r="N85" s="319"/>
      <c r="O85" s="179">
        <v>130</v>
      </c>
      <c r="P85" s="180">
        <v>2</v>
      </c>
      <c r="R85" s="319"/>
      <c r="S85" s="179">
        <v>130</v>
      </c>
      <c r="T85" s="166">
        <v>5</v>
      </c>
      <c r="X85" s="319"/>
      <c r="Y85" s="179">
        <v>130</v>
      </c>
      <c r="Z85" s="167">
        <v>0.94741294063569459</v>
      </c>
      <c r="AC85" s="319"/>
      <c r="AD85" s="179">
        <v>130</v>
      </c>
      <c r="AE85" s="167">
        <v>0.20473521943988771</v>
      </c>
    </row>
    <row r="86" spans="14:31">
      <c r="N86" s="319"/>
      <c r="O86" s="179">
        <v>140</v>
      </c>
      <c r="P86" s="180">
        <v>2</v>
      </c>
      <c r="R86" s="319"/>
      <c r="S86" s="179">
        <v>140</v>
      </c>
      <c r="T86" s="166">
        <v>5</v>
      </c>
      <c r="X86" s="319"/>
      <c r="Y86" s="179">
        <v>140</v>
      </c>
      <c r="Z86" s="167">
        <v>1.0229231849161216</v>
      </c>
      <c r="AC86" s="319"/>
      <c r="AD86" s="179">
        <v>140</v>
      </c>
      <c r="AE86" s="167">
        <v>0.2212705501528156</v>
      </c>
    </row>
    <row r="87" spans="14:31">
      <c r="N87" s="319"/>
      <c r="O87" s="179">
        <v>150</v>
      </c>
      <c r="P87" s="180">
        <v>2</v>
      </c>
      <c r="R87" s="319"/>
      <c r="S87" s="179">
        <v>150</v>
      </c>
      <c r="T87" s="166">
        <v>5</v>
      </c>
      <c r="X87" s="319"/>
      <c r="Y87" s="179">
        <v>150</v>
      </c>
      <c r="Z87" s="167">
        <v>1.0979237768613146</v>
      </c>
      <c r="AC87" s="319"/>
      <c r="AD87" s="179">
        <v>150</v>
      </c>
      <c r="AE87" s="167">
        <v>0.23774858199494098</v>
      </c>
    </row>
    <row r="88" spans="14:31">
      <c r="N88" s="319"/>
      <c r="O88" s="179">
        <v>160</v>
      </c>
      <c r="P88" s="180">
        <v>1</v>
      </c>
      <c r="R88" s="319"/>
      <c r="S88" s="179">
        <v>160</v>
      </c>
      <c r="T88" s="166">
        <v>4</v>
      </c>
      <c r="X88" s="319"/>
      <c r="Y88" s="179">
        <v>160</v>
      </c>
      <c r="Z88" s="167">
        <v>1.1724636711772636</v>
      </c>
      <c r="AC88" s="319"/>
      <c r="AD88" s="179">
        <v>160</v>
      </c>
      <c r="AE88" s="167">
        <v>0.25417882807488779</v>
      </c>
    </row>
    <row r="99" spans="5:36">
      <c r="E99" s="1">
        <v>200</v>
      </c>
      <c r="F99" s="1">
        <v>400</v>
      </c>
      <c r="G99" s="1">
        <v>600</v>
      </c>
      <c r="H99" s="1">
        <v>800</v>
      </c>
      <c r="I99" s="1">
        <v>1000</v>
      </c>
      <c r="J99" s="1">
        <v>1500</v>
      </c>
      <c r="K99" s="1">
        <v>2000</v>
      </c>
      <c r="L99" s="1">
        <v>2500</v>
      </c>
    </row>
    <row r="100" spans="5:36">
      <c r="N100" s="328" t="s">
        <v>249</v>
      </c>
      <c r="O100" s="330"/>
      <c r="P100" s="320" t="s">
        <v>319</v>
      </c>
      <c r="Q100" s="322"/>
      <c r="R100" s="322"/>
      <c r="S100" s="322"/>
      <c r="T100" s="322"/>
      <c r="U100" s="322"/>
      <c r="V100" s="322"/>
      <c r="W100" s="321"/>
      <c r="AA100" s="328" t="s">
        <v>242</v>
      </c>
      <c r="AB100" s="330"/>
      <c r="AC100" s="320" t="s">
        <v>319</v>
      </c>
      <c r="AD100" s="322"/>
      <c r="AE100" s="322"/>
      <c r="AF100" s="322"/>
      <c r="AG100" s="322"/>
      <c r="AH100" s="322"/>
      <c r="AI100" s="322"/>
      <c r="AJ100" s="321"/>
    </row>
    <row r="101" spans="5:36" ht="14.25" customHeight="1">
      <c r="N101" s="3"/>
      <c r="O101" s="206">
        <f>P54</f>
        <v>3</v>
      </c>
      <c r="P101" s="57">
        <v>200</v>
      </c>
      <c r="Q101" s="57">
        <v>400</v>
      </c>
      <c r="R101" s="57">
        <v>600</v>
      </c>
      <c r="S101" s="57">
        <v>800</v>
      </c>
      <c r="T101" s="57">
        <v>1000</v>
      </c>
      <c r="U101" s="57">
        <v>1500</v>
      </c>
      <c r="V101" s="57">
        <v>2000</v>
      </c>
      <c r="W101" s="57">
        <v>2500</v>
      </c>
      <c r="AA101" s="3"/>
      <c r="AB101" s="164">
        <f>P56</f>
        <v>0.48158247808165378</v>
      </c>
      <c r="AC101" s="57">
        <v>200</v>
      </c>
      <c r="AD101" s="57">
        <v>400</v>
      </c>
      <c r="AE101" s="57">
        <v>600</v>
      </c>
      <c r="AF101" s="57">
        <v>800</v>
      </c>
      <c r="AG101" s="57">
        <v>1000</v>
      </c>
      <c r="AH101" s="57">
        <v>1500</v>
      </c>
      <c r="AI101" s="57">
        <v>2000</v>
      </c>
      <c r="AJ101" s="57">
        <v>2500</v>
      </c>
    </row>
    <row r="102" spans="5:36" ht="15" customHeight="1">
      <c r="N102" s="340" t="s">
        <v>317</v>
      </c>
      <c r="O102" s="179">
        <v>30</v>
      </c>
      <c r="P102" s="180">
        <f t="dataTable" ref="P102:W119" dt2D="1" dtr="1" r1="A6" r2="I6" ca="1"/>
        <v>5</v>
      </c>
      <c r="Q102" s="180">
        <v>5</v>
      </c>
      <c r="R102" s="180">
        <v>4</v>
      </c>
      <c r="S102" s="180">
        <v>4</v>
      </c>
      <c r="T102" s="180">
        <v>4</v>
      </c>
      <c r="U102" s="180">
        <v>4</v>
      </c>
      <c r="V102" s="180">
        <v>4</v>
      </c>
      <c r="W102" s="180">
        <v>4</v>
      </c>
      <c r="AA102" s="340" t="s">
        <v>317</v>
      </c>
      <c r="AB102" s="179">
        <v>30</v>
      </c>
      <c r="AC102" s="167">
        <f t="dataTable" ref="AC102:AJ119" dt2D="1" dtr="1" r1="A6" r2="I6" ca="1"/>
        <v>0.23542406284911555</v>
      </c>
      <c r="AD102" s="167">
        <v>0.26332461094600434</v>
      </c>
      <c r="AE102" s="167">
        <v>0.27268434858243773</v>
      </c>
      <c r="AF102" s="167">
        <v>0.27737716104258459</v>
      </c>
      <c r="AG102" s="167">
        <v>0.28019716910211789</v>
      </c>
      <c r="AH102" s="167">
        <v>0.28396234466446213</v>
      </c>
      <c r="AI102" s="167">
        <v>0.28584718303284085</v>
      </c>
      <c r="AJ102" s="167">
        <v>0.28697881523881752</v>
      </c>
    </row>
    <row r="103" spans="5:36">
      <c r="N103" s="341"/>
      <c r="O103" s="179">
        <v>35</v>
      </c>
      <c r="P103" s="180">
        <v>5</v>
      </c>
      <c r="Q103" s="180">
        <v>4</v>
      </c>
      <c r="R103" s="180">
        <v>4</v>
      </c>
      <c r="S103" s="180">
        <v>4</v>
      </c>
      <c r="T103" s="180">
        <v>4</v>
      </c>
      <c r="U103" s="180">
        <v>4</v>
      </c>
      <c r="V103" s="180">
        <v>4</v>
      </c>
      <c r="W103" s="180">
        <v>4</v>
      </c>
      <c r="AA103" s="341"/>
      <c r="AB103" s="179">
        <v>35</v>
      </c>
      <c r="AC103" s="167">
        <v>0.24223143786434664</v>
      </c>
      <c r="AD103" s="167">
        <v>0.27086669243824324</v>
      </c>
      <c r="AE103" s="167">
        <v>0.28047350249665937</v>
      </c>
      <c r="AF103" s="167">
        <v>0.28529007702133269</v>
      </c>
      <c r="AG103" s="167">
        <v>0.28818439274559826</v>
      </c>
      <c r="AH103" s="167">
        <v>0.29204868758482139</v>
      </c>
      <c r="AI103" s="167">
        <v>0.2939830985933547</v>
      </c>
      <c r="AJ103" s="167">
        <v>0.29514447724464787</v>
      </c>
    </row>
    <row r="104" spans="5:36">
      <c r="N104" s="341"/>
      <c r="O104" s="179">
        <v>40</v>
      </c>
      <c r="P104" s="180">
        <v>5</v>
      </c>
      <c r="Q104" s="180">
        <v>4</v>
      </c>
      <c r="R104" s="180">
        <v>4</v>
      </c>
      <c r="S104" s="180">
        <v>4</v>
      </c>
      <c r="T104" s="180">
        <v>4</v>
      </c>
      <c r="U104" s="180">
        <v>4</v>
      </c>
      <c r="V104" s="180">
        <v>4</v>
      </c>
      <c r="W104" s="180">
        <v>4</v>
      </c>
      <c r="AA104" s="341"/>
      <c r="AB104" s="179">
        <v>40</v>
      </c>
      <c r="AC104" s="167">
        <v>0.24939158925205041</v>
      </c>
      <c r="AD104" s="167">
        <v>0.27879301652243038</v>
      </c>
      <c r="AE104" s="167">
        <v>0.28865643046688838</v>
      </c>
      <c r="AF104" s="167">
        <v>0.29360134260462045</v>
      </c>
      <c r="AG104" s="167">
        <v>0.29657264961479712</v>
      </c>
      <c r="AH104" s="167">
        <v>0.30053956941716065</v>
      </c>
      <c r="AI104" s="167">
        <v>0.30252527472910695</v>
      </c>
      <c r="AJ104" s="167">
        <v>0.30371742282177872</v>
      </c>
    </row>
    <row r="105" spans="5:36">
      <c r="N105" s="341"/>
      <c r="O105" s="179">
        <v>45</v>
      </c>
      <c r="P105" s="180">
        <v>5</v>
      </c>
      <c r="Q105" s="180">
        <v>4</v>
      </c>
      <c r="R105" s="180">
        <v>4</v>
      </c>
      <c r="S105" s="180">
        <v>4</v>
      </c>
      <c r="T105" s="180">
        <v>4</v>
      </c>
      <c r="U105" s="180">
        <v>4</v>
      </c>
      <c r="V105" s="180">
        <v>4</v>
      </c>
      <c r="W105" s="180">
        <v>4</v>
      </c>
      <c r="AA105" s="341"/>
      <c r="AB105" s="179">
        <v>45</v>
      </c>
      <c r="AC105" s="167">
        <v>0.25692906349248168</v>
      </c>
      <c r="AD105" s="167">
        <v>0.28712801177091274</v>
      </c>
      <c r="AE105" s="167">
        <v>0.29725734468470888</v>
      </c>
      <c r="AF105" s="167">
        <v>0.30233503195643485</v>
      </c>
      <c r="AG105" s="167">
        <v>0.30538592201216597</v>
      </c>
      <c r="AH105" s="167">
        <v>0.30945883983855116</v>
      </c>
      <c r="AI105" s="167">
        <v>0.31149749059085385</v>
      </c>
      <c r="AJ105" s="167">
        <v>0.31272138749188061</v>
      </c>
    </row>
    <row r="106" spans="5:36">
      <c r="N106" s="341"/>
      <c r="O106" s="179">
        <v>50</v>
      </c>
      <c r="P106" s="180">
        <v>4</v>
      </c>
      <c r="Q106" s="180">
        <v>4</v>
      </c>
      <c r="R106" s="180">
        <v>4</v>
      </c>
      <c r="S106" s="180">
        <v>4</v>
      </c>
      <c r="T106" s="180">
        <v>3</v>
      </c>
      <c r="U106" s="180">
        <v>3</v>
      </c>
      <c r="V106" s="180">
        <v>3</v>
      </c>
      <c r="W106" s="180">
        <v>3</v>
      </c>
      <c r="AA106" s="341"/>
      <c r="AB106" s="179">
        <v>50</v>
      </c>
      <c r="AC106" s="167">
        <v>0.29419834512569953</v>
      </c>
      <c r="AD106" s="167">
        <v>0.32495230947227483</v>
      </c>
      <c r="AE106" s="167">
        <v>0.33526118855678333</v>
      </c>
      <c r="AF106" s="167">
        <v>0.3404270949549224</v>
      </c>
      <c r="AG106" s="167">
        <v>0.34353037094299488</v>
      </c>
      <c r="AH106" s="167">
        <v>0.34767246861411172</v>
      </c>
      <c r="AI106" s="167">
        <v>0.34974541394778957</v>
      </c>
      <c r="AJ106" s="167">
        <v>0.35098979097814609</v>
      </c>
    </row>
    <row r="107" spans="5:36">
      <c r="N107" s="341"/>
      <c r="O107" s="179">
        <v>55</v>
      </c>
      <c r="P107" s="180">
        <v>4</v>
      </c>
      <c r="Q107" s="180">
        <v>3</v>
      </c>
      <c r="R107" s="180">
        <v>3</v>
      </c>
      <c r="S107" s="180">
        <v>3</v>
      </c>
      <c r="T107" s="180">
        <v>3</v>
      </c>
      <c r="U107" s="180">
        <v>3</v>
      </c>
      <c r="V107" s="180">
        <v>3</v>
      </c>
      <c r="W107" s="180">
        <v>3</v>
      </c>
      <c r="AA107" s="341"/>
      <c r="AB107" s="179">
        <v>55</v>
      </c>
      <c r="AC107" s="167">
        <v>0.33236614226035699</v>
      </c>
      <c r="AD107" s="167">
        <v>0.36354549715576701</v>
      </c>
      <c r="AE107" s="167">
        <v>0.37398878739110497</v>
      </c>
      <c r="AF107" s="167">
        <v>0.37922031932316358</v>
      </c>
      <c r="AG107" s="167">
        <v>0.38236245152315362</v>
      </c>
      <c r="AH107" s="167">
        <v>0.38655574470262621</v>
      </c>
      <c r="AI107" s="167">
        <v>0.3886540234981819</v>
      </c>
      <c r="AJ107" s="167">
        <v>0.38991351571259569</v>
      </c>
    </row>
    <row r="108" spans="5:36">
      <c r="N108" s="341"/>
      <c r="O108" s="179">
        <v>60</v>
      </c>
      <c r="P108" s="180">
        <v>3</v>
      </c>
      <c r="Q108" s="180">
        <v>3</v>
      </c>
      <c r="R108" s="180">
        <v>3</v>
      </c>
      <c r="S108" s="180">
        <v>3</v>
      </c>
      <c r="T108" s="180">
        <v>3</v>
      </c>
      <c r="U108" s="180">
        <v>3</v>
      </c>
      <c r="V108" s="180">
        <v>3</v>
      </c>
      <c r="W108" s="180">
        <v>3</v>
      </c>
      <c r="AA108" s="341"/>
      <c r="AB108" s="179">
        <v>60</v>
      </c>
      <c r="AC108" s="167">
        <v>0.37116152802675617</v>
      </c>
      <c r="AD108" s="167">
        <v>0.40264773658794439</v>
      </c>
      <c r="AE108" s="167">
        <v>0.4131871997517953</v>
      </c>
      <c r="AF108" s="167">
        <v>0.41846564463962954</v>
      </c>
      <c r="AG108" s="167">
        <v>0.42163555140518172</v>
      </c>
      <c r="AH108" s="167">
        <v>0.42586544534677406</v>
      </c>
      <c r="AI108" s="167">
        <v>0.42798184077533019</v>
      </c>
      <c r="AJ108" s="167">
        <v>0.42925214457684024</v>
      </c>
    </row>
    <row r="109" spans="5:36">
      <c r="N109" s="341"/>
      <c r="O109" s="179">
        <v>65</v>
      </c>
      <c r="P109" s="180">
        <v>3</v>
      </c>
      <c r="Q109" s="180">
        <v>3</v>
      </c>
      <c r="R109" s="180">
        <v>3</v>
      </c>
      <c r="S109" s="180">
        <v>3</v>
      </c>
      <c r="T109" s="180">
        <v>3</v>
      </c>
      <c r="U109" s="180">
        <v>3</v>
      </c>
      <c r="V109" s="180">
        <v>3</v>
      </c>
      <c r="W109" s="180">
        <v>3</v>
      </c>
      <c r="AA109" s="341"/>
      <c r="AB109" s="179">
        <v>65</v>
      </c>
      <c r="AC109" s="167">
        <v>0.41034781027608891</v>
      </c>
      <c r="AD109" s="167">
        <v>0.44204691241849292</v>
      </c>
      <c r="AE109" s="167">
        <v>0.45265367159975778</v>
      </c>
      <c r="AF109" s="167">
        <v>0.45796510918197408</v>
      </c>
      <c r="AG109" s="167">
        <v>0.46115460863557822</v>
      </c>
      <c r="AH109" s="167">
        <v>0.46541039534934758</v>
      </c>
      <c r="AI109" s="167">
        <v>0.46753964027014461</v>
      </c>
      <c r="AJ109" s="167">
        <v>0.46881762329908594</v>
      </c>
    </row>
    <row r="110" spans="5:36">
      <c r="N110" s="341"/>
      <c r="O110" s="179">
        <v>70</v>
      </c>
      <c r="P110" s="180">
        <v>3</v>
      </c>
      <c r="Q110" s="180">
        <v>3</v>
      </c>
      <c r="R110" s="180">
        <v>3</v>
      </c>
      <c r="S110" s="180">
        <v>3</v>
      </c>
      <c r="T110" s="180">
        <v>3</v>
      </c>
      <c r="U110" s="180">
        <v>3</v>
      </c>
      <c r="V110" s="180">
        <v>3</v>
      </c>
      <c r="W110" s="180">
        <v>3</v>
      </c>
      <c r="AA110" s="341"/>
      <c r="AB110" s="179">
        <v>70</v>
      </c>
      <c r="AC110" s="167">
        <v>0.44973749396737728</v>
      </c>
      <c r="AD110" s="167">
        <v>0.48158247808165378</v>
      </c>
      <c r="AE110" s="167">
        <v>0.4922366349007461</v>
      </c>
      <c r="AF110" s="167">
        <v>0.49757157952817255</v>
      </c>
      <c r="AG110" s="167">
        <v>0.50077512785020772</v>
      </c>
      <c r="AH110" s="167">
        <v>0.50504958671665379</v>
      </c>
      <c r="AI110" s="167">
        <v>0.50718814375776033</v>
      </c>
      <c r="AJ110" s="167">
        <v>0.50847170681331444</v>
      </c>
    </row>
    <row r="111" spans="5:36">
      <c r="N111" s="341"/>
      <c r="O111" s="179">
        <v>75</v>
      </c>
      <c r="P111" s="180">
        <v>3</v>
      </c>
      <c r="Q111" s="180">
        <v>2</v>
      </c>
      <c r="R111" s="180">
        <v>2</v>
      </c>
      <c r="S111" s="180">
        <v>2</v>
      </c>
      <c r="T111" s="180">
        <v>2</v>
      </c>
      <c r="U111" s="180">
        <v>2</v>
      </c>
      <c r="V111" s="180">
        <v>2</v>
      </c>
      <c r="W111" s="180">
        <v>2</v>
      </c>
      <c r="AA111" s="341"/>
      <c r="AB111" s="179">
        <v>75</v>
      </c>
      <c r="AC111" s="167">
        <v>0.48919223360735997</v>
      </c>
      <c r="AD111" s="167">
        <v>0.52113962073557185</v>
      </c>
      <c r="AE111" s="167">
        <v>0.53182863035460315</v>
      </c>
      <c r="AF111" s="167">
        <v>0.53718116123996906</v>
      </c>
      <c r="AG111" s="167">
        <v>0.54039531609642544</v>
      </c>
      <c r="AH111" s="167">
        <v>0.54468398381649608</v>
      </c>
      <c r="AI111" s="167">
        <v>0.54682967485939482</v>
      </c>
      <c r="AJ111" s="167">
        <v>0.54811752802290203</v>
      </c>
    </row>
    <row r="112" spans="5:36">
      <c r="N112" s="342"/>
      <c r="O112" s="179">
        <v>80</v>
      </c>
      <c r="P112" s="180">
        <v>2</v>
      </c>
      <c r="Q112" s="180">
        <v>2</v>
      </c>
      <c r="R112" s="180">
        <v>2</v>
      </c>
      <c r="S112" s="180">
        <v>2</v>
      </c>
      <c r="T112" s="180">
        <v>2</v>
      </c>
      <c r="U112" s="180">
        <v>2</v>
      </c>
      <c r="V112" s="180">
        <v>2</v>
      </c>
      <c r="W112" s="180">
        <v>2</v>
      </c>
      <c r="AA112" s="341"/>
      <c r="AB112" s="179">
        <v>80</v>
      </c>
      <c r="AC112" s="167">
        <v>0.52861542220644409</v>
      </c>
      <c r="AD112" s="167">
        <v>0.56063995577648207</v>
      </c>
      <c r="AE112" s="167">
        <v>0.57135676478366926</v>
      </c>
      <c r="AF112" s="167">
        <v>0.57672359444324561</v>
      </c>
      <c r="AG112" s="167">
        <v>0.57994645753887175</v>
      </c>
      <c r="AH112" s="167">
        <v>0.5842468877400131</v>
      </c>
      <c r="AI112" s="167">
        <v>0.58639852528487069</v>
      </c>
      <c r="AJ112" s="167">
        <v>0.58768996731963119</v>
      </c>
    </row>
    <row r="113" spans="14:36">
      <c r="N113" s="214"/>
      <c r="O113" s="215">
        <v>140</v>
      </c>
      <c r="P113" s="216">
        <v>2</v>
      </c>
      <c r="Q113" s="216">
        <v>2</v>
      </c>
      <c r="R113" s="216">
        <v>2</v>
      </c>
      <c r="S113" s="216">
        <v>2</v>
      </c>
      <c r="T113" s="216">
        <v>2</v>
      </c>
      <c r="U113" s="216">
        <v>2</v>
      </c>
      <c r="V113" s="216">
        <v>2</v>
      </c>
      <c r="W113" s="216">
        <v>2</v>
      </c>
      <c r="AA113" s="217"/>
      <c r="AB113" s="215">
        <v>80</v>
      </c>
      <c r="AC113" s="218">
        <v>0.52861542220644409</v>
      </c>
      <c r="AD113" s="218">
        <v>0.56063995577648207</v>
      </c>
      <c r="AE113" s="218">
        <v>0.57135676478366926</v>
      </c>
      <c r="AF113" s="218">
        <v>0.57672359444324561</v>
      </c>
      <c r="AG113" s="218">
        <v>0.57994645753887175</v>
      </c>
      <c r="AH113" s="218">
        <v>0.5842468877400131</v>
      </c>
      <c r="AI113" s="218">
        <v>0.58639852528487069</v>
      </c>
      <c r="AJ113" s="218">
        <v>0.58768996731963119</v>
      </c>
    </row>
    <row r="114" spans="14:36">
      <c r="N114" s="214"/>
      <c r="O114" s="215">
        <v>150</v>
      </c>
      <c r="P114" s="216">
        <v>2</v>
      </c>
      <c r="Q114" s="216">
        <v>2</v>
      </c>
      <c r="R114" s="216">
        <v>2</v>
      </c>
      <c r="S114" s="216">
        <v>2</v>
      </c>
      <c r="T114" s="216">
        <v>2</v>
      </c>
      <c r="U114" s="216">
        <v>2</v>
      </c>
      <c r="V114" s="216">
        <v>2</v>
      </c>
      <c r="W114" s="216">
        <v>2</v>
      </c>
      <c r="AA114" s="214"/>
      <c r="AB114" s="215">
        <v>150</v>
      </c>
      <c r="AC114" s="218">
        <v>1.0644531763930214</v>
      </c>
      <c r="AD114" s="218">
        <v>1.0979237768613146</v>
      </c>
      <c r="AE114" s="218">
        <v>1.1091658219655702</v>
      </c>
      <c r="AF114" s="218">
        <v>1.1148031601492154</v>
      </c>
      <c r="AG114" s="218">
        <v>1.1181908281311852</v>
      </c>
      <c r="AH114" s="218">
        <v>1.1227138956240328</v>
      </c>
      <c r="AI114" s="218">
        <v>1.1249780876055553</v>
      </c>
      <c r="AJ114" s="218">
        <v>1.1263374562483612</v>
      </c>
    </row>
    <row r="115" spans="14:36">
      <c r="N115" s="214"/>
      <c r="O115" s="215">
        <v>160</v>
      </c>
      <c r="P115" s="216">
        <v>1</v>
      </c>
      <c r="Q115" s="216">
        <v>1</v>
      </c>
      <c r="R115" s="216">
        <v>1</v>
      </c>
      <c r="S115" s="216">
        <v>1</v>
      </c>
      <c r="T115" s="216">
        <v>1</v>
      </c>
      <c r="U115" s="216">
        <v>1</v>
      </c>
      <c r="V115" s="216">
        <v>1</v>
      </c>
      <c r="W115" s="216">
        <v>1</v>
      </c>
      <c r="AA115" s="214"/>
      <c r="AB115" s="215">
        <v>160</v>
      </c>
      <c r="AC115" s="218">
        <v>1.1386650360991601</v>
      </c>
      <c r="AD115" s="218">
        <v>1.1724636711772636</v>
      </c>
      <c r="AE115" s="218">
        <v>1.1838193463821307</v>
      </c>
      <c r="AF115" s="218">
        <v>1.1895142901158344</v>
      </c>
      <c r="AG115" s="218">
        <v>1.1929367728331361</v>
      </c>
      <c r="AH115" s="218">
        <v>1.1975065521086994</v>
      </c>
      <c r="AI115" s="218">
        <v>1.1997942248128148</v>
      </c>
      <c r="AJ115" s="218">
        <v>1.2011677217425532</v>
      </c>
    </row>
    <row r="116" spans="14:36">
      <c r="N116" s="214"/>
      <c r="O116" s="215">
        <v>170</v>
      </c>
      <c r="P116" s="216">
        <v>1</v>
      </c>
      <c r="Q116" s="216">
        <v>1</v>
      </c>
      <c r="R116" s="216">
        <v>1</v>
      </c>
      <c r="S116" s="216">
        <v>1</v>
      </c>
      <c r="T116" s="216">
        <v>1</v>
      </c>
      <c r="U116" s="216">
        <v>1</v>
      </c>
      <c r="V116" s="216">
        <v>1</v>
      </c>
      <c r="W116" s="216">
        <v>1</v>
      </c>
      <c r="AA116" s="214"/>
      <c r="AB116" s="215">
        <v>170</v>
      </c>
      <c r="AC116" s="218">
        <v>1.2124385635624626</v>
      </c>
      <c r="AD116" s="218">
        <v>1.2465870936462879</v>
      </c>
      <c r="AE116" s="218">
        <v>1.2580633265517682</v>
      </c>
      <c r="AF116" s="218">
        <v>1.2638192758459126</v>
      </c>
      <c r="AG116" s="218">
        <v>1.26727859332546</v>
      </c>
      <c r="AH116" s="218">
        <v>1.2718977547689634</v>
      </c>
      <c r="AI116" s="218">
        <v>1.2742102336420009</v>
      </c>
      <c r="AJ116" s="218">
        <v>1.2755986510333011</v>
      </c>
    </row>
    <row r="117" spans="14:36">
      <c r="N117" s="214"/>
      <c r="O117" s="215">
        <v>180</v>
      </c>
      <c r="P117" s="216">
        <v>1</v>
      </c>
      <c r="Q117" s="216">
        <v>1</v>
      </c>
      <c r="R117" s="216">
        <v>1</v>
      </c>
      <c r="S117" s="216">
        <v>1</v>
      </c>
      <c r="T117" s="216">
        <v>1</v>
      </c>
      <c r="U117" s="216">
        <v>1</v>
      </c>
      <c r="V117" s="216">
        <v>1</v>
      </c>
      <c r="W117" s="216">
        <v>1</v>
      </c>
      <c r="AA117" s="214"/>
      <c r="AB117" s="215">
        <v>180</v>
      </c>
      <c r="AC117" s="218">
        <v>1.2858161311249745</v>
      </c>
      <c r="AD117" s="218">
        <v>1.3203334179284147</v>
      </c>
      <c r="AE117" s="218">
        <v>1.3319362021020136</v>
      </c>
      <c r="AF117" s="218">
        <v>1.3377561014470478</v>
      </c>
      <c r="AG117" s="218">
        <v>1.3412540039841194</v>
      </c>
      <c r="AH117" s="218">
        <v>1.3459248624464566</v>
      </c>
      <c r="AI117" s="218">
        <v>1.3482632969048707</v>
      </c>
      <c r="AJ117" s="218">
        <v>1.3496673218651805</v>
      </c>
    </row>
    <row r="118" spans="14:36">
      <c r="N118" s="214"/>
      <c r="O118" s="215">
        <v>190</v>
      </c>
      <c r="P118" s="216">
        <v>1</v>
      </c>
      <c r="Q118" s="216">
        <v>1</v>
      </c>
      <c r="R118" s="216">
        <v>1</v>
      </c>
      <c r="S118" s="216">
        <v>1</v>
      </c>
      <c r="T118" s="216">
        <v>1</v>
      </c>
      <c r="U118" s="216">
        <v>1</v>
      </c>
      <c r="V118" s="216">
        <v>1</v>
      </c>
      <c r="W118" s="216">
        <v>1</v>
      </c>
      <c r="AA118" s="214"/>
      <c r="AB118" s="215">
        <v>190</v>
      </c>
      <c r="AC118" s="218">
        <v>1.3588351103147631</v>
      </c>
      <c r="AD118" s="218">
        <v>1.3937374759339809</v>
      </c>
      <c r="AE118" s="218">
        <v>1.4054720116117321</v>
      </c>
      <c r="AF118" s="218">
        <v>1.4113584181910777</v>
      </c>
      <c r="AG118" s="218">
        <v>1.4148964266186543</v>
      </c>
      <c r="AH118" s="218">
        <v>1.4196209943530849</v>
      </c>
      <c r="AI118" s="218">
        <v>1.4219863839334597</v>
      </c>
      <c r="AJ118" s="218">
        <v>1.4234066140919079</v>
      </c>
    </row>
    <row r="119" spans="14:36">
      <c r="N119" s="214"/>
      <c r="O119" s="215">
        <v>200</v>
      </c>
      <c r="P119" s="216">
        <v>1</v>
      </c>
      <c r="Q119" s="216">
        <v>1</v>
      </c>
      <c r="R119" s="216">
        <v>1</v>
      </c>
      <c r="S119" s="216">
        <v>1</v>
      </c>
      <c r="T119" s="216">
        <v>1</v>
      </c>
      <c r="U119" s="216">
        <v>1</v>
      </c>
      <c r="V119" s="216">
        <v>1</v>
      </c>
      <c r="W119" s="216">
        <v>1</v>
      </c>
      <c r="AA119" s="214"/>
      <c r="AB119" s="215">
        <v>200</v>
      </c>
      <c r="AC119" s="218">
        <v>1.4315283944643711</v>
      </c>
      <c r="AD119" s="218">
        <v>1.4668300224797255</v>
      </c>
      <c r="AE119" s="218">
        <v>1.4787008398134645</v>
      </c>
      <c r="AF119" s="218">
        <v>1.4846559833134245</v>
      </c>
      <c r="AG119" s="218">
        <v>1.4882354243236917</v>
      </c>
      <c r="AH119" s="218">
        <v>1.4930154574363836</v>
      </c>
      <c r="AI119" s="218">
        <v>1.4954086747484134</v>
      </c>
      <c r="AJ119" s="218">
        <v>1.4968456319414791</v>
      </c>
    </row>
    <row r="123" spans="14:36">
      <c r="N123" s="328" t="s">
        <v>251</v>
      </c>
      <c r="O123" s="330"/>
      <c r="P123" s="320" t="s">
        <v>319</v>
      </c>
      <c r="Q123" s="322"/>
      <c r="R123" s="322"/>
      <c r="S123" s="322"/>
      <c r="T123" s="322"/>
      <c r="U123" s="322"/>
      <c r="V123" s="322"/>
      <c r="W123" s="321"/>
    </row>
    <row r="124" spans="14:36">
      <c r="N124" s="3"/>
      <c r="O124" s="206">
        <f>AR18</f>
        <v>56211.323327182981</v>
      </c>
      <c r="P124" s="57">
        <v>200</v>
      </c>
      <c r="Q124" s="57">
        <v>400</v>
      </c>
      <c r="R124" s="57">
        <v>600</v>
      </c>
      <c r="S124" s="57">
        <v>800</v>
      </c>
      <c r="T124" s="57">
        <v>1000</v>
      </c>
      <c r="U124" s="57">
        <v>1500</v>
      </c>
      <c r="V124" s="57">
        <v>2000</v>
      </c>
      <c r="W124" s="57">
        <v>2500</v>
      </c>
    </row>
    <row r="125" spans="14:36" ht="15" customHeight="1">
      <c r="N125" s="340" t="s">
        <v>317</v>
      </c>
      <c r="O125" s="179">
        <v>30</v>
      </c>
      <c r="P125" s="207">
        <f t="dataTable" ref="P125:W142" dt2D="1" dtr="1" r1="A6" r2="I6" ca="1"/>
        <v>21188.375355165954</v>
      </c>
      <c r="Q125" s="207">
        <v>42376.750710331908</v>
      </c>
      <c r="R125" s="207">
        <v>63565.126065497876</v>
      </c>
      <c r="S125" s="207">
        <v>84753.501420663815</v>
      </c>
      <c r="T125" s="207">
        <v>105941.87677582981</v>
      </c>
      <c r="U125" s="207">
        <v>158912.81516374467</v>
      </c>
      <c r="V125" s="207">
        <v>211883.75355165961</v>
      </c>
      <c r="W125" s="207">
        <v>264854.69193957449</v>
      </c>
    </row>
    <row r="126" spans="14:36">
      <c r="N126" s="341"/>
      <c r="O126" s="179">
        <v>35</v>
      </c>
      <c r="P126" s="207">
        <v>21246.975355165956</v>
      </c>
      <c r="Q126" s="207">
        <v>42493.950710331912</v>
      </c>
      <c r="R126" s="207">
        <v>63740.926065497872</v>
      </c>
      <c r="S126" s="207">
        <v>84987.901420663824</v>
      </c>
      <c r="T126" s="207">
        <v>106234.87677582981</v>
      </c>
      <c r="U126" s="207">
        <v>159352.31516374467</v>
      </c>
      <c r="V126" s="207">
        <v>212469.75355165961</v>
      </c>
      <c r="W126" s="207">
        <v>265587.19193957449</v>
      </c>
    </row>
    <row r="127" spans="14:36">
      <c r="N127" s="341"/>
      <c r="O127" s="179">
        <v>40</v>
      </c>
      <c r="P127" s="207">
        <v>21305.575355165951</v>
      </c>
      <c r="Q127" s="207">
        <v>42611.150710331902</v>
      </c>
      <c r="R127" s="207">
        <v>63916.726065497875</v>
      </c>
      <c r="S127" s="207">
        <v>85222.301420663804</v>
      </c>
      <c r="T127" s="207">
        <v>106527.87677582981</v>
      </c>
      <c r="U127" s="207">
        <v>159791.81516374467</v>
      </c>
      <c r="V127" s="207">
        <v>213055.75355165961</v>
      </c>
      <c r="W127" s="207">
        <v>266319.69193957449</v>
      </c>
    </row>
    <row r="128" spans="14:36">
      <c r="N128" s="341"/>
      <c r="O128" s="179">
        <v>45</v>
      </c>
      <c r="P128" s="207">
        <v>21364.175355165949</v>
      </c>
      <c r="Q128" s="207">
        <v>42728.350710331899</v>
      </c>
      <c r="R128" s="207">
        <v>64092.52606549787</v>
      </c>
      <c r="S128" s="207">
        <v>85456.701420663798</v>
      </c>
      <c r="T128" s="207">
        <v>106820.87677582981</v>
      </c>
      <c r="U128" s="207">
        <v>160231.31516374467</v>
      </c>
      <c r="V128" s="207">
        <v>213641.75355165961</v>
      </c>
      <c r="W128" s="207">
        <v>267052.19193957449</v>
      </c>
    </row>
    <row r="129" spans="14:23">
      <c r="N129" s="341"/>
      <c r="O129" s="179">
        <v>50</v>
      </c>
      <c r="P129" s="207">
        <v>22712.472616851053</v>
      </c>
      <c r="Q129" s="207">
        <v>45424.945233702107</v>
      </c>
      <c r="R129" s="207">
        <v>68137.417850553204</v>
      </c>
      <c r="S129" s="207">
        <v>90849.890467404213</v>
      </c>
      <c r="T129" s="207">
        <v>113562.36308425531</v>
      </c>
      <c r="U129" s="207">
        <v>170343.54462638297</v>
      </c>
      <c r="V129" s="207">
        <v>227124.72616851062</v>
      </c>
      <c r="W129" s="207">
        <v>283905.90771063836</v>
      </c>
    </row>
    <row r="130" spans="14:23">
      <c r="N130" s="341"/>
      <c r="O130" s="179">
        <v>55</v>
      </c>
      <c r="P130" s="207">
        <v>24060.769878536168</v>
      </c>
      <c r="Q130" s="207">
        <v>48121.539757072336</v>
      </c>
      <c r="R130" s="207">
        <v>72182.30963560853</v>
      </c>
      <c r="S130" s="207">
        <v>96243.079514144672</v>
      </c>
      <c r="T130" s="207">
        <v>120303.84939268086</v>
      </c>
      <c r="U130" s="207">
        <v>180455.77408902126</v>
      </c>
      <c r="V130" s="207">
        <v>240607.69878536172</v>
      </c>
      <c r="W130" s="207">
        <v>300759.623481702</v>
      </c>
    </row>
    <row r="131" spans="14:23">
      <c r="N131" s="341"/>
      <c r="O131" s="179">
        <v>60</v>
      </c>
      <c r="P131" s="207">
        <v>25409.067140221276</v>
      </c>
      <c r="Q131" s="207">
        <v>50818.134280442551</v>
      </c>
      <c r="R131" s="207">
        <v>76227.201420663827</v>
      </c>
      <c r="S131" s="207">
        <v>101636.2685608851</v>
      </c>
      <c r="T131" s="207">
        <v>127045.33570110638</v>
      </c>
      <c r="U131" s="207">
        <v>190568.00355165958</v>
      </c>
      <c r="V131" s="207">
        <v>254090.67140221276</v>
      </c>
      <c r="W131" s="207">
        <v>317613.33925276593</v>
      </c>
    </row>
    <row r="132" spans="14:23">
      <c r="N132" s="341"/>
      <c r="O132" s="179">
        <v>65</v>
      </c>
      <c r="P132" s="207">
        <v>26757.364401906379</v>
      </c>
      <c r="Q132" s="207">
        <v>53514.728803812759</v>
      </c>
      <c r="R132" s="207">
        <v>80272.093205719168</v>
      </c>
      <c r="S132" s="207">
        <v>107029.45760762552</v>
      </c>
      <c r="T132" s="207">
        <v>133786.82200953193</v>
      </c>
      <c r="U132" s="207">
        <v>200680.23301429785</v>
      </c>
      <c r="V132" s="207">
        <v>267573.64401906385</v>
      </c>
      <c r="W132" s="207">
        <v>334467.05502382969</v>
      </c>
    </row>
    <row r="133" spans="14:23">
      <c r="N133" s="341"/>
      <c r="O133" s="179">
        <v>70</v>
      </c>
      <c r="P133" s="207">
        <v>28105.661663591491</v>
      </c>
      <c r="Q133" s="207">
        <v>56211.323327182981</v>
      </c>
      <c r="R133" s="207">
        <v>84316.984990774508</v>
      </c>
      <c r="S133" s="207">
        <v>112422.64665436596</v>
      </c>
      <c r="T133" s="207">
        <v>140528.3083179575</v>
      </c>
      <c r="U133" s="207">
        <v>210792.46247693614</v>
      </c>
      <c r="V133" s="207">
        <v>281056.61663591501</v>
      </c>
      <c r="W133" s="207">
        <v>351320.77079489367</v>
      </c>
    </row>
    <row r="134" spans="14:23">
      <c r="N134" s="341"/>
      <c r="O134" s="179">
        <v>75</v>
      </c>
      <c r="P134" s="207">
        <v>29453.958925276595</v>
      </c>
      <c r="Q134" s="207">
        <v>58907.917850553189</v>
      </c>
      <c r="R134" s="207">
        <v>88361.876775829805</v>
      </c>
      <c r="S134" s="207">
        <v>117815.83570110638</v>
      </c>
      <c r="T134" s="207">
        <v>147269.79462638302</v>
      </c>
      <c r="U134" s="207">
        <v>220904.69193957449</v>
      </c>
      <c r="V134" s="207">
        <v>294539.58925276605</v>
      </c>
      <c r="W134" s="207">
        <v>368174.48656595754</v>
      </c>
    </row>
    <row r="135" spans="14:23">
      <c r="N135" s="342"/>
      <c r="O135" s="179">
        <v>80</v>
      </c>
      <c r="P135" s="207">
        <v>30802.256186961706</v>
      </c>
      <c r="Q135" s="207">
        <v>61604.512373923411</v>
      </c>
      <c r="R135" s="207">
        <v>92406.768560885117</v>
      </c>
      <c r="S135" s="207">
        <v>123209.02474784682</v>
      </c>
      <c r="T135" s="207">
        <v>154011.28093480851</v>
      </c>
      <c r="U135" s="207">
        <v>231016.92140221276</v>
      </c>
      <c r="V135" s="207">
        <v>308022.56186961703</v>
      </c>
      <c r="W135" s="207">
        <v>385028.20233702124</v>
      </c>
    </row>
    <row r="136" spans="14:23">
      <c r="N136" s="214"/>
      <c r="O136" s="215">
        <v>140</v>
      </c>
      <c r="P136" s="219">
        <v>46981.823327182967</v>
      </c>
      <c r="Q136" s="219">
        <v>93963.646654365934</v>
      </c>
      <c r="R136" s="219">
        <v>140945.46998154896</v>
      </c>
      <c r="S136" s="219">
        <v>187927.29330873187</v>
      </c>
      <c r="T136" s="219">
        <v>234909.11663591501</v>
      </c>
      <c r="U136" s="219">
        <v>352363.67495387228</v>
      </c>
      <c r="V136" s="219">
        <v>469818.23327183002</v>
      </c>
      <c r="W136" s="219">
        <v>587272.79158978735</v>
      </c>
    </row>
    <row r="137" spans="14:23">
      <c r="N137" s="214"/>
      <c r="O137" s="215">
        <v>150</v>
      </c>
      <c r="P137" s="219">
        <v>49678.417850553196</v>
      </c>
      <c r="Q137" s="219">
        <v>99356.835701106393</v>
      </c>
      <c r="R137" s="219">
        <v>149035.25355165961</v>
      </c>
      <c r="S137" s="219">
        <v>198713.67140221279</v>
      </c>
      <c r="T137" s="219">
        <v>248392.08925276605</v>
      </c>
      <c r="U137" s="219">
        <v>372588.13387914898</v>
      </c>
      <c r="V137" s="219">
        <v>496784.17850553209</v>
      </c>
      <c r="W137" s="219">
        <v>620980.22313191486</v>
      </c>
    </row>
    <row r="138" spans="14:23">
      <c r="N138" s="214"/>
      <c r="O138" s="215">
        <v>160</v>
      </c>
      <c r="P138" s="219">
        <v>52375.012373923397</v>
      </c>
      <c r="Q138" s="219">
        <v>104750.02474784679</v>
      </c>
      <c r="R138" s="219">
        <v>157125.03712177026</v>
      </c>
      <c r="S138" s="219">
        <v>209500.04949569359</v>
      </c>
      <c r="T138" s="219">
        <v>261875.06186961706</v>
      </c>
      <c r="U138" s="219">
        <v>392812.59280442551</v>
      </c>
      <c r="V138" s="219">
        <v>523750.12373923411</v>
      </c>
      <c r="W138" s="219">
        <v>654687.6546740426</v>
      </c>
    </row>
    <row r="139" spans="14:23">
      <c r="N139" s="214"/>
      <c r="O139" s="215">
        <v>170</v>
      </c>
      <c r="P139" s="219">
        <v>55071.606897293626</v>
      </c>
      <c r="Q139" s="219">
        <v>110143.21379458725</v>
      </c>
      <c r="R139" s="219">
        <v>165214.82069188092</v>
      </c>
      <c r="S139" s="219">
        <v>220286.42758917451</v>
      </c>
      <c r="T139" s="219">
        <v>275358.03448646812</v>
      </c>
      <c r="U139" s="219">
        <v>413037.05172970216</v>
      </c>
      <c r="V139" s="219">
        <v>550716.06897293625</v>
      </c>
      <c r="W139" s="219">
        <v>688395.08621617022</v>
      </c>
    </row>
    <row r="140" spans="14:23">
      <c r="N140" s="214"/>
      <c r="O140" s="215">
        <v>180</v>
      </c>
      <c r="P140" s="219">
        <v>57768.201420663827</v>
      </c>
      <c r="Q140" s="219">
        <v>115536.40284132765</v>
      </c>
      <c r="R140" s="219">
        <v>173304.60426199154</v>
      </c>
      <c r="S140" s="219">
        <v>231072.80568265531</v>
      </c>
      <c r="T140" s="219">
        <v>288841.00710331922</v>
      </c>
      <c r="U140" s="219">
        <v>433261.51065497875</v>
      </c>
      <c r="V140" s="219">
        <v>577682.01420663844</v>
      </c>
      <c r="W140" s="219">
        <v>722102.51775829797</v>
      </c>
    </row>
    <row r="141" spans="14:23">
      <c r="N141" s="214"/>
      <c r="O141" s="215">
        <v>190</v>
      </c>
      <c r="P141" s="219">
        <v>60464.795944034056</v>
      </c>
      <c r="Q141" s="219">
        <v>120929.59188806811</v>
      </c>
      <c r="R141" s="219">
        <v>181394.38783210219</v>
      </c>
      <c r="S141" s="219">
        <v>241859.18377613623</v>
      </c>
      <c r="T141" s="219">
        <v>302323.97972017032</v>
      </c>
      <c r="U141" s="219">
        <v>453485.96958025522</v>
      </c>
      <c r="V141" s="219">
        <v>604647.95944034064</v>
      </c>
      <c r="W141" s="219">
        <v>755809.94930042559</v>
      </c>
    </row>
    <row r="142" spans="14:23">
      <c r="N142" s="214"/>
      <c r="O142" s="215">
        <v>200</v>
      </c>
      <c r="P142" s="219">
        <v>63161.390467404257</v>
      </c>
      <c r="Q142" s="219">
        <v>126322.78093480851</v>
      </c>
      <c r="R142" s="219">
        <v>189484.17140221281</v>
      </c>
      <c r="S142" s="219">
        <v>252645.56186961703</v>
      </c>
      <c r="T142" s="219">
        <v>315806.95233702136</v>
      </c>
      <c r="U142" s="219">
        <v>473710.42850553186</v>
      </c>
      <c r="V142" s="219">
        <v>631613.90467404271</v>
      </c>
      <c r="W142" s="219">
        <v>789517.38084255322</v>
      </c>
    </row>
  </sheetData>
  <mergeCells count="20">
    <mergeCell ref="N100:O100"/>
    <mergeCell ref="P100:W100"/>
    <mergeCell ref="AA100:AB100"/>
    <mergeCell ref="AC100:AJ100"/>
    <mergeCell ref="A28:D28"/>
    <mergeCell ref="N50:N56"/>
    <mergeCell ref="N60:N66"/>
    <mergeCell ref="N69:P69"/>
    <mergeCell ref="R69:T69"/>
    <mergeCell ref="X69:Z69"/>
    <mergeCell ref="AC69:AE69"/>
    <mergeCell ref="N70:N88"/>
    <mergeCell ref="R71:R88"/>
    <mergeCell ref="X71:X88"/>
    <mergeCell ref="AC71:AC88"/>
    <mergeCell ref="N123:O123"/>
    <mergeCell ref="P123:W123"/>
    <mergeCell ref="N102:N112"/>
    <mergeCell ref="N125:N135"/>
    <mergeCell ref="AA102:AA112"/>
  </mergeCells>
  <conditionalFormatting sqref="N10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2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1:P88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02:W1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02:W11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25:W1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25:W14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71:T88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71:AB87 Z8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0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90:AD99 AC102:AD10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102:AJ1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102:AJ11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71:AE8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scale="1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748C7-1102-4DC4-AA3B-2FBBC1720C05}">
  <dimension ref="A1:M25"/>
  <sheetViews>
    <sheetView zoomScaleNormal="100" workbookViewId="0">
      <selection activeCell="K13" sqref="K13"/>
    </sheetView>
  </sheetViews>
  <sheetFormatPr defaultRowHeight="15"/>
  <cols>
    <col min="1" max="1" width="15.7109375" customWidth="1"/>
    <col min="2" max="2" width="19.28515625" customWidth="1"/>
    <col min="3" max="3" width="17.85546875" customWidth="1"/>
    <col min="4" max="4" width="12.28515625" customWidth="1"/>
    <col min="5" max="5" width="10.42578125" customWidth="1"/>
    <col min="6" max="6" width="15.5703125" customWidth="1"/>
    <col min="7" max="7" width="11.28515625" customWidth="1"/>
    <col min="8" max="8" width="16.42578125" customWidth="1"/>
    <col min="9" max="9" width="17" customWidth="1"/>
    <col min="10" max="10" width="11.140625" customWidth="1"/>
    <col min="11" max="11" width="9.85546875" customWidth="1"/>
    <col min="13" max="13" width="13.85546875" customWidth="1"/>
  </cols>
  <sheetData>
    <row r="1" spans="1:13" ht="30">
      <c r="A1" s="30" t="s">
        <v>320</v>
      </c>
      <c r="B1" s="29"/>
      <c r="C1" s="29"/>
      <c r="D1" s="31"/>
    </row>
    <row r="2" spans="1:13" ht="60">
      <c r="A2" s="30" t="s">
        <v>321</v>
      </c>
      <c r="B2" s="30" t="s">
        <v>322</v>
      </c>
      <c r="C2" s="30" t="s">
        <v>323</v>
      </c>
      <c r="D2" s="30" t="s">
        <v>324</v>
      </c>
      <c r="E2" s="30" t="s">
        <v>325</v>
      </c>
      <c r="F2" s="30" t="s">
        <v>326</v>
      </c>
      <c r="G2" s="30" t="s">
        <v>327</v>
      </c>
      <c r="H2" s="30" t="s">
        <v>328</v>
      </c>
      <c r="I2" s="30" t="s">
        <v>329</v>
      </c>
      <c r="J2" s="30" t="s">
        <v>330</v>
      </c>
      <c r="K2" s="30" t="s">
        <v>331</v>
      </c>
      <c r="L2" s="30" t="s">
        <v>96</v>
      </c>
      <c r="M2" s="30" t="s">
        <v>332</v>
      </c>
    </row>
    <row r="3" spans="1:13">
      <c r="A3" s="11">
        <v>8</v>
      </c>
      <c r="B3" s="11" t="s">
        <v>27</v>
      </c>
      <c r="C3" s="11" t="s">
        <v>133</v>
      </c>
      <c r="D3" t="s">
        <v>333</v>
      </c>
      <c r="E3" s="11" t="s">
        <v>334</v>
      </c>
      <c r="F3" s="11" t="s">
        <v>133</v>
      </c>
      <c r="G3" s="11" t="s">
        <v>335</v>
      </c>
      <c r="H3" s="11" t="s">
        <v>136</v>
      </c>
      <c r="I3" s="11" t="s">
        <v>336</v>
      </c>
      <c r="J3" s="11" t="s">
        <v>80</v>
      </c>
      <c r="K3" s="1" t="s">
        <v>291</v>
      </c>
      <c r="L3" s="220">
        <v>3.5000000000000003E-2</v>
      </c>
      <c r="M3" s="11">
        <v>4</v>
      </c>
    </row>
    <row r="4" spans="1:13">
      <c r="A4" s="11">
        <v>12</v>
      </c>
      <c r="B4" s="11" t="s">
        <v>337</v>
      </c>
      <c r="C4" s="11" t="s">
        <v>56</v>
      </c>
      <c r="D4" t="s">
        <v>338</v>
      </c>
      <c r="E4" s="11" t="s">
        <v>127</v>
      </c>
      <c r="F4" s="11" t="s">
        <v>56</v>
      </c>
      <c r="G4" s="11" t="s">
        <v>142</v>
      </c>
      <c r="H4" s="11" t="s">
        <v>66</v>
      </c>
      <c r="I4" s="11" t="s">
        <v>339</v>
      </c>
      <c r="J4" s="11" t="s">
        <v>68</v>
      </c>
      <c r="K4" s="1" t="s">
        <v>340</v>
      </c>
      <c r="L4" s="209">
        <v>0.04</v>
      </c>
      <c r="M4" s="11">
        <v>5</v>
      </c>
    </row>
    <row r="5" spans="1:13">
      <c r="A5" s="11">
        <v>15</v>
      </c>
      <c r="E5" s="11" t="s">
        <v>341</v>
      </c>
      <c r="F5" s="11" t="s">
        <v>146</v>
      </c>
      <c r="H5" s="11"/>
      <c r="I5" s="11" t="s">
        <v>137</v>
      </c>
      <c r="K5" s="1" t="s">
        <v>342</v>
      </c>
      <c r="L5" s="209">
        <v>0.05</v>
      </c>
      <c r="M5" s="11">
        <v>6</v>
      </c>
    </row>
    <row r="6" spans="1:13">
      <c r="A6" s="11">
        <v>25</v>
      </c>
      <c r="B6" s="11"/>
      <c r="C6" s="11"/>
      <c r="H6" s="11"/>
      <c r="I6" s="11" t="s">
        <v>73</v>
      </c>
      <c r="L6" s="209">
        <v>0.06</v>
      </c>
      <c r="M6" s="11">
        <v>7</v>
      </c>
    </row>
    <row r="7" spans="1:13">
      <c r="A7" s="11">
        <v>35</v>
      </c>
      <c r="B7" s="11"/>
      <c r="C7" s="11"/>
      <c r="I7" s="11" t="s">
        <v>343</v>
      </c>
      <c r="L7" s="209">
        <v>7.0000000000000007E-2</v>
      </c>
      <c r="M7" s="11">
        <v>8</v>
      </c>
    </row>
    <row r="8" spans="1:13">
      <c r="A8" s="11">
        <v>55</v>
      </c>
      <c r="B8" s="11"/>
      <c r="C8" s="11"/>
      <c r="L8" s="209">
        <v>0.08</v>
      </c>
      <c r="M8" s="11">
        <v>9</v>
      </c>
    </row>
    <row r="9" spans="1:13">
      <c r="A9" s="11">
        <v>85</v>
      </c>
      <c r="B9" s="11"/>
      <c r="C9" s="11"/>
      <c r="L9" s="209">
        <v>0.09</v>
      </c>
      <c r="M9" s="11">
        <v>10</v>
      </c>
    </row>
    <row r="10" spans="1:13">
      <c r="A10" s="11">
        <v>135</v>
      </c>
      <c r="B10" s="11"/>
      <c r="C10" s="11"/>
      <c r="L10" s="209">
        <v>0.1</v>
      </c>
    </row>
    <row r="11" spans="1:13">
      <c r="A11" s="11">
        <v>250</v>
      </c>
      <c r="B11" s="11"/>
      <c r="C11" s="11"/>
    </row>
    <row r="12" spans="1:13">
      <c r="B12" s="47" t="s">
        <v>344</v>
      </c>
      <c r="C12" s="47" t="s">
        <v>345</v>
      </c>
      <c r="F12" s="47" t="s">
        <v>346</v>
      </c>
    </row>
    <row r="13" spans="1:13" ht="45">
      <c r="B13" s="31" t="s">
        <v>347</v>
      </c>
      <c r="C13">
        <v>1400</v>
      </c>
      <c r="F13" s="33" t="s">
        <v>120</v>
      </c>
      <c r="G13" s="33"/>
      <c r="I13" s="33"/>
      <c r="J13" s="33"/>
    </row>
    <row r="14" spans="1:13">
      <c r="B14" t="s">
        <v>348</v>
      </c>
      <c r="C14">
        <v>1400</v>
      </c>
      <c r="F14" s="33" t="s">
        <v>349</v>
      </c>
      <c r="G14" s="33"/>
      <c r="I14" s="33"/>
      <c r="J14" s="33"/>
    </row>
    <row r="15" spans="1:13">
      <c r="B15" t="s">
        <v>350</v>
      </c>
      <c r="C15">
        <v>1400</v>
      </c>
      <c r="F15" s="33" t="s">
        <v>121</v>
      </c>
      <c r="G15" s="33"/>
      <c r="I15" s="33"/>
      <c r="J15" s="33"/>
    </row>
    <row r="16" spans="1:13">
      <c r="B16" t="s">
        <v>351</v>
      </c>
      <c r="C16">
        <v>1450</v>
      </c>
      <c r="F16" s="33"/>
      <c r="G16" s="33"/>
      <c r="I16" s="33"/>
      <c r="J16" s="33"/>
    </row>
    <row r="17" spans="2:10">
      <c r="B17" t="s">
        <v>352</v>
      </c>
      <c r="C17">
        <v>1450</v>
      </c>
      <c r="F17" s="33"/>
      <c r="G17" s="33"/>
      <c r="I17" s="33"/>
      <c r="J17" s="33"/>
    </row>
    <row r="18" spans="2:10">
      <c r="B18" t="s">
        <v>353</v>
      </c>
      <c r="C18">
        <v>1550</v>
      </c>
      <c r="F18" s="33"/>
      <c r="G18" s="33"/>
      <c r="I18" s="33"/>
      <c r="J18" s="33"/>
    </row>
    <row r="19" spans="2:10">
      <c r="B19" t="s">
        <v>62</v>
      </c>
      <c r="C19">
        <v>1550</v>
      </c>
      <c r="F19" s="33"/>
      <c r="G19" s="33"/>
      <c r="I19" s="33"/>
      <c r="J19" s="33"/>
    </row>
    <row r="20" spans="2:10">
      <c r="B20" t="s">
        <v>148</v>
      </c>
      <c r="C20">
        <v>1450</v>
      </c>
      <c r="F20" s="33"/>
      <c r="G20" s="33"/>
      <c r="I20" s="33"/>
      <c r="J20" s="33"/>
    </row>
    <row r="21" spans="2:10">
      <c r="B21" t="s">
        <v>354</v>
      </c>
      <c r="C21">
        <v>1550</v>
      </c>
      <c r="F21" s="33"/>
      <c r="G21" s="33"/>
      <c r="I21" s="33"/>
      <c r="J21" s="33"/>
    </row>
    <row r="22" spans="2:10">
      <c r="B22" t="s">
        <v>135</v>
      </c>
      <c r="C22">
        <v>1500</v>
      </c>
      <c r="F22" s="33"/>
      <c r="G22" s="33"/>
      <c r="I22" s="33"/>
      <c r="J22" s="33"/>
    </row>
    <row r="23" spans="2:10">
      <c r="B23" t="s">
        <v>355</v>
      </c>
      <c r="C23">
        <v>1400</v>
      </c>
      <c r="F23" s="33"/>
      <c r="G23" s="33"/>
      <c r="I23" s="33"/>
      <c r="J23" s="33"/>
    </row>
    <row r="24" spans="2:10">
      <c r="B24" t="s">
        <v>356</v>
      </c>
      <c r="C24">
        <v>1600</v>
      </c>
      <c r="F24" s="33"/>
      <c r="G24" s="33"/>
      <c r="I24" s="33"/>
      <c r="J24" s="33"/>
    </row>
    <row r="25" spans="2:10">
      <c r="B25" t="s">
        <v>357</v>
      </c>
      <c r="C25">
        <v>1600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Spiros Kokkolios</dc:creator>
  <cp:keywords/>
  <dc:description/>
  <cp:lastModifiedBy>Επισκέπτης</cp:lastModifiedBy>
  <cp:revision/>
  <dcterms:created xsi:type="dcterms:W3CDTF">2020-10-19T10:01:57Z</dcterms:created>
  <dcterms:modified xsi:type="dcterms:W3CDTF">2025-03-17T09:25:23Z</dcterms:modified>
  <cp:category/>
  <cp:contentStatus/>
</cp:coreProperties>
</file>