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backupFile="1" codeName="ThisWorkbook" autoCompressPictures="0"/>
  <bookViews>
    <workbookView xWindow="60" yWindow="0" windowWidth="14840" windowHeight="10060" tabRatio="687" firstSheet="4" activeTab="6"/>
  </bookViews>
  <sheets>
    <sheet name="SOMMAIRE" sheetId="1" r:id="rId1"/>
    <sheet name="Bilan et Hors Bilan" sheetId="2" r:id="rId2"/>
    <sheet name="Compte Résultat et Soldes Inter" sheetId="3" r:id="rId3"/>
    <sheet name="Annexes 4" sheetId="30" r:id="rId4"/>
    <sheet name="Retraitement" sheetId="37" r:id="rId5"/>
    <sheet name="Ratio prudentiel" sheetId="18" r:id="rId6"/>
    <sheet name="Indicateurs Financiers" sheetId="19" r:id="rId7"/>
    <sheet name="Instruction 18" sheetId="22" r:id="rId8"/>
    <sheet name="ETAT DES 50 PLUS GROS CLIENTS" sheetId="24" r:id="rId9"/>
    <sheet name="Feuil1" sheetId="26" state="hidden"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aouttoul">[1]Menu!$B$15</definedName>
    <definedName name="avrilttoul">[2]Menu!$B$15</definedName>
    <definedName name="BBKKKKHHH">[3]Menu!$B$15</definedName>
    <definedName name="bhjhhkkk">[4]Menu!$B$14</definedName>
    <definedName name="DDFDDFDFD">[5]Menu!$B$15</definedName>
    <definedName name="dfgesrdsrthtufj">[6]Menu!$B$15</definedName>
    <definedName name="dfghggngjfghghj">[7]Menu!$B$14</definedName>
    <definedName name="DFGHJKHGFGHJKLM">[8]Menu!$B$15</definedName>
    <definedName name="DFHMKJMJJJMLJLL">[9]Menu!$B$15</definedName>
    <definedName name="dghgssfgddhfhj">[10]Menu!$B$15</definedName>
    <definedName name="dhgfjhghjghgkk">[4]Menu!$B$15</definedName>
    <definedName name="EEZZEZEEZEZEZEZEEZZ">[11]Menu!$B$15</definedName>
    <definedName name="ERRZERZERGGGFB">[12]Menu!$B$15</definedName>
    <definedName name="FDFDFDFFD">[13]Menu!$B$15</definedName>
    <definedName name="fguihklhjkfdsrstyuhi">[14]Menu!$B$15</definedName>
    <definedName name="FKKKHHCDGR">[15]Menu!$B$15</definedName>
    <definedName name="gdhfhfffd">[16]Menu!$B$15</definedName>
    <definedName name="GFHJDHKJKH">[17]Menu!$B$15</definedName>
    <definedName name="GGGJGJG">[18]Menu!$B$15</definedName>
    <definedName name="GJKGJKIYIOYI">[19]Menu!$B$15</definedName>
    <definedName name="HBBNBBB?NB">[3]Menu!$B$15</definedName>
    <definedName name="hgfdfghjkllkjhfgdfghjkl">[20]Menu!$B$15</definedName>
    <definedName name="HGHLKCDJJ">[21]Menu!$B$15</definedName>
    <definedName name="IKJHGHDHGHHHHH">[22]Menu!$B$15</definedName>
    <definedName name="iuoodijrsuurutru">[23]Menu!$B$15</definedName>
    <definedName name="IUYEDFUKGKGKGKG">[24]Menu!$B$15</definedName>
    <definedName name="jhdffgqsfdgfhgfh">[25]Menu!$B$15</definedName>
    <definedName name="jthkuhqsdfgzaqs">[26]Menu!$B$15</definedName>
    <definedName name="kfjhlfjhfjhfjfobfgfr">[27]Menu!$B$15</definedName>
    <definedName name="KGHFGHFGHGJKHKH">[28]Menu!$B$15</definedName>
    <definedName name="listeAgr">Feuil1!$A$2:$A$274</definedName>
    <definedName name="MJJJHHKKHKHK">[29]Menu!$B$15</definedName>
    <definedName name="MN">SOMMAIRE!$I$2</definedName>
    <definedName name="MNT">SOMMAIRE!$R$3:$R$18</definedName>
    <definedName name="MOISMAI">[30]Menu!$B$14</definedName>
    <definedName name="nds">[31]Menu!$B$14</definedName>
    <definedName name="ndsirakhhhh">[32]Menu!$B$14</definedName>
    <definedName name="ndsirakhhhhh">[32]Menu!$B$15</definedName>
    <definedName name="ngoundavril">[33]Menu!$B$15</definedName>
    <definedName name="nkslmlqkm">[34]Menu!$B$15</definedName>
    <definedName name="oootttooooo">[35]Menu!$B$20</definedName>
    <definedName name="periode">SOMMAIRE!$R$2:$S$2</definedName>
    <definedName name="periode1">SOMMAIRE!$R$2:$T$2</definedName>
    <definedName name="PERIODICITE">SOMMAIRE!$R$3:$R$10</definedName>
    <definedName name="poopkotjiyherofgipjfodjog">[36]Menu!$B$15</definedName>
    <definedName name="RFGDFGHKJLJLJHFDS">[37]Menu!$B$15</definedName>
    <definedName name="rsdghnfhgjkfdhrfhdh">[14]Menu!$B$14</definedName>
    <definedName name="sdffghlkjhhghj">[38]Menu!$B$15</definedName>
    <definedName name="SDFHGFHFHJFHJFGJ">[39]Menu!$B$15</definedName>
    <definedName name="SIGD_ENTITÉ_NOM">[40]Menu!$B$14</definedName>
    <definedName name="SIGD_ENTITÉ_NUMÉRO">[40]Menu!$B$13</definedName>
    <definedName name="SIGD_ENTITÉ_RÉGION">[40]Menu!$B$15</definedName>
    <definedName name="SIGD_PÉRIODE_DATE">[40]Menu!$B$20</definedName>
    <definedName name="sirakh">[31]Menu!$B$13</definedName>
    <definedName name="tasssseeette">[41]Menu!$B$15</definedName>
    <definedName name="theisavril">[42]Menu!$B$15</definedName>
    <definedName name="thieeeeeee">[43]Menu!$B$14</definedName>
    <definedName name="thieseavril">[44]Menu!$B$13</definedName>
    <definedName name="TIYTYOYODODDODU">[45]Menu!$B$15</definedName>
    <definedName name="toul">[46]Menu!$B$20</definedName>
    <definedName name="UGGLKFGDGG">[47]Menu!$B$15</definedName>
    <definedName name="uiyiuiioluiyuiikyyui">[48]Menu!$B$15</definedName>
    <definedName name="VVVVVVVV">[49]Menu!$B$15</definedName>
    <definedName name="yfoiiuoououytuedztryui">[50]Menu!$B$15</definedName>
    <definedName name="YGGHHJJHJJGG">[51]Menu!$B$15</definedName>
    <definedName name="YJGDGJJLKJH">[52]Menu!$B$15</definedName>
    <definedName name="YTUIOIOUYAZERT">[53]Menu!$B$15</definedName>
    <definedName name="zetrdyfggtyuyuty">[54]Menu!$B$15</definedName>
  </definedNames>
  <calcPr calcId="140001" concurrentCalc="0"/>
  <customWorkbookViews>
    <customWorkbookView name="ADMIN - Affichage personnalisé" guid="{2ECB5001-E624-4860-8EDC-E7BEEAA78E29}" mergeInterval="0" personalView="1" maximized="1" xWindow="1" yWindow="1" windowWidth="1362" windowHeight="574" activeSheetId="2" showFormulaBar="0"/>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153" i="3" l="1"/>
  <c r="G384" i="22"/>
  <c r="H78" i="22"/>
  <c r="H79" i="22"/>
  <c r="H77" i="22"/>
  <c r="H380" i="22"/>
  <c r="D6" i="19"/>
  <c r="G380" i="22"/>
  <c r="F380" i="22"/>
  <c r="C6" i="19"/>
  <c r="E380" i="22"/>
  <c r="H370" i="22"/>
  <c r="G370" i="22"/>
  <c r="F370" i="22"/>
  <c r="E370" i="22"/>
  <c r="H362" i="22"/>
  <c r="G362" i="22"/>
  <c r="F362" i="22"/>
  <c r="E362" i="22"/>
  <c r="H353" i="22"/>
  <c r="G353" i="22"/>
  <c r="F353" i="22"/>
  <c r="E353" i="22"/>
  <c r="H341" i="22"/>
  <c r="G341" i="22"/>
  <c r="F341" i="22"/>
  <c r="E341" i="22"/>
  <c r="H326" i="22"/>
  <c r="G326" i="22"/>
  <c r="F326" i="22"/>
  <c r="E326" i="22"/>
  <c r="H309" i="22"/>
  <c r="G309" i="22"/>
  <c r="F309" i="22"/>
  <c r="E309" i="22"/>
  <c r="H301" i="22"/>
  <c r="G301" i="22"/>
  <c r="F301" i="22"/>
  <c r="E301" i="22"/>
  <c r="H256" i="22"/>
  <c r="G256" i="22"/>
  <c r="F256" i="22"/>
  <c r="E256" i="22"/>
  <c r="H282" i="22"/>
  <c r="G282" i="22"/>
  <c r="F282" i="22"/>
  <c r="E282" i="22"/>
  <c r="H266" i="22"/>
  <c r="G266" i="22"/>
  <c r="F266" i="22"/>
  <c r="E266" i="22"/>
  <c r="H248" i="22"/>
  <c r="G248" i="22"/>
  <c r="F248" i="22"/>
  <c r="E248" i="22"/>
  <c r="H240" i="22"/>
  <c r="G240" i="22"/>
  <c r="F240" i="22"/>
  <c r="E240" i="22"/>
  <c r="H232" i="22"/>
  <c r="G232" i="22"/>
  <c r="F232" i="22"/>
  <c r="E232" i="22"/>
  <c r="H168" i="22"/>
  <c r="G168" i="22"/>
  <c r="F168" i="22"/>
  <c r="E168" i="22"/>
  <c r="H149" i="22"/>
  <c r="G149" i="22"/>
  <c r="F149" i="22"/>
  <c r="E149" i="22"/>
  <c r="H141" i="22"/>
  <c r="G141" i="22"/>
  <c r="F141" i="22"/>
  <c r="E141" i="22"/>
  <c r="H126" i="22"/>
  <c r="G126" i="22"/>
  <c r="F126" i="22"/>
  <c r="E126" i="22"/>
  <c r="H133" i="22"/>
  <c r="G133" i="22"/>
  <c r="F133" i="22"/>
  <c r="E133" i="22"/>
  <c r="H117" i="22"/>
  <c r="G117" i="22"/>
  <c r="F117" i="22"/>
  <c r="E117" i="22"/>
  <c r="H109" i="22"/>
  <c r="G109" i="22"/>
  <c r="F109" i="22"/>
  <c r="E109" i="22"/>
  <c r="H95" i="22"/>
  <c r="G95" i="22"/>
  <c r="F95" i="22"/>
  <c r="E95" i="22"/>
  <c r="H84" i="22"/>
  <c r="G84" i="22"/>
  <c r="F84" i="22"/>
  <c r="E84" i="22"/>
  <c r="H75" i="22"/>
  <c r="G75" i="22"/>
  <c r="F75" i="22"/>
  <c r="E75" i="22"/>
  <c r="H67" i="22"/>
  <c r="G67" i="22"/>
  <c r="F67" i="22"/>
  <c r="E67" i="22"/>
  <c r="H57" i="22"/>
  <c r="G57" i="22"/>
  <c r="F57" i="22"/>
  <c r="E57" i="22"/>
  <c r="H44" i="22"/>
  <c r="G44" i="22"/>
  <c r="F44" i="22"/>
  <c r="E44" i="22"/>
  <c r="H35" i="22"/>
  <c r="G35" i="22"/>
  <c r="F35" i="22"/>
  <c r="E35" i="22"/>
  <c r="H18" i="22"/>
  <c r="G18" i="22"/>
  <c r="F18" i="22"/>
  <c r="E18" i="22"/>
  <c r="E6" i="22"/>
  <c r="G6" i="22"/>
  <c r="H6" i="22"/>
  <c r="D2" i="1"/>
  <c r="G1" i="1"/>
  <c r="C179" i="18"/>
  <c r="D179" i="18"/>
  <c r="E41" i="2"/>
  <c r="D15" i="18"/>
  <c r="E40" i="2"/>
  <c r="D14" i="18"/>
  <c r="E37" i="2"/>
  <c r="D13" i="18"/>
  <c r="E36" i="2"/>
  <c r="D348" i="19"/>
  <c r="C15" i="18"/>
  <c r="C14" i="18"/>
  <c r="C13" i="18"/>
  <c r="C12" i="18"/>
  <c r="D20" i="18"/>
  <c r="C20" i="18"/>
  <c r="E17" i="2"/>
  <c r="D8" i="18"/>
  <c r="C18" i="2"/>
  <c r="D18" i="2"/>
  <c r="E18" i="2"/>
  <c r="D9" i="18"/>
  <c r="C24" i="2"/>
  <c r="D24" i="2"/>
  <c r="E24" i="2"/>
  <c r="D10" i="18"/>
  <c r="C28" i="2"/>
  <c r="D28" i="2"/>
  <c r="E28" i="2"/>
  <c r="D11" i="18"/>
  <c r="C45" i="2"/>
  <c r="D45" i="2"/>
  <c r="E45" i="2"/>
  <c r="E54" i="2"/>
  <c r="D17" i="18"/>
  <c r="E73" i="2"/>
  <c r="D276" i="18"/>
  <c r="E74" i="2"/>
  <c r="D19" i="18"/>
  <c r="C8" i="18"/>
  <c r="F18" i="2"/>
  <c r="C9" i="18"/>
  <c r="F24" i="2"/>
  <c r="C10" i="18"/>
  <c r="F28" i="2"/>
  <c r="C11" i="18"/>
  <c r="F45" i="2"/>
  <c r="C16" i="18"/>
  <c r="C17" i="18"/>
  <c r="C18" i="18"/>
  <c r="C19" i="18"/>
  <c r="H180" i="3"/>
  <c r="H179" i="3"/>
  <c r="C23" i="19"/>
  <c r="C77" i="19"/>
  <c r="G180" i="3"/>
  <c r="G179" i="3"/>
  <c r="D23" i="19"/>
  <c r="D77" i="19"/>
  <c r="H8" i="3"/>
  <c r="H17" i="3"/>
  <c r="H21" i="3"/>
  <c r="H25" i="3"/>
  <c r="H7" i="3"/>
  <c r="C7" i="19"/>
  <c r="C62" i="19"/>
  <c r="H31" i="3"/>
  <c r="H37" i="3"/>
  <c r="H44" i="3"/>
  <c r="C9" i="19"/>
  <c r="C64" i="19"/>
  <c r="H87" i="3"/>
  <c r="C14" i="19"/>
  <c r="C69" i="19"/>
  <c r="H92" i="3"/>
  <c r="C15" i="19"/>
  <c r="C70" i="19"/>
  <c r="H127" i="3"/>
  <c r="H122" i="3"/>
  <c r="H118" i="3"/>
  <c r="C18" i="19"/>
  <c r="C73" i="19"/>
  <c r="H49" i="3"/>
  <c r="C10" i="19"/>
  <c r="C65" i="19"/>
  <c r="H56" i="3"/>
  <c r="H61" i="3"/>
  <c r="H67" i="3"/>
  <c r="H55" i="3"/>
  <c r="C11" i="19"/>
  <c r="C66" i="19"/>
  <c r="H73" i="3"/>
  <c r="C12" i="19"/>
  <c r="C67" i="19"/>
  <c r="H77" i="3"/>
  <c r="C13" i="19"/>
  <c r="C68" i="19"/>
  <c r="C16" i="19"/>
  <c r="C71" i="19"/>
  <c r="C17" i="19"/>
  <c r="C72" i="19"/>
  <c r="C19" i="19"/>
  <c r="C74" i="19"/>
  <c r="H135" i="3"/>
  <c r="C20" i="19"/>
  <c r="C75" i="19"/>
  <c r="C24" i="19"/>
  <c r="C76" i="19"/>
  <c r="G8" i="3"/>
  <c r="G17" i="3"/>
  <c r="G21" i="3"/>
  <c r="G25" i="3"/>
  <c r="G7" i="3"/>
  <c r="D7" i="19"/>
  <c r="D62" i="19"/>
  <c r="G31" i="3"/>
  <c r="G37" i="3"/>
  <c r="G30" i="3"/>
  <c r="G44" i="3"/>
  <c r="D9" i="19"/>
  <c r="D64" i="19"/>
  <c r="G49" i="3"/>
  <c r="D10" i="19"/>
  <c r="D65" i="19"/>
  <c r="G56" i="3"/>
  <c r="G61" i="3"/>
  <c r="G67" i="3"/>
  <c r="G55" i="3"/>
  <c r="D11" i="19"/>
  <c r="D66" i="19"/>
  <c r="G73" i="3"/>
  <c r="D12" i="19"/>
  <c r="D67" i="19"/>
  <c r="G77" i="3"/>
  <c r="D13" i="19"/>
  <c r="D68" i="19"/>
  <c r="G87" i="3"/>
  <c r="D14" i="19"/>
  <c r="D69" i="19"/>
  <c r="G92" i="3"/>
  <c r="D15" i="19"/>
  <c r="D70" i="19"/>
  <c r="D16" i="19"/>
  <c r="D71" i="19"/>
  <c r="D17" i="19"/>
  <c r="D72" i="19"/>
  <c r="G122" i="3"/>
  <c r="G127" i="3"/>
  <c r="G118" i="3"/>
  <c r="D18" i="19"/>
  <c r="D73" i="19"/>
  <c r="D19" i="19"/>
  <c r="D74" i="19"/>
  <c r="G135" i="3"/>
  <c r="D20" i="19"/>
  <c r="D75" i="19"/>
  <c r="D24" i="19"/>
  <c r="D76" i="19"/>
  <c r="G171" i="3"/>
  <c r="D22" i="19"/>
  <c r="H171" i="3"/>
  <c r="C22" i="19"/>
  <c r="D21" i="19"/>
  <c r="C8" i="3"/>
  <c r="C17" i="3"/>
  <c r="C21" i="3"/>
  <c r="C25" i="3"/>
  <c r="C7" i="3"/>
  <c r="C31" i="3"/>
  <c r="C30" i="3"/>
  <c r="D27" i="19"/>
  <c r="C44" i="3"/>
  <c r="D28" i="19"/>
  <c r="C50" i="3"/>
  <c r="D29" i="19"/>
  <c r="C56" i="3"/>
  <c r="C61" i="3"/>
  <c r="C66" i="3"/>
  <c r="C55" i="3"/>
  <c r="D30" i="19"/>
  <c r="C73" i="3"/>
  <c r="D31" i="19"/>
  <c r="C77" i="3"/>
  <c r="D32" i="19"/>
  <c r="C88" i="3"/>
  <c r="D33" i="19"/>
  <c r="C92" i="3"/>
  <c r="D34" i="19"/>
  <c r="D35" i="19"/>
  <c r="C117" i="3"/>
  <c r="D36" i="19"/>
  <c r="C124" i="3"/>
  <c r="C122" i="3"/>
  <c r="C131" i="3"/>
  <c r="C142" i="3"/>
  <c r="C158" i="3"/>
  <c r="C130" i="3"/>
  <c r="D38" i="19"/>
  <c r="D39" i="19"/>
  <c r="C171" i="3"/>
  <c r="D40" i="19"/>
  <c r="C180" i="3"/>
  <c r="C179" i="3"/>
  <c r="D41" i="19"/>
  <c r="C182" i="18"/>
  <c r="D182" i="18"/>
  <c r="C186" i="18"/>
  <c r="D186" i="18"/>
  <c r="C162" i="18"/>
  <c r="D162" i="18"/>
  <c r="C65" i="18"/>
  <c r="D65" i="18"/>
  <c r="C197" i="18"/>
  <c r="D197" i="18"/>
  <c r="C198" i="18"/>
  <c r="D198" i="18"/>
  <c r="C199" i="18"/>
  <c r="D199" i="18"/>
  <c r="D196" i="18"/>
  <c r="C196" i="18"/>
  <c r="D53" i="18"/>
  <c r="C53" i="18"/>
  <c r="C9" i="2"/>
  <c r="C8" i="2"/>
  <c r="C55" i="2"/>
  <c r="C64" i="2"/>
  <c r="C52" i="2"/>
  <c r="D55" i="2"/>
  <c r="D64" i="2"/>
  <c r="D52" i="2"/>
  <c r="E52" i="2"/>
  <c r="C72" i="2"/>
  <c r="C77" i="2"/>
  <c r="C80" i="2"/>
  <c r="C83" i="2"/>
  <c r="C86" i="2"/>
  <c r="C91" i="2"/>
  <c r="C107" i="2"/>
  <c r="C71" i="2"/>
  <c r="D72" i="2"/>
  <c r="D77" i="2"/>
  <c r="D80" i="2"/>
  <c r="D83" i="2"/>
  <c r="D86" i="2"/>
  <c r="D91" i="2"/>
  <c r="D107" i="2"/>
  <c r="D71" i="2"/>
  <c r="E71" i="2"/>
  <c r="C114" i="2"/>
  <c r="D9" i="2"/>
  <c r="D8" i="2"/>
  <c r="D35" i="2"/>
  <c r="D114" i="2"/>
  <c r="D121" i="2"/>
  <c r="E9" i="2"/>
  <c r="D167" i="19"/>
  <c r="D182" i="19"/>
  <c r="D184" i="19"/>
  <c r="E21" i="2"/>
  <c r="D185" i="19"/>
  <c r="D186" i="19"/>
  <c r="D8" i="3"/>
  <c r="D17" i="3"/>
  <c r="D21" i="3"/>
  <c r="D25" i="3"/>
  <c r="D7" i="3"/>
  <c r="C26" i="19"/>
  <c r="C81" i="19"/>
  <c r="D31" i="3"/>
  <c r="D30" i="3"/>
  <c r="D44" i="3"/>
  <c r="C28" i="19"/>
  <c r="C83" i="19"/>
  <c r="D50" i="3"/>
  <c r="C29" i="19"/>
  <c r="C84" i="19"/>
  <c r="D56" i="3"/>
  <c r="D61" i="3"/>
  <c r="D66" i="3"/>
  <c r="D55" i="3"/>
  <c r="C30" i="19"/>
  <c r="C85" i="19"/>
  <c r="D73" i="3"/>
  <c r="C31" i="19"/>
  <c r="C86" i="19"/>
  <c r="D77" i="3"/>
  <c r="C32" i="19"/>
  <c r="C87" i="19"/>
  <c r="D88" i="3"/>
  <c r="D92" i="3"/>
  <c r="D98" i="3"/>
  <c r="C34" i="19"/>
  <c r="C89" i="19"/>
  <c r="C35" i="19"/>
  <c r="C90" i="19"/>
  <c r="D117" i="3"/>
  <c r="C36" i="19"/>
  <c r="D124" i="3"/>
  <c r="D122" i="3"/>
  <c r="D131" i="3"/>
  <c r="D142" i="3"/>
  <c r="D158" i="3"/>
  <c r="D130" i="3"/>
  <c r="C38" i="19"/>
  <c r="C39" i="19"/>
  <c r="C94" i="19"/>
  <c r="D171" i="3"/>
  <c r="C40" i="19"/>
  <c r="C95" i="19"/>
  <c r="D180" i="3"/>
  <c r="D179" i="3"/>
  <c r="C41" i="19"/>
  <c r="D6" i="18"/>
  <c r="D1" i="37"/>
  <c r="C6" i="18"/>
  <c r="C1" i="37"/>
  <c r="F6" i="18"/>
  <c r="E6" i="18"/>
  <c r="F6" i="19"/>
  <c r="E6" i="19"/>
  <c r="F6" i="2"/>
  <c r="D6" i="3"/>
  <c r="H6" i="3"/>
  <c r="C6" i="2"/>
  <c r="C6" i="3"/>
  <c r="G6" i="3"/>
  <c r="J6" i="2"/>
  <c r="I6" i="2"/>
  <c r="D323" i="19"/>
  <c r="C323" i="19"/>
  <c r="D321" i="19"/>
  <c r="C321" i="19"/>
  <c r="D315" i="19"/>
  <c r="D312" i="19"/>
  <c r="F311" i="19"/>
  <c r="C315" i="19"/>
  <c r="C312" i="19"/>
  <c r="E311" i="19"/>
  <c r="D300" i="19"/>
  <c r="J300" i="19"/>
  <c r="C300" i="19"/>
  <c r="D284" i="19"/>
  <c r="J284" i="19"/>
  <c r="C284" i="19"/>
  <c r="C274" i="19"/>
  <c r="C275" i="19"/>
  <c r="C276" i="19"/>
  <c r="C277" i="19"/>
  <c r="C278" i="19"/>
  <c r="C282" i="19"/>
  <c r="E274" i="19"/>
  <c r="D268" i="19"/>
  <c r="C268" i="19"/>
  <c r="D264" i="19"/>
  <c r="J264" i="19"/>
  <c r="C264" i="19"/>
  <c r="D212" i="19"/>
  <c r="D213" i="19"/>
  <c r="D214" i="19"/>
  <c r="C213" i="19"/>
  <c r="C214" i="19"/>
  <c r="C212" i="19"/>
  <c r="D206" i="18"/>
  <c r="I206" i="18"/>
  <c r="C206" i="18"/>
  <c r="C207" i="18"/>
  <c r="D184" i="18"/>
  <c r="C184" i="18"/>
  <c r="C181" i="18"/>
  <c r="D181" i="18"/>
  <c r="D180" i="18"/>
  <c r="C180" i="18"/>
  <c r="D161" i="18"/>
  <c r="C161" i="18"/>
  <c r="D159" i="18"/>
  <c r="C159" i="18"/>
  <c r="D117" i="18"/>
  <c r="I117" i="18"/>
  <c r="C117" i="18"/>
  <c r="C118" i="18"/>
  <c r="C110" i="18"/>
  <c r="D110" i="18"/>
  <c r="D109" i="18"/>
  <c r="C109" i="18"/>
  <c r="D96" i="18"/>
  <c r="C96" i="18"/>
  <c r="D80" i="18"/>
  <c r="C80" i="18"/>
  <c r="D64" i="18"/>
  <c r="C64" i="18"/>
  <c r="C60" i="18"/>
  <c r="D60" i="18"/>
  <c r="C61" i="18"/>
  <c r="D61" i="18"/>
  <c r="C62" i="18"/>
  <c r="D62" i="18"/>
  <c r="D59" i="18"/>
  <c r="C59" i="18"/>
  <c r="C49" i="18"/>
  <c r="D49" i="18"/>
  <c r="C50" i="18"/>
  <c r="D50" i="18"/>
  <c r="C51" i="18"/>
  <c r="D51" i="18"/>
  <c r="C52" i="18"/>
  <c r="D52" i="18"/>
  <c r="C54" i="18"/>
  <c r="D54" i="18"/>
  <c r="C55" i="18"/>
  <c r="D55" i="18"/>
  <c r="C56" i="18"/>
  <c r="D56" i="18"/>
  <c r="D48" i="18"/>
  <c r="C48" i="18"/>
  <c r="D188" i="19"/>
  <c r="C188" i="19"/>
  <c r="D283" i="19"/>
  <c r="C283" i="19"/>
  <c r="F378" i="19"/>
  <c r="E378" i="19"/>
  <c r="D378" i="19"/>
  <c r="C378" i="19"/>
  <c r="F359" i="19"/>
  <c r="E359" i="19"/>
  <c r="D359" i="19"/>
  <c r="C359" i="19"/>
  <c r="F328" i="19"/>
  <c r="E328" i="19"/>
  <c r="D328" i="19"/>
  <c r="C328" i="19"/>
  <c r="F319" i="19"/>
  <c r="E319" i="19"/>
  <c r="D319" i="19"/>
  <c r="C319" i="19"/>
  <c r="F310" i="19"/>
  <c r="E310" i="19"/>
  <c r="D310" i="19"/>
  <c r="C310" i="19"/>
  <c r="F289" i="19"/>
  <c r="E289" i="19"/>
  <c r="D289" i="19"/>
  <c r="C289" i="19"/>
  <c r="F273" i="19"/>
  <c r="E273" i="19"/>
  <c r="D273" i="19"/>
  <c r="C273" i="19"/>
  <c r="F263" i="19"/>
  <c r="E263" i="19"/>
  <c r="D263" i="19"/>
  <c r="C263" i="19"/>
  <c r="F242" i="19"/>
  <c r="E242" i="19"/>
  <c r="D242" i="19"/>
  <c r="C242" i="19"/>
  <c r="F229" i="19"/>
  <c r="E229" i="19"/>
  <c r="D229" i="19"/>
  <c r="C229" i="19"/>
  <c r="F211" i="19"/>
  <c r="E211" i="19"/>
  <c r="D211" i="19"/>
  <c r="C211" i="19"/>
  <c r="F195" i="19"/>
  <c r="E195" i="19"/>
  <c r="D195" i="19"/>
  <c r="C195" i="19"/>
  <c r="F181" i="19"/>
  <c r="E181" i="19"/>
  <c r="D181" i="19"/>
  <c r="C181" i="19"/>
  <c r="F151" i="19"/>
  <c r="E151" i="19"/>
  <c r="D151" i="19"/>
  <c r="C151" i="19"/>
  <c r="F116" i="19"/>
  <c r="E116" i="19"/>
  <c r="D116" i="19"/>
  <c r="C116" i="19"/>
  <c r="F103" i="19"/>
  <c r="E103" i="19"/>
  <c r="D103" i="19"/>
  <c r="C103" i="19"/>
  <c r="F61" i="19"/>
  <c r="E61" i="19"/>
  <c r="D61" i="19"/>
  <c r="C61" i="19"/>
  <c r="F50" i="19"/>
  <c r="E50" i="19"/>
  <c r="D50" i="19"/>
  <c r="C50" i="19"/>
  <c r="F9" i="2"/>
  <c r="F8" i="2"/>
  <c r="F35" i="2"/>
  <c r="C170" i="19"/>
  <c r="F55" i="2"/>
  <c r="F64" i="2"/>
  <c r="F52" i="2"/>
  <c r="F72" i="2"/>
  <c r="F77" i="2"/>
  <c r="F80" i="2"/>
  <c r="F83" i="2"/>
  <c r="F86" i="2"/>
  <c r="F91" i="2"/>
  <c r="F107" i="2"/>
  <c r="F71" i="2"/>
  <c r="F114" i="2"/>
  <c r="J116" i="2"/>
  <c r="J77" i="2"/>
  <c r="J84" i="2"/>
  <c r="J88" i="2"/>
  <c r="J91" i="2"/>
  <c r="J95" i="2"/>
  <c r="J100" i="2"/>
  <c r="C93" i="18"/>
  <c r="I116" i="2"/>
  <c r="I77" i="2"/>
  <c r="I84" i="2"/>
  <c r="I88" i="2"/>
  <c r="I91" i="2"/>
  <c r="I95" i="2"/>
  <c r="D91" i="18"/>
  <c r="I100" i="2"/>
  <c r="C101" i="18"/>
  <c r="F311" i="18"/>
  <c r="E311" i="18"/>
  <c r="D311" i="18"/>
  <c r="C311" i="18"/>
  <c r="F274" i="18"/>
  <c r="E274" i="18"/>
  <c r="D274" i="18"/>
  <c r="C274" i="18"/>
  <c r="F237" i="18"/>
  <c r="E237" i="18"/>
  <c r="D237" i="18"/>
  <c r="C237" i="18"/>
  <c r="F229" i="18"/>
  <c r="E229" i="18"/>
  <c r="D229" i="18"/>
  <c r="C229" i="18"/>
  <c r="F204" i="18"/>
  <c r="E204" i="18"/>
  <c r="D204" i="18"/>
  <c r="C204" i="18"/>
  <c r="F152" i="18"/>
  <c r="E152" i="18"/>
  <c r="D152" i="18"/>
  <c r="C152" i="18"/>
  <c r="F115" i="18"/>
  <c r="E115" i="18"/>
  <c r="D115" i="18"/>
  <c r="C115" i="18"/>
  <c r="F78" i="18"/>
  <c r="E78" i="18"/>
  <c r="D78" i="18"/>
  <c r="C78" i="18"/>
  <c r="D45" i="18"/>
  <c r="E45" i="18"/>
  <c r="F45" i="18"/>
  <c r="C45" i="18"/>
  <c r="E119" i="2"/>
  <c r="D8" i="1"/>
  <c r="D7" i="1"/>
  <c r="D6" i="1"/>
  <c r="D5" i="1"/>
  <c r="A1" i="1"/>
  <c r="I328" i="24"/>
  <c r="I273" i="24"/>
  <c r="E296" i="22"/>
  <c r="G219" i="22"/>
  <c r="F219" i="22"/>
  <c r="E219" i="22"/>
  <c r="G58" i="22"/>
  <c r="E58" i="22"/>
  <c r="G154" i="22"/>
  <c r="E154" i="22"/>
  <c r="G150" i="22"/>
  <c r="E150" i="22"/>
  <c r="H328" i="24"/>
  <c r="G328" i="24"/>
  <c r="F328" i="24"/>
  <c r="E328" i="24"/>
  <c r="H273" i="24"/>
  <c r="G273" i="24"/>
  <c r="F273" i="24"/>
  <c r="E273" i="24"/>
  <c r="H15" i="24"/>
  <c r="G15" i="24"/>
  <c r="F15" i="24"/>
  <c r="E15" i="24"/>
  <c r="D15" i="24"/>
  <c r="C15" i="24"/>
  <c r="B15" i="24"/>
  <c r="H14" i="24"/>
  <c r="G14" i="24"/>
  <c r="F14" i="24"/>
  <c r="E14" i="24"/>
  <c r="D14" i="24"/>
  <c r="C14" i="24"/>
  <c r="B14" i="24"/>
  <c r="H13" i="24"/>
  <c r="G13" i="24"/>
  <c r="F13" i="24"/>
  <c r="E13" i="24"/>
  <c r="D13" i="24"/>
  <c r="C13" i="24"/>
  <c r="B13" i="24"/>
  <c r="H12" i="24"/>
  <c r="G12" i="24"/>
  <c r="F12" i="24"/>
  <c r="E12" i="24"/>
  <c r="D12" i="24"/>
  <c r="C12" i="24"/>
  <c r="B12" i="24"/>
  <c r="H11" i="24"/>
  <c r="G11" i="24"/>
  <c r="F11" i="24"/>
  <c r="E11" i="24"/>
  <c r="D11" i="24"/>
  <c r="C11" i="24"/>
  <c r="B11" i="24"/>
  <c r="H10" i="24"/>
  <c r="G10" i="24"/>
  <c r="F10" i="24"/>
  <c r="E10" i="24"/>
  <c r="D10" i="24"/>
  <c r="C10" i="24"/>
  <c r="B10" i="24"/>
  <c r="H9" i="24"/>
  <c r="G9" i="24"/>
  <c r="F9" i="24"/>
  <c r="E9" i="24"/>
  <c r="D9" i="24"/>
  <c r="C9" i="24"/>
  <c r="B9" i="24"/>
  <c r="H8" i="24"/>
  <c r="G8" i="24"/>
  <c r="F8" i="24"/>
  <c r="E8" i="24"/>
  <c r="D8" i="24"/>
  <c r="C8" i="24"/>
  <c r="B8" i="24"/>
  <c r="H7" i="24"/>
  <c r="G7" i="24"/>
  <c r="F7" i="24"/>
  <c r="E7" i="24"/>
  <c r="D7" i="24"/>
  <c r="C7" i="24"/>
  <c r="B7" i="24"/>
  <c r="H6" i="24"/>
  <c r="G6" i="24"/>
  <c r="F6" i="24"/>
  <c r="E6" i="24"/>
  <c r="D6" i="24"/>
  <c r="C6" i="24"/>
  <c r="B6" i="24"/>
  <c r="F218" i="24"/>
  <c r="E218" i="24"/>
  <c r="H164" i="24"/>
  <c r="G164" i="24"/>
  <c r="F164" i="24"/>
  <c r="E164" i="24"/>
  <c r="H110" i="24"/>
  <c r="G110" i="24"/>
  <c r="F110" i="24"/>
  <c r="E110" i="24"/>
  <c r="J278" i="30"/>
  <c r="I278" i="30"/>
  <c r="K277" i="30"/>
  <c r="K276" i="30"/>
  <c r="K275" i="30"/>
  <c r="K274" i="30"/>
  <c r="K273" i="30"/>
  <c r="K272" i="30"/>
  <c r="K271" i="30"/>
  <c r="K270" i="30"/>
  <c r="K269" i="30"/>
  <c r="K268" i="30"/>
  <c r="K267" i="30"/>
  <c r="K266" i="30"/>
  <c r="F240" i="30"/>
  <c r="F239" i="30"/>
  <c r="F238" i="30"/>
  <c r="F237" i="30"/>
  <c r="F236" i="30"/>
  <c r="F235" i="30"/>
  <c r="F234" i="30"/>
  <c r="F233" i="30"/>
  <c r="E232" i="30"/>
  <c r="D232" i="30"/>
  <c r="F232" i="30"/>
  <c r="F231" i="30"/>
  <c r="F230" i="30"/>
  <c r="F229" i="30"/>
  <c r="F228" i="30"/>
  <c r="F227" i="30"/>
  <c r="F226" i="30"/>
  <c r="E225" i="30"/>
  <c r="D225" i="30"/>
  <c r="F224" i="30"/>
  <c r="F223" i="30"/>
  <c r="E222" i="30"/>
  <c r="D222" i="30"/>
  <c r="F221" i="30"/>
  <c r="F220" i="30"/>
  <c r="F219" i="30"/>
  <c r="E218" i="30"/>
  <c r="D218" i="30"/>
  <c r="G210" i="30"/>
  <c r="G213" i="30"/>
  <c r="F213" i="30"/>
  <c r="E213" i="30"/>
  <c r="D213" i="30"/>
  <c r="G211" i="30"/>
  <c r="G208" i="30"/>
  <c r="E203" i="30"/>
  <c r="H177" i="30"/>
  <c r="G177" i="30"/>
  <c r="F177" i="30"/>
  <c r="E177" i="30"/>
  <c r="D122" i="30"/>
  <c r="G94" i="30"/>
  <c r="E94" i="30"/>
  <c r="D94" i="30"/>
  <c r="F92" i="30"/>
  <c r="H92" i="30"/>
  <c r="F91" i="30"/>
  <c r="H91" i="30"/>
  <c r="F89" i="30"/>
  <c r="H89" i="30"/>
  <c r="K83" i="30"/>
  <c r="I83" i="30"/>
  <c r="H83" i="30"/>
  <c r="G83" i="30"/>
  <c r="F83" i="30"/>
  <c r="E83" i="30"/>
  <c r="D83" i="30"/>
  <c r="J82" i="30"/>
  <c r="J81" i="30"/>
  <c r="K80" i="30"/>
  <c r="I80" i="30"/>
  <c r="H80" i="30"/>
  <c r="G80" i="30"/>
  <c r="F80" i="30"/>
  <c r="E80" i="30"/>
  <c r="D80" i="30"/>
  <c r="J79" i="30"/>
  <c r="J78" i="30"/>
  <c r="J77" i="30"/>
  <c r="J76" i="30"/>
  <c r="E70" i="30"/>
  <c r="F53" i="30"/>
  <c r="D53" i="30"/>
  <c r="G35" i="30"/>
  <c r="G34" i="30"/>
  <c r="G33" i="30"/>
  <c r="G32" i="30"/>
  <c r="G31" i="30"/>
  <c r="G30" i="30"/>
  <c r="F29" i="30"/>
  <c r="F36" i="30"/>
  <c r="E29" i="30"/>
  <c r="E36" i="30"/>
  <c r="E19" i="30"/>
  <c r="E18" i="30"/>
  <c r="D19" i="30"/>
  <c r="D18" i="30"/>
  <c r="E13" i="30"/>
  <c r="D13" i="30"/>
  <c r="E8" i="30"/>
  <c r="D8" i="30"/>
  <c r="D7" i="30"/>
  <c r="E7" i="30"/>
  <c r="K278" i="30"/>
  <c r="J83" i="30"/>
  <c r="F94" i="30"/>
  <c r="H94" i="30"/>
  <c r="F218" i="30"/>
  <c r="F222" i="30"/>
  <c r="D241" i="30"/>
  <c r="J80" i="30"/>
  <c r="G36" i="30"/>
  <c r="F225" i="30"/>
  <c r="E241" i="30"/>
  <c r="F241" i="30"/>
  <c r="E320" i="19"/>
  <c r="C218" i="19"/>
  <c r="C290" i="19"/>
  <c r="C219" i="19"/>
  <c r="C291" i="19"/>
  <c r="C220" i="19"/>
  <c r="C292" i="19"/>
  <c r="C221" i="19"/>
  <c r="C293" i="19"/>
  <c r="C171" i="19"/>
  <c r="C222" i="19"/>
  <c r="C294" i="19"/>
  <c r="C223" i="19"/>
  <c r="C295" i="19"/>
  <c r="C296" i="19"/>
  <c r="E290" i="19"/>
  <c r="E264" i="19"/>
  <c r="C244" i="19"/>
  <c r="C243" i="19"/>
  <c r="C250" i="19"/>
  <c r="C249" i="19"/>
  <c r="C248" i="19"/>
  <c r="C186" i="19"/>
  <c r="C185" i="19"/>
  <c r="C183" i="19"/>
  <c r="C174" i="19"/>
  <c r="C173" i="19"/>
  <c r="C168" i="19"/>
  <c r="C342" i="19"/>
  <c r="C338" i="19"/>
  <c r="C21" i="19"/>
  <c r="C350" i="18"/>
  <c r="C349" i="18"/>
  <c r="C319" i="18"/>
  <c r="C318" i="18"/>
  <c r="C317" i="18"/>
  <c r="C315" i="18"/>
  <c r="C314" i="18"/>
  <c r="C313" i="18"/>
  <c r="C306" i="18"/>
  <c r="C305" i="18"/>
  <c r="C276" i="18"/>
  <c r="C320" i="18"/>
  <c r="C266" i="18"/>
  <c r="C265" i="18"/>
  <c r="C233" i="18"/>
  <c r="C195" i="18"/>
  <c r="C194" i="18"/>
  <c r="C193" i="18"/>
  <c r="C191" i="18"/>
  <c r="C190" i="18"/>
  <c r="C175" i="18"/>
  <c r="C174" i="18"/>
  <c r="C170" i="18"/>
  <c r="C169" i="18"/>
  <c r="C168" i="18"/>
  <c r="C166" i="18"/>
  <c r="C165" i="18"/>
  <c r="C158" i="18"/>
  <c r="C156" i="18"/>
  <c r="C147" i="18"/>
  <c r="C146" i="18"/>
  <c r="C107" i="18"/>
  <c r="C303" i="18"/>
  <c r="C106" i="18"/>
  <c r="C346" i="18"/>
  <c r="C105" i="18"/>
  <c r="C301" i="18"/>
  <c r="C104" i="18"/>
  <c r="C344" i="18"/>
  <c r="C103" i="18"/>
  <c r="C299" i="18"/>
  <c r="C297" i="18"/>
  <c r="C100" i="18"/>
  <c r="C340" i="18"/>
  <c r="C336" i="18"/>
  <c r="C95" i="18"/>
  <c r="C291" i="18"/>
  <c r="C94" i="18"/>
  <c r="C334" i="18"/>
  <c r="C92" i="18"/>
  <c r="C332" i="18"/>
  <c r="C90" i="18"/>
  <c r="C330" i="18"/>
  <c r="C89" i="18"/>
  <c r="C285" i="18"/>
  <c r="C85" i="18"/>
  <c r="C281" i="18"/>
  <c r="C83" i="18"/>
  <c r="C279" i="18"/>
  <c r="C81" i="18"/>
  <c r="C70" i="18"/>
  <c r="C69" i="18"/>
  <c r="C39" i="18"/>
  <c r="C189" i="18"/>
  <c r="C38" i="18"/>
  <c r="C188" i="18"/>
  <c r="C37" i="18"/>
  <c r="C187" i="18"/>
  <c r="C36" i="18"/>
  <c r="C35" i="18"/>
  <c r="C183" i="18"/>
  <c r="C34" i="18"/>
  <c r="C185" i="18"/>
  <c r="C33" i="18"/>
  <c r="C30" i="18"/>
  <c r="C178" i="18"/>
  <c r="C26" i="18"/>
  <c r="C224" i="18"/>
  <c r="C24" i="18"/>
  <c r="C173" i="18"/>
  <c r="C23" i="18"/>
  <c r="C172" i="18"/>
  <c r="C219" i="18"/>
  <c r="C218" i="18"/>
  <c r="C163" i="18"/>
  <c r="C215" i="18"/>
  <c r="C214" i="18"/>
  <c r="C213" i="18"/>
  <c r="C212" i="18"/>
  <c r="C209" i="18"/>
  <c r="G374" i="22"/>
  <c r="E374" i="22"/>
  <c r="G258" i="22"/>
  <c r="G257" i="22"/>
  <c r="E258" i="22"/>
  <c r="E257" i="22"/>
  <c r="G250" i="22"/>
  <c r="G249" i="22"/>
  <c r="E250" i="22"/>
  <c r="E249" i="22"/>
  <c r="G242" i="22"/>
  <c r="G241" i="22"/>
  <c r="E242" i="22"/>
  <c r="E241" i="22"/>
  <c r="G234" i="22"/>
  <c r="G233" i="22"/>
  <c r="E234" i="22"/>
  <c r="E233" i="22"/>
  <c r="F6" i="22"/>
  <c r="E56" i="24"/>
  <c r="G56" i="24"/>
  <c r="F56" i="24"/>
  <c r="H56" i="24"/>
  <c r="D125" i="2"/>
  <c r="C125" i="2"/>
  <c r="D94" i="18"/>
  <c r="C245" i="19"/>
  <c r="C247" i="19"/>
  <c r="C121" i="19"/>
  <c r="C363" i="19"/>
  <c r="C261" i="18"/>
  <c r="C277" i="18"/>
  <c r="C167" i="18"/>
  <c r="C192" i="18"/>
  <c r="C251" i="18"/>
  <c r="C329" i="18"/>
  <c r="C241" i="18"/>
  <c r="C325" i="18"/>
  <c r="C232" i="18"/>
  <c r="C343" i="18"/>
  <c r="C259" i="18"/>
  <c r="C323" i="18"/>
  <c r="C341" i="18"/>
  <c r="C239" i="18"/>
  <c r="C257" i="18"/>
  <c r="C312" i="18"/>
  <c r="C316" i="18"/>
  <c r="C347" i="18"/>
  <c r="C245" i="18"/>
  <c r="C263" i="18"/>
  <c r="C335" i="18"/>
  <c r="C345" i="18"/>
  <c r="C171" i="18"/>
  <c r="C67" i="18"/>
  <c r="C102" i="18"/>
  <c r="C127" i="18"/>
  <c r="C131" i="18"/>
  <c r="C143" i="18"/>
  <c r="C222" i="18"/>
  <c r="C286" i="18"/>
  <c r="C290" i="18"/>
  <c r="C302" i="18"/>
  <c r="C122" i="18"/>
  <c r="C126" i="18"/>
  <c r="C138" i="18"/>
  <c r="C142" i="18"/>
  <c r="C155" i="18"/>
  <c r="C160" i="18"/>
  <c r="C217" i="18"/>
  <c r="C221" i="18"/>
  <c r="C246" i="18"/>
  <c r="C250" i="18"/>
  <c r="C262" i="18"/>
  <c r="C129" i="18"/>
  <c r="C133" i="18"/>
  <c r="C137" i="18"/>
  <c r="C141" i="18"/>
  <c r="C288" i="18"/>
  <c r="C292" i="18"/>
  <c r="C296" i="18"/>
  <c r="C300" i="18"/>
  <c r="C68" i="18"/>
  <c r="C120" i="18"/>
  <c r="C132" i="18"/>
  <c r="C140" i="18"/>
  <c r="C144" i="18"/>
  <c r="C248" i="18"/>
  <c r="C252" i="18"/>
  <c r="C256" i="18"/>
  <c r="C260" i="18"/>
  <c r="D221" i="19"/>
  <c r="D250" i="19"/>
  <c r="J250" i="19"/>
  <c r="D220" i="19"/>
  <c r="D219" i="19"/>
  <c r="D218" i="19"/>
  <c r="D290" i="19"/>
  <c r="C139" i="18"/>
  <c r="C298" i="18"/>
  <c r="C321" i="18"/>
  <c r="C258" i="18"/>
  <c r="C342" i="18"/>
  <c r="D349" i="19"/>
  <c r="D278" i="19"/>
  <c r="D277" i="19"/>
  <c r="D275" i="19"/>
  <c r="D276" i="19"/>
  <c r="D274" i="19"/>
  <c r="D244" i="19"/>
  <c r="D243" i="19"/>
  <c r="D249" i="19"/>
  <c r="J249" i="19"/>
  <c r="E62" i="2"/>
  <c r="D174" i="19"/>
  <c r="D173" i="19"/>
  <c r="E89" i="2"/>
  <c r="D319" i="18"/>
  <c r="E79" i="2"/>
  <c r="D313" i="18"/>
  <c r="D233" i="18"/>
  <c r="D194" i="18"/>
  <c r="D193" i="18"/>
  <c r="D191" i="18"/>
  <c r="D190" i="18"/>
  <c r="D175" i="18"/>
  <c r="I175" i="18"/>
  <c r="D174" i="18"/>
  <c r="D23" i="18"/>
  <c r="D172" i="18"/>
  <c r="D24" i="18"/>
  <c r="D173" i="18"/>
  <c r="D171" i="18"/>
  <c r="E27" i="2"/>
  <c r="D168" i="18"/>
  <c r="E84" i="2"/>
  <c r="D105" i="18"/>
  <c r="E81" i="2"/>
  <c r="D104" i="18"/>
  <c r="D107" i="18"/>
  <c r="D232" i="18"/>
  <c r="D95" i="18"/>
  <c r="D100" i="18"/>
  <c r="D92" i="18"/>
  <c r="D90" i="18"/>
  <c r="D89" i="18"/>
  <c r="D88" i="18"/>
  <c r="D85" i="18"/>
  <c r="D84" i="18"/>
  <c r="D83" i="18"/>
  <c r="E76" i="2"/>
  <c r="D70" i="18"/>
  <c r="D39" i="18"/>
  <c r="D38" i="18"/>
  <c r="D37" i="18"/>
  <c r="D36" i="18"/>
  <c r="D35" i="18"/>
  <c r="D183" i="18"/>
  <c r="D34" i="18"/>
  <c r="D33" i="18"/>
  <c r="D30" i="18"/>
  <c r="D26" i="18"/>
  <c r="D248" i="19"/>
  <c r="H109" i="3"/>
  <c r="G109" i="3"/>
  <c r="D109" i="3"/>
  <c r="C109" i="3"/>
  <c r="D173" i="2"/>
  <c r="C173" i="2"/>
  <c r="D170" i="2"/>
  <c r="C170" i="2"/>
  <c r="D158" i="2"/>
  <c r="C158" i="2"/>
  <c r="D154" i="2"/>
  <c r="C154" i="2"/>
  <c r="D148" i="2"/>
  <c r="C148" i="2"/>
  <c r="D141" i="2"/>
  <c r="C141" i="2"/>
  <c r="D137" i="2"/>
  <c r="C25" i="18"/>
  <c r="C137" i="2"/>
  <c r="D25" i="18"/>
  <c r="D101" i="18"/>
  <c r="D108" i="18"/>
  <c r="E116" i="2"/>
  <c r="E115" i="2"/>
  <c r="E111" i="2"/>
  <c r="E110" i="2"/>
  <c r="E109" i="2"/>
  <c r="E108" i="2"/>
  <c r="E107" i="2"/>
  <c r="E106" i="2"/>
  <c r="D93" i="18"/>
  <c r="D333" i="18"/>
  <c r="C91" i="18"/>
  <c r="E95" i="2"/>
  <c r="E94" i="2"/>
  <c r="E93" i="2"/>
  <c r="C88" i="18"/>
  <c r="E91" i="2"/>
  <c r="C87" i="18"/>
  <c r="D87" i="18"/>
  <c r="E87" i="2"/>
  <c r="D318" i="18"/>
  <c r="E86" i="2"/>
  <c r="E85" i="2"/>
  <c r="D317" i="18"/>
  <c r="D86" i="18"/>
  <c r="I86" i="18"/>
  <c r="C73" i="18"/>
  <c r="E83" i="2"/>
  <c r="D73" i="18"/>
  <c r="E82" i="2"/>
  <c r="D315" i="18"/>
  <c r="D314" i="18"/>
  <c r="C72" i="18"/>
  <c r="E78" i="2"/>
  <c r="D103" i="18"/>
  <c r="C84" i="18"/>
  <c r="C71" i="18"/>
  <c r="E75" i="2"/>
  <c r="D69" i="18"/>
  <c r="J71" i="2"/>
  <c r="I71" i="2"/>
  <c r="E69" i="2"/>
  <c r="E68" i="2"/>
  <c r="E67" i="2"/>
  <c r="E66" i="2"/>
  <c r="E65" i="2"/>
  <c r="E64" i="2"/>
  <c r="E63" i="2"/>
  <c r="D166" i="18"/>
  <c r="E61" i="2"/>
  <c r="D170" i="18"/>
  <c r="E60" i="2"/>
  <c r="D165" i="18"/>
  <c r="I165" i="18"/>
  <c r="E59" i="2"/>
  <c r="E58" i="2"/>
  <c r="E57" i="2"/>
  <c r="E56" i="2"/>
  <c r="J55" i="2"/>
  <c r="J52" i="2"/>
  <c r="I55" i="2"/>
  <c r="C164" i="18"/>
  <c r="E55" i="2"/>
  <c r="D164" i="18"/>
  <c r="I52" i="2"/>
  <c r="E49" i="2"/>
  <c r="E48" i="2"/>
  <c r="E47" i="2"/>
  <c r="E46" i="2"/>
  <c r="E44" i="2"/>
  <c r="D169" i="18"/>
  <c r="D351" i="19"/>
  <c r="D370" i="19"/>
  <c r="J35" i="2"/>
  <c r="I35" i="2"/>
  <c r="E32" i="2"/>
  <c r="E31" i="2"/>
  <c r="E30" i="2"/>
  <c r="E29" i="2"/>
  <c r="D168" i="19"/>
  <c r="E26" i="2"/>
  <c r="E25" i="2"/>
  <c r="D158" i="18"/>
  <c r="C210" i="18"/>
  <c r="D156" i="18"/>
  <c r="E20" i="2"/>
  <c r="E19" i="2"/>
  <c r="J15" i="2"/>
  <c r="I15" i="2"/>
  <c r="I10" i="2"/>
  <c r="I8" i="2"/>
  <c r="J10" i="2"/>
  <c r="C31" i="18"/>
  <c r="D31" i="18"/>
  <c r="E10" i="2"/>
  <c r="C137" i="19"/>
  <c r="C333" i="19"/>
  <c r="C172" i="19"/>
  <c r="C328" i="18"/>
  <c r="C244" i="18"/>
  <c r="C284" i="18"/>
  <c r="C125" i="18"/>
  <c r="C139" i="19"/>
  <c r="C335" i="19"/>
  <c r="C131" i="19"/>
  <c r="C159" i="19"/>
  <c r="C343" i="19"/>
  <c r="J8" i="2"/>
  <c r="C32" i="18"/>
  <c r="C184" i="19"/>
  <c r="C169" i="19"/>
  <c r="E72" i="2"/>
  <c r="D175" i="19"/>
  <c r="J175" i="19"/>
  <c r="C283" i="18"/>
  <c r="C124" i="18"/>
  <c r="C327" i="18"/>
  <c r="C243" i="18"/>
  <c r="C136" i="19"/>
  <c r="C332" i="19"/>
  <c r="D350" i="19"/>
  <c r="D369" i="19"/>
  <c r="D223" i="19"/>
  <c r="D235" i="19"/>
  <c r="D230" i="19"/>
  <c r="C175" i="19"/>
  <c r="E80" i="2"/>
  <c r="D72" i="18"/>
  <c r="E114" i="2"/>
  <c r="C223" i="18"/>
  <c r="C220" i="18"/>
  <c r="C27" i="18"/>
  <c r="C129" i="19"/>
  <c r="C157" i="19"/>
  <c r="C158" i="19"/>
  <c r="C130" i="19"/>
  <c r="C160" i="19"/>
  <c r="C132" i="19"/>
  <c r="D106" i="18"/>
  <c r="D171" i="19"/>
  <c r="D222" i="19"/>
  <c r="C167" i="19"/>
  <c r="C182" i="19"/>
  <c r="C187" i="19"/>
  <c r="C154" i="18"/>
  <c r="C334" i="19"/>
  <c r="C138" i="19"/>
  <c r="C141" i="19"/>
  <c r="C337" i="19"/>
  <c r="C287" i="18"/>
  <c r="C331" i="18"/>
  <c r="C247" i="18"/>
  <c r="C128" i="18"/>
  <c r="C157" i="18"/>
  <c r="C176" i="18"/>
  <c r="C252" i="19"/>
  <c r="C235" i="19"/>
  <c r="E77" i="2"/>
  <c r="D71" i="18"/>
  <c r="C324" i="18"/>
  <c r="C280" i="18"/>
  <c r="C121" i="18"/>
  <c r="C240" i="18"/>
  <c r="C108" i="18"/>
  <c r="C348" i="18"/>
  <c r="C339" i="18"/>
  <c r="C97" i="18"/>
  <c r="C253" i="18"/>
  <c r="C331" i="19"/>
  <c r="C135" i="19"/>
  <c r="C127" i="19"/>
  <c r="C155" i="19"/>
  <c r="D32" i="18"/>
  <c r="D385" i="19"/>
  <c r="C350" i="19"/>
  <c r="C369" i="19"/>
  <c r="D368" i="19"/>
  <c r="C349" i="19"/>
  <c r="D97" i="18"/>
  <c r="D231" i="18"/>
  <c r="D230" i="18"/>
  <c r="G98" i="3"/>
  <c r="D384" i="19"/>
  <c r="C264" i="18"/>
  <c r="C255" i="18"/>
  <c r="C145" i="18"/>
  <c r="C136" i="18"/>
  <c r="C99" i="18"/>
  <c r="C293" i="18"/>
  <c r="D154" i="18"/>
  <c r="C98" i="3"/>
  <c r="C104" i="3"/>
  <c r="C152" i="19"/>
  <c r="C154" i="19"/>
  <c r="C156" i="19"/>
  <c r="C211" i="18"/>
  <c r="C63" i="18"/>
  <c r="C126" i="19"/>
  <c r="C128" i="19"/>
  <c r="C231" i="18"/>
  <c r="C230" i="18"/>
  <c r="E230" i="18"/>
  <c r="C337" i="18"/>
  <c r="C134" i="18"/>
  <c r="D169" i="19"/>
  <c r="C368" i="19"/>
  <c r="C384" i="19"/>
  <c r="G104" i="3"/>
  <c r="C99" i="3"/>
  <c r="G99" i="3"/>
  <c r="C329" i="19"/>
  <c r="I319" i="18"/>
  <c r="I318" i="18"/>
  <c r="I317" i="18"/>
  <c r="I315" i="18"/>
  <c r="I314" i="18"/>
  <c r="I313" i="18"/>
  <c r="I233" i="18"/>
  <c r="I199" i="18"/>
  <c r="I198" i="18"/>
  <c r="I197" i="18"/>
  <c r="I196" i="18"/>
  <c r="I191" i="18"/>
  <c r="I190" i="18"/>
  <c r="I184" i="18"/>
  <c r="I180" i="18"/>
  <c r="I170" i="18"/>
  <c r="I168" i="18"/>
  <c r="I166" i="18"/>
  <c r="I164" i="18"/>
  <c r="I158" i="18"/>
  <c r="I156" i="18"/>
  <c r="I154" i="18"/>
  <c r="I84" i="18"/>
  <c r="I85" i="18"/>
  <c r="I87" i="18"/>
  <c r="I88" i="18"/>
  <c r="I89" i="18"/>
  <c r="I90" i="18"/>
  <c r="I92" i="18"/>
  <c r="I94" i="18"/>
  <c r="I95" i="18"/>
  <c r="I96" i="18"/>
  <c r="I100" i="18"/>
  <c r="I101" i="18"/>
  <c r="I103" i="18"/>
  <c r="I104" i="18"/>
  <c r="I105" i="18"/>
  <c r="I106" i="18"/>
  <c r="I107" i="18"/>
  <c r="I108" i="18"/>
  <c r="I109" i="18"/>
  <c r="I110" i="18"/>
  <c r="I83" i="18"/>
  <c r="I80" i="18"/>
  <c r="I70" i="18"/>
  <c r="I71" i="18"/>
  <c r="I72" i="18"/>
  <c r="I73" i="18"/>
  <c r="I69" i="18"/>
  <c r="I48" i="18"/>
  <c r="I49" i="18"/>
  <c r="I50" i="18"/>
  <c r="I51" i="18"/>
  <c r="I52" i="18"/>
  <c r="I53" i="18"/>
  <c r="I54" i="18"/>
  <c r="I55" i="18"/>
  <c r="I56" i="18"/>
  <c r="I59" i="18"/>
  <c r="I60" i="18"/>
  <c r="I61" i="18"/>
  <c r="I62" i="18"/>
  <c r="I39" i="18"/>
  <c r="I38" i="18"/>
  <c r="I37" i="18"/>
  <c r="I36" i="18"/>
  <c r="I35" i="18"/>
  <c r="I34" i="18"/>
  <c r="I33" i="18"/>
  <c r="I32" i="18"/>
  <c r="I31" i="18"/>
  <c r="I30" i="18"/>
  <c r="I24" i="18"/>
  <c r="I25" i="18"/>
  <c r="I26" i="18"/>
  <c r="I23" i="18"/>
  <c r="I9" i="18"/>
  <c r="I10" i="18"/>
  <c r="I11" i="18"/>
  <c r="I13" i="18"/>
  <c r="I17" i="18"/>
  <c r="I19" i="18"/>
  <c r="D350" i="18"/>
  <c r="D349" i="18"/>
  <c r="D348" i="18"/>
  <c r="D347" i="18"/>
  <c r="D346" i="18"/>
  <c r="D345" i="18"/>
  <c r="D344" i="18"/>
  <c r="D343" i="18"/>
  <c r="D341" i="18"/>
  <c r="D340" i="18"/>
  <c r="D336" i="18"/>
  <c r="D335" i="18"/>
  <c r="D334" i="18"/>
  <c r="D332" i="18"/>
  <c r="D330" i="18"/>
  <c r="D329" i="18"/>
  <c r="D328" i="18"/>
  <c r="D327" i="18"/>
  <c r="D325" i="18"/>
  <c r="D324" i="18"/>
  <c r="D323" i="18"/>
  <c r="D316" i="18"/>
  <c r="D312" i="18"/>
  <c r="D306" i="18"/>
  <c r="D305" i="18"/>
  <c r="D304" i="18"/>
  <c r="D303" i="18"/>
  <c r="D302" i="18"/>
  <c r="D301" i="18"/>
  <c r="D300" i="18"/>
  <c r="D299" i="18"/>
  <c r="D297" i="18"/>
  <c r="D296" i="18"/>
  <c r="D292" i="18"/>
  <c r="D291" i="18"/>
  <c r="D290" i="18"/>
  <c r="D289" i="18"/>
  <c r="D288" i="18"/>
  <c r="D286" i="18"/>
  <c r="D285" i="18"/>
  <c r="D284" i="18"/>
  <c r="D283" i="18"/>
  <c r="D282" i="18"/>
  <c r="D281" i="18"/>
  <c r="D280" i="18"/>
  <c r="D279" i="18"/>
  <c r="D266" i="18"/>
  <c r="D265" i="18"/>
  <c r="D264" i="18"/>
  <c r="D263" i="18"/>
  <c r="D262" i="18"/>
  <c r="D261" i="18"/>
  <c r="D260" i="18"/>
  <c r="D259" i="18"/>
  <c r="D257" i="18"/>
  <c r="D256" i="18"/>
  <c r="D252" i="18"/>
  <c r="D251" i="18"/>
  <c r="D250" i="18"/>
  <c r="D249" i="18"/>
  <c r="D248" i="18"/>
  <c r="D246" i="18"/>
  <c r="D245" i="18"/>
  <c r="D244" i="18"/>
  <c r="D243" i="18"/>
  <c r="D241" i="18"/>
  <c r="D240" i="18"/>
  <c r="D239" i="18"/>
  <c r="D224" i="18"/>
  <c r="D223" i="18"/>
  <c r="D222" i="18"/>
  <c r="D221" i="18"/>
  <c r="D219" i="18"/>
  <c r="D217" i="18"/>
  <c r="D213" i="18"/>
  <c r="D211" i="18"/>
  <c r="D210" i="18"/>
  <c r="D207" i="18"/>
  <c r="D195" i="18"/>
  <c r="D192" i="18"/>
  <c r="D189" i="18"/>
  <c r="D188" i="18"/>
  <c r="D187" i="18"/>
  <c r="D185" i="18"/>
  <c r="D178" i="18"/>
  <c r="D163" i="18"/>
  <c r="D160" i="18"/>
  <c r="D157" i="18"/>
  <c r="D147" i="18"/>
  <c r="D146" i="18"/>
  <c r="D145" i="18"/>
  <c r="D144" i="18"/>
  <c r="D143" i="18"/>
  <c r="D142" i="18"/>
  <c r="D141" i="18"/>
  <c r="D140" i="18"/>
  <c r="D138" i="18"/>
  <c r="D137" i="18"/>
  <c r="D133" i="18"/>
  <c r="D132" i="18"/>
  <c r="D131" i="18"/>
  <c r="D129" i="18"/>
  <c r="D127" i="18"/>
  <c r="D126" i="18"/>
  <c r="D125" i="18"/>
  <c r="D124" i="18"/>
  <c r="D122" i="18"/>
  <c r="D121" i="18"/>
  <c r="D120" i="18"/>
  <c r="D102" i="18"/>
  <c r="D99" i="18"/>
  <c r="D81" i="18"/>
  <c r="D68" i="18"/>
  <c r="D63" i="18"/>
  <c r="D27" i="18"/>
  <c r="J323" i="19"/>
  <c r="J321" i="19"/>
  <c r="J312" i="19"/>
  <c r="J278" i="19"/>
  <c r="J277" i="19"/>
  <c r="J276" i="19"/>
  <c r="J275" i="19"/>
  <c r="J274" i="19"/>
  <c r="J268" i="19"/>
  <c r="J248" i="19"/>
  <c r="J244" i="19"/>
  <c r="J243" i="19"/>
  <c r="J230" i="19"/>
  <c r="J167" i="19"/>
  <c r="J168" i="19"/>
  <c r="J169" i="19"/>
  <c r="J171" i="19"/>
  <c r="J173" i="19"/>
  <c r="J174" i="19"/>
  <c r="D363" i="19"/>
  <c r="D342" i="19"/>
  <c r="D338" i="19"/>
  <c r="D337" i="19"/>
  <c r="D336" i="19"/>
  <c r="D335" i="19"/>
  <c r="D334" i="19"/>
  <c r="D333" i="19"/>
  <c r="D332" i="19"/>
  <c r="D331" i="19"/>
  <c r="D291" i="19"/>
  <c r="D292" i="19"/>
  <c r="D293" i="19"/>
  <c r="D295" i="19"/>
  <c r="D294" i="19"/>
  <c r="D296" i="19"/>
  <c r="F290" i="19"/>
  <c r="D282" i="19"/>
  <c r="F274" i="19"/>
  <c r="D245" i="19"/>
  <c r="D152" i="19"/>
  <c r="D154" i="19"/>
  <c r="D155" i="19"/>
  <c r="D156" i="19"/>
  <c r="D157" i="19"/>
  <c r="D158" i="19"/>
  <c r="D159" i="19"/>
  <c r="D160" i="19"/>
  <c r="D94" i="19"/>
  <c r="D121" i="19"/>
  <c r="D90" i="19"/>
  <c r="D89" i="19"/>
  <c r="D141" i="19"/>
  <c r="D88" i="19"/>
  <c r="D140" i="19"/>
  <c r="D87" i="19"/>
  <c r="D139" i="19"/>
  <c r="D86" i="19"/>
  <c r="D138" i="19"/>
  <c r="D85" i="19"/>
  <c r="D137" i="19"/>
  <c r="D84" i="19"/>
  <c r="D136" i="19"/>
  <c r="D83" i="19"/>
  <c r="D135" i="19"/>
  <c r="D132" i="19"/>
  <c r="D131" i="19"/>
  <c r="D130" i="19"/>
  <c r="D129" i="19"/>
  <c r="D128" i="19"/>
  <c r="D127" i="19"/>
  <c r="D126" i="19"/>
  <c r="D124" i="19"/>
  <c r="B53" i="19"/>
  <c r="C133" i="19"/>
  <c r="C124" i="19"/>
  <c r="D342" i="18"/>
  <c r="D339" i="18"/>
  <c r="D220" i="18"/>
  <c r="D298" i="18"/>
  <c r="D295" i="18"/>
  <c r="D139" i="18"/>
  <c r="D136" i="18"/>
  <c r="D258" i="18"/>
  <c r="D255" i="18"/>
  <c r="G40" i="22"/>
  <c r="E40" i="22"/>
  <c r="G27" i="22"/>
  <c r="G23" i="22"/>
  <c r="E27" i="22"/>
  <c r="E23" i="22"/>
  <c r="I296" i="22"/>
  <c r="G273" i="22"/>
  <c r="E273" i="22"/>
  <c r="G267" i="22"/>
  <c r="E267" i="22"/>
  <c r="G143" i="22"/>
  <c r="G142" i="22"/>
  <c r="E143" i="22"/>
  <c r="E142" i="22"/>
  <c r="G135" i="22"/>
  <c r="G134" i="22"/>
  <c r="E135" i="22"/>
  <c r="G119" i="22"/>
  <c r="G118" i="22"/>
  <c r="G111" i="22"/>
  <c r="G110" i="22"/>
  <c r="G123" i="22"/>
  <c r="E119" i="22"/>
  <c r="E118" i="22"/>
  <c r="E111" i="22"/>
  <c r="E110" i="22"/>
  <c r="E123" i="22"/>
  <c r="G86" i="22"/>
  <c r="G85" i="22"/>
  <c r="E86" i="22"/>
  <c r="E85" i="22"/>
  <c r="G69" i="22"/>
  <c r="G68" i="22"/>
  <c r="E69" i="22"/>
  <c r="E68" i="22"/>
  <c r="G46" i="22"/>
  <c r="E46" i="22"/>
  <c r="G36" i="22"/>
  <c r="E36" i="22"/>
  <c r="G13" i="22"/>
  <c r="E13" i="22"/>
  <c r="G8" i="22"/>
  <c r="G7" i="22"/>
  <c r="E8" i="22"/>
  <c r="E7" i="22"/>
  <c r="E279" i="22"/>
  <c r="E134" i="22"/>
  <c r="G279" i="22"/>
  <c r="A3" i="2"/>
  <c r="A3" i="3"/>
  <c r="H116" i="3"/>
  <c r="H30" i="3"/>
  <c r="H43" i="3"/>
  <c r="H86" i="3"/>
  <c r="C344" i="19"/>
  <c r="C96" i="19"/>
  <c r="C362" i="19"/>
  <c r="C93" i="19"/>
  <c r="C120" i="19"/>
  <c r="C341" i="19"/>
  <c r="D116" i="3"/>
  <c r="C37" i="19"/>
  <c r="C339" i="19"/>
  <c r="C379" i="19"/>
  <c r="C380" i="19"/>
  <c r="C360" i="19"/>
  <c r="C91" i="19"/>
  <c r="C118" i="19"/>
  <c r="D104" i="3"/>
  <c r="H99" i="3"/>
  <c r="C33" i="19"/>
  <c r="H98" i="3"/>
  <c r="C27" i="19"/>
  <c r="D43" i="3"/>
  <c r="D198" i="3"/>
  <c r="C304" i="18"/>
  <c r="C295" i="18"/>
  <c r="C130" i="18"/>
  <c r="C333" i="18"/>
  <c r="C289" i="18"/>
  <c r="C249" i="18"/>
  <c r="J75" i="2"/>
  <c r="J121" i="2"/>
  <c r="C86" i="18"/>
  <c r="C200" i="18"/>
  <c r="E153" i="18"/>
  <c r="C66" i="18"/>
  <c r="C74" i="18"/>
  <c r="C216" i="18"/>
  <c r="C225" i="18"/>
  <c r="E205" i="18"/>
  <c r="C251" i="19"/>
  <c r="C253" i="19"/>
  <c r="E243" i="19"/>
  <c r="C224" i="19"/>
  <c r="C21" i="18"/>
  <c r="C28" i="18"/>
  <c r="C166" i="19"/>
  <c r="C176" i="19"/>
  <c r="F121" i="2"/>
  <c r="F264" i="19"/>
  <c r="H311" i="19"/>
  <c r="J315" i="19"/>
  <c r="F320" i="19"/>
  <c r="H320" i="19"/>
  <c r="D200" i="18"/>
  <c r="D118" i="18"/>
  <c r="G116" i="3"/>
  <c r="G43" i="3"/>
  <c r="G86" i="3"/>
  <c r="D8" i="19"/>
  <c r="G198" i="3"/>
  <c r="D96" i="19"/>
  <c r="D344" i="19"/>
  <c r="D95" i="19"/>
  <c r="D343" i="19"/>
  <c r="D362" i="19"/>
  <c r="D341" i="19"/>
  <c r="D93" i="19"/>
  <c r="D120" i="19"/>
  <c r="D37" i="19"/>
  <c r="C116" i="3"/>
  <c r="D339" i="19"/>
  <c r="D91" i="19"/>
  <c r="D118" i="19"/>
  <c r="D360" i="19"/>
  <c r="D379" i="19"/>
  <c r="D380" i="19"/>
  <c r="D82" i="19"/>
  <c r="D134" i="19"/>
  <c r="D330" i="19"/>
  <c r="C43" i="3"/>
  <c r="C86" i="3"/>
  <c r="D26" i="19"/>
  <c r="C198" i="3"/>
  <c r="A1" i="3"/>
  <c r="I174" i="18"/>
  <c r="G230" i="18"/>
  <c r="F230" i="18"/>
  <c r="H230" i="18"/>
  <c r="D134" i="18"/>
  <c r="I97" i="18"/>
  <c r="D253" i="18"/>
  <c r="D293" i="18"/>
  <c r="D337" i="18"/>
  <c r="D130" i="18"/>
  <c r="I93" i="18"/>
  <c r="D331" i="18"/>
  <c r="D98" i="18"/>
  <c r="D111" i="18"/>
  <c r="F79" i="18"/>
  <c r="H79" i="18"/>
  <c r="I91" i="18"/>
  <c r="D247" i="18"/>
  <c r="D287" i="18"/>
  <c r="D294" i="18"/>
  <c r="D307" i="18"/>
  <c r="D128" i="18"/>
  <c r="I75" i="2"/>
  <c r="D196" i="19"/>
  <c r="D197" i="19"/>
  <c r="D123" i="18"/>
  <c r="D242" i="18"/>
  <c r="D326" i="18"/>
  <c r="I276" i="18"/>
  <c r="D320" i="18"/>
  <c r="D321" i="18"/>
  <c r="D277" i="18"/>
  <c r="D18" i="18"/>
  <c r="J235" i="19"/>
  <c r="F230" i="19"/>
  <c r="H230" i="19"/>
  <c r="C230" i="19"/>
  <c r="D16" i="18"/>
  <c r="D353" i="19"/>
  <c r="D172" i="19"/>
  <c r="J172" i="19"/>
  <c r="E230" i="19"/>
  <c r="D252" i="19"/>
  <c r="J252" i="19"/>
  <c r="C35" i="2"/>
  <c r="E35" i="2"/>
  <c r="D170" i="19"/>
  <c r="J170" i="19"/>
  <c r="D167" i="18"/>
  <c r="I169" i="18"/>
  <c r="D251" i="19"/>
  <c r="J251" i="19"/>
  <c r="D224" i="19"/>
  <c r="F220" i="19"/>
  <c r="H220" i="19"/>
  <c r="D352" i="19"/>
  <c r="D215" i="18"/>
  <c r="I15" i="18"/>
  <c r="D386" i="19"/>
  <c r="C351" i="19"/>
  <c r="I14" i="18"/>
  <c r="D214" i="18"/>
  <c r="C385" i="19"/>
  <c r="C348" i="19"/>
  <c r="D367" i="19"/>
  <c r="D383" i="19"/>
  <c r="D247" i="19"/>
  <c r="D12" i="18"/>
  <c r="I8" i="18"/>
  <c r="D155" i="18"/>
  <c r="D176" i="18"/>
  <c r="D209" i="18"/>
  <c r="D21" i="18"/>
  <c r="D28" i="18"/>
  <c r="D183" i="19"/>
  <c r="D187" i="19"/>
  <c r="E8" i="2"/>
  <c r="D166" i="19"/>
  <c r="L13" i="1"/>
  <c r="D12" i="1"/>
  <c r="C8" i="19"/>
  <c r="C63" i="19"/>
  <c r="H198" i="3"/>
  <c r="C92" i="19"/>
  <c r="C119" i="19"/>
  <c r="C122" i="19"/>
  <c r="C340" i="19"/>
  <c r="C361" i="19"/>
  <c r="C364" i="19"/>
  <c r="C336" i="19"/>
  <c r="C88" i="19"/>
  <c r="C140" i="19"/>
  <c r="H104" i="3"/>
  <c r="D99" i="3"/>
  <c r="C330" i="19"/>
  <c r="C345" i="19"/>
  <c r="C82" i="19"/>
  <c r="D86" i="3"/>
  <c r="H42" i="3"/>
  <c r="H102" i="3"/>
  <c r="H107" i="3"/>
  <c r="D42" i="3"/>
  <c r="D102" i="3"/>
  <c r="D107" i="3"/>
  <c r="C196" i="19"/>
  <c r="C197" i="19"/>
  <c r="C44" i="19"/>
  <c r="C45" i="19"/>
  <c r="C40" i="18"/>
  <c r="C282" i="18"/>
  <c r="C294" i="18"/>
  <c r="C307" i="18"/>
  <c r="E275" i="18"/>
  <c r="C242" i="18"/>
  <c r="C254" i="18"/>
  <c r="C267" i="18"/>
  <c r="C326" i="18"/>
  <c r="C338" i="18"/>
  <c r="C351" i="18"/>
  <c r="E312" i="18"/>
  <c r="C123" i="18"/>
  <c r="C135" i="18"/>
  <c r="C148" i="18"/>
  <c r="E116" i="18"/>
  <c r="C98" i="18"/>
  <c r="C111" i="18"/>
  <c r="E79" i="18"/>
  <c r="E212" i="19"/>
  <c r="E220" i="19"/>
  <c r="E216" i="19"/>
  <c r="C189" i="19"/>
  <c r="C269" i="18"/>
  <c r="C270" i="18"/>
  <c r="C55" i="19"/>
  <c r="C56" i="19"/>
  <c r="F153" i="18"/>
  <c r="H185" i="18"/>
  <c r="D153" i="19"/>
  <c r="D161" i="19"/>
  <c r="D63" i="19"/>
  <c r="D361" i="19"/>
  <c r="D364" i="19"/>
  <c r="D340" i="19"/>
  <c r="D92" i="19"/>
  <c r="D119" i="19"/>
  <c r="D122" i="19"/>
  <c r="C42" i="3"/>
  <c r="C102" i="3"/>
  <c r="C107" i="3"/>
  <c r="G42" i="3"/>
  <c r="G102" i="3"/>
  <c r="G107" i="3"/>
  <c r="D42" i="19"/>
  <c r="D329" i="19"/>
  <c r="D345" i="19"/>
  <c r="D81" i="19"/>
  <c r="D44" i="19"/>
  <c r="D45" i="19"/>
  <c r="I121" i="2"/>
  <c r="D40" i="18"/>
  <c r="D41" i="18"/>
  <c r="F7" i="18"/>
  <c r="H7" i="18"/>
  <c r="D135" i="18"/>
  <c r="D148" i="18"/>
  <c r="F275" i="18"/>
  <c r="H275" i="18"/>
  <c r="D254" i="18"/>
  <c r="D267" i="18"/>
  <c r="D338" i="18"/>
  <c r="D351" i="18"/>
  <c r="D47" i="18"/>
  <c r="D57" i="18"/>
  <c r="I40" i="18"/>
  <c r="F116" i="18"/>
  <c r="H116" i="18"/>
  <c r="H153" i="18"/>
  <c r="D218" i="18"/>
  <c r="D67" i="18"/>
  <c r="I18" i="18"/>
  <c r="C353" i="19"/>
  <c r="D388" i="19"/>
  <c r="D372" i="19"/>
  <c r="I16" i="18"/>
  <c r="D216" i="18"/>
  <c r="D66" i="18"/>
  <c r="D74" i="18"/>
  <c r="D354" i="19"/>
  <c r="C121" i="2"/>
  <c r="E121" i="2"/>
  <c r="D269" i="18"/>
  <c r="D270" i="18"/>
  <c r="F212" i="19"/>
  <c r="H212" i="19"/>
  <c r="F216" i="19"/>
  <c r="H216" i="19"/>
  <c r="C352" i="19"/>
  <c r="D387" i="19"/>
  <c r="D389" i="19"/>
  <c r="D371" i="19"/>
  <c r="D373" i="19"/>
  <c r="C370" i="19"/>
  <c r="C386" i="19"/>
  <c r="D189" i="19"/>
  <c r="D199" i="19"/>
  <c r="D200" i="19"/>
  <c r="C367" i="19"/>
  <c r="C383" i="19"/>
  <c r="J247" i="19"/>
  <c r="D253" i="19"/>
  <c r="I12" i="18"/>
  <c r="D212" i="18"/>
  <c r="D176" i="19"/>
  <c r="J166" i="19"/>
  <c r="C42" i="19"/>
  <c r="C52" i="19"/>
  <c r="C105" i="19"/>
  <c r="C153" i="19"/>
  <c r="C161" i="19"/>
  <c r="E152" i="19"/>
  <c r="C125" i="19"/>
  <c r="C79" i="19"/>
  <c r="C107" i="19"/>
  <c r="C108" i="19"/>
  <c r="C97" i="19"/>
  <c r="C134" i="19"/>
  <c r="C142" i="19"/>
  <c r="E117" i="19"/>
  <c r="C47" i="18"/>
  <c r="C57" i="18"/>
  <c r="E46" i="18"/>
  <c r="C41" i="18"/>
  <c r="E7" i="18"/>
  <c r="E238" i="18"/>
  <c r="F329" i="19"/>
  <c r="H329" i="19"/>
  <c r="C190" i="19"/>
  <c r="E182" i="19"/>
  <c r="C199" i="19"/>
  <c r="C200" i="19"/>
  <c r="E196" i="19"/>
  <c r="H169" i="18"/>
  <c r="D125" i="19"/>
  <c r="D79" i="19"/>
  <c r="D107" i="19"/>
  <c r="F360" i="19"/>
  <c r="H360" i="19"/>
  <c r="D53" i="19"/>
  <c r="D106" i="19"/>
  <c r="D52" i="19"/>
  <c r="D105" i="19"/>
  <c r="D133" i="19"/>
  <c r="D97" i="19"/>
  <c r="F7" i="19"/>
  <c r="H7" i="19"/>
  <c r="F312" i="18"/>
  <c r="H312" i="18"/>
  <c r="D55" i="19"/>
  <c r="D56" i="19"/>
  <c r="D225" i="18"/>
  <c r="F205" i="18"/>
  <c r="H205" i="18"/>
  <c r="C372" i="19"/>
  <c r="C388" i="19"/>
  <c r="C387" i="19"/>
  <c r="C389" i="19"/>
  <c r="E379" i="19"/>
  <c r="F46" i="18"/>
  <c r="H46" i="18"/>
  <c r="I269" i="18"/>
  <c r="I2" i="18"/>
  <c r="A2" i="18"/>
  <c r="A1" i="2"/>
  <c r="C354" i="19"/>
  <c r="E329" i="19"/>
  <c r="F379" i="19"/>
  <c r="H379" i="19"/>
  <c r="C371" i="19"/>
  <c r="C373" i="19"/>
  <c r="E360" i="19"/>
  <c r="D190" i="19"/>
  <c r="F182" i="19"/>
  <c r="H186" i="19"/>
  <c r="H367" i="19"/>
  <c r="F243" i="19"/>
  <c r="H243" i="19"/>
  <c r="F196" i="19"/>
  <c r="H196" i="19"/>
  <c r="F152" i="19"/>
  <c r="H152" i="19"/>
  <c r="F238" i="18"/>
  <c r="H238" i="18"/>
  <c r="C53" i="19"/>
  <c r="C106" i="19"/>
  <c r="E104" i="19"/>
  <c r="E7" i="19"/>
  <c r="E62" i="19"/>
  <c r="J107" i="19"/>
  <c r="D108" i="19"/>
  <c r="D142" i="19"/>
  <c r="F117" i="19"/>
  <c r="H129" i="19"/>
  <c r="F62" i="19"/>
  <c r="H62" i="19"/>
  <c r="F51" i="19"/>
  <c r="H51" i="19"/>
  <c r="H385" i="19"/>
  <c r="H182" i="19"/>
  <c r="E51" i="19"/>
  <c r="F104" i="19"/>
  <c r="H104" i="19"/>
  <c r="H117" i="19"/>
</calcChain>
</file>

<file path=xl/comments1.xml><?xml version="1.0" encoding="utf-8"?>
<comments xmlns="http://schemas.openxmlformats.org/spreadsheetml/2006/main">
  <authors>
    <author>lamine</author>
  </authors>
  <commentList>
    <comment ref="D2" authorId="0">
      <text>
        <r>
          <rPr>
            <sz val="9"/>
            <color indexed="81"/>
            <rFont val="Tahoma"/>
            <family val="2"/>
          </rPr>
          <t>Saisir l'année de l'exercice (4 chiffres)</t>
        </r>
      </text>
    </comment>
    <comment ref="I2" authorId="0">
      <text>
        <r>
          <rPr>
            <sz val="9"/>
            <color indexed="81"/>
            <rFont val="Tahoma"/>
            <family val="2"/>
          </rPr>
          <t>Renseigner la périodicité</t>
        </r>
      </text>
    </comment>
    <comment ref="D3" authorId="0">
      <text>
        <r>
          <rPr>
            <sz val="9"/>
            <color indexed="81"/>
            <rFont val="Tahoma"/>
            <family val="2"/>
          </rPr>
          <t xml:space="preserve">Saisir la date de saisie JJ//MM//AAAA
</t>
        </r>
      </text>
    </comment>
    <comment ref="I3" authorId="0">
      <text>
        <r>
          <rPr>
            <sz val="9"/>
            <color indexed="81"/>
            <rFont val="Tahoma"/>
            <family val="2"/>
          </rPr>
          <t>Renseigner la période</t>
        </r>
      </text>
    </comment>
    <comment ref="D4" authorId="0">
      <text>
        <r>
          <rPr>
            <sz val="9"/>
            <color indexed="81"/>
            <rFont val="Tahoma"/>
            <family val="2"/>
          </rPr>
          <t>Choisir le numéro d'agrement sur la liste</t>
        </r>
      </text>
    </comment>
    <comment ref="I4" authorId="0">
      <text>
        <r>
          <rPr>
            <sz val="9"/>
            <color indexed="81"/>
            <rFont val="Tahoma"/>
            <family val="2"/>
          </rPr>
          <t>Renseigner le nom du gérant</t>
        </r>
      </text>
    </comment>
    <comment ref="I5" authorId="0">
      <text>
        <r>
          <rPr>
            <sz val="9"/>
            <color indexed="81"/>
            <rFont val="Tahoma"/>
            <family val="2"/>
          </rPr>
          <t>Renseigner le numéro de téléphone du gérant</t>
        </r>
      </text>
    </comment>
    <comment ref="I6" authorId="0">
      <text>
        <r>
          <rPr>
            <sz val="9"/>
            <color indexed="81"/>
            <rFont val="Tahoma"/>
            <family val="2"/>
          </rPr>
          <t>Renseigner l'adresse E-mail du gérant</t>
        </r>
      </text>
    </comment>
    <comment ref="D9" authorId="0">
      <text>
        <r>
          <rPr>
            <sz val="9"/>
            <color indexed="81"/>
            <rFont val="Tahoma"/>
            <family val="2"/>
          </rPr>
          <t>Renseigner le numéro de téléphone du SFD</t>
        </r>
      </text>
    </comment>
    <comment ref="D10" authorId="0">
      <text>
        <r>
          <rPr>
            <sz val="9"/>
            <color indexed="81"/>
            <rFont val="Tahoma"/>
            <family val="2"/>
          </rPr>
          <t>Renseigner l'adresse E-mail du SFD</t>
        </r>
      </text>
    </comment>
  </commentList>
</comments>
</file>

<file path=xl/comments2.xml><?xml version="1.0" encoding="utf-8"?>
<comments xmlns="http://schemas.openxmlformats.org/spreadsheetml/2006/main">
  <authors>
    <author>aas</author>
  </authors>
  <commentList>
    <comment ref="B29" authorId="0">
      <text>
        <r>
          <rPr>
            <sz val="8"/>
            <color indexed="81"/>
            <rFont val="Tahoma"/>
            <family val="2"/>
          </rPr>
          <t>Information obtenu à partir des tableaux annexés aux EF et est vérifié sur la base de l'état détaillé des crédits mis en place et des engagements par signatures données par l'institution</t>
        </r>
      </text>
    </comment>
    <comment ref="B40" authorId="0">
      <text>
        <r>
          <rPr>
            <sz val="8"/>
            <color indexed="81"/>
            <rFont val="Tahoma"/>
            <family val="2"/>
          </rPr>
          <t>Information obtenu à partir des annexes aux EF et est vérifiée à partir de l'état des prêts accordés par l'institution.</t>
        </r>
      </text>
    </comment>
    <comment ref="B67" authorId="0">
      <text>
        <r>
          <rPr>
            <sz val="8"/>
            <color indexed="81"/>
            <rFont val="Tahoma"/>
            <family val="2"/>
          </rPr>
          <t>Informations disponibles dans les tableaux annexés aux états financiers</t>
        </r>
      </text>
    </comment>
  </commentList>
</comments>
</file>

<file path=xl/comments3.xml><?xml version="1.0" encoding="utf-8"?>
<comments xmlns="http://schemas.openxmlformats.org/spreadsheetml/2006/main">
  <authors>
    <author>aas</author>
    <author>ebdiop</author>
  </authors>
  <commentList>
    <comment ref="B80" authorId="0">
      <text>
        <r>
          <rPr>
            <sz val="8"/>
            <color indexed="81"/>
            <rFont val="Tahoma"/>
            <family val="2"/>
          </rPr>
          <t>Information obtenu à partir des tableaux annexés aux EF et est vérifié sur la base de l'état détaillé des crédits mis en place et des engagements par signatures données par l'institution</t>
        </r>
      </text>
    </comment>
    <comment ref="B117" authorId="0">
      <text>
        <r>
          <rPr>
            <sz val="8"/>
            <color indexed="81"/>
            <rFont val="Tahoma"/>
            <family val="2"/>
          </rPr>
          <t>Information obtenu à partir des annexes aux EF et est vérifiée à partir de l'état des prêts accordés par l'institution.</t>
        </r>
      </text>
    </comment>
    <comment ref="G153" authorId="0">
      <text>
        <r>
          <rPr>
            <sz val="8"/>
            <color indexed="81"/>
            <rFont val="Tahoma"/>
            <family val="2"/>
          </rPr>
          <t>- 100% Min. pour les IMCEC non affiliées et les autres SFD qui collectent des dépôts (Associations, SA,SARL);
- 80% Min. pour les IMCEC affiliées;
- 60% Min. pour les autres SFD qui ne collectent pas de dépôts</t>
        </r>
      </text>
    </comment>
    <comment ref="G169" authorId="0">
      <text>
        <r>
          <rPr>
            <sz val="8"/>
            <color indexed="81"/>
            <rFont val="Tahoma"/>
            <family val="2"/>
          </rPr>
          <t>- 100% Min. pour les IMCEC non affiliées et les autres SFD qui collectent des dépôts (Associations, SA,SARL);
- 80% Min. pour les IMCEC affiliées;
- 60% Min. pour les autres SFD qui ne collectent pas de dépôts.</t>
        </r>
      </text>
    </comment>
    <comment ref="G185" authorId="0">
      <text>
        <r>
          <rPr>
            <sz val="8"/>
            <color indexed="81"/>
            <rFont val="Tahoma"/>
            <family val="2"/>
          </rPr>
          <t>- 100% Min. pour les IMCEC non affiliées et les autres SFD qui collectent des dépôts (Associations, SA,SARL);
- 80% Min. pour les IMCEC affiliées;
- 60% Min. pour les autres SFD qui ne collectent pas de dépôts.</t>
        </r>
      </text>
    </comment>
    <comment ref="B206" authorId="0">
      <text>
        <r>
          <rPr>
            <sz val="8"/>
            <color indexed="81"/>
            <rFont val="Tahoma"/>
            <family val="2"/>
          </rPr>
          <t>Informations disponibles dans les tableaux annexés aux états financiers</t>
        </r>
      </text>
    </comment>
    <comment ref="B233" authorId="0">
      <text>
        <r>
          <rPr>
            <sz val="8"/>
            <color indexed="81"/>
            <rFont val="Tahoma"/>
            <family val="2"/>
          </rPr>
          <t>Prélèvement annuel de15% min. sur les excédents nets avant ristourne ou distribution de dividendes de chaque exercice, le cas échéant, après imputation de tout report à nouveau déficitaire éventuel. 
NB: les sommes mise en réserve générale ne peuvent être partagées entre les sociétaires, associés ou actionnaires
La dotation de la réserve générale est obligatoire, quel que soit le niveau atteint par le montant cumulé de cette réserve par rapport au capital social de l'institution</t>
        </r>
      </text>
    </comment>
    <comment ref="B237" authorId="0">
      <text>
        <r>
          <rPr>
            <sz val="8"/>
            <color indexed="81"/>
            <rFont val="Tahoma"/>
            <family val="2"/>
          </rPr>
          <t>Il s'agit des fonds propres de fin de période</t>
        </r>
      </text>
    </comment>
    <comment ref="B318" authorId="1">
      <text>
        <r>
          <rPr>
            <sz val="9"/>
            <color indexed="13"/>
            <rFont val="Tahoma"/>
            <family val="2"/>
          </rPr>
          <t xml:space="preserve">Déduction faite des immobilisations acquises par réalisation de garantie depuis moins de 2 ans 
</t>
        </r>
      </text>
    </comment>
    <comment ref="B319" authorId="1">
      <text>
        <r>
          <rPr>
            <sz val="9"/>
            <color indexed="13"/>
            <rFont val="Tahoma"/>
            <family val="2"/>
          </rPr>
          <t xml:space="preserve">Déduction faite des immobilisations acquises par réalisation de garantie depuis moins de 2 ans 
</t>
        </r>
      </text>
    </comment>
    <comment ref="B320" authorId="1">
      <text>
        <r>
          <rPr>
            <sz val="9"/>
            <color indexed="13"/>
            <rFont val="Tahoma"/>
            <family val="2"/>
          </rPr>
          <t xml:space="preserve">Déduction faite des participations dans d'autres SFD ou établissement de crédit.
</t>
        </r>
      </text>
    </comment>
    <comment ref="B346" authorId="1">
      <text>
        <r>
          <rPr>
            <sz val="9"/>
            <color indexed="13"/>
            <rFont val="Tahoma"/>
            <family val="2"/>
          </rPr>
          <t xml:space="preserve">Déduction faite des immobilisations acquises par réalisation de garantie depuis moins de 2 ans 
</t>
        </r>
      </text>
    </comment>
  </commentList>
</comments>
</file>

<file path=xl/sharedStrings.xml><?xml version="1.0" encoding="utf-8"?>
<sst xmlns="http://schemas.openxmlformats.org/spreadsheetml/2006/main" count="4943" uniqueCount="2582">
  <si>
    <t>A12</t>
  </si>
  <si>
    <t>A2A</t>
  </si>
  <si>
    <t>A3A</t>
  </si>
  <si>
    <t>A70</t>
  </si>
  <si>
    <t>Comptes de prêts</t>
  </si>
  <si>
    <t xml:space="preserve">Prêts en souffrance </t>
  </si>
  <si>
    <t>B2D</t>
  </si>
  <si>
    <t>Crédit à court terme</t>
  </si>
  <si>
    <t>B2N</t>
  </si>
  <si>
    <t xml:space="preserve">Comptes ordinaires débiteurs des membres, bénéficiaires ou clients </t>
  </si>
  <si>
    <t>B30</t>
  </si>
  <si>
    <t>Crédit à moyen terme</t>
  </si>
  <si>
    <t>B40</t>
  </si>
  <si>
    <t>Crédit à long terme</t>
  </si>
  <si>
    <t xml:space="preserve">B70 </t>
  </si>
  <si>
    <t>Crédit en souffrance</t>
  </si>
  <si>
    <t>C10</t>
  </si>
  <si>
    <t>Titres de placement</t>
  </si>
  <si>
    <t>D1E</t>
  </si>
  <si>
    <t>Titres de participation</t>
  </si>
  <si>
    <t>D1L</t>
  </si>
  <si>
    <t>Titres d'investissement</t>
  </si>
  <si>
    <t>F1A</t>
  </si>
  <si>
    <t>F2A</t>
  </si>
  <si>
    <t>F3A</t>
  </si>
  <si>
    <t>Comptes d'emprunts</t>
  </si>
  <si>
    <t>F50</t>
  </si>
  <si>
    <t xml:space="preserve">Autres sommes dues aux institutions financières </t>
  </si>
  <si>
    <t>G2A</t>
  </si>
  <si>
    <t>Comptes d'épargne à régime spécial</t>
  </si>
  <si>
    <t>G10</t>
  </si>
  <si>
    <t>G15</t>
  </si>
  <si>
    <t>G35</t>
  </si>
  <si>
    <t>G60</t>
  </si>
  <si>
    <t>Emprunts reçus des membres, bénéficiaires ou clients</t>
  </si>
  <si>
    <t>G70</t>
  </si>
  <si>
    <t>L01</t>
  </si>
  <si>
    <t>Provisions fonds propres et assimilés</t>
  </si>
  <si>
    <t>N1A</t>
  </si>
  <si>
    <t>N1J</t>
  </si>
  <si>
    <t>N3A</t>
  </si>
  <si>
    <t>Q1A</t>
  </si>
  <si>
    <t>F3F</t>
  </si>
  <si>
    <t>G30</t>
  </si>
  <si>
    <t>A2H</t>
  </si>
  <si>
    <t>Dépôts à terme constitués auprès des institutions financiaires à plus d'un an</t>
  </si>
  <si>
    <t>A2I</t>
  </si>
  <si>
    <t>A2J</t>
  </si>
  <si>
    <t>Autres dépôts constitués auprès des institutions financières à plus d'un an</t>
  </si>
  <si>
    <t>B70</t>
  </si>
  <si>
    <t>D10</t>
  </si>
  <si>
    <t xml:space="preserve">Prêts et titres subordonnés </t>
  </si>
  <si>
    <t>D1S</t>
  </si>
  <si>
    <t>Dépôts et cautionnements</t>
  </si>
  <si>
    <t>D23</t>
  </si>
  <si>
    <t>Immobilisations en cours</t>
  </si>
  <si>
    <t>D30</t>
  </si>
  <si>
    <t xml:space="preserve">Immobilisations d'exploitation </t>
  </si>
  <si>
    <t>D40</t>
  </si>
  <si>
    <t>Immobilisation hors exploitation</t>
  </si>
  <si>
    <t xml:space="preserve">Montant brut des prêts et engagements par signature donnés aux dirigeants </t>
  </si>
  <si>
    <t>L10</t>
  </si>
  <si>
    <t>Subventions d'investissement</t>
  </si>
  <si>
    <t>L20</t>
  </si>
  <si>
    <t>Fonds affectés</t>
  </si>
  <si>
    <t>L27</t>
  </si>
  <si>
    <t>Fonds de crédit</t>
  </si>
  <si>
    <t>L30</t>
  </si>
  <si>
    <t>Provisions pour risques et charges</t>
  </si>
  <si>
    <t>L35</t>
  </si>
  <si>
    <t>Provisions réglementées</t>
  </si>
  <si>
    <t>L41</t>
  </si>
  <si>
    <t>Emprunts et titres émis subordonnés</t>
  </si>
  <si>
    <t>L45</t>
  </si>
  <si>
    <t xml:space="preserve">Fonds sur risques financiers généraux </t>
  </si>
  <si>
    <t>L50</t>
  </si>
  <si>
    <t>Primes liées au capital</t>
  </si>
  <si>
    <t>L55</t>
  </si>
  <si>
    <t>Réserves</t>
  </si>
  <si>
    <t>L59</t>
  </si>
  <si>
    <t>L60</t>
  </si>
  <si>
    <t>Capital</t>
  </si>
  <si>
    <t>L65</t>
  </si>
  <si>
    <t>Fonds de dotation</t>
  </si>
  <si>
    <t>L70</t>
  </si>
  <si>
    <t>L75</t>
  </si>
  <si>
    <t>Excedent des produits sur les charges</t>
  </si>
  <si>
    <t>L80</t>
  </si>
  <si>
    <t>Résultat positif de l'exercice</t>
  </si>
  <si>
    <t>Capital non appelé</t>
  </si>
  <si>
    <t>L62</t>
  </si>
  <si>
    <t>E05</t>
  </si>
  <si>
    <t xml:space="preserve">Excèdent des charges sur les produits </t>
  </si>
  <si>
    <t>D24</t>
  </si>
  <si>
    <t>D31</t>
  </si>
  <si>
    <t>D41</t>
  </si>
  <si>
    <t>D46</t>
  </si>
  <si>
    <t>Report à nouveau négatif</t>
  </si>
  <si>
    <t>Résultat déficitaire de l'exercice</t>
  </si>
  <si>
    <t>Complément de provisions non constituées et exigées par les Autorités de contrôle</t>
  </si>
  <si>
    <t>Toutes participations constituant des fonds propres dans d'autres SFD ou établissements de crédit</t>
  </si>
  <si>
    <t xml:space="preserve">Montant brut des prêts et engagements par signature donnés au plus gros emprunteur </t>
  </si>
  <si>
    <t>A10</t>
  </si>
  <si>
    <t>Valeurs en caisse</t>
  </si>
  <si>
    <t>A3B</t>
  </si>
  <si>
    <t>Crédits à moyen terme</t>
  </si>
  <si>
    <t>C30</t>
  </si>
  <si>
    <t>Comptes de stocks</t>
  </si>
  <si>
    <t>C40</t>
  </si>
  <si>
    <t>Débiteurs divers</t>
  </si>
  <si>
    <t>C56</t>
  </si>
  <si>
    <t>Valeurs à l'encaissement avec crédit immédiat</t>
  </si>
  <si>
    <t>Créances rattachées</t>
  </si>
  <si>
    <t>A60</t>
  </si>
  <si>
    <t>B65</t>
  </si>
  <si>
    <t>C55</t>
  </si>
  <si>
    <t>N2A</t>
  </si>
  <si>
    <t>N2J</t>
  </si>
  <si>
    <t>F3E</t>
  </si>
  <si>
    <t>Emprunts à terme</t>
  </si>
  <si>
    <t>H10</t>
  </si>
  <si>
    <t>H40</t>
  </si>
  <si>
    <t>Versements restant à effectuer à court terme</t>
  </si>
  <si>
    <t>Créditeurs divers à court terme</t>
  </si>
  <si>
    <t>F60</t>
  </si>
  <si>
    <t>G90</t>
  </si>
  <si>
    <t>N1H</t>
  </si>
  <si>
    <t>N1K</t>
  </si>
  <si>
    <t>N2H</t>
  </si>
  <si>
    <t>N2M</t>
  </si>
  <si>
    <t>Montant consacré par l'institution aux activités autres que l'épargne et le crédit</t>
  </si>
  <si>
    <t>Crédits à court terme</t>
  </si>
  <si>
    <t xml:space="preserve">Dotation de la réserve générale </t>
  </si>
  <si>
    <t>Fonds pour risques financiers généraux</t>
  </si>
  <si>
    <t>Ecart de réévaluation des immobilisations</t>
  </si>
  <si>
    <t>Report à nouveau positif</t>
  </si>
  <si>
    <t>Total actif de fin de période en montants nets</t>
  </si>
  <si>
    <t>LIBELLES</t>
  </si>
  <si>
    <t>Réserve générale</t>
  </si>
  <si>
    <t>Billets et monnaies</t>
  </si>
  <si>
    <t>Dettes rattachées</t>
  </si>
  <si>
    <t>Autres dépôts constitués</t>
  </si>
  <si>
    <t>Prêts à terme</t>
  </si>
  <si>
    <t>Dépôts à terme reçus</t>
  </si>
  <si>
    <t>Dépôts de garantie reçus</t>
  </si>
  <si>
    <t>Autres dépôts reçus</t>
  </si>
  <si>
    <t>Emprunts à moins d'un an</t>
  </si>
  <si>
    <t>Autres sommes dues aux institutions financières</t>
  </si>
  <si>
    <t>Prêts en souffrance de plus de 12 mois à 24 mois au plus</t>
  </si>
  <si>
    <t>Emprunts</t>
  </si>
  <si>
    <t>Divers</t>
  </si>
  <si>
    <t>Crédits en souffrance de plus de 12 mois à 24 mois au plus</t>
  </si>
  <si>
    <t>Versements restant à effectuer</t>
  </si>
  <si>
    <t>Stocks de fournitures</t>
  </si>
  <si>
    <t>Créditeurs divers</t>
  </si>
  <si>
    <t>Autres provisions pour risques et charges</t>
  </si>
  <si>
    <t>Réserves générale</t>
  </si>
  <si>
    <t>Réserves facultatives</t>
  </si>
  <si>
    <t>Autres réserves</t>
  </si>
  <si>
    <t>Commissions</t>
  </si>
  <si>
    <t>Intérêts sur comptes d'épargne a régime spécial</t>
  </si>
  <si>
    <t>Intérêts sur autres dépôts reçus</t>
  </si>
  <si>
    <t>Stocks vendus</t>
  </si>
  <si>
    <t>Achats de marchandises</t>
  </si>
  <si>
    <t>Variations de stocks</t>
  </si>
  <si>
    <t>Loyers</t>
  </si>
  <si>
    <t>Charges locatives et de Co-propriété</t>
  </si>
  <si>
    <t>Primes d'assurance</t>
  </si>
  <si>
    <t>Etudes et recherches</t>
  </si>
  <si>
    <t>Rémunérations d'intermédiaires et honoraires</t>
  </si>
  <si>
    <t>Publicité, publications et relations publiques</t>
  </si>
  <si>
    <t>Transports de biens</t>
  </si>
  <si>
    <t>Déplacements, missions et réceptions</t>
  </si>
  <si>
    <t>Transferts de produits d'exploitation non financière</t>
  </si>
  <si>
    <t>Salaires et traitements</t>
  </si>
  <si>
    <t>Charges sociales</t>
  </si>
  <si>
    <t>Dotations aux provisions sur créances en souffrance de 6 mois au plus</t>
  </si>
  <si>
    <t>Dotations aux provisions sur créances en souffrance de plus de 12 mois a 24 mois au plus</t>
  </si>
  <si>
    <t>Dotations aux provisions pour risques et charges</t>
  </si>
  <si>
    <t>IMPOTS SUR LES EXCEDENTS</t>
  </si>
  <si>
    <t>Produits sur opérations diverses</t>
  </si>
  <si>
    <t>PRODUITS DIVERS D'EXPLOITATION</t>
  </si>
  <si>
    <t>Ventes de marchandises</t>
  </si>
  <si>
    <t>Autres transferts de charges</t>
  </si>
  <si>
    <t>Reprises d'amortissements des immobilisations</t>
  </si>
  <si>
    <t>Reprises de provisions pour dépréciation des autres éléments d'actif</t>
  </si>
  <si>
    <t>Reprises de provisions pour risques et charges</t>
  </si>
  <si>
    <t>Reprises de provisions réglementées</t>
  </si>
  <si>
    <t>Code poste</t>
  </si>
  <si>
    <t>CHARGES</t>
  </si>
  <si>
    <t>PRODUITS</t>
  </si>
  <si>
    <t>R08</t>
  </si>
  <si>
    <t>V08</t>
  </si>
  <si>
    <t>R2Z</t>
  </si>
  <si>
    <t>R3A</t>
  </si>
  <si>
    <t>R3D</t>
  </si>
  <si>
    <t>R3F</t>
  </si>
  <si>
    <t>R3G</t>
  </si>
  <si>
    <t>R3H</t>
  </si>
  <si>
    <t>R3J</t>
  </si>
  <si>
    <t>R3N</t>
  </si>
  <si>
    <t>R3Q</t>
  </si>
  <si>
    <t>R3T</t>
  </si>
  <si>
    <t>Intérêts sur emprunts et autres sommes dues</t>
  </si>
  <si>
    <t>R4B</t>
  </si>
  <si>
    <t>R4C</t>
  </si>
  <si>
    <t>R4K</t>
  </si>
  <si>
    <t>R4N</t>
  </si>
  <si>
    <t>R5B</t>
  </si>
  <si>
    <t>R5Y</t>
  </si>
  <si>
    <t>CHARGES SUR OPERATIONS SUR TITRES ET OPERATIONS DIVERSES</t>
  </si>
  <si>
    <t>CHARGES SUR IMMOBILISATIONS FINANCIERES</t>
  </si>
  <si>
    <t>V2T</t>
  </si>
  <si>
    <t>V3A</t>
  </si>
  <si>
    <t>V3X</t>
  </si>
  <si>
    <t>ACTIFS</t>
  </si>
  <si>
    <t>PASSIF</t>
  </si>
  <si>
    <t>NET</t>
  </si>
  <si>
    <t>A01</t>
  </si>
  <si>
    <t>OPERATIONS DE TRESORERIE AVEC LES INSTITUTIONS FINANCIERES</t>
  </si>
  <si>
    <t>A11</t>
  </si>
  <si>
    <t>Comptes ordinaires créditeurs</t>
  </si>
  <si>
    <t>F2B</t>
  </si>
  <si>
    <t>F2C</t>
  </si>
  <si>
    <t>F2D</t>
  </si>
  <si>
    <t>Comptes ordinaires débiteurs</t>
  </si>
  <si>
    <t>F55</t>
  </si>
  <si>
    <t>Ressources affectées</t>
  </si>
  <si>
    <t>Prêts à moins d'un an</t>
  </si>
  <si>
    <t>Prêts en souffrance et immobilisés</t>
  </si>
  <si>
    <t>Prêts immobilisés</t>
  </si>
  <si>
    <t>A3C</t>
  </si>
  <si>
    <t xml:space="preserve">Prêts en souffrance  de 6 mois  au plus </t>
  </si>
  <si>
    <t>A71</t>
  </si>
  <si>
    <t>A72</t>
  </si>
  <si>
    <t>A73</t>
  </si>
  <si>
    <t>B01</t>
  </si>
  <si>
    <t>Autres dépôts de garantie reçus</t>
  </si>
  <si>
    <t>Autres sommes dues</t>
  </si>
  <si>
    <t>Crédits immobilisés</t>
  </si>
  <si>
    <t>B71</t>
  </si>
  <si>
    <t>B72</t>
  </si>
  <si>
    <t>B73</t>
  </si>
  <si>
    <t xml:space="preserve">Crédits en souffrance  de 6 mois  au plus </t>
  </si>
  <si>
    <t>Stocks de meubles</t>
  </si>
  <si>
    <t>C31</t>
  </si>
  <si>
    <t>C32</t>
  </si>
  <si>
    <t>C33</t>
  </si>
  <si>
    <t>K20</t>
  </si>
  <si>
    <t>D1A</t>
  </si>
  <si>
    <t>D25</t>
  </si>
  <si>
    <t>Immobilisations financières</t>
  </si>
  <si>
    <t>Corporelles</t>
  </si>
  <si>
    <t>Incorporelles</t>
  </si>
  <si>
    <t>PROVISIONS, FONDS PROPRES ET ASSIMILES</t>
  </si>
  <si>
    <t xml:space="preserve">Fonds de crédit </t>
  </si>
  <si>
    <t>L31</t>
  </si>
  <si>
    <t>L33</t>
  </si>
  <si>
    <t>L36</t>
  </si>
  <si>
    <t>L43</t>
  </si>
  <si>
    <t>L56</t>
  </si>
  <si>
    <t>L57</t>
  </si>
  <si>
    <t>L58</t>
  </si>
  <si>
    <t>L61</t>
  </si>
  <si>
    <t>L82</t>
  </si>
  <si>
    <t>D60</t>
  </si>
  <si>
    <t>E90</t>
  </si>
  <si>
    <t>D36</t>
  </si>
  <si>
    <t>EXCEDENT DES CHARGES SUR LES PRODUITS</t>
  </si>
  <si>
    <t>TOTAL ACTIF</t>
  </si>
  <si>
    <t>Provisions pour charges de retraites</t>
  </si>
  <si>
    <t xml:space="preserve">Provisions pour risques afférents aux opérations de crédits à moyen et long termes </t>
  </si>
  <si>
    <t>Dettes rattachées aux emprunts et titres émis subordonnées</t>
  </si>
  <si>
    <t>Capital appelé</t>
  </si>
  <si>
    <t>Report à nouveau (+ ou -)</t>
  </si>
  <si>
    <t xml:space="preserve">Excédent ou déficit de l'exercice </t>
  </si>
  <si>
    <t>CHARGES SUR OPERATION AVEC LES INSTITUTIONS FINANCIERES</t>
  </si>
  <si>
    <t>Intérêt sur compte ordinaires créditeurs</t>
  </si>
  <si>
    <t>Autres Intérêts</t>
  </si>
  <si>
    <t>CHARGES SUR OPERATIONS AVEC LES MEMBRES, BENEFICIARES OU CLIENTS</t>
  </si>
  <si>
    <t>PRODUITS SUR OPERATIONS AVEC LES MEMBRES, BENEFICIAIRES OU CLIENTS</t>
  </si>
  <si>
    <t>Intérêt sur dépôts a terme reçus</t>
  </si>
  <si>
    <t>Intérêt sur dépôts de garantie reçus</t>
  </si>
  <si>
    <t>V4B</t>
  </si>
  <si>
    <t>PRODUITS SUR OPERATIONS SUR TITRES ET SUR OPERATIONS DIVERSES</t>
  </si>
  <si>
    <t>V4E</t>
  </si>
  <si>
    <t>Charges sur opérations diverses</t>
  </si>
  <si>
    <t>V4F</t>
  </si>
  <si>
    <t>V5B</t>
  </si>
  <si>
    <t>PRODUITS SUR IMMOBILISATIONS FINANCIERES</t>
  </si>
  <si>
    <t>R6V</t>
  </si>
  <si>
    <t>CHARGES SUR PRESTATIONS DE SERVICES FINANCIERES</t>
  </si>
  <si>
    <t>V6U</t>
  </si>
  <si>
    <t>PRODUITS SUR PRESTATIONS DE SERVICES FINANCIERS</t>
  </si>
  <si>
    <t>R7A</t>
  </si>
  <si>
    <t>AUTRES CHARGES D'EXPLOITATION FINANCIERE</t>
  </si>
  <si>
    <t>V7A</t>
  </si>
  <si>
    <t>AUTRES PRODUITS D'EXPLOITATION FINANCIERE</t>
  </si>
  <si>
    <t>R7B</t>
  </si>
  <si>
    <t>V7B</t>
  </si>
  <si>
    <t>Plus-values sur cession d'éléments d'actif</t>
  </si>
  <si>
    <t>R7C</t>
  </si>
  <si>
    <t>V7C</t>
  </si>
  <si>
    <t>transferts de charges d'exploitation financière</t>
  </si>
  <si>
    <t>R7D</t>
  </si>
  <si>
    <t>V7D</t>
  </si>
  <si>
    <t>Divers produits d'exploitation financière</t>
  </si>
  <si>
    <t>R8G</t>
  </si>
  <si>
    <t>V8B</t>
  </si>
  <si>
    <t>Marge commerciale</t>
  </si>
  <si>
    <t>R8J</t>
  </si>
  <si>
    <t>V8C</t>
  </si>
  <si>
    <t>R8L</t>
  </si>
  <si>
    <t>S02</t>
  </si>
  <si>
    <t>FRAIS DE PERSONNEL</t>
  </si>
  <si>
    <t>S03</t>
  </si>
  <si>
    <t>W4A</t>
  </si>
  <si>
    <t>S04</t>
  </si>
  <si>
    <t>Impôts et taxes</t>
  </si>
  <si>
    <t>W4D</t>
  </si>
  <si>
    <t>Indemnités de fonctions et rémunération d'administrateurs, gérant reçues</t>
  </si>
  <si>
    <t>S1B</t>
  </si>
  <si>
    <t xml:space="preserve">Impôts, taxes et versements assimiles sur rémunération </t>
  </si>
  <si>
    <t>W4H</t>
  </si>
  <si>
    <t>sur immobilisations incorporelles et corporelles</t>
  </si>
  <si>
    <t>S1K</t>
  </si>
  <si>
    <t>Autres, impôts, taxes et prélèvements assimiles verses aux autres organismes</t>
  </si>
  <si>
    <t>W4J</t>
  </si>
  <si>
    <t>sur immobilisations financières</t>
  </si>
  <si>
    <t>W4M</t>
  </si>
  <si>
    <t>W4N</t>
  </si>
  <si>
    <t>Charges a repartir sur plusieurs exercices</t>
  </si>
  <si>
    <t>S2A</t>
  </si>
  <si>
    <t>AUTRES CHARGES EXTERNES ET CHARGES DIVERSES D'EXLPOITATION</t>
  </si>
  <si>
    <t>W4P</t>
  </si>
  <si>
    <t>W4Q</t>
  </si>
  <si>
    <t>AUTRES PRODUITS DIVERS D'EXPLOITATION</t>
  </si>
  <si>
    <t>S2C</t>
  </si>
  <si>
    <t>Redevances de crédit-bail</t>
  </si>
  <si>
    <t>S2D</t>
  </si>
  <si>
    <t>S2F</t>
  </si>
  <si>
    <t>S2H</t>
  </si>
  <si>
    <t>Entretiens  et réparations</t>
  </si>
  <si>
    <t>S2J</t>
  </si>
  <si>
    <t>W53</t>
  </si>
  <si>
    <t>SUBVENTIONS D'EXPLOITATION</t>
  </si>
  <si>
    <t>S2K</t>
  </si>
  <si>
    <t>X50</t>
  </si>
  <si>
    <t>REPRISES DE FONDS POUR RISQUES FINANCIERS GENERAUX</t>
  </si>
  <si>
    <t>S2M</t>
  </si>
  <si>
    <t>Frais de formation du personnel</t>
  </si>
  <si>
    <t>S2L</t>
  </si>
  <si>
    <t>X51</t>
  </si>
  <si>
    <t>REPRISES D'AMORTISSEMENTS ET PROVISIONS SUR IMMOBILISATIONS</t>
  </si>
  <si>
    <t>X54</t>
  </si>
  <si>
    <t>S3B</t>
  </si>
  <si>
    <t>Personnel extérieur a l'institution</t>
  </si>
  <si>
    <t>X56</t>
  </si>
  <si>
    <t>Reprises de provisions sur immobilisations</t>
  </si>
  <si>
    <t>S3C</t>
  </si>
  <si>
    <t>S3E</t>
  </si>
  <si>
    <t>X6B</t>
  </si>
  <si>
    <t>REPRISES DE PROVISIONS ET RECUPERATIONS SUR CREANCES AMORTIES</t>
  </si>
  <si>
    <t>S3G</t>
  </si>
  <si>
    <t>X6G</t>
  </si>
  <si>
    <t>S3J</t>
  </si>
  <si>
    <t>transports collectifs du personnel</t>
  </si>
  <si>
    <t>X6H</t>
  </si>
  <si>
    <t>X6I</t>
  </si>
  <si>
    <t>S3L</t>
  </si>
  <si>
    <t>X6J</t>
  </si>
  <si>
    <t>Récupération sur créances amortie</t>
  </si>
  <si>
    <t>S3M</t>
  </si>
  <si>
    <t>Achats non stockes de matières et fournitures</t>
  </si>
  <si>
    <t>S3N</t>
  </si>
  <si>
    <t>Frais postaux et frais de télécommunication</t>
  </si>
  <si>
    <t>S3P</t>
  </si>
  <si>
    <t>S4B</t>
  </si>
  <si>
    <t>Redevances pour cessions, brevets, licences, procédés, droits et valeurs similaires</t>
  </si>
  <si>
    <t>S4D</t>
  </si>
  <si>
    <t>Indemnités de fonctions versées</t>
  </si>
  <si>
    <t>S4I</t>
  </si>
  <si>
    <t>Frais de tenue d'assemblée</t>
  </si>
  <si>
    <t>S4K</t>
  </si>
  <si>
    <t>Moins-values de cession sur immobilisations</t>
  </si>
  <si>
    <t>S4P</t>
  </si>
  <si>
    <t>S4S</t>
  </si>
  <si>
    <t>Autre charges diverses d'exploitation non financière</t>
  </si>
  <si>
    <t>T50</t>
  </si>
  <si>
    <t>DOTATIONS AU FONDS POUR RISQUES FINANCIERS GENERAUX</t>
  </si>
  <si>
    <t>T51</t>
  </si>
  <si>
    <t>DOTATIONS AUX AMORTISSEMENTS ET AUX PROVISIONS SUR IMMOBILISATIONS</t>
  </si>
  <si>
    <t>T53</t>
  </si>
  <si>
    <t>Dotations aux amortissements de charges à repartir</t>
  </si>
  <si>
    <t>T54</t>
  </si>
  <si>
    <t>Dotations aux amortissements des immobilisations d'exploitation</t>
  </si>
  <si>
    <t>T56</t>
  </si>
  <si>
    <t>Dotations aux provisions pour dépréciation des immobilisations en cours</t>
  </si>
  <si>
    <t>T6B</t>
  </si>
  <si>
    <t>DOTATIONS AUX PROVISIONS ET PERTES SUR CREANCES IRRECOUVRABLES</t>
  </si>
  <si>
    <t>T6D</t>
  </si>
  <si>
    <t>T6E</t>
  </si>
  <si>
    <t>Dotations aux provisions sur créances en souffrance de plus de 6 mois à 12 mois au plus</t>
  </si>
  <si>
    <t>T6F</t>
  </si>
  <si>
    <t>T6G</t>
  </si>
  <si>
    <t>Dotations aux provisions pour dépréciation d'autres éléments d'actif</t>
  </si>
  <si>
    <t>T6H</t>
  </si>
  <si>
    <t>T6J</t>
  </si>
  <si>
    <t>Dotations aux provisions réglementées</t>
  </si>
  <si>
    <t>T6K</t>
  </si>
  <si>
    <t>Pertes sur créances irrécouvrable</t>
  </si>
  <si>
    <t>T80</t>
  </si>
  <si>
    <t>CHARGES EXECTIONNELLES</t>
  </si>
  <si>
    <t>X80</t>
  </si>
  <si>
    <t>T81</t>
  </si>
  <si>
    <t>PERTES SUR EXERCICES ANTERIEURS</t>
  </si>
  <si>
    <t>X81</t>
  </si>
  <si>
    <t>PROFITS SUR EXERCICES ANTERIEURS</t>
  </si>
  <si>
    <t>T82</t>
  </si>
  <si>
    <t>Proposition de répartition</t>
  </si>
  <si>
    <t>Répartition effective</t>
  </si>
  <si>
    <t>DETERNATION DU RESULTAT A AFFECTER</t>
  </si>
  <si>
    <t>Résultat de l'exercice (+/-)</t>
  </si>
  <si>
    <t>Report à nouveau (+/-)</t>
  </si>
  <si>
    <t>RESULTAT A AFFECTER</t>
  </si>
  <si>
    <t>AFFECTATION DU RESULTAT BENEFICIARE</t>
  </si>
  <si>
    <t>Report  à  nouveau bénéficiaire</t>
  </si>
  <si>
    <t>Autres affectations</t>
  </si>
  <si>
    <t>AFFECTATION DU RESULTAT DEFICITAIRE</t>
  </si>
  <si>
    <t>*Report  à  nouveau déficitaire</t>
  </si>
  <si>
    <t>*Prélèvements sur les réserves</t>
  </si>
  <si>
    <t>*Autres</t>
  </si>
  <si>
    <t>TOTAL</t>
  </si>
  <si>
    <t>RESSOURCES AFFECTEES</t>
  </si>
  <si>
    <t>CREDITS CONSENTIS SUR RESSOURCES AFFECTEES</t>
  </si>
  <si>
    <t>ACTIF</t>
  </si>
  <si>
    <t>B02</t>
  </si>
  <si>
    <t>Créances sur les membres, bénéficiaires ou clients</t>
  </si>
  <si>
    <t>Crédits en souffrance</t>
  </si>
  <si>
    <t>G02</t>
  </si>
  <si>
    <t>Comptes d'épargne a régime spécial</t>
  </si>
  <si>
    <t>CREDITS EN SOUFFRANCE</t>
  </si>
  <si>
    <t>A</t>
  </si>
  <si>
    <t>B</t>
  </si>
  <si>
    <t>C=A-B</t>
  </si>
  <si>
    <t>D</t>
  </si>
  <si>
    <t>E= C-D</t>
  </si>
  <si>
    <t>Soldes restant dues</t>
  </si>
  <si>
    <t>199 et 299 Provisions</t>
  </si>
  <si>
    <t>Crédits et Prêts en souffrance nets</t>
  </si>
  <si>
    <t>Crédits comportant au moins une échéance impayées &lt;= a 6 mois</t>
  </si>
  <si>
    <t>Crédits comportant au moins une échéance impayée &gt;6 mois a &lt;=12 mois</t>
  </si>
  <si>
    <t>Crédits comportant au moins une échéance impayée &gt;12 mois a &lt;=24 mois</t>
  </si>
  <si>
    <t>Nombre total de membres, bénéficiaires ou clients de l'institution</t>
  </si>
  <si>
    <t>Nombre total de membres, bénéficiaires ou clients de sexe féminin de l'institution</t>
  </si>
  <si>
    <t>Nombre total de groupements bénéficiaires</t>
  </si>
  <si>
    <t>Nombre total de sociétaires bénéficiaires</t>
  </si>
  <si>
    <t>Recouvrements sur prêts intervenus au cours de l'exercice</t>
  </si>
  <si>
    <t>Recouvrements sur prêts attendus au cours de l'exercice</t>
  </si>
  <si>
    <t>OPERATIONS AVEC LES MEMBRES, BENEFICIAIRES OU CLIENTS</t>
  </si>
  <si>
    <t xml:space="preserve">Comptes d'épargne à régime spécial </t>
  </si>
  <si>
    <t>Code</t>
  </si>
  <si>
    <t>Montants bruts</t>
  </si>
  <si>
    <t>D32</t>
  </si>
  <si>
    <t>D33</t>
  </si>
  <si>
    <t>D34</t>
  </si>
  <si>
    <t>D35</t>
  </si>
  <si>
    <t>Dépôt et cautionnement</t>
  </si>
  <si>
    <t xml:space="preserve">Immobilisations en cours </t>
  </si>
  <si>
    <t>Immobilisations d'exploitation</t>
  </si>
  <si>
    <t>Droit au bail</t>
  </si>
  <si>
    <t>Autres éléments du fonds commercial</t>
  </si>
  <si>
    <t>Frais d'établissement</t>
  </si>
  <si>
    <t xml:space="preserve">Autres immobilisations incorporelles </t>
  </si>
  <si>
    <t>Crédits à long terme</t>
  </si>
  <si>
    <t>Location avec option d'achat</t>
  </si>
  <si>
    <t>Dettes à l’ égard des membres, bénéficiaires ou clients</t>
  </si>
  <si>
    <t>Créances en souffrance sur Crédit-bail et opérations assimilées PASSIF</t>
  </si>
  <si>
    <t>D70</t>
  </si>
  <si>
    <t>Location-vente</t>
  </si>
  <si>
    <t>D53</t>
  </si>
  <si>
    <t>D52</t>
  </si>
  <si>
    <t>Crédits-bail</t>
  </si>
  <si>
    <t>D51</t>
  </si>
  <si>
    <t>Crédits-bail et opérations assimillées</t>
  </si>
  <si>
    <t>D50</t>
  </si>
  <si>
    <t>Montants nets</t>
  </si>
  <si>
    <t>Durée</t>
  </si>
  <si>
    <t>CREDIT-BAIL</t>
  </si>
  <si>
    <t>Crédit bail Mobilier</t>
  </si>
  <si>
    <t>Crédit bail immobilier</t>
  </si>
  <si>
    <t>LOCATION AVEC OPTION D'ACHAT</t>
  </si>
  <si>
    <t>LOCATION - VENTE</t>
  </si>
  <si>
    <t>CREANCES EN SOUFFRANCE SUR OPERATIONS DE CREDIT-BAIL ET ASSIMILEES</t>
  </si>
  <si>
    <t>Objet clause de réserve</t>
  </si>
  <si>
    <t>Calendrier arrêté</t>
  </si>
  <si>
    <t>Créanciers</t>
  </si>
  <si>
    <t>Date d'inscription</t>
  </si>
  <si>
    <t>Durée de jouissance</t>
  </si>
  <si>
    <t>Libellés</t>
  </si>
  <si>
    <t>FACTURATION A L'INSTITUTION</t>
  </si>
  <si>
    <t>Hors UMOA</t>
  </si>
  <si>
    <t>Secteur tertiaire</t>
  </si>
  <si>
    <t>1. Cadres supérieurs</t>
  </si>
  <si>
    <t>2. Techniciens supérieurs et cadres moyens</t>
  </si>
  <si>
    <t>3. Techniciens, agents de maîtrise et ouvriers qualifiés</t>
  </si>
  <si>
    <t>4. Employés, manoeuvres, ouviers et apprentis</t>
  </si>
  <si>
    <t>PERMANENTS</t>
  </si>
  <si>
    <t>SAISONNIERS</t>
  </si>
  <si>
    <t>191, 192,et 193 291, 291 et 293 Crédits et Prêts en souffrance</t>
  </si>
  <si>
    <t>162 et 254     Dépôts de garantie</t>
  </si>
  <si>
    <t>Encours des engagements par signature à court terme</t>
  </si>
  <si>
    <t>Encours des engagements par signature à moyen et long terme</t>
  </si>
  <si>
    <t>Montant total consacré par l'institution aux opérations autres que les activités d'épargne et de crédit</t>
  </si>
  <si>
    <t>Nombre total de groupements de l'institution ainsi que de leurs membres</t>
  </si>
  <si>
    <t>Nombre total de membres, bénéficiaires ou clients de sexe masculin de l'institution</t>
  </si>
  <si>
    <t xml:space="preserve">Nombre total d'usagers bénéficiaires </t>
  </si>
  <si>
    <t>Population cible de la caisse (ou son estimation)</t>
  </si>
  <si>
    <t>253- Comptes d'épargne à régime spécial</t>
  </si>
  <si>
    <t>Encours des engagements par signature donnés a moyen et long terme</t>
  </si>
  <si>
    <t>PRENOMS/NOMS/N°D'IDENTIFICATION</t>
  </si>
  <si>
    <t>MONTANT NET EN FCFA</t>
  </si>
  <si>
    <t>dont crédits en souffrance</t>
  </si>
  <si>
    <t>Immobilisations hors exploitation</t>
  </si>
  <si>
    <t>D42</t>
  </si>
  <si>
    <t>D43</t>
  </si>
  <si>
    <t>D44</t>
  </si>
  <si>
    <t>D45</t>
  </si>
  <si>
    <t>Immobilisation acquises par réalisation de garantie</t>
  </si>
  <si>
    <t>D47</t>
  </si>
  <si>
    <t>Réserve facultatives</t>
  </si>
  <si>
    <t>Biéns réévalués</t>
  </si>
  <si>
    <t>Date de Réévaluation</t>
  </si>
  <si>
    <t>Nature de Réévaluation</t>
  </si>
  <si>
    <t>Méthodes de Réévaluation</t>
  </si>
  <si>
    <t>Valeurs Avant Réévaluation (1) (VNC)</t>
  </si>
  <si>
    <t>Ecart de Réévaluation (2) - (1)</t>
  </si>
  <si>
    <t>Libre</t>
  </si>
  <si>
    <t>Légale</t>
  </si>
  <si>
    <t>Indiciaire</t>
  </si>
  <si>
    <t>Couts actuels</t>
  </si>
  <si>
    <t>PRODUITS SUR OPERATIONS AVEC LES INSTITUTIONS FINANCIERES</t>
  </si>
  <si>
    <t>Dépôts à terme constitués</t>
  </si>
  <si>
    <t>Dépots de garanties constitués</t>
  </si>
  <si>
    <t xml:space="preserve">Prêts en souffrance  de plus de 6 mois  à 12 mois au plus </t>
  </si>
  <si>
    <t xml:space="preserve">Crédits en souffrance  de plus de 6 mois  à 12 mois au plus </t>
  </si>
  <si>
    <t xml:space="preserve">Stocks de marchandises </t>
  </si>
  <si>
    <t>C34</t>
  </si>
  <si>
    <t>Autres Stocks et assimilés</t>
  </si>
  <si>
    <t>C59</t>
  </si>
  <si>
    <t>Valeurs à rejeter</t>
  </si>
  <si>
    <t>Prêts et titres subordonnés</t>
  </si>
  <si>
    <t>Crédit-bail</t>
  </si>
  <si>
    <t>L.O.A</t>
  </si>
  <si>
    <t>L32</t>
  </si>
  <si>
    <t>Provisions pour risque d'execution des engagements par signature</t>
  </si>
  <si>
    <t>L37</t>
  </si>
  <si>
    <t>Provision spéciale de réévaluation</t>
  </si>
  <si>
    <t>D71</t>
  </si>
  <si>
    <t>Créances en souffrance de 6 mois au plus</t>
  </si>
  <si>
    <t>D72</t>
  </si>
  <si>
    <t>D73</t>
  </si>
  <si>
    <t>Créances en souffrance de plus de 6 mois à 12 mois au plus</t>
  </si>
  <si>
    <t>Créances en souffrance de plus de 12 mois à 24 mois au plus</t>
  </si>
  <si>
    <t>R5E</t>
  </si>
  <si>
    <t>CHARGES SUR CREDIT BAIL et OPERATIONS ASSIMILES</t>
  </si>
  <si>
    <t>R6A</t>
  </si>
  <si>
    <t>R6F</t>
  </si>
  <si>
    <t>CHARGES SUR OPERATIONS DE CHANGE</t>
  </si>
  <si>
    <t>R6S</t>
  </si>
  <si>
    <t>Amortmnts/Provs</t>
  </si>
  <si>
    <t>C6B</t>
  </si>
  <si>
    <t>C6C</t>
  </si>
  <si>
    <t>C6G</t>
  </si>
  <si>
    <t>C6Q</t>
  </si>
  <si>
    <t>C6R</t>
  </si>
  <si>
    <t>Compte de liaison</t>
  </si>
  <si>
    <t>Comptes de difference de conversion</t>
  </si>
  <si>
    <t>Comptes de régularisation actif</t>
  </si>
  <si>
    <t>Comptes transitoires</t>
  </si>
  <si>
    <t>Compte d'attente - actif</t>
  </si>
  <si>
    <t>E02</t>
  </si>
  <si>
    <t>E03</t>
  </si>
  <si>
    <t>Actionnaires, associés ou membres, capital non appelé</t>
  </si>
  <si>
    <t>Actionnaires, associés ou membres, capital appelé non versé</t>
  </si>
  <si>
    <t>H6B</t>
  </si>
  <si>
    <t>H6C</t>
  </si>
  <si>
    <t>H6G</t>
  </si>
  <si>
    <t>H6P</t>
  </si>
  <si>
    <t>Comptes de liaison</t>
  </si>
  <si>
    <t>Comptes de differences de convertion</t>
  </si>
  <si>
    <t>comptes de régularisation - passif</t>
  </si>
  <si>
    <t>Comptes d'attente - passif</t>
  </si>
  <si>
    <t>L21</t>
  </si>
  <si>
    <t>L22</t>
  </si>
  <si>
    <t>L23</t>
  </si>
  <si>
    <t>L24</t>
  </si>
  <si>
    <t>L25</t>
  </si>
  <si>
    <t>Fond de garantie</t>
  </si>
  <si>
    <t>Fonds d'assurance</t>
  </si>
  <si>
    <t>Fonds de bonification</t>
  </si>
  <si>
    <t>Fonds de sécurité</t>
  </si>
  <si>
    <t>Autres fonds affectés</t>
  </si>
  <si>
    <t>R1B</t>
  </si>
  <si>
    <t>R1C</t>
  </si>
  <si>
    <t>R1D</t>
  </si>
  <si>
    <t>R1E</t>
  </si>
  <si>
    <t>R1F</t>
  </si>
  <si>
    <t>R1H</t>
  </si>
  <si>
    <t>R1I</t>
  </si>
  <si>
    <t>R1K</t>
  </si>
  <si>
    <t>Organe financier</t>
  </si>
  <si>
    <t>Caisse centrale</t>
  </si>
  <si>
    <t>Trésor Public</t>
  </si>
  <si>
    <t>CCP</t>
  </si>
  <si>
    <t>Banques et correspondants</t>
  </si>
  <si>
    <t>Etablissements financiers</t>
  </si>
  <si>
    <t>SFD</t>
  </si>
  <si>
    <t>Autres institutions financières</t>
  </si>
  <si>
    <t>R1N</t>
  </si>
  <si>
    <t>R1P</t>
  </si>
  <si>
    <t>R1Q</t>
  </si>
  <si>
    <t>Dépots à terme reçus</t>
  </si>
  <si>
    <t>Dépots de garanties reçus</t>
  </si>
  <si>
    <t>Autres dépots reçus</t>
  </si>
  <si>
    <t>R2F</t>
  </si>
  <si>
    <t>R2G</t>
  </si>
  <si>
    <t>Interêts sur emprunts à moins dun an</t>
  </si>
  <si>
    <t>Interêts sur emprunts à terme</t>
  </si>
  <si>
    <t>R2T</t>
  </si>
  <si>
    <t>Divers Interêts</t>
  </si>
  <si>
    <t>Charges et pertes sur titres de placement</t>
  </si>
  <si>
    <t>R5C</t>
  </si>
  <si>
    <t>Frais d'acquisition</t>
  </si>
  <si>
    <t>R5D</t>
  </si>
  <si>
    <t>Etalement de la prime</t>
  </si>
  <si>
    <t>R5H</t>
  </si>
  <si>
    <t>R5J</t>
  </si>
  <si>
    <t>R5K</t>
  </si>
  <si>
    <t>R5L</t>
  </si>
  <si>
    <t>R5N</t>
  </si>
  <si>
    <t>R5P</t>
  </si>
  <si>
    <t>R5Q</t>
  </si>
  <si>
    <t>R5T</t>
  </si>
  <si>
    <t>R5U</t>
  </si>
  <si>
    <t>R5V</t>
  </si>
  <si>
    <t>R5X</t>
  </si>
  <si>
    <t>Moins value de cession</t>
  </si>
  <si>
    <t>Autres charges</t>
  </si>
  <si>
    <t>Dotations aux provisions</t>
  </si>
  <si>
    <t>Dotations aux amortissements</t>
  </si>
  <si>
    <t>R5R</t>
  </si>
  <si>
    <t>Charges sur emprunts et titre emis subordonnées</t>
  </si>
  <si>
    <t>R6B</t>
  </si>
  <si>
    <t>R6C</t>
  </si>
  <si>
    <t>Pertes sur opération de change</t>
  </si>
  <si>
    <t>Commission</t>
  </si>
  <si>
    <t>CHARGES SUR OPERATIONS HORS BILAN</t>
  </si>
  <si>
    <t>R6L</t>
  </si>
  <si>
    <t>R6M</t>
  </si>
  <si>
    <t>R6P</t>
  </si>
  <si>
    <t>R6T</t>
  </si>
  <si>
    <t>Charges sur engagements de financements reçus des institutions financières</t>
  </si>
  <si>
    <t>Charges sur engagements de financements reçus des membres clients ou bénéficiaires</t>
  </si>
  <si>
    <t>Charges sur engagements de garanties reçus des institutions financières</t>
  </si>
  <si>
    <t>Charges sur engagements de garanties reçus des membres clients ou bénéficiaires</t>
  </si>
  <si>
    <t>Charges sur engagements sur titres</t>
  </si>
  <si>
    <t>Charges sur autres engagements reçus</t>
  </si>
  <si>
    <t>R6W</t>
  </si>
  <si>
    <t>R6X</t>
  </si>
  <si>
    <t>Charges sur les moyens de paiement</t>
  </si>
  <si>
    <t>Autres charges sur prestations de services financiers</t>
  </si>
  <si>
    <t>Moins-values sur cession d'éléments d'actif</t>
  </si>
  <si>
    <t>Transferts de produits d'exploitations financière</t>
  </si>
  <si>
    <t>Diverse charges d'exploitation financière</t>
  </si>
  <si>
    <t>S1A</t>
  </si>
  <si>
    <t>S1D</t>
  </si>
  <si>
    <t>S1G</t>
  </si>
  <si>
    <t>S1H</t>
  </si>
  <si>
    <t>S1J</t>
  </si>
  <si>
    <t>Impôts directs</t>
  </si>
  <si>
    <t>Impôts indirects</t>
  </si>
  <si>
    <t>Droits d'enregistrement et de timbre</t>
  </si>
  <si>
    <t>Impôts et taxes divers</t>
  </si>
  <si>
    <t>S4L</t>
  </si>
  <si>
    <t>S4M</t>
  </si>
  <si>
    <t>S4Q</t>
  </si>
  <si>
    <t>S4R</t>
  </si>
  <si>
    <t>sur immobilisation corporelle et incorporelle</t>
  </si>
  <si>
    <t>sur immobilisation financière</t>
  </si>
  <si>
    <t>Produits rétrocédés</t>
  </si>
  <si>
    <t>Autres transferts de produits</t>
  </si>
  <si>
    <t>T55</t>
  </si>
  <si>
    <t>T57</t>
  </si>
  <si>
    <t>T58</t>
  </si>
  <si>
    <t>Dotations aux amortissements des immobilisations hors exploitation</t>
  </si>
  <si>
    <t>Dotations aux provisions pour dépréciation des immobilisations d'exploitation</t>
  </si>
  <si>
    <t>T6L</t>
  </si>
  <si>
    <t>Pertes sur créances irrécouvrables non couvertes par des provisions</t>
  </si>
  <si>
    <t>V1B</t>
  </si>
  <si>
    <t>V1C</t>
  </si>
  <si>
    <t>V1D</t>
  </si>
  <si>
    <t>V1E</t>
  </si>
  <si>
    <t>V1F</t>
  </si>
  <si>
    <t>V1H</t>
  </si>
  <si>
    <t>V1K</t>
  </si>
  <si>
    <t>Organe Financier</t>
  </si>
  <si>
    <t>Caisse Centrale</t>
  </si>
  <si>
    <t>Trésor Publique</t>
  </si>
  <si>
    <t>V1I</t>
  </si>
  <si>
    <t>V1Q</t>
  </si>
  <si>
    <t>V2G</t>
  </si>
  <si>
    <t>Intérêts sur dépots à terme constitués</t>
  </si>
  <si>
    <t>Intérêts sur dépots de garantie constitués</t>
  </si>
  <si>
    <t>Intérêts sur autres dépots constitués</t>
  </si>
  <si>
    <t>Interêts sur prêts à moins dun an</t>
  </si>
  <si>
    <t>Interêts sur prêts à terme</t>
  </si>
  <si>
    <t>V2S</t>
  </si>
  <si>
    <t>V3G</t>
  </si>
  <si>
    <t>V3M</t>
  </si>
  <si>
    <t>V3N</t>
  </si>
  <si>
    <t>Intérêts sur crédits à moyen terme</t>
  </si>
  <si>
    <t>Intérêts sur crédits à long terme</t>
  </si>
  <si>
    <t>V3T</t>
  </si>
  <si>
    <t>Divers Intérêts</t>
  </si>
  <si>
    <t>V4C</t>
  </si>
  <si>
    <t>V4D</t>
  </si>
  <si>
    <t>Produits et profits sur titre de placement</t>
  </si>
  <si>
    <t>Intérêts sur crédit accordés au personnel non membre</t>
  </si>
  <si>
    <t>V5C</t>
  </si>
  <si>
    <t>V5D</t>
  </si>
  <si>
    <t>V5F</t>
  </si>
  <si>
    <t>V5G</t>
  </si>
  <si>
    <t>V5J</t>
  </si>
  <si>
    <t>V5K</t>
  </si>
  <si>
    <t>V5L</t>
  </si>
  <si>
    <t>V5M</t>
  </si>
  <si>
    <t>V5P</t>
  </si>
  <si>
    <t>V5Q</t>
  </si>
  <si>
    <t>V5R</t>
  </si>
  <si>
    <t>V5S</t>
  </si>
  <si>
    <t>V5V</t>
  </si>
  <si>
    <t>V5W</t>
  </si>
  <si>
    <t>V5X</t>
  </si>
  <si>
    <t>V5Y</t>
  </si>
  <si>
    <t>Produits sur prêts et titres subordonnés</t>
  </si>
  <si>
    <t>Dividendes et produits assimilés sur titres de participation</t>
  </si>
  <si>
    <t>Produits et profits sur titres d'incestissement</t>
  </si>
  <si>
    <t>PRODUITS SUR OPERATIONS DE CREDIT BAIL ET OPERATIONS ASSIMILES</t>
  </si>
  <si>
    <t>Reprises de provisions</t>
  </si>
  <si>
    <t>Plus-values de cession</t>
  </si>
  <si>
    <t>Autres produits</t>
  </si>
  <si>
    <t>V6A</t>
  </si>
  <si>
    <t>V6B</t>
  </si>
  <si>
    <t>V6C</t>
  </si>
  <si>
    <t>PRODUITS SUR OPERATIONS DE CHANGE</t>
  </si>
  <si>
    <t>Gains sur opération de change</t>
  </si>
  <si>
    <t>V6F</t>
  </si>
  <si>
    <t>R6K</t>
  </si>
  <si>
    <t>Produits sur engagements de financements donnés aux institutions financières</t>
  </si>
  <si>
    <t>Produits sur engagements de financements donnés aux membres clients ou bénéficiaires</t>
  </si>
  <si>
    <t>V6K</t>
  </si>
  <si>
    <t>V6L</t>
  </si>
  <si>
    <t>V6N</t>
  </si>
  <si>
    <t>V6P</t>
  </si>
  <si>
    <t>Produits sur engagements de garanties donnés aux institutions financières</t>
  </si>
  <si>
    <t>Produits sur engagements de garanties donnés aux membres clients ou bénéficiaires</t>
  </si>
  <si>
    <t>V6Q</t>
  </si>
  <si>
    <t>V6R</t>
  </si>
  <si>
    <t>V6S</t>
  </si>
  <si>
    <t>Produits sur engagements sur titres</t>
  </si>
  <si>
    <t>Produits sur autres engagements données</t>
  </si>
  <si>
    <t>Produits sur opérations effectues pour le compte de tiers</t>
  </si>
  <si>
    <t>V6V</t>
  </si>
  <si>
    <t>V6W</t>
  </si>
  <si>
    <t>Produits sur les moyens de paiement</t>
  </si>
  <si>
    <t>Autres produits sur prestations de services financiers</t>
  </si>
  <si>
    <t>W4B</t>
  </si>
  <si>
    <t>Redevances pour concessions , brevets, licences, droits et valeurs similaires</t>
  </si>
  <si>
    <t>W4K</t>
  </si>
  <si>
    <t>Revenus des immeubles hors exploitation</t>
  </si>
  <si>
    <t>W50</t>
  </si>
  <si>
    <t>W51</t>
  </si>
  <si>
    <t>W52</t>
  </si>
  <si>
    <t>PRODUCTION IMMOBILISEE</t>
  </si>
  <si>
    <t>Immobilisations incorporelles</t>
  </si>
  <si>
    <t>Immobilisations corporelles</t>
  </si>
  <si>
    <t>X6D</t>
  </si>
  <si>
    <t>X6E</t>
  </si>
  <si>
    <t>X6F</t>
  </si>
  <si>
    <t>Reprises de provisions sur créances en souffrance de 6 mois au plus</t>
  </si>
  <si>
    <t>Reprises de provisions sur créances en souffrance de plus de 6 mois à 12 mois au plus</t>
  </si>
  <si>
    <t>Reprises de provisions sur créances en souffrance de plus de 12 mois à 24 mois au plus</t>
  </si>
  <si>
    <t>Dotations aux provisions pour dépreciation des immobilisations hors exploitation</t>
  </si>
  <si>
    <t>Marge Commerciale</t>
  </si>
  <si>
    <t>Autres Crédits à court terme</t>
  </si>
  <si>
    <t>Crédit bail sur actifs incorporels</t>
  </si>
  <si>
    <t>ACHATS ET VARIATIONS DE STOCK</t>
  </si>
  <si>
    <t>Nombre total des crédits décaissés au cours de la période</t>
  </si>
  <si>
    <t>Nombre d'épargnants à la fin de la période</t>
  </si>
  <si>
    <t>Nombre d'emprunteurs actifs</t>
  </si>
  <si>
    <t>Nombre d'agents de crédit</t>
  </si>
  <si>
    <t>Nombre de clients actifs</t>
  </si>
  <si>
    <t>Nombre d'employés</t>
  </si>
  <si>
    <t>Compte de prêt à terme auprès des IF à plus d'un an</t>
  </si>
  <si>
    <t>Immobilisations corporelles en cours</t>
  </si>
  <si>
    <t>Immobilisations corporelles d'exploitation</t>
  </si>
  <si>
    <t>Immobilisations corporelles hors exploitation</t>
  </si>
  <si>
    <t>l. Données Générales</t>
  </si>
  <si>
    <t>Indicateurs</t>
  </si>
  <si>
    <t>Nombre de personnes physiques non-membres d'un groupement(1)=(a)+(b)</t>
  </si>
  <si>
    <t>*  Hommes (a)</t>
  </si>
  <si>
    <t>*  Femmes (b)</t>
  </si>
  <si>
    <t>*  Hommes (c)</t>
  </si>
  <si>
    <t>*  femmes (d)</t>
  </si>
  <si>
    <t>Nombre de membres du conseil d'administration ou de l'organe équivalent</t>
  </si>
  <si>
    <t>E ffectif total des employés (3)= (1)+(2)</t>
  </si>
  <si>
    <t>Agents permanents (a)</t>
  </si>
  <si>
    <t>Agents contractuels (b)</t>
  </si>
  <si>
    <t>Rubriques</t>
  </si>
  <si>
    <t>Montant des frais généraux en FCFA</t>
  </si>
  <si>
    <t>Ratio Masse salariale rapportés aux frais généraux</t>
  </si>
  <si>
    <t>Proportion salaire du Directeur Général rapporté aux frais généraux</t>
  </si>
  <si>
    <t>Indemnités de fonctions versées aux administrateurs non salarié en FCFA</t>
  </si>
  <si>
    <t>Nombre de membres, bénéficiaires ou clients (les groupements sont comptés sur une base unitaire (1)+(2))</t>
  </si>
  <si>
    <t>Nombres de personnes morales(groupements de personnes physiques, entreprises, associatios, etc,) (2)</t>
  </si>
  <si>
    <t>l.3 Données sur la gouvernance</t>
  </si>
  <si>
    <t>ll Données Sur Les Points De Services</t>
  </si>
  <si>
    <t>Tableau n°2: Evolution du nombre de points de service</t>
  </si>
  <si>
    <t>Paramètres</t>
  </si>
  <si>
    <t>Autres dépôts</t>
  </si>
  <si>
    <t>* Nombre de déposants Hommes (a)</t>
  </si>
  <si>
    <t>* Nombre de déposants Femmes (b)</t>
  </si>
  <si>
    <t xml:space="preserve">Nombre de comptes inactifs
</t>
  </si>
  <si>
    <t>Tableau n°3.4: Evolution du capital social</t>
  </si>
  <si>
    <t>Tableau 3.5: Répartition du capital social entre les principaux actionnaires</t>
  </si>
  <si>
    <t>lll Données sur les opérations de collecte de dépots</t>
  </si>
  <si>
    <t>IV. Données Sur les crédits</t>
  </si>
  <si>
    <t>Montants des prêts accordés (1)+(2)</t>
  </si>
  <si>
    <t>Nature de l'engagement donné</t>
  </si>
  <si>
    <t>Court terme</t>
  </si>
  <si>
    <t>Moyen et long terme</t>
  </si>
  <si>
    <t>V. Données sur les autres activités autorisés</t>
  </si>
  <si>
    <t>UEMOA</t>
  </si>
  <si>
    <t>Tableau n°5.3 : Opérations de change</t>
  </si>
  <si>
    <t>Devises concernées</t>
  </si>
  <si>
    <t xml:space="preserve">Masse salariale globale en FCFA                                                                                                                                                                                                                                                    </t>
  </si>
  <si>
    <t xml:space="preserve">Frais de tenue des réunions des organes et des assemblées en FCFA   </t>
  </si>
  <si>
    <t>*  Perdiem</t>
  </si>
  <si>
    <t xml:space="preserve">*Transport  </t>
  </si>
  <si>
    <t xml:space="preserve">*Hebergement </t>
  </si>
  <si>
    <t>*Téléphone</t>
  </si>
  <si>
    <t>*Carburant</t>
  </si>
  <si>
    <t>VI. Autres Informations sur Les Opérations Avec La Clientèle</t>
  </si>
  <si>
    <t xml:space="preserve">Montant des devises achetées
</t>
  </si>
  <si>
    <t>Tableau n°6.1 : Tarification des opérations avec la clientèle</t>
  </si>
  <si>
    <t>Tableau n°6.3 :  Dons et œuvres sociales</t>
  </si>
  <si>
    <t>Commerce, restaurants, hôtels</t>
  </si>
  <si>
    <t>Electricité, gaz, eau</t>
  </si>
  <si>
    <t>Transports, entrepôts et communications</t>
  </si>
  <si>
    <t>Assurances, services aux entreprises</t>
  </si>
  <si>
    <t>Immobilier</t>
  </si>
  <si>
    <t>Services divers</t>
  </si>
  <si>
    <t>VII. Opérations Avec Les Autres Institutions Financiéres</t>
  </si>
  <si>
    <t>Encours des placements auprés des autres institutions financiéres (en milliers de FCFA)</t>
  </si>
  <si>
    <t>Encours des emprunts auprés des autres institutions financiéres (en milliers de FCFA)</t>
  </si>
  <si>
    <t>Ressources affectées (en milliers de FCFA)</t>
  </si>
  <si>
    <t>Subvention d'exploitation reçues (en milliers de FCFA)</t>
  </si>
  <si>
    <t>Subvention d'équipements reçues (en milliers de FCFA)</t>
  </si>
  <si>
    <t>IX. Fonctionnement et Vie des Organes</t>
  </si>
  <si>
    <t>Tableau n°8 :Indicateurs de performance des institutions affiliées au réseau(*)</t>
  </si>
  <si>
    <t>VIII. Données sur la Performance Des Membres Des Réseaux( Unions, Fédérations et Confédérations)</t>
  </si>
  <si>
    <t>Nombres de groupements de personnes physiques bénéficiaires</t>
  </si>
  <si>
    <t>Nombres total des groupements de personnes physiques bénéficiaires(3) = ( c) +( d)</t>
  </si>
  <si>
    <t>Libelle</t>
  </si>
  <si>
    <t>IX. Performances financieres</t>
  </si>
  <si>
    <t>Tableau n°10: Indicateurs de performances financieres</t>
  </si>
  <si>
    <t>Montant net</t>
  </si>
  <si>
    <t>Ammort./Prov</t>
  </si>
  <si>
    <t>Annexe 4.2: ETAT DES BIENS DONNES EN CREDIT BAIL ET OPERATIONS ASSIMILEES</t>
  </si>
  <si>
    <t xml:space="preserve">Annexe 4.1: TABLEAU DES EMPLOIS ET DES RESSOURCES </t>
  </si>
  <si>
    <t>Total</t>
  </si>
  <si>
    <t>Montant Brut</t>
  </si>
  <si>
    <t>Montant Net</t>
  </si>
  <si>
    <t>Annexe 4.3: ETAT DES BIENS DETENUS DANS LE CADRE DE LA CONCESSION</t>
  </si>
  <si>
    <t>Postes</t>
  </si>
  <si>
    <t>Valeur d'inventaire ou valeur de marché</t>
  </si>
  <si>
    <t>Concessionnaire</t>
  </si>
  <si>
    <t>Nom</t>
  </si>
  <si>
    <t>Valeur déclarée dans le cachier de charges</t>
  </si>
  <si>
    <t>Annexe 4.4: ETAT DES BIENS DETENUS DANS LE CADRE DE LA CLAUSE DE RESERVE DE PROPRIETE</t>
  </si>
  <si>
    <t>Montant Bruts</t>
  </si>
  <si>
    <t>Libellés des biens inscrits à l'actif frappés de la clause de Réserve de Propriété</t>
  </si>
  <si>
    <t>Annexe 4.5: DETAIL DU COMPTE 6221-PERSONNEL A L'INSTITUTION</t>
  </si>
  <si>
    <t>Nationaux</t>
  </si>
  <si>
    <t>Autres Etats de l'UEMOA</t>
  </si>
  <si>
    <t>Secteur Primaire</t>
  </si>
  <si>
    <t>Secteur Secondaire</t>
  </si>
  <si>
    <t>EFFECTIF(en unités)</t>
  </si>
  <si>
    <t>Annexe 4.6: ETAT DES CREDITS EN SOUFFRANCE ETABLISSEMENT</t>
  </si>
  <si>
    <t>Montant Effectif</t>
  </si>
  <si>
    <t>126-127-128 Dépôts à plus d'un an du SFD auprès des institutions financières</t>
  </si>
  <si>
    <t>252- Dépôts à terme à plus d'un  an des membres, bénéficiaires ou clients auprès de la caisse</t>
  </si>
  <si>
    <t>254- 255 Autres dépôts à plus d'un an des membres, bénéficiaires ou clients auprès de la caisse</t>
  </si>
  <si>
    <t xml:space="preserve">                     Annexe 4.7: ETAT DES INFORMATIONS ANNEXES</t>
  </si>
  <si>
    <t xml:space="preserve">                     Annexe 4.8: ETAT DES ENGAGEMENTS PAR SIGNATURE</t>
  </si>
  <si>
    <t>Encours des prets (Bruts)</t>
  </si>
  <si>
    <t>Annexe 4.11: ETAT DES RESSOURCES AFFECTEES ET DES CREDITS CONSENTIS SUR RESSOURCES AFFECTEES</t>
  </si>
  <si>
    <t xml:space="preserve">Annexe 4.12: ETAT DES VALEURS IMMOBILISEES  </t>
  </si>
  <si>
    <t>Annexe 4.13: ETAT D'AFFECTATION DU RESULTAT</t>
  </si>
  <si>
    <t>Annexe 4.14: ETAT DE TRAITEMENT DE LA REEVALUATION</t>
  </si>
  <si>
    <t>ANNEXES 4</t>
  </si>
  <si>
    <t>Montant total des dépôt des membres,bénéficiaires ou clients(1)+(2)</t>
  </si>
  <si>
    <t>Montant des dépôt des personnes physiques non membres,d'un groupement(1)=(a)+(b)</t>
  </si>
  <si>
    <t>* Montant des dépôts des Hommes (a)</t>
  </si>
  <si>
    <t>* Montant des dépôts des Femmes (b)</t>
  </si>
  <si>
    <t>Montant des dépôts des  personnes morales(groupements de personnes phisiques, entreprises, associatios, etc,) (2)</t>
  </si>
  <si>
    <t xml:space="preserve">Dépôts à vue </t>
  </si>
  <si>
    <t>Nombre total des déposants (1)+(2)</t>
  </si>
  <si>
    <t>Nombre de déposants personnes physiques non-membres d'un groupement(1)=(a)+(b)</t>
  </si>
  <si>
    <t>Nombre de déposants personnes morales(groupements de personnes phisiques, entreprises, associatios, etc,) (2)</t>
  </si>
  <si>
    <t>Montant des soldes des comptes inactifs</t>
  </si>
  <si>
    <t>Nombre total des comptes</t>
  </si>
  <si>
    <t>* Montant des prêts accordés aux Hommes(a)</t>
  </si>
  <si>
    <t>Montants des prêts accordés aux personnes physiques non-membres d'un groupement (1)= (a)+(b)</t>
  </si>
  <si>
    <t>* Montant des prêts accordés aux femmes(b)</t>
  </si>
  <si>
    <t>Montant des prêts accordés aux personnes morales ( groupements de personnes physiques, entreprises, associations, etc,(2)</t>
  </si>
  <si>
    <t>Engagements de financement donnés en faveur des institutions financiéres</t>
  </si>
  <si>
    <t>Engagements de garantie d'ordre des membres, bénéficiaires ou clients</t>
  </si>
  <si>
    <t>Encours total de crédit en cours(1)+(2)</t>
  </si>
  <si>
    <t>Encours de crédits sur les personnes physiques non-membres d'un groupement (1)= (a)+(b)</t>
  </si>
  <si>
    <t>*encours crédit sur les   Hommes(a)</t>
  </si>
  <si>
    <t>*encours crédit sur les femmes (b)</t>
  </si>
  <si>
    <t>Encours  de crédits sur les personnes morales ( groupements de personnes physiques, entreprises, associations, etc,(2)</t>
  </si>
  <si>
    <t>Nombre de crédit en cours(1)+(2)</t>
  </si>
  <si>
    <t>Nombre  de crédits sur les personnes physiques non-membres d'un groupement (1)= (a)+(b)</t>
  </si>
  <si>
    <t>*Nombre crédit sur les   Hommes(a)</t>
  </si>
  <si>
    <t>*Nombre de crédit sur les femmes (b)</t>
  </si>
  <si>
    <t>Nombre de crédits en cours sur les personnes morales ( groupements de personnes physiques, entreprises, associations, etc,(2)</t>
  </si>
  <si>
    <t>Encours des créances en souffrance (en milliers de FCFA)</t>
  </si>
  <si>
    <t>Taux brut des créances en souffrance</t>
  </si>
  <si>
    <t>Taux de remboursement des crédits accordés</t>
  </si>
  <si>
    <t>Taux de recouvrement des créances en souffrance</t>
  </si>
  <si>
    <t>Encours brut des créances en souffrance sur ressources affectées (en milliers de FCFA)</t>
  </si>
  <si>
    <t>Taux brut des créances en souffrance sur ressources affectées</t>
  </si>
  <si>
    <t>Taux de remboursement des crédits accordés sur ressources affectées</t>
  </si>
  <si>
    <t>Montant des crédits passés en perte(en milliers de FCFA)</t>
  </si>
  <si>
    <t>Taux de perte sur créances</t>
  </si>
  <si>
    <t>Nombre de crédits accordés sur ressources affectées</t>
  </si>
  <si>
    <t>Montant des crédits accordés sur ressources affectées (en milliers de FCFA)</t>
  </si>
  <si>
    <t>Nombre de crédits en cours  sur ressources affectées</t>
  </si>
  <si>
    <t>Montant des crédits en cours sur ressources affectées (en milliers de FCFA)</t>
  </si>
  <si>
    <t>Transfert reçus(1)</t>
  </si>
  <si>
    <t>Autres pays africains</t>
  </si>
  <si>
    <t>Union Européenne</t>
  </si>
  <si>
    <t>Etats-Unis</t>
  </si>
  <si>
    <t xml:space="preserve">Autres pays </t>
  </si>
  <si>
    <t>Montants des sinistres à payer</t>
  </si>
  <si>
    <t>Montant des arriérés de  primes</t>
  </si>
  <si>
    <t>Assurance non vie</t>
  </si>
  <si>
    <t>Assurance-vie</t>
  </si>
  <si>
    <t>Montant des primes émises</t>
  </si>
  <si>
    <t>Euro  (EUR)</t>
  </si>
  <si>
    <t>Dollar des EU(USD)</t>
  </si>
  <si>
    <t>Franc Suisse (CHF)</t>
  </si>
  <si>
    <t>Livre sterling(GBP)</t>
  </si>
  <si>
    <t>Autres</t>
  </si>
  <si>
    <t>Taux d'intérêt créditeur minimum servi sur les dépôts des membres, bénéficiaires ou clients</t>
  </si>
  <si>
    <t>Solde des transferts(3)= (1)-(2)</t>
  </si>
  <si>
    <t>Contrevaleur en FCFA des devises achetées</t>
  </si>
  <si>
    <t>Montant des devises vendues</t>
  </si>
  <si>
    <t>Contre valeur en FCFA des devises vendues</t>
  </si>
  <si>
    <t>Taux d'intérêt nominal débiteur minimun sur les crédits accordés aux membres, bénéficiaires ou clients</t>
  </si>
  <si>
    <t>Taux d'intérêt créditeur maximum servi sur les dépôts des membres, bénéficiaires ou clients</t>
  </si>
  <si>
    <t>Taux d'intérêt nominal débiteur maximum sur les crédits accordés aux membres, bénéficiaires ou clients</t>
  </si>
  <si>
    <t xml:space="preserve">Crédits immobiliers </t>
  </si>
  <si>
    <t>Crédits d'équipement</t>
  </si>
  <si>
    <t>Crédits à la consommation</t>
  </si>
  <si>
    <t>Crédits de trésorerie</t>
  </si>
  <si>
    <t>Références du bénéficiaires</t>
  </si>
  <si>
    <t>Nature du don ou des œuvres sociales</t>
  </si>
  <si>
    <t>Evaluation Financiére(en FCFA)</t>
  </si>
  <si>
    <t>Agriculture, sylviculture et pêche</t>
  </si>
  <si>
    <t>Industries extractives</t>
  </si>
  <si>
    <t>Industries manifactuéres</t>
  </si>
  <si>
    <t>Bâtiment et travaux publics</t>
  </si>
  <si>
    <t>Nombre d'institutions affiliées déficitaires</t>
  </si>
  <si>
    <t>Montant total du déficit d'exploitation des institutions affiliées(en milliers de FCFA)</t>
  </si>
  <si>
    <t>Nombre d'institutions affiliées excédentaires</t>
  </si>
  <si>
    <t>Montant total de l' excédent d'exploitation des institutions affiliées(en milliers de FCFA)</t>
  </si>
  <si>
    <t>Par l'Assemblée Générale</t>
  </si>
  <si>
    <t>Par le Conseil d'administration ou l'organe équivalent</t>
  </si>
  <si>
    <t>Par le Conseil de Surveillance(*)</t>
  </si>
  <si>
    <t>Par le Comité de Crédit(*)</t>
  </si>
  <si>
    <t>Par les autres comités(**)</t>
  </si>
  <si>
    <t>Marge d'intérêt en milliers de FCFA</t>
  </si>
  <si>
    <t>Produit financiernet en milliers de FCFA</t>
  </si>
  <si>
    <t>Résultat net en milliers de FCFA</t>
  </si>
  <si>
    <t>Taux de marge nette</t>
  </si>
  <si>
    <t>Transfert émis(2)</t>
  </si>
  <si>
    <t>Noms et prénoms</t>
  </si>
  <si>
    <t>Encours total de crédits en FCFA</t>
  </si>
  <si>
    <t>Structure dont reléve l'emprunteur</t>
  </si>
  <si>
    <t>Libellé</t>
  </si>
  <si>
    <t>Secteurs d'activités</t>
  </si>
  <si>
    <t>*  personnel expatrié</t>
  </si>
  <si>
    <t>Noms et prénoms des principaux actionnaires</t>
  </si>
  <si>
    <t>Montant du capital détenu (Année n)</t>
  </si>
  <si>
    <t>Part du capital détenu (année n)</t>
  </si>
  <si>
    <t>Montant du capital détenu (Année n-1)</t>
  </si>
  <si>
    <t>Part du capital détenu                   (année n-1)</t>
  </si>
  <si>
    <t>ENGAGEMENT DE FINANCEMENT</t>
  </si>
  <si>
    <t>ENGAGEMENTS RECUS DES INSTITUTIONS FINANCIERES</t>
  </si>
  <si>
    <t>ENGAGEMENT DONNES EN FAVEUR DES MEMBRES, BENEFICIARES OU CLIENTS</t>
  </si>
  <si>
    <t>ENGAGEMENTS RECUS DES MEMBRES , BENEFICIARES OU CLIENTS ENGAGEMENT DE GARANTIE</t>
  </si>
  <si>
    <t>D'ordre des institutions financières</t>
  </si>
  <si>
    <t>Reçus des institutions financiéres</t>
  </si>
  <si>
    <t>D'ordre des membres, bénéficiaires ou clients</t>
  </si>
  <si>
    <t>Reçus des membres, beneficiaires ou client</t>
  </si>
  <si>
    <t>ENGAGEMENTS SUR TITRES</t>
  </si>
  <si>
    <t>N3B</t>
  </si>
  <si>
    <t>Intervention à l'emission</t>
  </si>
  <si>
    <t>Marchés gris</t>
  </si>
  <si>
    <t>N3C</t>
  </si>
  <si>
    <t>N3D</t>
  </si>
  <si>
    <t>NRF</t>
  </si>
  <si>
    <t>NRG</t>
  </si>
  <si>
    <t>N3H</t>
  </si>
  <si>
    <t>Autres titres à livrer</t>
  </si>
  <si>
    <t>ENGAGEMENTS SUR OPERATION EN DEVISES</t>
  </si>
  <si>
    <t>P1A</t>
  </si>
  <si>
    <t>P1B</t>
  </si>
  <si>
    <t>P1C</t>
  </si>
  <si>
    <t>P1D</t>
  </si>
  <si>
    <t>P1E</t>
  </si>
  <si>
    <t>P1F</t>
  </si>
  <si>
    <t>P1G</t>
  </si>
  <si>
    <t>P1H</t>
  </si>
  <si>
    <t>P1J</t>
  </si>
  <si>
    <t>P1K</t>
  </si>
  <si>
    <t>P1L</t>
  </si>
  <si>
    <t>P1M</t>
  </si>
  <si>
    <t>P1R</t>
  </si>
  <si>
    <t>P1S</t>
  </si>
  <si>
    <t>P1V</t>
  </si>
  <si>
    <t>Q1B</t>
  </si>
  <si>
    <t>Q1C</t>
  </si>
  <si>
    <t>Q1F</t>
  </si>
  <si>
    <t>Q1J</t>
  </si>
  <si>
    <t>Q1K</t>
  </si>
  <si>
    <t>Q1L</t>
  </si>
  <si>
    <t>Q1M</t>
  </si>
  <si>
    <t>N90</t>
  </si>
  <si>
    <t>Francs CFA achetés non encore recus</t>
  </si>
  <si>
    <t>Devises achetées non encore reçues</t>
  </si>
  <si>
    <t>Francs CFA vendus non encore livrés</t>
  </si>
  <si>
    <t>Devises vendues non encore livrées</t>
  </si>
  <si>
    <t>Devises prêtées non encore livrées</t>
  </si>
  <si>
    <t>Devises empruntées non encore reçues</t>
  </si>
  <si>
    <t>Opérations de change à terme francs cfa à recevoir contre devises à livrer</t>
  </si>
  <si>
    <t>Opérations de change à terme devises à recevoir contre francs cfa à livrer</t>
  </si>
  <si>
    <t>Opérations de change à terme devises à recevoir contre devises à livrer</t>
  </si>
  <si>
    <t>Opérations de change à terme devises à livrer contre devises à recevoir</t>
  </si>
  <si>
    <t>Report/déport non couru à recevoir</t>
  </si>
  <si>
    <t>Report/déport non couru à payer</t>
  </si>
  <si>
    <t>Interets non courus en devises couverts à recevoir</t>
  </si>
  <si>
    <t>Interets non courus en devises couverts à payer</t>
  </si>
  <si>
    <t>Ajustements devises hors bilan</t>
  </si>
  <si>
    <t>Engagements donnés</t>
  </si>
  <si>
    <t>Engagements recus</t>
  </si>
  <si>
    <t>Valeurs à l'encaissement non disponible</t>
  </si>
  <si>
    <t>Comptes exigibles après encaissements</t>
  </si>
  <si>
    <t>Comptes de suivi des engagements de financement consortiaux</t>
  </si>
  <si>
    <t>Comptes de suivi des engagements de garantie consortiaux</t>
  </si>
  <si>
    <t>Compte de suivi des crédits consortiaux</t>
  </si>
  <si>
    <t>Crédits distribués pour le compte de tiers</t>
  </si>
  <si>
    <t>ENGAGEMENTS DOUTEUX</t>
  </si>
  <si>
    <t>ENGAGEMENT DONNES EN FAVEUR DES INSTITUTIONS FINANCIERES</t>
  </si>
  <si>
    <t>S05</t>
  </si>
  <si>
    <t>V1R</t>
  </si>
  <si>
    <t>V1S</t>
  </si>
  <si>
    <t>V2C</t>
  </si>
  <si>
    <t>PRODUITS EXEPTIONNELS</t>
  </si>
  <si>
    <t>Rénumération versée au stagiaire</t>
  </si>
  <si>
    <t>*Personnel dirigeant(Directeur Général et son adjoint, Directeurs de services  )</t>
  </si>
  <si>
    <r>
      <t xml:space="preserve">*autre personnel                                                                                       </t>
    </r>
    <r>
      <rPr>
        <sz val="8"/>
        <color theme="2"/>
        <rFont val="Calibri"/>
        <family val="2"/>
        <scheme val="minor"/>
      </rPr>
      <t>.</t>
    </r>
    <r>
      <rPr>
        <sz val="8"/>
        <color theme="1"/>
        <rFont val="Calibri"/>
        <family val="2"/>
        <scheme val="minor"/>
      </rPr>
      <t xml:space="preserve"> </t>
    </r>
  </si>
  <si>
    <t>Montant moyen des prêts accordés(somme des prêts rapportée au nombre de prêts accordés)</t>
  </si>
  <si>
    <t>Nombre des prêts accordés (1)+(2)</t>
  </si>
  <si>
    <t>Nombre de prêts accordés aux personnes physiques non-membres d'un groupement (1)= (a)+(b)</t>
  </si>
  <si>
    <t>* Nombre de prêts accordés aux Hommes(a)</t>
  </si>
  <si>
    <t>* Nombre de prêts accordés aux femmes(b)</t>
  </si>
  <si>
    <t>Nombre de prêts accordés aux personnes morales (groupement de personnes physiques,entreprises, associations, etc …) (2)</t>
  </si>
  <si>
    <t>Taux de recouvrement des créances en souffrance sur ressource affectées</t>
  </si>
  <si>
    <r>
      <t xml:space="preserve">COURT TERME </t>
    </r>
    <r>
      <rPr>
        <b/>
        <sz val="8"/>
        <color theme="1"/>
        <rFont val="Calibri"/>
        <family val="2"/>
        <scheme val="minor"/>
      </rPr>
      <t>(181)</t>
    </r>
  </si>
  <si>
    <r>
      <t xml:space="preserve">MOYEN TERME </t>
    </r>
    <r>
      <rPr>
        <b/>
        <sz val="8"/>
        <color theme="1"/>
        <rFont val="Calibri"/>
        <family val="2"/>
        <scheme val="minor"/>
      </rPr>
      <t>(182)</t>
    </r>
  </si>
  <si>
    <r>
      <t xml:space="preserve">LONG TERME </t>
    </r>
    <r>
      <rPr>
        <b/>
        <sz val="8"/>
        <color theme="1"/>
        <rFont val="Calibri"/>
        <family val="2"/>
        <scheme val="minor"/>
      </rPr>
      <t>(183)</t>
    </r>
  </si>
  <si>
    <r>
      <t xml:space="preserve">TOTAL </t>
    </r>
    <r>
      <rPr>
        <b/>
        <sz val="8"/>
        <color theme="1"/>
        <rFont val="Calibri"/>
        <family val="2"/>
        <scheme val="minor"/>
      </rPr>
      <t>(18)</t>
    </r>
  </si>
  <si>
    <t>Encours des engagements par signature donnés a court terme</t>
  </si>
  <si>
    <t>Montant du capital social(en milliers de FCFA)</t>
  </si>
  <si>
    <t>a</t>
  </si>
  <si>
    <t xml:space="preserve">         Annexe 4.7: ETAT DES INFORMATIONS ANNEXES</t>
  </si>
  <si>
    <t xml:space="preserve">    Annexe 4.8: ETAT DES ENGAGEMENTS PAR SIGNATURE</t>
  </si>
  <si>
    <t xml:space="preserve">          Annexe 4.10: ETAT DE L'ENCOURS TOTAL DES PRETS AUX DIRIGEANTS, AU PERSONNEL ET AUX PERSONNES LIEES </t>
  </si>
  <si>
    <t xml:space="preserve">         Tableau n°1.1: Nombre de membres, bénéficiaires ou clients (en unités)</t>
  </si>
  <si>
    <t xml:space="preserve">          Tableau 1.2: Effectif des dirigeants et du personnel employé (en unités)</t>
  </si>
  <si>
    <t xml:space="preserve">      Tableau sur l'état des rémunérations des dirigeants et du personnel de l'institution</t>
  </si>
  <si>
    <t xml:space="preserve">                       Tableau n°4.9 : Gestion du portefeuille de crédit</t>
  </si>
  <si>
    <t>personnel expatrié (c)</t>
  </si>
  <si>
    <t xml:space="preserve">* nationaux </t>
  </si>
  <si>
    <t>Autres employés (2) = (a)+(b)+(c)</t>
  </si>
  <si>
    <t xml:space="preserve">Valeur Réévalée(2) </t>
  </si>
  <si>
    <t>RATIOS PRUDENTIELS</t>
  </si>
  <si>
    <t>Titres à livrer</t>
  </si>
  <si>
    <t>INDICATEURS FINANCIERS</t>
  </si>
  <si>
    <r>
      <t xml:space="preserve">           Tableau n°5.2 : Opérations de micro assurance (</t>
    </r>
    <r>
      <rPr>
        <b/>
        <sz val="12"/>
        <color rgb="FFC00000"/>
        <rFont val="Calibri"/>
        <family val="2"/>
        <scheme val="minor"/>
      </rPr>
      <t>en milliers de FCFA</t>
    </r>
    <r>
      <rPr>
        <b/>
        <sz val="12"/>
        <color theme="3" tint="-0.249977111117893"/>
        <rFont val="Calibri"/>
        <family val="2"/>
        <scheme val="minor"/>
      </rPr>
      <t>)</t>
    </r>
  </si>
  <si>
    <t>Tableau sur les remboursements de frais des dirigeants élus</t>
  </si>
  <si>
    <t>Elaboration des tableaux de l'art. n°18 de l'instruction de la BCEAO pour l'exploitation des Etats Financiers</t>
  </si>
  <si>
    <t>Nom Gérant</t>
  </si>
  <si>
    <t>Telephone SFD</t>
  </si>
  <si>
    <t>Mail SFD</t>
  </si>
  <si>
    <t>Tel gérant</t>
  </si>
  <si>
    <t>Mail gérant</t>
  </si>
  <si>
    <t>DAKAR</t>
  </si>
  <si>
    <t>Exercice (Année) *</t>
  </si>
  <si>
    <t>Date de saisie : *</t>
  </si>
  <si>
    <t>N° Agrément : *</t>
  </si>
  <si>
    <t>Nom développé du SFD : *</t>
  </si>
  <si>
    <t>Sigle du SFD : *</t>
  </si>
  <si>
    <t>Région : *</t>
  </si>
  <si>
    <t>FCCMS</t>
  </si>
  <si>
    <t>DK1-00-00194</t>
  </si>
  <si>
    <t>DK1-00-00196</t>
  </si>
  <si>
    <t>MUTUELLE D'EPARGNE ET DE CREDIT DES FEMMES DE OUAKAM</t>
  </si>
  <si>
    <t>DK1-01-00235</t>
  </si>
  <si>
    <t>DK1-01-00242</t>
  </si>
  <si>
    <t>MUTUELLE D'EPARGNE ET DE CREDIT DES AGENTS DU SECTEUR PUBLIC ET PARAPUBLIC</t>
  </si>
  <si>
    <t>MECAP</t>
  </si>
  <si>
    <t>DK1-02-00286</t>
  </si>
  <si>
    <t>MEC RIAD</t>
  </si>
  <si>
    <t>MUTUELLE D'EPARGNE ET DE CREDIT FONDS NATIONAL DES ECLAIREUSES ET ECLAIREURS DU SENEGAL</t>
  </si>
  <si>
    <t>MEC FONEES</t>
  </si>
  <si>
    <t>MUTUELLE D'EPARGNE ET DE CREDIT DE L'ASSOCIATION SYNERGIE-FEMMES</t>
  </si>
  <si>
    <t>MEC SYF</t>
  </si>
  <si>
    <t>DK1-03-00310</t>
  </si>
  <si>
    <t>MECMU</t>
  </si>
  <si>
    <t>DK1-04-00394</t>
  </si>
  <si>
    <t>DK1-04-00398</t>
  </si>
  <si>
    <t>DK1-04-00400</t>
  </si>
  <si>
    <t>DK1-04-00401</t>
  </si>
  <si>
    <t>DK1-04-00402</t>
  </si>
  <si>
    <t>DK1-05-00421</t>
  </si>
  <si>
    <t>MUTUELLE D'EPARGNE ET DE CREDIT DE L'ASSOCIATION POUR L'EDUCATION A LA VIE FAMILIALE</t>
  </si>
  <si>
    <t>MEC EVIFAM</t>
  </si>
  <si>
    <t>DK1-06-00440</t>
  </si>
  <si>
    <t>MUTUELLE D'EPARGNE ET DE CREDIT DES TRANSPORTEURS DE LA REGION DE DAKAR</t>
  </si>
  <si>
    <t>U-IMCEC</t>
  </si>
  <si>
    <t>DK1-07-00486</t>
  </si>
  <si>
    <t>DK1-07-00492</t>
  </si>
  <si>
    <t>DK1-07-00506</t>
  </si>
  <si>
    <t>MUTUELLE D'EPARGNE ET DE CREDIT JAPPO LIGGUEY DE GRAND-YOFF</t>
  </si>
  <si>
    <t>MEC JAPPO</t>
  </si>
  <si>
    <t>DK1-08-00524</t>
  </si>
  <si>
    <t>DK1-08-00525</t>
  </si>
  <si>
    <t>DK1-08-00527</t>
  </si>
  <si>
    <t>MECFES</t>
  </si>
  <si>
    <t>LOUGA</t>
  </si>
  <si>
    <t>DK1-08-00530</t>
  </si>
  <si>
    <t>DK1-08-00535</t>
  </si>
  <si>
    <t>DK1-08-00538</t>
  </si>
  <si>
    <t>DK1-08-00539</t>
  </si>
  <si>
    <t>DK1-08-00540</t>
  </si>
  <si>
    <t>DK1-08-00541</t>
  </si>
  <si>
    <t>DK1-08-00565</t>
  </si>
  <si>
    <t>MUTUELLE D'EPARGNE ET DE CREDIT POUR LA SOLIDARITE OUVRIERE</t>
  </si>
  <si>
    <t>MECSO</t>
  </si>
  <si>
    <t>DK1-09-0011U</t>
  </si>
  <si>
    <t>UM-ACEP</t>
  </si>
  <si>
    <t>DK1-09-00574</t>
  </si>
  <si>
    <t>CAPECIG</t>
  </si>
  <si>
    <t>DK1-09-00577</t>
  </si>
  <si>
    <t>DK1-09-00581</t>
  </si>
  <si>
    <t>DK1-09-00582</t>
  </si>
  <si>
    <t>MICROSEN SA</t>
  </si>
  <si>
    <t>DK1-97-00111</t>
  </si>
  <si>
    <t>MUTUELLE D'EPARGNE ET DE CREDIT DE LA ZONE DE GUEDIAWAYE 1</t>
  </si>
  <si>
    <t>DK1-97-00112</t>
  </si>
  <si>
    <t>DK1-97-00113</t>
  </si>
  <si>
    <t>MUTUELLE D'EPARGNE ET DE CREDIT DES PARCELLES ASSAINIES DE GUEDIAWAYE</t>
  </si>
  <si>
    <t>DK1-98-00144</t>
  </si>
  <si>
    <t>MUTUELLE D'EPARGNE ET DE CREDIT DES MAMELLES DE OUAKAM</t>
  </si>
  <si>
    <t>DK1-98-00145</t>
  </si>
  <si>
    <t>MECZY</t>
  </si>
  <si>
    <t>DK1-99-0001U</t>
  </si>
  <si>
    <t>DK2-03-00287</t>
  </si>
  <si>
    <t>DK2-06-00452</t>
  </si>
  <si>
    <t>MUTUELLE D'EPARGNE ET DE CREDIT DES FEMMES DE LA CITE DES NATIONS UNIES</t>
  </si>
  <si>
    <t>MEC FEMUNI</t>
  </si>
  <si>
    <t>DK2-07-00487</t>
  </si>
  <si>
    <t>DK2-08-00536</t>
  </si>
  <si>
    <t>CMG</t>
  </si>
  <si>
    <t>DK2-98-00138</t>
  </si>
  <si>
    <t>DK2-98-00139</t>
  </si>
  <si>
    <t>DK2-98-00143</t>
  </si>
  <si>
    <t>MUTUELLE D'EPARGNE ET DE CREDIT DE ICOTAF-BOUBESS</t>
  </si>
  <si>
    <t>DK2-98-00144</t>
  </si>
  <si>
    <t>MUTUELLE D'EPARGNE ET DE CREDIT DU LITTORAL GUEDIAWAYE</t>
  </si>
  <si>
    <t>DK2-98-00145</t>
  </si>
  <si>
    <t>DK2-98-00147</t>
  </si>
  <si>
    <t>DK2-98-00148</t>
  </si>
  <si>
    <t>DK2-98-00149</t>
  </si>
  <si>
    <t>MUTUELLE D'EPARGNE ET DE CREDIT DE GUEDIAWAYE KAW</t>
  </si>
  <si>
    <t>DK2-98-00150</t>
  </si>
  <si>
    <t>MUTUELLE D'EPARGNE ET DE CREDIT DE LA ZONE DE YEUMBEUL</t>
  </si>
  <si>
    <t>DK3-01-00233</t>
  </si>
  <si>
    <t>MUTUELLE D'EPARGNE ET DE CREDIT JAPPOO DE DIAMNIADIO</t>
  </si>
  <si>
    <t>REMEC NIAYES</t>
  </si>
  <si>
    <t>DK3-01-00239</t>
  </si>
  <si>
    <t>MUTUELLE D'EPARGNE ET DE CREDIT DE L'ASSOCIATION POUR LE DEVELOPPEMENT DES FEMMES AVICULTRICES DE PIKINE</t>
  </si>
  <si>
    <t>DK3-01-00241</t>
  </si>
  <si>
    <t>MUTUELLE D'EPARGNE ET DE CREDIT DES FEMMES DE LA ZONE DE PIKINE</t>
  </si>
  <si>
    <t>MUTUELLE D'EPARGNE ET DE CREDIT DE SANGALKAM</t>
  </si>
  <si>
    <t>DK3-06-00462</t>
  </si>
  <si>
    <t>MUTUELLE D'EPARGNE ET DE CREDIT DE JAPPOO SUXXALI REEWMI</t>
  </si>
  <si>
    <t>DK3-07-00514</t>
  </si>
  <si>
    <t>MUTUELLE D'EPARGNE ET DE CREDIT COMMUNAUTAIRE DE YEUMBEUL SUD</t>
  </si>
  <si>
    <t>MECCYS</t>
  </si>
  <si>
    <t>DK3-08-00550</t>
  </si>
  <si>
    <t>DK3-08-00563</t>
  </si>
  <si>
    <t>MEC WOOLONTE</t>
  </si>
  <si>
    <t>DK3-09-00580</t>
  </si>
  <si>
    <t>DK3-97-00102</t>
  </si>
  <si>
    <t>MUTUELLE D'EPARGNE ET DE CREDIT DE LA ZONE OUEST DE RUFISQUE</t>
  </si>
  <si>
    <t>MUTUELLE D'EPARGNE ET DE CREDIT DU PLATEAU A RUFISQUE</t>
  </si>
  <si>
    <t>DK3-98-00137</t>
  </si>
  <si>
    <t>DK4-04-00364</t>
  </si>
  <si>
    <t>MUTUELLE D'EPARGNE ET DE CREDIT DE LA FEDERATION COMMUNALE DE BARGNY DE LA FNGPF</t>
  </si>
  <si>
    <t>MEC FECOB</t>
  </si>
  <si>
    <t>DK4-07-00511</t>
  </si>
  <si>
    <t>MEC DIALAW</t>
  </si>
  <si>
    <t>DK4-09-00579</t>
  </si>
  <si>
    <t>DK4-09-00583</t>
  </si>
  <si>
    <t>DK4-09-00586</t>
  </si>
  <si>
    <t>DIOURBEL</t>
  </si>
  <si>
    <t>DL1-03-00323</t>
  </si>
  <si>
    <t>MUTUELLE D'EPARGNE ET DE CREDIT "SUXALI" BABA GARAGE</t>
  </si>
  <si>
    <t>DL1-98-00136</t>
  </si>
  <si>
    <t>DL2-03-00307</t>
  </si>
  <si>
    <t>MEC REDIBE BABA GARAGE</t>
  </si>
  <si>
    <t>URMECS</t>
  </si>
  <si>
    <t>DL2-08-00553</t>
  </si>
  <si>
    <t>MUTUELLE ALLIANCE DE CREDIT ET D'EPARGNE POUR LA PRODUCTION DE DIOURBEL</t>
  </si>
  <si>
    <t>UMECAS</t>
  </si>
  <si>
    <t>DL3-05-00433</t>
  </si>
  <si>
    <t>MUTUELLE D'EPARGNE ET DE CREDIT POUR LE DEVELOPPEMENT COMMUNAUTAIRE TAÏF XEWEUL</t>
  </si>
  <si>
    <t>MEC DC/TX</t>
  </si>
  <si>
    <t>DL3-07-00496</t>
  </si>
  <si>
    <t>DL3-98-00118</t>
  </si>
  <si>
    <t>MUTUELLE D'EPARGNE ET DE CREDIT NDAP NE A SINIG</t>
  </si>
  <si>
    <t>FATICK</t>
  </si>
  <si>
    <t>FK1-03-00319</t>
  </si>
  <si>
    <t>MUTUELLE D'EPARGNE ET DE CREDIT "BOKK XOL" DE NDOUR - NDOUR</t>
  </si>
  <si>
    <t>FK1-03-00345</t>
  </si>
  <si>
    <t>MUTUELLE D'EPARGNE ET DE CREDIT IMMEBIR DE FOUNDIOUGNE</t>
  </si>
  <si>
    <t>FK1-04-00396</t>
  </si>
  <si>
    <t>FK1-05-00413</t>
  </si>
  <si>
    <t>MUTUELLE D'EPARGNE ET DE CREDIT "LE SINE"</t>
  </si>
  <si>
    <t>FK1-05-00432</t>
  </si>
  <si>
    <t>MUTUELLE D'EPARGNE ET DE CREDIT I-NDANGANE FOP</t>
  </si>
  <si>
    <t>MEC INDAF</t>
  </si>
  <si>
    <t>FK1-98-00120</t>
  </si>
  <si>
    <t>FK2-03-00339</t>
  </si>
  <si>
    <t>MUTUELLE D'EPARGNE ET DE CREDIT DEGGO BOKK LIGGEY KEUR AYÏP KA</t>
  </si>
  <si>
    <t>FK2-04-00379</t>
  </si>
  <si>
    <t>MUTUELLE D'EPARGNE ET DE CREDIT "DIMBALANTE" DE FOUNDIOUGNE DE LA FNGPF</t>
  </si>
  <si>
    <t>FK2-07-00466</t>
  </si>
  <si>
    <t>MUTUELLE D'EPARGNE ET DE CREDIT DE LA RESERVE NATURELLE COMMUNAUTAIRE DU DELTA DU SALOUM</t>
  </si>
  <si>
    <t>FK2-98-00135</t>
  </si>
  <si>
    <t>FK3-03-00316</t>
  </si>
  <si>
    <t>MUTUELLE D'EPARGNE ET DE CREDIT "BOKK JOM" DE BOUSTANE DIAW</t>
  </si>
  <si>
    <t>FK3-08-00546</t>
  </si>
  <si>
    <t>GOSSAS</t>
  </si>
  <si>
    <t>FK3-98-00119</t>
  </si>
  <si>
    <t>KAOLACK</t>
  </si>
  <si>
    <t>KOLDA</t>
  </si>
  <si>
    <t>KD1-00-00193</t>
  </si>
  <si>
    <t>KD1-01-00252</t>
  </si>
  <si>
    <t>MUTUELLE D'EPARGNE ET DE CREDIT DES FEMMES DE KOLDA</t>
  </si>
  <si>
    <t>KD1-08-00547</t>
  </si>
  <si>
    <t>KD1-08-00559</t>
  </si>
  <si>
    <t>MUTUELLE ALLIANCE DE CREDIT ET D'EPARGNE POUR LA PRODUCTION DE KOLDA</t>
  </si>
  <si>
    <t>KD2-00-00197</t>
  </si>
  <si>
    <t>KD2-04-00399</t>
  </si>
  <si>
    <t>KD2-07-00494</t>
  </si>
  <si>
    <t>KD2-08-00523</t>
  </si>
  <si>
    <t>KEDOUGOU</t>
  </si>
  <si>
    <t>KL1-03-00321</t>
  </si>
  <si>
    <t>KL1-99-00159</t>
  </si>
  <si>
    <t>MUTUELLE D'EPARGNE ET DE CREDIT APROFES-TERANGA</t>
  </si>
  <si>
    <t>KL2-07-00488</t>
  </si>
  <si>
    <t>KL2-08-00554</t>
  </si>
  <si>
    <t>MUTUELLE ALLIANCE DE CREDIT ET D'EPARGNE POUR LA PRODUCTION DE KAOLACK</t>
  </si>
  <si>
    <t>KL3-03-00325</t>
  </si>
  <si>
    <t>MUTUELLE D'EPARGNE ET DE CREDIT "NDIMBALANTE" DE KEUR MADIABEL</t>
  </si>
  <si>
    <t>KL3-07-00519</t>
  </si>
  <si>
    <t>MUTUELLE D'EPARGNE ET DE CREDIT DE KEBEMER</t>
  </si>
  <si>
    <t>MEC KEBEMER</t>
  </si>
  <si>
    <t>LG1-04-00388</t>
  </si>
  <si>
    <t>MUTUELLE D'EPARGNE ET DE CREDIT DE DAROU MOUSTY</t>
  </si>
  <si>
    <t>MEC DAROU MOUSTY</t>
  </si>
  <si>
    <t>LG1-07-00479</t>
  </si>
  <si>
    <t>MUTUELLE D'EPARGNE ET DE CREDIT DE GUEOUL</t>
  </si>
  <si>
    <t>MEC GUEOUL</t>
  </si>
  <si>
    <t>LG1-07-00480</t>
  </si>
  <si>
    <t>MUTUELLE D'EPARGNE ET DE CREDIT  DE SAM YABAL</t>
  </si>
  <si>
    <t>MEC SAM YABAL</t>
  </si>
  <si>
    <t>LG1-07-00481</t>
  </si>
  <si>
    <t>MUTUELLE D'EPARGNE ET DE CREDIT DE DAROU MARNANE</t>
  </si>
  <si>
    <t>MEC DAROU MARNANE</t>
  </si>
  <si>
    <t>LG1-07-00489</t>
  </si>
  <si>
    <t>LG1-07-00509</t>
  </si>
  <si>
    <t>LG1-97-00130</t>
  </si>
  <si>
    <t>MUTUELLE D'EPARGNE ET DE CREDIT DES ARTISANTS RURAUX ET URBAINS DE LOUGA</t>
  </si>
  <si>
    <t>LG1-99-00173</t>
  </si>
  <si>
    <t>MUTUELLE D'EPARGNE ET DE CREDIT DE LA ZONE DE POTOU</t>
  </si>
  <si>
    <t>LG1-99-00181</t>
  </si>
  <si>
    <t>MUTUELLE D'EPARGNE ET DE CREDIT DE LA FEDERATION DES ASSOCIATIONS DE DEVELOPPEMENT COMMUNAUTAIRE KAJOOR</t>
  </si>
  <si>
    <t>LG1-99-00182</t>
  </si>
  <si>
    <t>MUTUELLE D'EPARGNE ET DE CREDIT DE LA FEDERATION DES ASSOCIATIONS DE DEVELOPPEMENT COMMUNAUTAIRE NDIAMBOUR</t>
  </si>
  <si>
    <t>LG2-04-00387</t>
  </si>
  <si>
    <t>MUTUELLE D'EPARGNE ET DE CREDIT DU COLLECTIF DES ORGANISATIONS POUR LE DEVELOPPEMENT LOCAL DE SAGATTA DJOLOFF</t>
  </si>
  <si>
    <t>LG2-07-00482</t>
  </si>
  <si>
    <t>MUTUELLE D'EPARGNE ET DE CREDIT DE BARKEDJI</t>
  </si>
  <si>
    <t>LG2-07-00484</t>
  </si>
  <si>
    <t>LG2-08-00529</t>
  </si>
  <si>
    <t>MECED</t>
  </si>
  <si>
    <t>LG3-06-00446</t>
  </si>
  <si>
    <t>MUTUELLE D'EPARGNE ET DE CREDIT DE NDIAGNE</t>
  </si>
  <si>
    <t>LG3-07-00491</t>
  </si>
  <si>
    <t>LG3-99-00169</t>
  </si>
  <si>
    <t>MUTUELLE D'EPARGNE ET DE CREDIT DU DJOLOF</t>
  </si>
  <si>
    <t>DJOMEC</t>
  </si>
  <si>
    <t>THIES</t>
  </si>
  <si>
    <t>MATAM</t>
  </si>
  <si>
    <t>MT3-04-00354</t>
  </si>
  <si>
    <t>MUTUELLE D'EPARGNE ET DE CREDIT MBAMTAARE DE MATAM DE LA FNGPF</t>
  </si>
  <si>
    <t>MT3-05-00409</t>
  </si>
  <si>
    <t>CAISSE D'EPARGNE ET DE CREDIT DES ARTISANS DE MATAM</t>
  </si>
  <si>
    <t>MT3-06-00459</t>
  </si>
  <si>
    <t>MUTUELLE D'EPARGNE ET DE CREDIT DES COMMERCANTS INDUSTRIELS ET AGRICULTEURS DE MATAM _ FAWROU</t>
  </si>
  <si>
    <t>MT3-07-00507</t>
  </si>
  <si>
    <t>MUTUELLE D'EPARGNE ET DE CREDIT DE BILBASI</t>
  </si>
  <si>
    <t>MEC DE BILBASI</t>
  </si>
  <si>
    <t>MT3-07-00508</t>
  </si>
  <si>
    <t>MUTUELLE D'EPARGNE ET DE CREDIT DES FEMMES DE LA COMMUNAUTE RURALE DE AGNAM CIVOL</t>
  </si>
  <si>
    <t>MT3-08-00556</t>
  </si>
  <si>
    <t>MUTUELLE ALLIANCE DE CREDIT ET D'EPARGNE POUR LA PRODUCTION DE OUROSSOGUI</t>
  </si>
  <si>
    <t>SAINT-LOUIS</t>
  </si>
  <si>
    <t>PODOR</t>
  </si>
  <si>
    <t>SL1-00-00224</t>
  </si>
  <si>
    <t>SL1-01-00240</t>
  </si>
  <si>
    <t>MUTUELLE D'EPARGNE ET DE CREDIT DE L'ASSOCIATION  FEMMES ENTREPRISES RURALES DE LA REGION DU NORD</t>
  </si>
  <si>
    <t>MEC AFER NORD</t>
  </si>
  <si>
    <t>SL1-05-00410</t>
  </si>
  <si>
    <t>MUTUELLE D'EPARGNE ET DE CREDIT DES ARTISANS DE DAGANA</t>
  </si>
  <si>
    <t>SL1-07-00493</t>
  </si>
  <si>
    <t>SL1-08-00522</t>
  </si>
  <si>
    <t>CAISSE POPULAIRE D'EPARGNE ET DE CREDIT  DE MPAL</t>
  </si>
  <si>
    <t>SL1-98-00156</t>
  </si>
  <si>
    <t>MUTUELLE D'EPARGNE ET DE CREDIT DE LA FEDERATION DES GROUPEMENTS ET ASSOCIATIONS DES FEMMES PRODUCTRICES DU DELTA DU SENEGAL</t>
  </si>
  <si>
    <t>SL2-04-00361</t>
  </si>
  <si>
    <t>MUTUELLE D'EPARGNE ET DE CREDIT "ADAMA AÏSSE" DE PODOR DE LA FNGPF</t>
  </si>
  <si>
    <t>SL2-04-00384</t>
  </si>
  <si>
    <t>MUTUELLE D'EPARGNE ET DE CREDIT KOYLI WIRNDE DE PODOR</t>
  </si>
  <si>
    <t>SL2-05-00411</t>
  </si>
  <si>
    <t>CAISSE D'EPARGNE ET DE CREDIT DES ARTISANS DE PODOR</t>
  </si>
  <si>
    <t>SL2-07-00502</t>
  </si>
  <si>
    <t>SL2-08-00543</t>
  </si>
  <si>
    <t>SL2-99-00180</t>
  </si>
  <si>
    <t>MEC DELTA</t>
  </si>
  <si>
    <t>MUTUELLE D'EPARGNE ET DE CREDIT DE GANDIOLE</t>
  </si>
  <si>
    <t>SL3-04-00385</t>
  </si>
  <si>
    <t>MUTUELLE D'EPARGNE ET DE CREDIT POUR LA PROMOTION DE LA PÊCHE ARTISANALE A SAINT-LOUIS</t>
  </si>
  <si>
    <t>MEC PROPAS</t>
  </si>
  <si>
    <t>SL3-05-00415</t>
  </si>
  <si>
    <t>SL3-06-00443</t>
  </si>
  <si>
    <t>MUTUELLE D'EPARGNE ET DE CREDIT DES PRODUCTEURS AGRICOLES DE RAO</t>
  </si>
  <si>
    <t>SL3-08-00555</t>
  </si>
  <si>
    <t>SL3-98-00154</t>
  </si>
  <si>
    <t>MUTUELLE D'EPARGNE ET DE CREDIT DE DONAYE A PODOR</t>
  </si>
  <si>
    <t>CCMAO</t>
  </si>
  <si>
    <t>TAMBACOUNDA</t>
  </si>
  <si>
    <t>MUTUELLE D'EPARGNE ET DE CREDIT XEEWAL DE KOAR</t>
  </si>
  <si>
    <t>TC1-00-00195</t>
  </si>
  <si>
    <t>TC1-07-00485</t>
  </si>
  <si>
    <t>TC1-07-00490</t>
  </si>
  <si>
    <t>TC1-98-00141</t>
  </si>
  <si>
    <t>TC2-98-00140</t>
  </si>
  <si>
    <t>TC3-03-00295</t>
  </si>
  <si>
    <t>MEC APROVAG</t>
  </si>
  <si>
    <t>TC3-03-00296</t>
  </si>
  <si>
    <t>MUTUELLE D'EPARGNE ET DE CREDIT DES ACTEURS DU DEVELOPPEMENT RURAL DE TAMBACOUNDA</t>
  </si>
  <si>
    <t>TC3-08-00557</t>
  </si>
  <si>
    <t>TH1-00-00202</t>
  </si>
  <si>
    <t>MUTUELLE D'EPARGNE ET DE CREDIT DE DIASS</t>
  </si>
  <si>
    <t>MEC DIASS</t>
  </si>
  <si>
    <t>TH1-04-00397</t>
  </si>
  <si>
    <t>TH1-05-00430</t>
  </si>
  <si>
    <t>INSTITUTION MUTUALISTE COMMUNAUTAIRE D'EPARGNE ET DE CREDIT - MBOUR</t>
  </si>
  <si>
    <t>TH1-07-00477</t>
  </si>
  <si>
    <t>MUTUELLE D'EPARGNE ET DE CREDIT DE LA FEDERATION DES GROUPEMENTS DE PROMOTION FEMININE DU DEPARTEMENT DE MBOUR</t>
  </si>
  <si>
    <t>TH1-07-00498</t>
  </si>
  <si>
    <t>TH1-07-00504</t>
  </si>
  <si>
    <t>MUTUELLE D'EPARGNE ET DE CREDIT DE LA MAISON FAMILIALE RURALE DE MALICOUNDA</t>
  </si>
  <si>
    <t>TH1-08-00521</t>
  </si>
  <si>
    <t>TH1-08-00542</t>
  </si>
  <si>
    <t>TH1-08-00548</t>
  </si>
  <si>
    <t>TH1-08-00551</t>
  </si>
  <si>
    <t>MUTUELLE ALLIANCE DE CREDIT ET D'EPARGNE POUR LA PRODUCTION DE MBOUR</t>
  </si>
  <si>
    <t>TH1-09-00578</t>
  </si>
  <si>
    <t>TH1-10-00596</t>
  </si>
  <si>
    <t>COOPERATIVE AUTONOME POUR LE RENFORCEMENT DES INITIATIVES ECONOMIQUES PAR LA MICROFINANCE</t>
  </si>
  <si>
    <t>TH1-98-00142</t>
  </si>
  <si>
    <t>TH1-99-00174</t>
  </si>
  <si>
    <t>CAISSE POPULAIRE D'EPARGNE ET DE CREDIT SAM SA NGOR</t>
  </si>
  <si>
    <t>TH1-99-00185</t>
  </si>
  <si>
    <t>MUTUELLE D'EPARGNE ET DE CREDIT POUR LA PROMOTION DE LA PECHE A MBOUR</t>
  </si>
  <si>
    <t>MEC PROPEM</t>
  </si>
  <si>
    <t>TH2-01-00236</t>
  </si>
  <si>
    <t>INSTITUTION MUTUALISTE COMMUNAUTAIRE D'EPARGNE ET DE CREDIT DE THIES</t>
  </si>
  <si>
    <t>TH2-01-00255</t>
  </si>
  <si>
    <t>MUTUELLE D'EPARGNE ET DE CREDIT DES AGRO-PASTEURS DE DIENDER</t>
  </si>
  <si>
    <t>TH2-03-00292</t>
  </si>
  <si>
    <t>TH2-03-00328</t>
  </si>
  <si>
    <t>MUTUELLE D'EPARGNE ET DE CREDIT "SANT SUNU BOROM" DE KHOMBOLE</t>
  </si>
  <si>
    <t>TH2-04-00404</t>
  </si>
  <si>
    <t>MEC DOOLDJI</t>
  </si>
  <si>
    <t>TH2-07-0010U</t>
  </si>
  <si>
    <t>TH2-07-00495</t>
  </si>
  <si>
    <t>TH2-07-00499</t>
  </si>
  <si>
    <t>MUTUELLE D'EPARGNE ET DE CREDIT POUR LA PROMOTION DE LA PÊCHE ARTISANALE RESPONSABLE DE CAYAR</t>
  </si>
  <si>
    <t>MEC PROPARC</t>
  </si>
  <si>
    <t>TH2-08-00545</t>
  </si>
  <si>
    <t>TH2-08-00552</t>
  </si>
  <si>
    <t>MUTUELLE ALLIANCE DE CREDIT ET D'EPARGNE POUR LA PRODUCTION DE THIES</t>
  </si>
  <si>
    <t>TH2-98-00117</t>
  </si>
  <si>
    <t>TH3-00-00191</t>
  </si>
  <si>
    <t>TIVAOUANE</t>
  </si>
  <si>
    <t>COOPERATIVE D'EPARGNE ET DE CREDIT DE MBORO</t>
  </si>
  <si>
    <t>COOPERATIVE D'EPARGNE ET DE CREDIT DE SAO</t>
  </si>
  <si>
    <t>TH3-03-00288</t>
  </si>
  <si>
    <t>MUTUELLE D'EPARGNE ET DE CREDIT DE LA MAISON FAMILIALE RURALE DE PEKESSE</t>
  </si>
  <si>
    <t>TH3-03-00311</t>
  </si>
  <si>
    <t>TH3-04-00371</t>
  </si>
  <si>
    <t>MUTUELLE D'EPARGNE ET DE CREDIT DE L'UNION DES GROUPEMENTS PAYSANS DES NIAYES</t>
  </si>
  <si>
    <t>MEC UGPN</t>
  </si>
  <si>
    <t>TH3-04-00392</t>
  </si>
  <si>
    <t>MUTUELLE D'EPARGNE ET DE CREDIT DE LA FEDERATION DES GROUPEMENTS FEMININS DE LA ZONE DE MBAYENE PARTENAIRE DU RADI</t>
  </si>
  <si>
    <t>MEC FGMPR</t>
  </si>
  <si>
    <t>TH3-05-0007U</t>
  </si>
  <si>
    <t>TH3-08-00544</t>
  </si>
  <si>
    <t>TH3-09-00584</t>
  </si>
  <si>
    <t>ZIGUINCHOR</t>
  </si>
  <si>
    <t>ZG1-00-00192</t>
  </si>
  <si>
    <t>MUTUELLE D'EPARGNE ET DE CREDIT KAGNOBON</t>
  </si>
  <si>
    <t>MUTUELLE D'EPARGNE ET DE CREDIT KABILINE</t>
  </si>
  <si>
    <t>MUTUELLE D'EPARGNE ET DE CREDIT COUBALAN</t>
  </si>
  <si>
    <t>MUTUELLE D'EPARGNE ET DE CREDIT MAHMOUDA II</t>
  </si>
  <si>
    <t>MUTUELLE D'EPARGNE ET DE CREDIT SINDIAN</t>
  </si>
  <si>
    <t>MUTUELLE D'EPARGNE ET DE CREDIT KATIPA</t>
  </si>
  <si>
    <t>ZG1-04-0006U</t>
  </si>
  <si>
    <t>ZG1-04-00395</t>
  </si>
  <si>
    <t>ZG1-98-00122</t>
  </si>
  <si>
    <t>ZG2-03-00306</t>
  </si>
  <si>
    <t>MUTUELLE D'EPARGNE ET DE CREDIT "MEC SOF LIT " DE KOUBANAO DE ZIGUINCHOR</t>
  </si>
  <si>
    <t>ZG2-03-00329</t>
  </si>
  <si>
    <t>MUTUELLE D'EPARGNE ET DE CREDIT KAREMBENOOR D'ALBADAR</t>
  </si>
  <si>
    <t>ZG2-07-00483</t>
  </si>
  <si>
    <t>ZG2-98-00123</t>
  </si>
  <si>
    <t>ZG3-05-00431</t>
  </si>
  <si>
    <t>INSTITUTION MUTUALISTE COMMUNAUTAIRE D'EPARGNE ET DE CREDIT - CASAMANCE</t>
  </si>
  <si>
    <t>ZG3-08-00558</t>
  </si>
  <si>
    <t>MUTUELLE ALLIANCE DE CREDIT ET D'EPARGNE POUR LA PRODUCTION DE ZIGUINCHOR</t>
  </si>
  <si>
    <t>ZG3-98-00121</t>
  </si>
  <si>
    <t>LIMITATIONS DES RISQUES AUXQUELS EST EXPOSEE UNE INSTITUTION (Art.147)</t>
  </si>
  <si>
    <t>Ratio = (A/B)x100</t>
  </si>
  <si>
    <t>Codes postes</t>
  </si>
  <si>
    <t>Numérateur : risques portés par une institution (A) : Montants nets des provisionset des dépôts de garantie</t>
  </si>
  <si>
    <t>Résultat</t>
  </si>
  <si>
    <t>Norme à respecter</t>
  </si>
  <si>
    <t>Analyse</t>
  </si>
  <si>
    <t>200% MAX</t>
  </si>
  <si>
    <t>Autres comptes de dépôt débiteurs</t>
  </si>
  <si>
    <t>Sous total Num. 1</t>
  </si>
  <si>
    <t>Engagements par signature données</t>
  </si>
  <si>
    <t>Sous total Num. 2</t>
  </si>
  <si>
    <t>Total numérateur</t>
  </si>
  <si>
    <t>Dénominateur : ressources (B)</t>
  </si>
  <si>
    <t xml:space="preserve">Autres comptes de dépôt créditeurs </t>
  </si>
  <si>
    <t xml:space="preserve">Dépôts à terme reçus </t>
  </si>
  <si>
    <t xml:space="preserve">Autres dépôts reçus </t>
  </si>
  <si>
    <t>Total dénominateur</t>
  </si>
  <si>
    <t>COUVERTURE DES EMPLOIS A MOYENS ET LONG TERME PAR DES RESSOURCES STABLES (Art. 147)</t>
  </si>
  <si>
    <t>Codes poste</t>
  </si>
  <si>
    <t>Numérateur : ressources stables (A)</t>
  </si>
  <si>
    <t>100% MIN</t>
  </si>
  <si>
    <t xml:space="preserve">Autres comptes de dépôt créditeurs à moyens et long terme  </t>
  </si>
  <si>
    <t>Emprunts à terme auprès des institutions financières</t>
  </si>
  <si>
    <t>Autres sommes dues aux institutions financières à moyen et long terme</t>
  </si>
  <si>
    <t>Dépôts à terme reçus à moyen et long terme</t>
  </si>
  <si>
    <t>Comptes d'épargne à régime spécial à moyen et long terme</t>
  </si>
  <si>
    <t>Autres dépôts de garantie reçus des  membres,bénéficiaires  ou clients à moyen et long terme</t>
  </si>
  <si>
    <t xml:space="preserve">Autres dépôts reçus des membres, bénéficiaires ou clients à moyen et long terme </t>
  </si>
  <si>
    <t>Emprunts reçus des membres, bénéficiaires ou clients à moyen et long terme</t>
  </si>
  <si>
    <t xml:space="preserve">Autres sommes dues aux membres, bénéficiares ou clients à moyen et long terme </t>
  </si>
  <si>
    <t>Dénominateur :emplois à moyen et long terme (B)</t>
  </si>
  <si>
    <t>Dépôts de garantie constitués auprès des institutions financières à plus d'un an</t>
  </si>
  <si>
    <t>Prêts en souffrance nets des provisions auprès des institutions financières</t>
  </si>
  <si>
    <t xml:space="preserve">Crédits à moyen terme </t>
  </si>
  <si>
    <t>Crédit en souffrance nets des provisions des membres, bénéficiaires ou clients</t>
  </si>
  <si>
    <t xml:space="preserve">Titres d'investissements </t>
  </si>
  <si>
    <t>LIMITATION DES PRETS AUX DIRIGEANTS ET AU PERSONNEL AINSI QU'AUX PERSONNES LIEES (Art. 35)</t>
  </si>
  <si>
    <t>Numérateur : prêts et engagements par signatures (A)</t>
  </si>
  <si>
    <t>10% MAX</t>
  </si>
  <si>
    <t>Dénominateur : Fonds propres (B)</t>
  </si>
  <si>
    <t xml:space="preserve">Fonds pour risques financiers généraux </t>
  </si>
  <si>
    <t>Sous total Dénom. 1</t>
  </si>
  <si>
    <t>Eléments à déduire</t>
  </si>
  <si>
    <t>Immobilisation incorporelles nettes</t>
  </si>
  <si>
    <t>LIMITATION DES RISQUES PRIS SUR UNE SEULE SIGNATURE (Art.147)</t>
  </si>
  <si>
    <t>Numérateur : valeurs réalisables et disponibles (A) (Montants nets)</t>
  </si>
  <si>
    <r>
      <t xml:space="preserve">100% MIN </t>
    </r>
    <r>
      <rPr>
        <sz val="22"/>
        <color theme="1"/>
        <rFont val="Calibri"/>
        <family val="2"/>
        <scheme val="minor"/>
      </rPr>
      <t>IMCEC Non affiliée</t>
    </r>
  </si>
  <si>
    <t>Dépôts à court terme constitués</t>
  </si>
  <si>
    <t>Autres comptes de dépôts débiteurs</t>
  </si>
  <si>
    <t xml:space="preserve">Comptes de prêts à court terme </t>
  </si>
  <si>
    <t xml:space="preserve">Comptes ordinaires débiteurs des membres,bénéficiares ou clients </t>
  </si>
  <si>
    <r>
      <t xml:space="preserve">80% MIN </t>
    </r>
    <r>
      <rPr>
        <sz val="22"/>
        <color theme="1"/>
        <rFont val="Calibri"/>
        <family val="2"/>
        <scheme val="minor"/>
      </rPr>
      <t>IMCEC  affiliée</t>
    </r>
  </si>
  <si>
    <t>Engagements de financement et de garantie données</t>
  </si>
  <si>
    <t>Engagement donnés en faveur des institutions financieres</t>
  </si>
  <si>
    <t>Engagement donnés en faveur des membres, beneficiaires ou clients</t>
  </si>
  <si>
    <t>Engagement de garantie d'ordre des institutions financières</t>
  </si>
  <si>
    <t>Engagement de garantie d'ordre des membres, bénéficiaires ou clients</t>
  </si>
  <si>
    <t>Dénominateur : passif exigible (B)</t>
  </si>
  <si>
    <t xml:space="preserve">Comptes ordinaires créditeurs </t>
  </si>
  <si>
    <t>Autres comptes de dépôts créditeurs</t>
  </si>
  <si>
    <t>Dépôt à terme reçus à court terme</t>
  </si>
  <si>
    <r>
      <t xml:space="preserve">60% MIN </t>
    </r>
    <r>
      <rPr>
        <sz val="24"/>
        <color theme="1"/>
        <rFont val="Calibri"/>
        <family val="2"/>
        <scheme val="minor"/>
      </rPr>
      <t>Autres</t>
    </r>
  </si>
  <si>
    <t xml:space="preserve">Emprunts de l'institution auprès des membres </t>
  </si>
  <si>
    <t xml:space="preserve">Autres sommes dues </t>
  </si>
  <si>
    <t>Dettes rattachées (F60+G90)</t>
  </si>
  <si>
    <t>Encours des engagements de financement et de garantie reçus (N1H+N1K+N2H+N2M)</t>
  </si>
  <si>
    <t>Engagement de garantie Reçus des institutions financiéres</t>
  </si>
  <si>
    <t>Engagement de garantie Reçus des membres, beneficiaires ou client</t>
  </si>
  <si>
    <t>LIMITATION  DES OPERATIONS AUTRES QUE LES ACTIVITES D'EPARGNE ET DE CREDIT (Art.36)</t>
  </si>
  <si>
    <t>Numérateur : montant consacré par l'institution aux activités autres que l'épargne et le crédit (A)</t>
  </si>
  <si>
    <t>5% MAX</t>
  </si>
  <si>
    <t>Dénominateur : risques portés par une institution (B) Montants nets des provisionset des dépôts de garantie</t>
  </si>
  <si>
    <t xml:space="preserve">Comptes ordinaires débiteurs des membres, bénéficiaires ou clients  </t>
  </si>
  <si>
    <t xml:space="preserve">Crédits à moyens terme </t>
  </si>
  <si>
    <t xml:space="preserve">Crédits à long terme </t>
  </si>
  <si>
    <t>Crédits en souffrances</t>
  </si>
  <si>
    <t xml:space="preserve">Titres de placement </t>
  </si>
  <si>
    <t>Engagements par signature donnés (N1A+N1J+N3A+Q1A)</t>
  </si>
  <si>
    <t>CONSTITUTION DE LA RESERVE GENERALE (Art.85 et 124)</t>
  </si>
  <si>
    <t>Ratio = (Base x 15% min.)</t>
  </si>
  <si>
    <t>BASE</t>
  </si>
  <si>
    <t>Base*15% Min</t>
  </si>
  <si>
    <t>Report à nouveau déficitaire</t>
  </si>
  <si>
    <t>NORME DE CAPITALISATION (Art. 85 et 123)</t>
  </si>
  <si>
    <t>Numérateur : fonds propres (A)</t>
  </si>
  <si>
    <t>15% MIN.</t>
  </si>
  <si>
    <t xml:space="preserve">Subventions d'investissement </t>
  </si>
  <si>
    <t xml:space="preserve">Fonds affectés </t>
  </si>
  <si>
    <t xml:space="preserve">Provisions pour risques et charges </t>
  </si>
  <si>
    <t>Emprunts et titres émis subordonnées</t>
  </si>
  <si>
    <t xml:space="preserve">Excédent des produits sur les charges </t>
  </si>
  <si>
    <t xml:space="preserve">Excédent des charges sur les produits </t>
  </si>
  <si>
    <t>Immobilisations incorporelles nettes (D24+D31+D41+D46)</t>
  </si>
  <si>
    <t xml:space="preserve">Complément de provisions non constituées et éxigées par les autorités de contrôle </t>
  </si>
  <si>
    <t>Dénominateur : total actif de fin de période en montants nets (B)</t>
  </si>
  <si>
    <t>LIMITATION DES PRISES DE PARTICIPATION(Art. 36)</t>
  </si>
  <si>
    <t>Numérateur : Titres de participation (A)</t>
  </si>
  <si>
    <t>25% MAX.</t>
  </si>
  <si>
    <t>Titres de participations (sauf participations dans les établissements de crédit et les SFD )</t>
  </si>
  <si>
    <t>Dénominateur : fonds propres (B)</t>
  </si>
  <si>
    <t>FINANCEMENT DES IMMOBILISATIONS ET DES PRISES DE PARTICIPATION(Art. 36)</t>
  </si>
  <si>
    <t xml:space="preserve">Numérateur : Immobilisation et Titres de participation </t>
  </si>
  <si>
    <t>Immobilisations incorporelles en cours</t>
  </si>
  <si>
    <t>100%
 MAX,</t>
  </si>
  <si>
    <t>Immobilisations incorporelles d'exploitation (déduction faites des frais et valeurs immobilisés)</t>
  </si>
  <si>
    <t>Immobilisations incorporelles hors exploitation</t>
  </si>
  <si>
    <t>Immobilisations incorporelles hors exploitation acquise par réalisation de garantie (Déduction faite des immobilisations acquises par réalisation de garantie depuis moins de 2 ans),</t>
  </si>
  <si>
    <t>Immobilisations corporelles hors exploitation acquise par réalisation de garantie (Déduction faite des immobilisations acquises par réalisation de garantie depuis moins de 2 ans),</t>
  </si>
  <si>
    <t>Immobilisations incorporelles d'exploitation-frais et valeurs immobilisés</t>
  </si>
  <si>
    <t>Immobilisations incorporelles hors exploitation acquise par réalisation de garantie</t>
  </si>
  <si>
    <t>INDICATEURS DE RENTABILITE</t>
  </si>
  <si>
    <t>RENTABILITE DES FONDS PROPRES</t>
  </si>
  <si>
    <t>Numérateur : Résultat net d'exploitation hors subvention (RE)</t>
  </si>
  <si>
    <t xml:space="preserve">&gt; 15% </t>
  </si>
  <si>
    <t>RENDEMENT SUR ACTIF</t>
  </si>
  <si>
    <t>Numérateur : Résultat net d'exploitation hors subvention (RNE)</t>
  </si>
  <si>
    <t xml:space="preserve">&gt; 3% </t>
  </si>
  <si>
    <t>Résultat d'exploitation hors subvention</t>
  </si>
  <si>
    <t>AUTOSUFFISANCE OPERATIONNELLE</t>
  </si>
  <si>
    <t xml:space="preserve">&gt; 130% </t>
  </si>
  <si>
    <t>Dénominateur : Montant total des charges d'exploitation (CE)</t>
  </si>
  <si>
    <t>MARGE BENEFICIAIRE</t>
  </si>
  <si>
    <t>Numérateur : Résultat net d'exploitation (RNE)</t>
  </si>
  <si>
    <t>Dénominateur : Produit d'exploitation (PE)</t>
  </si>
  <si>
    <t>COEFFICIENT D'EXPLOITATION</t>
  </si>
  <si>
    <t>Numérateur : Frais généraux (FG)</t>
  </si>
  <si>
    <t>Dénominateur : Produits financiers nets (PFN)</t>
  </si>
  <si>
    <t>INDICATEURS DE GESTION DU BILAN</t>
  </si>
  <si>
    <t>TAUX DE RENDEMENT DES ACTIFS</t>
  </si>
  <si>
    <t>Numérateur : Montant des intérêts et des commissions perçus au 
cours de la période</t>
  </si>
  <si>
    <t>PRODUIS SUR OPERATIONS AVEC LES INSTITUTIONS FINANCIERES</t>
  </si>
  <si>
    <t>&gt;15%</t>
  </si>
  <si>
    <t>Dénominateur : Montant des actifs productifs de la période</t>
  </si>
  <si>
    <t>Valeur en caisse</t>
  </si>
  <si>
    <t>RATIO DE LIQUIDITE DE L'ACTIF</t>
  </si>
  <si>
    <t>Numérateur : Disponibilités et comptes courants bancaires 
et instrumenys financiers facilement négociables de la période</t>
  </si>
  <si>
    <t>Dénominateur : Total actif de la période</t>
  </si>
  <si>
    <t>RATIO DE CAPITALISATION</t>
  </si>
  <si>
    <t>Numérateur : Montant total des fonds propres de la période</t>
  </si>
  <si>
    <t>INDICATEURS DE QUALITE DU PORTEFEUILLE</t>
  </si>
  <si>
    <t>PORTEFEUILLE CLASSE A RISQUE</t>
  </si>
  <si>
    <t xml:space="preserve">&lt; 5% pour x &gt; ou = 30 jours </t>
  </si>
  <si>
    <t xml:space="preserve"> &lt; 3% pour x &gt; ou = 90 jours</t>
  </si>
  <si>
    <t>&lt; 2% pour x &gt; ou = 180 jours</t>
  </si>
  <si>
    <t>Dénominateur : Montant brut du portefeuille de prêts</t>
  </si>
  <si>
    <t>TAUX DE PROVISION POUR CREANCE EN SOUFFRANCE</t>
  </si>
  <si>
    <t>Numérateur : Montant brut des provisions constituées</t>
  </si>
  <si>
    <t>&gt; ou = à 40%</t>
  </si>
  <si>
    <t>B70 2è colonne Ammortissements et Provision</t>
  </si>
  <si>
    <t>Dénominateur : Montant brut des créances en souffrance</t>
  </si>
  <si>
    <t>B70 1è colonne montant brute</t>
  </si>
  <si>
    <t xml:space="preserve">TAUX DE PERTE SUR CREANCE </t>
  </si>
  <si>
    <t>Numérateur : Montant des crédits passée en perte durant la période</t>
  </si>
  <si>
    <t xml:space="preserve">&lt; 2% </t>
  </si>
  <si>
    <t>Dénominateur : Montant brut du portefeuille de crédits 
de la période</t>
  </si>
  <si>
    <t>INDICATEURS D'ACTIVITES</t>
  </si>
  <si>
    <t xml:space="preserve"> MONTANT MOYEN DES CREDITS DECAISSES</t>
  </si>
  <si>
    <t>Numérateur : Montant total des crédits décaissés au cours 
de la période</t>
  </si>
  <si>
    <t>Montant total des crédits décaissés au cours de la période</t>
  </si>
  <si>
    <t>Tendance haussière</t>
  </si>
  <si>
    <t>(Mouvements enregistrés sur la période au débit des comptes de crédits aux membres, 
bénéficiaires ou clients à court, moyen et long terme au niveau de la balance générale)</t>
  </si>
  <si>
    <t>Dénominateur : Nombre total des crédits décaissés au cours 
de la période</t>
  </si>
  <si>
    <t>MONTANT MOYEN DE L'EPARGNE PAR EPARGNANT</t>
  </si>
  <si>
    <t>Numérateur : Montant total des dépôts à la fin de la période</t>
  </si>
  <si>
    <t>Dénominateur : Nombre d'épargnants à la fin de la période</t>
  </si>
  <si>
    <t>ENCOURS MOYEN DES CREDITS PAR EMPRUNTEUR</t>
  </si>
  <si>
    <t>Numérateur : Total des encours des crédits à la fin de la période</t>
  </si>
  <si>
    <t>Dénominateur : Nombre total d'empunteurs à la fin de la période</t>
  </si>
  <si>
    <t>Nombre total d'empunteurs à la fin de la période</t>
  </si>
  <si>
    <t>(nombre de personnes ayant un encours de crédit vis-à-vis de l'institution. 
Un individu ne peut être pris en compte plus d'une fois)</t>
  </si>
  <si>
    <t>INDICATEUR D'EFFICACITE PRODUCTIVITE</t>
  </si>
  <si>
    <t>PRODUCTIVITE DES AGENTS DE CREDIT</t>
  </si>
  <si>
    <t>Numérateur : Nombre d'emprunteurs actifs</t>
  </si>
  <si>
    <t>Dénominateur : Nombre d'agents de crédit</t>
  </si>
  <si>
    <t>PRODUCTIVITE DU PERSONNEL</t>
  </si>
  <si>
    <t>Numérateur : Nombre de clients actifs</t>
  </si>
  <si>
    <t>Dénominateur : Nombre d'employés</t>
  </si>
  <si>
    <t>CHARGES D'EXPLOITATION RAPPORTEES AU PORTEFEUILLE DE CREDITS</t>
  </si>
  <si>
    <t>Numérateur : Montant des charges d'exploitation de la période  (PE)</t>
  </si>
  <si>
    <t>Dénominateur : Montant brut moyen du portefeuille de crédits 
de la période</t>
  </si>
  <si>
    <t>RATIO DES FRAIS GENERAUX RAPPORTEES AU PORTEFEUILLE DE CREDITS</t>
  </si>
  <si>
    <t>Numérateur : Montant des frais généraux de la période</t>
  </si>
  <si>
    <t>&lt; 15% pour les structures de crédit direct</t>
  </si>
  <si>
    <t xml:space="preserve"> &lt; 20% pour les structures d'épargne et de crédit</t>
  </si>
  <si>
    <t xml:space="preserve">Total numérateur </t>
  </si>
  <si>
    <t>RATIO DES CHARGES DE PERSONNEL</t>
  </si>
  <si>
    <t>Numérateur : Montant des charges de personnel de la période</t>
  </si>
  <si>
    <t xml:space="preserve"> &lt; 5% pour les structures de crédit direct</t>
  </si>
  <si>
    <t>&lt; 10% pour les structures d'épargne et de crédit</t>
  </si>
  <si>
    <r>
      <t xml:space="preserve">NORME DE LIQUIDITE (Art.147)  </t>
    </r>
    <r>
      <rPr>
        <b/>
        <i/>
        <sz val="14"/>
        <rFont val="Calibri"/>
        <family val="2"/>
        <scheme val="minor"/>
      </rPr>
      <t>(Durée résiduelle de moins de 3 mois retenue)</t>
    </r>
  </si>
  <si>
    <t>BRUT</t>
  </si>
  <si>
    <t>AMT/PROV</t>
  </si>
  <si>
    <t>F01</t>
  </si>
  <si>
    <t>G01</t>
  </si>
  <si>
    <t>C01</t>
  </si>
  <si>
    <t>OPERATIONS SUR TITRES ET OPERATIONS DIVERSES</t>
  </si>
  <si>
    <t>H01</t>
  </si>
  <si>
    <t>H6A</t>
  </si>
  <si>
    <t>Comptes d'ordre et divers</t>
  </si>
  <si>
    <t>C6A</t>
  </si>
  <si>
    <t>D01</t>
  </si>
  <si>
    <t>VALEURS IMMOBILISEES</t>
  </si>
  <si>
    <t>K01</t>
  </si>
  <si>
    <t>VERSEMENTS RESTANTS A EFFECTUER SUR IMMOBILISATIONS FINANCIERES</t>
  </si>
  <si>
    <t>Immobilsations d'exploitation</t>
  </si>
  <si>
    <t>Provisions pour Risques et Charges</t>
  </si>
  <si>
    <t>Immobilisations acquises par réalisation de garantie</t>
  </si>
  <si>
    <t>Crédit Bail et opérations assimilées</t>
  </si>
  <si>
    <t>Créances en souffrance</t>
  </si>
  <si>
    <t>E01</t>
  </si>
  <si>
    <t>ACTIONNAIRES, ASSOCIES OU MEMBRES</t>
  </si>
  <si>
    <t>Résultat de l'exercice (+ ou -)</t>
  </si>
  <si>
    <t>L81</t>
  </si>
  <si>
    <t>Excédent ou déficit en instance d'approbation</t>
  </si>
  <si>
    <t>L90</t>
  </si>
  <si>
    <t>TOTAL PASSIF</t>
  </si>
  <si>
    <t>N3E</t>
  </si>
  <si>
    <t>Titres à recevoir</t>
  </si>
  <si>
    <t>OPERATIONS DE CHANGE AU COMPTANT</t>
  </si>
  <si>
    <t>PRETS OU EMPRUNTS EN DEVISES</t>
  </si>
  <si>
    <t>OPERATIONS DE CHANGE A TERME</t>
  </si>
  <si>
    <t>AUTRES ENGAGEMENTS</t>
  </si>
  <si>
    <t>OPERATIONS EFFECTUES POUR LE COMPTE DE TIERS</t>
  </si>
  <si>
    <t xml:space="preserve"> </t>
  </si>
  <si>
    <t>R1A</t>
  </si>
  <si>
    <t>V1A</t>
  </si>
  <si>
    <t>Intérêts sur comptes ordinaires débiteurs</t>
  </si>
  <si>
    <t>R1L</t>
  </si>
  <si>
    <t>Intérêt sur compte ordinaires créditeurs de dépôts créditeurs</t>
  </si>
  <si>
    <t>V1L</t>
  </si>
  <si>
    <t>Intérêt sur autres comptes  de dépôts débiteurs</t>
  </si>
  <si>
    <t>R2A</t>
  </si>
  <si>
    <t>Intérêt sur comptes d'emprunts</t>
  </si>
  <si>
    <t>V2A</t>
  </si>
  <si>
    <t>Intérêt sur comptes de prêts</t>
  </si>
  <si>
    <t>R2R</t>
  </si>
  <si>
    <t>V2Q</t>
  </si>
  <si>
    <t>PRODUITS SUR OPERATIONS AVEC LES MEMBRES, BENEFICIARES OU CLIENTS</t>
  </si>
  <si>
    <t>R3C</t>
  </si>
  <si>
    <t>Intérêts sur comptes des membres, bénéficiaires ou clients</t>
  </si>
  <si>
    <t>V3B</t>
  </si>
  <si>
    <t>Intérêts sur crédits des membres, bénéficiaires ou clients</t>
  </si>
  <si>
    <t>V3R</t>
  </si>
  <si>
    <t>MARGES D'INTERET BENEFICIARE</t>
  </si>
  <si>
    <t>MARGES D'INTERET DEFICITAIRE</t>
  </si>
  <si>
    <t>TOTAL CHARGES D'INTERETS</t>
  </si>
  <si>
    <t>TOTAL PRODUITS D'INTERETS</t>
  </si>
  <si>
    <t>PRODUITS SUR OPERATIONS SUR TITRES ET OPERATIONS DIVERSES</t>
  </si>
  <si>
    <t>R5G</t>
  </si>
  <si>
    <t>Charges sur opération de crédit bail</t>
  </si>
  <si>
    <t>V5H</t>
  </si>
  <si>
    <t>Produits sur opérations de crédit-bail</t>
  </si>
  <si>
    <t>R5M</t>
  </si>
  <si>
    <t>Charges sur opérations de location avec option d'achat</t>
  </si>
  <si>
    <t>V5N</t>
  </si>
  <si>
    <t>Produits sur opérations de location avec option d'achat</t>
  </si>
  <si>
    <t>R5S</t>
  </si>
  <si>
    <t>Charges sur opération de location - vente</t>
  </si>
  <si>
    <t>V5T</t>
  </si>
  <si>
    <t>Produits sur opérations de location vente</t>
  </si>
  <si>
    <t>CHARGES FINANCIERES</t>
  </si>
  <si>
    <t>PRODUITS FINANCIERS</t>
  </si>
  <si>
    <t>PRODUITS SUR PRESTATION DE SERVICES FINANCIERS</t>
  </si>
  <si>
    <t>CHARGES SUR PRESTATION DE SERVICES FINANCIERS</t>
  </si>
  <si>
    <t>AUTRES PRODUITS FINANCIERS NETS</t>
  </si>
  <si>
    <t>AUTRES CHARGES FINANCIERES NETTES</t>
  </si>
  <si>
    <t>MARGE D'INTERET DEFICITAIRE</t>
  </si>
  <si>
    <t>PRODUIT FINANCIER NET</t>
  </si>
  <si>
    <t>CHARGES FINANCIERE NETTE</t>
  </si>
  <si>
    <t>ACHATS ET VARIATIONS DE STOCKS</t>
  </si>
  <si>
    <t>VENTES</t>
  </si>
  <si>
    <t xml:space="preserve">CHARGES GENERALES D'EXPLOITATION </t>
  </si>
  <si>
    <t>PRODUITS GENERAUX D'EXPLOITATION</t>
  </si>
  <si>
    <t>IMPÔTS ET TAXES</t>
  </si>
  <si>
    <t>W4G</t>
  </si>
  <si>
    <t>S1C</t>
  </si>
  <si>
    <t>Autres, impôts, taxes et prélèvements assimiles verses a l'Administration des impôts</t>
  </si>
  <si>
    <t>W4L</t>
  </si>
  <si>
    <t>Transferts de charges d'exploitation non financière</t>
  </si>
  <si>
    <t>Charges réfracturés</t>
  </si>
  <si>
    <t>S2B</t>
  </si>
  <si>
    <t>Services extérieurs</t>
  </si>
  <si>
    <t>S3A</t>
  </si>
  <si>
    <t>Autres services extérieurs</t>
  </si>
  <si>
    <t>S4A</t>
  </si>
  <si>
    <t>Charges diverses d'exploitation</t>
  </si>
  <si>
    <t>T6C</t>
  </si>
  <si>
    <t>Dotations aux provisions sur créances en souffrance</t>
  </si>
  <si>
    <t>X6C</t>
  </si>
  <si>
    <t>Reprises de provisions sur créances en souffrance</t>
  </si>
  <si>
    <t>EXCEDENT</t>
  </si>
  <si>
    <t>DEFICIT</t>
  </si>
  <si>
    <t>T84</t>
  </si>
  <si>
    <t>TOTAL CHARGES</t>
  </si>
  <si>
    <t>X84</t>
  </si>
  <si>
    <t>TOTAL PRODUITS</t>
  </si>
  <si>
    <t>BILAN VERSION DÉVELOPPÉE</t>
  </si>
  <si>
    <t xml:space="preserve">            HORS BILAN VERSION DÉVELOPPÉE</t>
  </si>
  <si>
    <t>COMPTE DE RÉSULTAT ET SOLDES INTERMEDIARES DE GESTION VERSION DÉVELOPPÉE</t>
  </si>
  <si>
    <t>DK1-02-00275</t>
  </si>
  <si>
    <t>DK1-02-00264</t>
  </si>
  <si>
    <t>Prêts en souffrance</t>
  </si>
  <si>
    <t>Comptes ordinaires</t>
  </si>
  <si>
    <t>Dépôts à termes reçus</t>
  </si>
  <si>
    <t>Dénominateur : Montant moyen de l'actif</t>
  </si>
  <si>
    <t xml:space="preserve"> &gt; ou = 130</t>
  </si>
  <si>
    <t xml:space="preserve"> &gt; 115</t>
  </si>
  <si>
    <t>Numérateur : Encours des prêts comportant au - une échéance de :</t>
  </si>
  <si>
    <t xml:space="preserve"> 90 jours</t>
  </si>
  <si>
    <t xml:space="preserve"> 180 jours</t>
  </si>
  <si>
    <t xml:space="preserve"> 30 jours     </t>
  </si>
  <si>
    <t>&lt; ou = 35%</t>
  </si>
  <si>
    <t>Dénominateur : Montant Moyen des fonds propres pour la période</t>
  </si>
  <si>
    <t xml:space="preserve">&gt; 20% </t>
  </si>
  <si>
    <t>&lt;40 %
Crédit direct</t>
  </si>
  <si>
    <t>&lt;60 %
Epargne et crédit</t>
  </si>
  <si>
    <t>DK1-00-00207</t>
  </si>
  <si>
    <t>MUTUELLE D'EPARGNE ET DE CREDIT UNACOIS DE YOFF NDEUGAGNE</t>
  </si>
  <si>
    <t>DK1-00-00212</t>
  </si>
  <si>
    <t>DK1-00-00215</t>
  </si>
  <si>
    <t>DK1-06-0009U</t>
  </si>
  <si>
    <t>DK1-96-00098</t>
  </si>
  <si>
    <t>DK1-96-00099</t>
  </si>
  <si>
    <t>DK1-98-00146</t>
  </si>
  <si>
    <t>MECZON</t>
  </si>
  <si>
    <t>DK1-99-00170</t>
  </si>
  <si>
    <t>DK2-00-00214</t>
  </si>
  <si>
    <t>DK3-01-00258</t>
  </si>
  <si>
    <t>MUTUELLE D'EPARGNE ET DE CREDIT UNACOIS KEUR MASSAR</t>
  </si>
  <si>
    <t>MEC UNACOIS KEUR MASSAR</t>
  </si>
  <si>
    <t>DK3-02-00280</t>
  </si>
  <si>
    <t>MECZOR</t>
  </si>
  <si>
    <t>DK4-04-00363</t>
  </si>
  <si>
    <t>TH2-06-0008U</t>
  </si>
  <si>
    <t>DL2-96-00091</t>
  </si>
  <si>
    <t>FK1-02-00284</t>
  </si>
  <si>
    <t>FK2-96-00092</t>
  </si>
  <si>
    <t>FK3-94-00042</t>
  </si>
  <si>
    <t>FK3-94-00043</t>
  </si>
  <si>
    <t>FK3-94-00045</t>
  </si>
  <si>
    <t>KD1-94-00056</t>
  </si>
  <si>
    <t>KD1-96-00089</t>
  </si>
  <si>
    <t>KD3-94-00053</t>
  </si>
  <si>
    <t>KD3-94-00055</t>
  </si>
  <si>
    <t>KL2-00-00208</t>
  </si>
  <si>
    <t>MUTUELLE D'EPARGNE ET DE CREDIT UNACOIS DE KAOLACK</t>
  </si>
  <si>
    <t>KL2-94-00020</t>
  </si>
  <si>
    <t>KL2-94-00021</t>
  </si>
  <si>
    <t>KL2-94-00024</t>
  </si>
  <si>
    <t>KL2-94-00027</t>
  </si>
  <si>
    <t>KL3-94-00028</t>
  </si>
  <si>
    <t>KL3-94-00031</t>
  </si>
  <si>
    <t>KL3-94-00036</t>
  </si>
  <si>
    <t>LG1-02-00273</t>
  </si>
  <si>
    <t>MECARUL</t>
  </si>
  <si>
    <t>LG3-02-00263</t>
  </si>
  <si>
    <t>LG3-02-00274</t>
  </si>
  <si>
    <t>CECAM</t>
  </si>
  <si>
    <t>SL1-94-00074</t>
  </si>
  <si>
    <t>SL3-02-00281</t>
  </si>
  <si>
    <t>MEC GANDIOLE</t>
  </si>
  <si>
    <t>TC3-94-00049</t>
  </si>
  <si>
    <t>TC3-94-00050</t>
  </si>
  <si>
    <t>TC3-94-00051</t>
  </si>
  <si>
    <t>TC3-94-00054</t>
  </si>
  <si>
    <t>TC3-96-00094</t>
  </si>
  <si>
    <t>PAMECAS MBOUR</t>
  </si>
  <si>
    <t>TH1-96-00082</t>
  </si>
  <si>
    <t>TH1-96-00083</t>
  </si>
  <si>
    <t>TH2-01-00259</t>
  </si>
  <si>
    <t>MUTUELLE D'EPARGNE ET DE CREDIT UNACOIS POUT</t>
  </si>
  <si>
    <t>TH2-94-00057</t>
  </si>
  <si>
    <t>TH2-96-00084</t>
  </si>
  <si>
    <t>TH3-00-00209</t>
  </si>
  <si>
    <t>TH3-00-00218</t>
  </si>
  <si>
    <t>COOPEC MBORO</t>
  </si>
  <si>
    <t>TH3-00-00219</t>
  </si>
  <si>
    <t>COOPEC SAO</t>
  </si>
  <si>
    <t>TH3-00-00220</t>
  </si>
  <si>
    <t>TH3-96-00085</t>
  </si>
  <si>
    <t>ZG1-02-00265</t>
  </si>
  <si>
    <t>MEC KAGNOBON</t>
  </si>
  <si>
    <t>ZG1-02-00266</t>
  </si>
  <si>
    <t>MEC KABILINE</t>
  </si>
  <si>
    <t>ZG1-02-00267</t>
  </si>
  <si>
    <t>MEC COUBALAN</t>
  </si>
  <si>
    <t>ZG1-02-00268</t>
  </si>
  <si>
    <t>ZG1-02-00269</t>
  </si>
  <si>
    <t>MEC SINDIAN</t>
  </si>
  <si>
    <t>ZG1-02-00270</t>
  </si>
  <si>
    <t>MEC KATIPA</t>
  </si>
  <si>
    <t>ZG2-98-00124</t>
  </si>
  <si>
    <t>ZG3-00-00190</t>
  </si>
  <si>
    <t xml:space="preserve">Département : </t>
  </si>
  <si>
    <t>Numérateur : Montant total des produits d'exploitation (PE)</t>
  </si>
  <si>
    <t>Périodicité*</t>
  </si>
  <si>
    <t>Mensuelle</t>
  </si>
  <si>
    <t>Période*</t>
  </si>
  <si>
    <t>P9-Septembre</t>
  </si>
  <si>
    <t>Annuelle</t>
  </si>
  <si>
    <t>P1-Janvier</t>
  </si>
  <si>
    <t>P2-Fevrier</t>
  </si>
  <si>
    <t>P3-Mars</t>
  </si>
  <si>
    <t>P4-Avril</t>
  </si>
  <si>
    <t>P5-Mai</t>
  </si>
  <si>
    <t>P6-Juin</t>
  </si>
  <si>
    <t>P10-Octobre</t>
  </si>
  <si>
    <t xml:space="preserve">                Annexe 4.9: ETAT DE L'ENCOURS DE CREDITS DES CINQUANTE (50) DEBITEURS LES PLUS IMPORTANTS</t>
  </si>
  <si>
    <t>N° CNI/NINEA</t>
  </si>
  <si>
    <t>SECTEUR D'ACTIVITES</t>
  </si>
  <si>
    <t>MONTANT INITIAL EN FCFA</t>
  </si>
  <si>
    <t>DUREE INITIALE (MOIS)</t>
  </si>
  <si>
    <t>DUREE RESTANT A COUVRIR (MOIS)</t>
  </si>
  <si>
    <t>Nombre d'institutions affiliées contrôlées</t>
  </si>
  <si>
    <t>Dont nombre d'agences</t>
  </si>
  <si>
    <t>Taux de mise en œuvre des recommandations formulées au cours des contrôles</t>
  </si>
  <si>
    <t xml:space="preserve">Nombre de réunions tenues par le conseil de surveillance </t>
  </si>
  <si>
    <t>Nombre de rapports de contrôle interne</t>
  </si>
  <si>
    <r>
      <t xml:space="preserve">        Tableau n°4.10 : Nombre de dossier de crédit rejetés sur la période (</t>
    </r>
    <r>
      <rPr>
        <b/>
        <sz val="12"/>
        <color rgb="FFC00000"/>
        <rFont val="Calibri"/>
        <family val="2"/>
        <scheme val="minor"/>
      </rPr>
      <t>en unité</t>
    </r>
    <r>
      <rPr>
        <b/>
        <sz val="12"/>
        <color theme="3" tint="-0.249977111117893"/>
        <rFont val="Calibri"/>
        <family val="2"/>
        <scheme val="minor"/>
      </rPr>
      <t>)</t>
    </r>
  </si>
  <si>
    <r>
      <t xml:space="preserve">        Tableau n°4.11 : Montant des crédits rejetés sur la période (</t>
    </r>
    <r>
      <rPr>
        <b/>
        <sz val="12"/>
        <color rgb="FFC00000"/>
        <rFont val="Calibri"/>
        <family val="2"/>
        <scheme val="minor"/>
      </rPr>
      <t>en milliers de F CFA</t>
    </r>
    <r>
      <rPr>
        <b/>
        <sz val="12"/>
        <color theme="3" tint="-0.249977111117893"/>
        <rFont val="Calibri"/>
        <family val="2"/>
        <scheme val="minor"/>
      </rPr>
      <t>)</t>
    </r>
  </si>
  <si>
    <t>Tableau n°9.1: Nombre de réunions tenues au cours de la période</t>
  </si>
  <si>
    <t>ETAT DES 50 PLUS GROS CLIENTS</t>
  </si>
  <si>
    <t xml:space="preserve">                Annexe 2 : ETAT DES CINQUANTE (50) PLUS GROS ENCOURS DE CREDIT DECLASSES EN SOUFFRANCE</t>
  </si>
  <si>
    <t xml:space="preserve">                Annexe 1 : ETAT DES CINQUANTE (50) PLUS GROS ENCOURS DE CREDITS</t>
  </si>
  <si>
    <t xml:space="preserve">PROVISION CONSTITUEE </t>
  </si>
  <si>
    <t>NOMBRE D'IMPAYES (MOIS)</t>
  </si>
  <si>
    <t xml:space="preserve">                Annexe 3 : ETAT DES CINQUANTE (50) PLUS GROS ENGAGEMENTS</t>
  </si>
  <si>
    <t xml:space="preserve">                Annexe 4 : ETAT DES CINQUANTE (50) PLUS GROS DEPÔTS</t>
  </si>
  <si>
    <t>MONTANT</t>
  </si>
  <si>
    <t>DUREE (MOIS)</t>
  </si>
  <si>
    <t>TAUX</t>
  </si>
  <si>
    <t>MONTANT PAR DESTINATION</t>
  </si>
  <si>
    <t>UNION EUROPEENE</t>
  </si>
  <si>
    <t>ETATS UNIS</t>
  </si>
  <si>
    <t>AUTRES PAYS</t>
  </si>
  <si>
    <t xml:space="preserve">                Annexe 5.1 : ETAT DES CINQUANTE (50) PLUS GROS TRANSFERTS D'ARGENT EMIS</t>
  </si>
  <si>
    <t xml:space="preserve">                Annexe 5.1 : ETAT DES CINQUANTE (50) PLUS GROS TRANSFERTS D'ARGENT RECUS</t>
  </si>
  <si>
    <t>MONTANT PAR ORIGINE</t>
  </si>
  <si>
    <r>
      <t>Tableau n°6.2 : Répartition des crédits (*) selon leurs objets (</t>
    </r>
    <r>
      <rPr>
        <b/>
        <sz val="12"/>
        <color rgb="FFC00000"/>
        <rFont val="Calibri"/>
        <family val="2"/>
        <scheme val="minor"/>
      </rPr>
      <t>en milliers de FCFA</t>
    </r>
    <r>
      <rPr>
        <b/>
        <sz val="12"/>
        <color theme="3" tint="-0.249977111117893"/>
        <rFont val="Calibri"/>
        <family val="2"/>
        <scheme val="minor"/>
      </rPr>
      <t>)</t>
    </r>
  </si>
  <si>
    <t>(*) Répartir la production de crédit figurant au tableau 4.1</t>
  </si>
  <si>
    <r>
      <t xml:space="preserve">            Tableau n°4.3 : Engagements par signature au cours de la période (</t>
    </r>
    <r>
      <rPr>
        <b/>
        <sz val="12"/>
        <color rgb="FFC00000"/>
        <rFont val="Calibri"/>
        <family val="2"/>
        <scheme val="minor"/>
      </rPr>
      <t>en milliers de FCFA</t>
    </r>
    <r>
      <rPr>
        <b/>
        <sz val="12"/>
        <color theme="3" tint="-0.249977111117893"/>
        <rFont val="Calibri"/>
        <family val="2"/>
        <scheme val="minor"/>
      </rPr>
      <t>)</t>
    </r>
  </si>
  <si>
    <r>
      <t xml:space="preserve">        Tableau n°4.4 : Encours de crédits à la fin de la période (</t>
    </r>
    <r>
      <rPr>
        <b/>
        <sz val="12"/>
        <color rgb="FFC00000"/>
        <rFont val="Calibri"/>
        <family val="2"/>
        <scheme val="minor"/>
      </rPr>
      <t>en milliers de FCFA</t>
    </r>
    <r>
      <rPr>
        <b/>
        <sz val="12"/>
        <color theme="3" tint="-0.249977111117893"/>
        <rFont val="Calibri"/>
        <family val="2"/>
        <scheme val="minor"/>
      </rPr>
      <t>)</t>
    </r>
  </si>
  <si>
    <t>Tableau n°4.5 : Nombre de crédits à la fin de la période (en unité)</t>
  </si>
  <si>
    <t>Moyen terme et long terme</t>
  </si>
  <si>
    <t xml:space="preserve">                 Tableau n°4.6: Evolution de l'encours des crédits par terme à la fin de la période</t>
  </si>
  <si>
    <t xml:space="preserve">            Tableau n°4.8 : Opérations de crédit sur ressources affectées au cours de la période</t>
  </si>
  <si>
    <r>
      <t xml:space="preserve">        Tableau n°4.12 : Encours des crédits en souffrance (</t>
    </r>
    <r>
      <rPr>
        <b/>
        <sz val="12"/>
        <color rgb="FFC00000"/>
        <rFont val="Calibri"/>
        <family val="2"/>
        <scheme val="minor"/>
      </rPr>
      <t>en milliers de FCFA</t>
    </r>
    <r>
      <rPr>
        <b/>
        <sz val="12"/>
        <color theme="3" tint="-0.249977111117893"/>
        <rFont val="Calibri"/>
        <family val="2"/>
        <scheme val="minor"/>
      </rPr>
      <t>)</t>
    </r>
  </si>
  <si>
    <t>Tableau n°4.13 : Nombre de crédits en souffrance (en unité)</t>
  </si>
  <si>
    <r>
      <t>Tableau 5.1 : Opérations de transferts au cours de la période (</t>
    </r>
    <r>
      <rPr>
        <b/>
        <sz val="12"/>
        <color rgb="FFC00000"/>
        <rFont val="Calibri"/>
        <family val="2"/>
        <scheme val="minor"/>
      </rPr>
      <t>en milliers de FCFA</t>
    </r>
    <r>
      <rPr>
        <b/>
        <sz val="12"/>
        <color theme="3" tint="-0.249977111117893"/>
        <rFont val="Calibri"/>
        <family val="2"/>
        <scheme val="minor"/>
      </rPr>
      <t>)</t>
    </r>
  </si>
  <si>
    <t>Taux d'intérêt effectif global</t>
  </si>
  <si>
    <t>(**) Répartir la production de crédit figurant au tableau 4.1</t>
  </si>
  <si>
    <t>Tableau n°6.4 : Répartition sectorielle des crédits accordés au cours de la période (**) en milliers de FCFA</t>
  </si>
  <si>
    <t>Montant total des emprunts obtenus dans la période auprés des autres institutions financiéres (en milliers de FCFA)</t>
  </si>
  <si>
    <t>Taux d'intérêt moyen des emprunts obtenus dans la période auprés des autres Institutions financiéres</t>
  </si>
  <si>
    <t>Tableau n°9.2 : Indicateurs de surveillance</t>
  </si>
  <si>
    <t>Dont</t>
  </si>
  <si>
    <t>PLASEPRI</t>
  </si>
  <si>
    <t>FONDS KOWEITIEN</t>
  </si>
  <si>
    <t>PAPEJF</t>
  </si>
  <si>
    <t>PIDES</t>
  </si>
  <si>
    <t>Tableau 4.7: Encours des crédits des agents relevant des Autorisatés de contrôle (Ministère  chargé des finances, BCEAO et Commission Bancaire de l'UMOA)</t>
  </si>
  <si>
    <t>Engagements de financement donnés en faveur des membres,bénéficiaires ou clients</t>
  </si>
  <si>
    <t>Engagements de garantie d'ordre des institutions financiéres</t>
  </si>
  <si>
    <r>
      <t>Tableau n°4.1: Evolution du montant des prêts accordés au cours de la période (</t>
    </r>
    <r>
      <rPr>
        <b/>
        <sz val="12"/>
        <color rgb="FFC00000"/>
        <rFont val="Calibri"/>
        <family val="2"/>
        <scheme val="minor"/>
      </rPr>
      <t>en milliers de FCFA</t>
    </r>
    <r>
      <rPr>
        <b/>
        <sz val="12"/>
        <color theme="3" tint="-0.249977111117893"/>
        <rFont val="Calibri"/>
        <family val="2"/>
        <scheme val="minor"/>
      </rPr>
      <t>)</t>
    </r>
  </si>
  <si>
    <t>Tableau n°4.2: Evolution du nombre de prêts accordés au cours de la période (en unité)</t>
  </si>
  <si>
    <t>Tableau 3.3: Evolution du nombre de déposants au cours de la période (membres,bénéficiaires ou clients ayant  un dépôt dans les livres du Sfd) et des comptes inactifs</t>
  </si>
  <si>
    <r>
      <t xml:space="preserve">             Tableau n°3.1: Evolution du montant des dépôts au cours de la période (</t>
    </r>
    <r>
      <rPr>
        <b/>
        <sz val="12"/>
        <color rgb="FFC00000"/>
        <rFont val="Calibri"/>
        <family val="2"/>
        <scheme val="minor"/>
      </rPr>
      <t>en milliers de FCFA</t>
    </r>
    <r>
      <rPr>
        <b/>
        <sz val="12"/>
        <color theme="3" tint="-0.249977111117893"/>
        <rFont val="Calibri"/>
        <family val="2"/>
        <scheme val="minor"/>
      </rPr>
      <t>)</t>
    </r>
  </si>
  <si>
    <t>Nombre de guichets</t>
  </si>
  <si>
    <t>Nombre d'agences</t>
  </si>
  <si>
    <t>Total point de services</t>
  </si>
  <si>
    <t>Nombre d'institution de base (*)</t>
  </si>
  <si>
    <t>(*) A remplir seulement par les unions</t>
  </si>
  <si>
    <t>Tableau n°7 : Opérations avec les autres institutions financiéres (établissements de crédit,                                Sfd, autres institutions financières) et les partenaires au développement)</t>
  </si>
  <si>
    <t>Dépôts à terme</t>
  </si>
  <si>
    <t>Montant</t>
  </si>
  <si>
    <t>% Part</t>
  </si>
  <si>
    <r>
      <t>Tableau n°3.2: Décomposition des dépôts au cours de la période par terme (</t>
    </r>
    <r>
      <rPr>
        <b/>
        <sz val="12"/>
        <color rgb="FFC00000"/>
        <rFont val="Calibri"/>
        <family val="2"/>
        <scheme val="minor"/>
      </rPr>
      <t>en milliers de FCFA</t>
    </r>
    <r>
      <rPr>
        <b/>
        <sz val="12"/>
        <color theme="3" tint="-0.249977111117893"/>
        <rFont val="Calibri"/>
        <family val="2"/>
        <scheme val="minor"/>
      </rPr>
      <t>)</t>
    </r>
  </si>
  <si>
    <t>Nombre de membres du conseil de surveillance</t>
  </si>
  <si>
    <t>Nombre de membres du comité de crédit</t>
  </si>
  <si>
    <t>Nombre de membres des autres comités créés par le Sfd</t>
  </si>
  <si>
    <t xml:space="preserve"> Dont</t>
  </si>
  <si>
    <t>*Dirigeants (employés exerçant des fonctions de direction ou de gérance) (1)</t>
  </si>
  <si>
    <t>FCF</t>
  </si>
  <si>
    <t>A préciser 1</t>
  </si>
  <si>
    <t>A préciser 2</t>
  </si>
  <si>
    <t>A préciser 3</t>
  </si>
  <si>
    <t>A préciser 4</t>
  </si>
  <si>
    <t>A préciser 5</t>
  </si>
  <si>
    <t>SENEGAL</t>
  </si>
  <si>
    <t>AUTRES PAYS DE L'UEMEOA</t>
  </si>
  <si>
    <t>AUTRES PAYS D'AFRIQUE</t>
  </si>
  <si>
    <t>PRENOMS/NOMS</t>
  </si>
  <si>
    <t>N°AGREMENT</t>
  </si>
  <si>
    <t>STRUCTURES</t>
  </si>
  <si>
    <t>SIGLES</t>
  </si>
  <si>
    <t>TYPE</t>
  </si>
  <si>
    <t>AFFILIATION</t>
  </si>
  <si>
    <t>REGIONS</t>
  </si>
  <si>
    <t>DEPARTEMENT</t>
  </si>
  <si>
    <t>SN0-00-001CF</t>
  </si>
  <si>
    <t>SN0-00-0001F</t>
  </si>
  <si>
    <t>AFFILIE</t>
  </si>
  <si>
    <t>RUFISQUE</t>
  </si>
  <si>
    <t>GUEDIAWAYES</t>
  </si>
  <si>
    <t>PIKINE</t>
  </si>
  <si>
    <t>MBACKE</t>
  </si>
  <si>
    <t>BAMBEY</t>
  </si>
  <si>
    <t>FOUNDIOUGNE</t>
  </si>
  <si>
    <t>CMS DJILOR</t>
  </si>
  <si>
    <t>CMS SOKONE</t>
  </si>
  <si>
    <t>GUINGUINEO</t>
  </si>
  <si>
    <t>KAFFRINE</t>
  </si>
  <si>
    <t>KOUNGHEUL</t>
  </si>
  <si>
    <t>CMS NDOFFANE</t>
  </si>
  <si>
    <t>CMS NDIAFFATE</t>
  </si>
  <si>
    <t>CMS KAOLACK</t>
  </si>
  <si>
    <t>CMS NIORO</t>
  </si>
  <si>
    <t>NIORO</t>
  </si>
  <si>
    <t>CMS WACK NGOUNA</t>
  </si>
  <si>
    <t>CMS MEDINA SABAKH</t>
  </si>
  <si>
    <t>CMS VELINGARA</t>
  </si>
  <si>
    <t>VELINGARA</t>
  </si>
  <si>
    <t>CMS KOUNKANE</t>
  </si>
  <si>
    <t>CMS DABO</t>
  </si>
  <si>
    <t>SEDHIOU</t>
  </si>
  <si>
    <t>BOUKINLING</t>
  </si>
  <si>
    <t>GOUDOMP</t>
  </si>
  <si>
    <t>MEDINA YORO FOULAH</t>
  </si>
  <si>
    <t>LINGUERE</t>
  </si>
  <si>
    <t>KEBEMER</t>
  </si>
  <si>
    <t>DAGANA</t>
  </si>
  <si>
    <t>CMS KOUMPENTOUM</t>
  </si>
  <si>
    <t>KOUMPENTOUM</t>
  </si>
  <si>
    <t>CMS KOUSSANAR</t>
  </si>
  <si>
    <t>BAKEL</t>
  </si>
  <si>
    <t>GOUDIRY</t>
  </si>
  <si>
    <t>MBOUR</t>
  </si>
  <si>
    <t>BIGNONA</t>
  </si>
  <si>
    <t>OUSSOUYE</t>
  </si>
  <si>
    <t>UM-PAMECAS</t>
  </si>
  <si>
    <t>DK2-98-00146</t>
  </si>
  <si>
    <t>MEC SOM</t>
  </si>
  <si>
    <t>INTER CREC</t>
  </si>
  <si>
    <t>MEC KAREMBENOOR D'ALBADAR</t>
  </si>
  <si>
    <t>MECA DAG</t>
  </si>
  <si>
    <t>NON AFFILIE</t>
  </si>
  <si>
    <t>MEC UNACOIS POUT</t>
  </si>
  <si>
    <t>MUTUELLE D'EPARGNE ET DE CREDIT DES FEMMES DE LA SENELEC</t>
  </si>
  <si>
    <t>MUTUELLE D'EPARGNE ET DE CREDIT DES SOUS-PREFETS DU SENEGAL</t>
  </si>
  <si>
    <t>MEC ADEFAP</t>
  </si>
  <si>
    <t>MEC FECYS</t>
  </si>
  <si>
    <t>MECIF</t>
  </si>
  <si>
    <t>MEC LE SINE</t>
  </si>
  <si>
    <t>MFK</t>
  </si>
  <si>
    <t>MUTUELLE D'EPARGNE ET DE CREDIT DES ELEVEURS DU DJOLOF</t>
  </si>
  <si>
    <t>KANEL</t>
  </si>
  <si>
    <t>MEC FEPRODES</t>
  </si>
  <si>
    <t>CECAP</t>
  </si>
  <si>
    <t>MEC CRT</t>
  </si>
  <si>
    <t>SOCIETE COMMERCIALE</t>
  </si>
  <si>
    <t>ASSOCIATION</t>
  </si>
  <si>
    <t>DESIGNATION</t>
  </si>
  <si>
    <t>Trimestrielle</t>
  </si>
  <si>
    <t>P11-Novembre</t>
  </si>
  <si>
    <t>P12-Décembre</t>
  </si>
  <si>
    <t>P7-Juillet</t>
  </si>
  <si>
    <t>P8-Août</t>
  </si>
  <si>
    <t xml:space="preserve"> &gt; 5% pour les structures d'épargne et de crédit</t>
  </si>
  <si>
    <t xml:space="preserve"> &gt; 2% pour les structures de crédit direct</t>
  </si>
  <si>
    <t>DK1-93-00008</t>
  </si>
  <si>
    <t xml:space="preserve">ALLIANCE DE CREDIT ET D'EPARGNE  POUR LA PROMOTION </t>
  </si>
  <si>
    <t>ACEP DAKAR</t>
  </si>
  <si>
    <t xml:space="preserve">CREDIT MUTUEL  SENEGAL DE NDOFFANE </t>
  </si>
  <si>
    <t xml:space="preserve">CREDIT MUTUEL  SENEGAL DE NDIAFFATE </t>
  </si>
  <si>
    <t xml:space="preserve">CREDIT MUTUEL  SENEGAL DE DYA SIBASSOR </t>
  </si>
  <si>
    <t>CMS DYA SIBASSOR</t>
  </si>
  <si>
    <t xml:space="preserve">CREDIT MUTUEL  SENEGAL DE KAOLACK </t>
  </si>
  <si>
    <t xml:space="preserve">CREDIT MUTUEL  SENEGAL DE NIORO </t>
  </si>
  <si>
    <t xml:space="preserve">CREDIT MUTUEL  SENEGAL DE WACK NGOUNA </t>
  </si>
  <si>
    <t xml:space="preserve"> CREDIT MUTUEL  SENEGAL DE MEDINA SABAKH </t>
  </si>
  <si>
    <t xml:space="preserve">CAISSE POPULAIRE D'EPARGNE ET DE CREDIT DU CENTRE INTERNATIONAL DU CREDIT MUTUEL  SENEGAL DE KEUR SAMBA GUEYE (CICM) </t>
  </si>
  <si>
    <t>CPEC CICM-CMS KEUR SAMBA GUEYE</t>
  </si>
  <si>
    <t xml:space="preserve"> CREDIT MUTUEL  SENEGAL DE DJILOR </t>
  </si>
  <si>
    <t xml:space="preserve">CREDIT MUTUEL  SENEGAL DE SOKONE </t>
  </si>
  <si>
    <t>KL1-94-00046</t>
  </si>
  <si>
    <t xml:space="preserve"> CREDIT MUTUEL  SENEGAL DE KAFFRINE</t>
  </si>
  <si>
    <t>CMS KAFFRINE</t>
  </si>
  <si>
    <t>CREDIT MUTUEL  SENEGAL DE TAMBA</t>
  </si>
  <si>
    <t>CMS  TAMBACOUNDA</t>
  </si>
  <si>
    <t>CREDIT MUTUEL  SENEGAL DE KOUNGHEUL</t>
  </si>
  <si>
    <t>CMS KOUNGHEUL</t>
  </si>
  <si>
    <t>CREDIT MUTUEL  SENEGAL DE KOUMPENTOUM</t>
  </si>
  <si>
    <t xml:space="preserve"> CREDIT MUTUEL  SENEGAL DE VELINGARA </t>
  </si>
  <si>
    <t>CREDIT MUTUEL  SENEGAL DE KOUSSANAR</t>
  </si>
  <si>
    <t xml:space="preserve"> CREDIT MUTUEL  SENEGAL DE KOUNKANE </t>
  </si>
  <si>
    <t xml:space="preserve"> CREDIT MUTUEL  SENEGAL DE DABO (CICM) </t>
  </si>
  <si>
    <t xml:space="preserve">CREDIT MUTUEL  SENEGAL DE THIES COMMUNE (CICM) </t>
  </si>
  <si>
    <t>CMS THIES</t>
  </si>
  <si>
    <t>CPEC MPAL</t>
  </si>
  <si>
    <t>CAISSE POPULAIRES D'EPARGNE ET DE CREDIT DU CREDIT MUTUEL DU SENEGAL DE MBOUR (CMS)</t>
  </si>
  <si>
    <t>CPEC-CMS</t>
  </si>
  <si>
    <t>CAISSE POPULAIRES D'EPARGNE ET DE CREDIT DU CREDIT MUTUEL DU SENEGAL DE JOAL FADIOUTH (CMS)</t>
  </si>
  <si>
    <t>CAISSE POPULAIRES D'EPARGNE ET DE CREDIT DU CREDIT MUTUEL DU SENEGAL DE KHOMBOLE  (CMS)</t>
  </si>
  <si>
    <t>CAISSE POPULAIRES D'EPARGNE ET DE CREDIT DU CREDIT MUTUEL DU SENEGAL DE TIVAOUNE  (CMS)</t>
  </si>
  <si>
    <t>CAISSE POPULAIRES D'EPARGNE ET DE CREDIT DU CREDIT MUTUEL DU SENEGAL DE KOLDA  (CMS)</t>
  </si>
  <si>
    <t>CAISSE POPULAIRES D'EPARGNE ET DE CREDIT DU CREDIT MUTUEL DU SENEGAL DE DIOURBEL (CMS)</t>
  </si>
  <si>
    <t>CAISSE POPULAIRES D'EPARGNE ET DE CREDIT DU CREDIT MUTUEL DU SENEGAL DE BASSOUL  (CMS)</t>
  </si>
  <si>
    <t>CPEC-CMS DE BASSOUL</t>
  </si>
  <si>
    <t>CAISSE POPULAIRES D'EPARGNE ET DE CREDIT DU CREDIT MUTUEL DU SENEGAL DE MISSIRA  (CMS)</t>
  </si>
  <si>
    <t>MUTUELLE D'EPARGNE ET DE CREDI DES PARCELLES ASSAINIES</t>
  </si>
  <si>
    <t>MEC PA</t>
  </si>
  <si>
    <t xml:space="preserve">MUTUELLE D'EPARGNE ET DE CREDIT DE BENE TALLY </t>
  </si>
  <si>
    <t>MEC BN</t>
  </si>
  <si>
    <t>MEC ZONE GUEDIAWAYE</t>
  </si>
  <si>
    <t xml:space="preserve">MUTUELLE D'EPARGNE ET DE CREDIT DES NIAYES </t>
  </si>
  <si>
    <t>MEC NIAYES</t>
  </si>
  <si>
    <t>MEC PAG</t>
  </si>
  <si>
    <t>DK3-97-00100</t>
  </si>
  <si>
    <t>CEC/ PLATEAU RUFISQUE</t>
  </si>
  <si>
    <t>MEC MAMELLES OUAKAM</t>
  </si>
  <si>
    <t>MUTUELLE D'EPARGNE ET DE CREDIT DE YOFF</t>
  </si>
  <si>
    <t>CAISSE DU CREDIT MUTUEL DU SENEGAL A POUT</t>
  </si>
  <si>
    <t>CCMS POUT</t>
  </si>
  <si>
    <t>CAISSE DU CREDIT MUTUEL DU SENEGAL A MBACKE</t>
  </si>
  <si>
    <t>CCMS MBACKE</t>
  </si>
  <si>
    <t>CAISSE DU CREDIT MUTUEL DU SENEGAL A GUINGUINEO</t>
  </si>
  <si>
    <t xml:space="preserve">CCMS GUINGUINEO </t>
  </si>
  <si>
    <t>CAISSE DU CREDIT MUTUEL DU SENEGAL A FATICK</t>
  </si>
  <si>
    <t>CCMS FATICK</t>
  </si>
  <si>
    <t>CAISSE DU CREDIT MUTUEL DU SENEGAL A ZIGUINCHOR</t>
  </si>
  <si>
    <t>CCMS ZIGUINCHOR</t>
  </si>
  <si>
    <t>CAISSE DU CREDIT MUTUEL DU SENEGAL A BIGNONA</t>
  </si>
  <si>
    <t>CCMS BIGNONA</t>
  </si>
  <si>
    <t>CAISSE POPULAIRE D'EPARGNE ET DE CREDIT DE KAFOUNTINE</t>
  </si>
  <si>
    <t>CCMS KAKOUNTINE</t>
  </si>
  <si>
    <t>CAISSE DU CREDIT MUTUEL DU SENEGAL A OUSSOUYE</t>
  </si>
  <si>
    <t>CCMS OUSSOUYE</t>
  </si>
  <si>
    <t>CAISSE DU CREDIT MUTUEL DU SENEGAL A NIODIOR DIONEWAR</t>
  </si>
  <si>
    <t>CCMS NIODIOR NDIONEWAR</t>
  </si>
  <si>
    <t>CAISSE DU CREDIT MUTUEL DU SENEGAL A BAMBEY</t>
  </si>
  <si>
    <t>CCMS BAMBEY</t>
  </si>
  <si>
    <t>MUTUELLE D'EPARGNE ET DE CREDIT DU  SENEGAL A RUFISQUE</t>
  </si>
  <si>
    <t>CCMS RUFISQUE</t>
  </si>
  <si>
    <t>CAISSE DU CREDIT MUTUEL DU SENEGAL A GUEDIAWAYE</t>
  </si>
  <si>
    <t>CCMS GUEDIAWAYE</t>
  </si>
  <si>
    <t>CAISSE DU CREDIT MUTUEL DU SENEGAL A PIKINE</t>
  </si>
  <si>
    <t>CCMS PIKINE</t>
  </si>
  <si>
    <t>CAISSE DU CREDIT MUTUEL DU SENEGAL A KEDOUGOU</t>
  </si>
  <si>
    <t>CCMS KEDOUGOU</t>
  </si>
  <si>
    <t>CAISSE DU CREDIT MUTUEL DU SENEGAL A BAKEL</t>
  </si>
  <si>
    <t>CCMS BAKEL</t>
  </si>
  <si>
    <t>CAISSE DU CREDIT MUTUEL DU SENEGAL A THIADIAYE</t>
  </si>
  <si>
    <t>CCMS THIADIAYE</t>
  </si>
  <si>
    <t>MEC ICOTAF BOUBESS</t>
  </si>
  <si>
    <t>MECREL</t>
  </si>
  <si>
    <t xml:space="preserve">MUTUELLE D'EPARGNE ET DE CREDIT DE LA ZONE DE MALIKA </t>
  </si>
  <si>
    <t>MEC ZOMA</t>
  </si>
  <si>
    <t>MUTUELLE D'EPARGNE ET DE LA ZONE DE SOUMBEDIOUNE</t>
  </si>
  <si>
    <t xml:space="preserve">MUTUELLE D'EPARGNE ET DE LA ZONE DE NDIAREME GUEDIAWAYE </t>
  </si>
  <si>
    <t xml:space="preserve">MUTUELLE D'PARGNE ET DE CREDIT DE GUINAW RAILS  PIKINE </t>
  </si>
  <si>
    <t>MEC GR</t>
  </si>
  <si>
    <t xml:space="preserve">MUTUELLE D'EPARGNE ET DE CREDIT DE DIAMAGUEUNE </t>
  </si>
  <si>
    <t>MEC DIAM</t>
  </si>
  <si>
    <t>MECKAW</t>
  </si>
  <si>
    <t>MECZONY</t>
  </si>
  <si>
    <t>MEC DONAYE PODOR</t>
  </si>
  <si>
    <t>MECAT</t>
  </si>
  <si>
    <t xml:space="preserve">MUTUELLE D'EPARGNE ET DE CREDIT UNACOIS/CAMBERENE </t>
  </si>
  <si>
    <t>UNACOIS CAMBERENE</t>
  </si>
  <si>
    <t>MEC ZOP</t>
  </si>
  <si>
    <t>MEC SAM SA NGOR</t>
  </si>
  <si>
    <t>MEC FADEC KAJOOR</t>
  </si>
  <si>
    <t>MEC FADEC NIAMBUR</t>
  </si>
  <si>
    <t>DK1-000-0187</t>
  </si>
  <si>
    <t>MUTUELLE D'EPARGNE ET DE CREDIT DES FEMMES GRAND YOFF</t>
  </si>
  <si>
    <t>MEC FEMMES GRAND-YOFF</t>
  </si>
  <si>
    <t>MUTUELLE D'EPARGNE ET DE CREDIT DE GRAND-DAKAR A ZIGUINCHOR (CMS)</t>
  </si>
  <si>
    <t>CCMS MEC GRAND DAKAR ZIGUINCHOR</t>
  </si>
  <si>
    <t>MUTUELLE D'EPARGNE ET DE CREDIT DE MBORO (CMS)</t>
  </si>
  <si>
    <t>CCMS MEC MBORO</t>
  </si>
  <si>
    <t>MUTUELLE D'EPARGNE ET DE CREDIT DE THIONCK-ESSYL (CMS)</t>
  </si>
  <si>
    <t>CCMS MEC THIONCK ESSYL</t>
  </si>
  <si>
    <t>MUTUELLE D'EPARGNE ET DE CREDIT DE MEDINA WANDIFA (CMS)</t>
  </si>
  <si>
    <t>CCMS MEC MEDINA WANDIFA</t>
  </si>
  <si>
    <t xml:space="preserve">MUTUELLE D'EPARGNE ET DE CREDIT DE MALICK SY (CMS) </t>
  </si>
  <si>
    <t>CCMS MEC MALICK SY</t>
  </si>
  <si>
    <t>MUTUELLE D'EPARGNE ET DE CREDIT DE GOUDIRY (CMS)</t>
  </si>
  <si>
    <t>CCMS MEC GOUDIRY</t>
  </si>
  <si>
    <t>MUTUELLE D'EPARGNE ET DE CREDIT DE COLOBANE (CMS)</t>
  </si>
  <si>
    <t>CCMS MEC DE COLOBONE</t>
  </si>
  <si>
    <t>MUTUELLE D'EPARGNE ET DE CREDIT DE MARSASSOUM (CMS)</t>
  </si>
  <si>
    <t>CCMS MEC  DE MARSASSOUM</t>
  </si>
  <si>
    <t>MEC UNACOIS NDEUGANE  YOFF</t>
  </si>
  <si>
    <t>MEC UNACOIS  KAOLACK</t>
  </si>
  <si>
    <t>MUTUELLE D'EPARGNE ET DE CREDIT UNACOIS DE TIVAOUNE</t>
  </si>
  <si>
    <t>MEC UNACOIS  TIVAOUNE</t>
  </si>
  <si>
    <t>MUTUELLE D'EPARGNE ET DE CREDIT DES COMMERCANTS ET OPERATEURS ECONOMIQUES DU MARCHE HLM V</t>
  </si>
  <si>
    <t>MECCOM HLM 5</t>
  </si>
  <si>
    <t>MUTUELLE D'EPARGNE ET DE CREDIT DES FEMMES DE PIKINE</t>
  </si>
  <si>
    <t xml:space="preserve">MEC FP </t>
  </si>
  <si>
    <t>MEC FEMMES OUAKAM</t>
  </si>
  <si>
    <t>MUTUELLE D'EPARGNE ET DE CREDIT DE FASS BOY</t>
  </si>
  <si>
    <t>MEC FASS BOY</t>
  </si>
  <si>
    <t>MUTUELLE D'EPARGNE ET DE CREDIT DE PROMOTION FEMININE DE LA COMMUNAUTE RURALE DE MPAL</t>
  </si>
  <si>
    <t>MEC  PF / CR MPAL</t>
  </si>
  <si>
    <t>MEC JAPPO DIAMNIADIO</t>
  </si>
  <si>
    <t>INSTITUTION MUTUALISTE COMMUNAUTAIRE D'EPARGNE ET DE CREDIT DE  DAKAR</t>
  </si>
  <si>
    <t>IMCEC DAKAR</t>
  </si>
  <si>
    <t>IMCEC THIES</t>
  </si>
  <si>
    <t>MEC FEMMES ZONE PIKINE</t>
  </si>
  <si>
    <t>MEC AGROPASTEURS DIENDER</t>
  </si>
  <si>
    <t>COOPERATIVE D'EPARGNE ET DE CREDIT DU RESEAU DES ORGANISATIONS PAYSANNES ET PASTORALES</t>
  </si>
  <si>
    <t>COOPEC-RESOPP</t>
  </si>
  <si>
    <t>MEC MAHMOUDA II</t>
  </si>
  <si>
    <t>MUTUELLE D'EPARGNE ET DE CREDIT DU BASSIN ARACHIDIER ET DU SYLVO PASTORAL</t>
  </si>
  <si>
    <t>MEC BAS</t>
  </si>
  <si>
    <t>MEC  SANGALKAM</t>
  </si>
  <si>
    <t>MEC NDAP NE A SINIG</t>
  </si>
  <si>
    <t xml:space="preserve">MUTUELLE D'EPARGNE ET DE CREDIT DU RESEAU D'INITIATIVES ET D'APPUI AU DEVELOPPEMENT </t>
  </si>
  <si>
    <t xml:space="preserve">MUTUELLE D'EPARGNE ET DE CREDIT DU MARCHE CENTRAL AU POISSON </t>
  </si>
  <si>
    <t>MEC MAC</t>
  </si>
  <si>
    <t>MEC MFRP</t>
  </si>
  <si>
    <t>MUTUELLE D'EPARGNE ET DE CREDIT PAMECAS THIES</t>
  </si>
  <si>
    <t>MEC PAMECAS THIES</t>
  </si>
  <si>
    <t xml:space="preserve">MUTUELLE D'EPARGNE ET DE CREDIT DE L'ASSOCIATION DES PRODUCTEURS DE LA VALLEE DU FLEUVE GAMBIE </t>
  </si>
  <si>
    <t>MECADR-TAMBA</t>
  </si>
  <si>
    <t>MEC SOFT LIT</t>
  </si>
  <si>
    <t>MUTUELLE D'EPARGNE ET DE CREDIT DE REDIBE DE BABA GARAGE</t>
  </si>
  <si>
    <t>MB1-03-00309</t>
  </si>
  <si>
    <t xml:space="preserve"> MUTUELLE D'EPARGNE ET DE CREDIT POUR LE DEVELOPPEMENT DE LA PÊCHE A JOAL</t>
  </si>
  <si>
    <t>MEC DEV PECHE</t>
  </si>
  <si>
    <t>MEC MUNICIPALITE DE DAKAR (MECMU)</t>
  </si>
  <si>
    <t xml:space="preserve">MUTUELLE D'EPARGNE ET DE CREDIT DE LA COMMUNAUTE RURALE DE TAÏBA - NDIAYE </t>
  </si>
  <si>
    <t>MEC BOKK JOM BOUSTANE</t>
  </si>
  <si>
    <t>MEC BOKK XOL NDOUR NDOUR</t>
  </si>
  <si>
    <t>MUTUELLE D'EPARGNE ET DE CREDIT DE LA CHAMBRE DE COMMERCE DE KAOLACK</t>
  </si>
  <si>
    <t>MECCIAK</t>
  </si>
  <si>
    <t>MEC SUXALI BABA GARAGE</t>
  </si>
  <si>
    <t>MEC NDIMBALANTE DE KEUR MADIABEL</t>
  </si>
  <si>
    <t>MEC SANT SUNU BOROM DE KHOMBOLE</t>
  </si>
  <si>
    <t>TB3-03-00330</t>
  </si>
  <si>
    <t>MEC XEWEL DE KOAR</t>
  </si>
  <si>
    <t>MEC DEGGO BOKK LIGGEY DE KEUR AYIP KA</t>
  </si>
  <si>
    <t>FK3-03-00347</t>
  </si>
  <si>
    <t>MUTUELLE D'EPARGNE ET DE CREDIT DE L'ASSOCIATION REGIONALE DES AGRICULTEURS DE FATICK</t>
  </si>
  <si>
    <t>MEC ARAF DE GOSSAS</t>
  </si>
  <si>
    <t>MEC BAMTAARE DE MATAM</t>
  </si>
  <si>
    <t>MEC AAP</t>
  </si>
  <si>
    <t>MUTUELLE D'EPARGNE ET DE CREDIT DE PROMOTION FEMININE DE SEBIKOTANE DE LA FNGPF</t>
  </si>
  <si>
    <t>MEC DIMBALANTE DE FOUNDIOUGNE</t>
  </si>
  <si>
    <t>MEC KWIP/P</t>
  </si>
  <si>
    <t>MEC CODEL</t>
  </si>
  <si>
    <t>CAISSE DU CREDIT MUTUEL SENEGAL DE BOURGUIBA</t>
  </si>
  <si>
    <t>CCMS BOURGUIBA</t>
  </si>
  <si>
    <t>CAISSE DU CREDIT MUTUEL SENEGAL DE DIOULOULOU</t>
  </si>
  <si>
    <t>CCMS DIOULOULOU</t>
  </si>
  <si>
    <t>CAISSE DU CREDIT MUTUEL SENEGAL DE FIMELA</t>
  </si>
  <si>
    <t>CCMS FIMELA</t>
  </si>
  <si>
    <t>CAISSE DU CREDIT MUTUEL SENEGAL DE NDIAGANIAO</t>
  </si>
  <si>
    <t>CCMS NDIAGANIAO</t>
  </si>
  <si>
    <t>CAISSE DU CREDIT MUTUEL SENEGAL DE OUAKAM</t>
  </si>
  <si>
    <t>CCMS OUAKAM</t>
  </si>
  <si>
    <t>CAISSE DU CREDIT MUTUEL SENEGAL DE SEDHIOU</t>
  </si>
  <si>
    <t>CCMS SEDHIOU</t>
  </si>
  <si>
    <t>CAISSE DU CREDIT MUTUEL SENEGAL DE THIAROYE</t>
  </si>
  <si>
    <t>CCMS THIAROYE</t>
  </si>
  <si>
    <t>CAISSE DU CREDIT MUTUEL SENEGAL DE YEUMBEUL</t>
  </si>
  <si>
    <t>CCMS YEUMBEUL</t>
  </si>
  <si>
    <t>CAISSE DU CREDIT MUTUEL SENEGAL DES PARCELLES ASSAINIES</t>
  </si>
  <si>
    <t>CCMS PA</t>
  </si>
  <si>
    <t xml:space="preserve">MUTUELLE D'EPARGNE ET DE CREDIT DOOLEEL DJIGEEN </t>
  </si>
  <si>
    <t>CAISSE DE CREDIT MUTUEL DE SAINT-LOUIS</t>
  </si>
  <si>
    <t>CCMS SAINT- LOUIS</t>
  </si>
  <si>
    <t>IMCEC MBOUR</t>
  </si>
  <si>
    <t>IMCEC CASAMANCE</t>
  </si>
  <si>
    <t>MEC TRANS</t>
  </si>
  <si>
    <t>MEC PAR DE RAO</t>
  </si>
  <si>
    <t>MEC NDIANGNE</t>
  </si>
  <si>
    <t>MECCIAM "FAWROU"</t>
  </si>
  <si>
    <t>JSR</t>
  </si>
  <si>
    <t>MEC DE LA RNC DU DELTA DU SALOUM</t>
  </si>
  <si>
    <t>MEC/FEDM</t>
  </si>
  <si>
    <t>CAREC BARKEDJI</t>
  </si>
  <si>
    <t>CAISSE DU CREDIT MUTUEL SENEGAL DE CAP-SKIRING</t>
  </si>
  <si>
    <t>CCMS DE CAP SKIRING</t>
  </si>
  <si>
    <t>CAISSE DU CREDIT MUTUEL SENEGAL DE DAHRA</t>
  </si>
  <si>
    <t>CCMS DE DARHA</t>
  </si>
  <si>
    <t>CAISSE DU CREDIT MUTUEL SENEGAL DE DIAWARA</t>
  </si>
  <si>
    <t>CCMS DE DIAWARA</t>
  </si>
  <si>
    <t>CAISSE DU CREDIT MUTUEL SENEGAL DE GRAND-YOFF</t>
  </si>
  <si>
    <t>CCMS DE GRAND YOFF</t>
  </si>
  <si>
    <t>CAISSE DU CREDIT MUTUEL SENEGAL DE GOLF-SUD</t>
  </si>
  <si>
    <t>CCMS DE GOLF SUD</t>
  </si>
  <si>
    <t>CAISSE DU CREDIT MUTUEL SENEGAL DE KAOLACK II</t>
  </si>
  <si>
    <t>CCMS DE KAOLACK II</t>
  </si>
  <si>
    <t>CAISSE DU CREDIT MUTUEL SENEGAL DE KEBEMER</t>
  </si>
  <si>
    <t>CCMS DE KEBEMER</t>
  </si>
  <si>
    <t>CAISSE DU CREDIT MUTUEL SENEGAL DE KIDIRA</t>
  </si>
  <si>
    <t>CCMS DE KIDIRA</t>
  </si>
  <si>
    <t>CAISSE DU CREDIT MUTUEL SENEGAL DE LOUGA</t>
  </si>
  <si>
    <t>CCMS DE LOUGA</t>
  </si>
  <si>
    <t>CAISSE DU CREDIT MUTUEL SENEGAL DE PARCELLES DIOR</t>
  </si>
  <si>
    <t>CCMS DE PARCELLES DIOR</t>
  </si>
  <si>
    <t>CAISSE DU CREDIT MUTUEL SENEGAL DE ROSS-BETHIO</t>
  </si>
  <si>
    <t>CCM DE ROSS-BETHIO</t>
  </si>
  <si>
    <t>CAISSE DU CREDIT MUTUEL SENEGAL DE TANAFF</t>
  </si>
  <si>
    <t>CCMS DE TANAFF</t>
  </si>
  <si>
    <t>CAISSE DU CREDIT MUTUEL SENEGAL DE THIES CENTRE</t>
  </si>
  <si>
    <t>CCMS DE THIES 2</t>
  </si>
  <si>
    <t>CAISSE DU CREDIT MUTUEL SENEGAL DE TOUBA</t>
  </si>
  <si>
    <t>CCMS DE TOUBA</t>
  </si>
  <si>
    <t xml:space="preserve">MUTUELLE D'EPARGNE ET DE CREDIT POUR LA PROTECTION DE LA NATURE A POPENGUINE </t>
  </si>
  <si>
    <t>MEC/PRONAT</t>
  </si>
  <si>
    <t xml:space="preserve">MUTUELLE D'EPARGNE ET DE CREDIT KAWRAL DIWAN TORO </t>
  </si>
  <si>
    <t>MEC KAWRAL  DIWAN TORO</t>
  </si>
  <si>
    <t>MFR MALINCOUNDA</t>
  </si>
  <si>
    <t>MEC FELO AGNAM</t>
  </si>
  <si>
    <t xml:space="preserve">MUTUELLE D'EPARGNE ET DE CREDIT DE THIOLOM </t>
  </si>
  <si>
    <t>CVA THIOLOM</t>
  </si>
  <si>
    <t xml:space="preserve">MUTUELLE D'EPARGNE ET DE CREDIT DIALAW </t>
  </si>
  <si>
    <t xml:space="preserve">MUTUELLE D'EPARGNE ET DE CREDIT SAXUM JIGEEN DE NIORO </t>
  </si>
  <si>
    <t>MEC SAXUM JIGEEN DE NIORO</t>
  </si>
  <si>
    <t>CAISSE DU CREDIT MUTUEL SENEGAL DE SALY</t>
  </si>
  <si>
    <t>CCMS SALY</t>
  </si>
  <si>
    <t>CAISSE DU CREDIT MUTUEL SENEGAL DE RICHARD TOLL</t>
  </si>
  <si>
    <t>CCMS RICHARD TOLL</t>
  </si>
  <si>
    <t>CAISSE DU CREDIT MUTUEL SENEGAL DE SAMINE</t>
  </si>
  <si>
    <t>CCMS SAMINE</t>
  </si>
  <si>
    <t>CAISSE DU CREDIT MUTUEL SENEGAL DE PLATEAU</t>
  </si>
  <si>
    <t>CCMS PLATEAU</t>
  </si>
  <si>
    <t>CAISSE DU CREDIT MUTUEL SENEGAL DE SHAM</t>
  </si>
  <si>
    <t>CCMS SAHM</t>
  </si>
  <si>
    <t>MEE/SPS</t>
  </si>
  <si>
    <t xml:space="preserve">COOPERATIVE D'EPARGNE ET DE CREDIT "BIRIMA" </t>
  </si>
  <si>
    <t>CEC BIRIMA</t>
  </si>
  <si>
    <t xml:space="preserve">CREDIT MUNICIPAL DE GUEDIAWAYE </t>
  </si>
  <si>
    <t>CAISSE DU CREDIT MUTUEL SENEGAL DE LA VDN</t>
  </si>
  <si>
    <t>CCMS VDN</t>
  </si>
  <si>
    <t>CAISSE DU CREDIT MUTUEL SENEGAL DE HANN MARISTES</t>
  </si>
  <si>
    <t>CCMS DE HANN MARISTES</t>
  </si>
  <si>
    <t>CAISSE DU CREDIT MUTUEL SENEGAL DE PARCELLES ASSAINIES ACAPES</t>
  </si>
  <si>
    <t>CCMS DE PARCELLES ACAPES</t>
  </si>
  <si>
    <t>CAISSE DU CREDIT MUTUEL SENEGAL DE LA RUE 6</t>
  </si>
  <si>
    <t>CCMS RUE 6</t>
  </si>
  <si>
    <t>CAISSE DU CREDIT MUTUEL SENEGAL DE  MBOUR 2</t>
  </si>
  <si>
    <t>CCMS MBOUR 2</t>
  </si>
  <si>
    <t>CAISSE DU CREDIT MUTUEL SENEGAL DE NDIOUM</t>
  </si>
  <si>
    <t>CCMS NDIOUM</t>
  </si>
  <si>
    <t>CAISSE DU CREDIT MUTUEL SENEGAL DE MEKHE</t>
  </si>
  <si>
    <t>CCMS MEKHE</t>
  </si>
  <si>
    <t xml:space="preserve">CAISSE DU CREDIT MUTUEL SENEGAL DE THIES 3 </t>
  </si>
  <si>
    <t>CCMS THIES 3</t>
  </si>
  <si>
    <t>CAISSE DU CREDIT MUTUEL SENEGAL DE GOSSAS</t>
  </si>
  <si>
    <t>CCMS GOSSAS</t>
  </si>
  <si>
    <t>CAISSE DU CREDIT MUTUEL SENEGAL DE MEDINA YORO FOULAH</t>
  </si>
  <si>
    <t>CCMS MEDINA YORO FOULAH</t>
  </si>
  <si>
    <t xml:space="preserve">MUTUELLE D'EPARGNE ET DE CREDIT JAPPOO LIGGEEY DE NGUEKHOKH </t>
  </si>
  <si>
    <t>MEC JAPPOO LIGUEEY DE NGUEKHOKH</t>
  </si>
  <si>
    <t xml:space="preserve">MUTUELLE ALLIANCE DE CREDIT ET D'EPARGNE POUR LA PRODUCTION DE PIKINE </t>
  </si>
  <si>
    <t>ACEP PIKINE</t>
  </si>
  <si>
    <t>ACEP MBOUR</t>
  </si>
  <si>
    <t>ACEP THIES</t>
  </si>
  <si>
    <t>ACEP DIOURBEL</t>
  </si>
  <si>
    <t>ACEP KAOLACK</t>
  </si>
  <si>
    <t>MUTUELLE ALLIANCE DE CREDIT ET D'EPARGNE POUR LA PRODUCTION DE SAINT-LOUIS</t>
  </si>
  <si>
    <t>ACEP SAINT LOUIS</t>
  </si>
  <si>
    <t>ACEP OUROSSOGUI</t>
  </si>
  <si>
    <t>MUTUELLE ALLIANCE DE CREDIT ET D'EPARGNE POUR LA PRODUCTION DE TAMBACOUNDA</t>
  </si>
  <si>
    <t>ACEP TAMBACOUNDA</t>
  </si>
  <si>
    <t>ACEP ZIGUINCHOR</t>
  </si>
  <si>
    <t>ACEP KOLDA</t>
  </si>
  <si>
    <t xml:space="preserve">MUTUELLE D'EPARGNE ET DE CREDIT WOOLONTE </t>
  </si>
  <si>
    <t>CAISSE POPULAIRE D'EPARGNE ET DE CREDIT DE L'ILE  DE GOREE ( CAPECIG )</t>
  </si>
  <si>
    <t>MUTUELLE D'EPARGNE ET DE CREDIT DE NGOR ( MEC NGOR )</t>
  </si>
  <si>
    <t>MEC/NGOR</t>
  </si>
  <si>
    <t>MUTUELLE D4EPARGNE ET DE CREDIT PAMECAS DU DEPARTEMENT DE MBOUR ( PAMECAS-MBOUR )</t>
  </si>
  <si>
    <t>MUTUELLE D'EPARGNE ET DE CREDIT YENE DIALOW ( MECID )</t>
  </si>
  <si>
    <t>MECYD</t>
  </si>
  <si>
    <t>MUTUELLE D'EPARGNE ET DE CREDIT THIAROYE GUEDJ ( MEC/TG )</t>
  </si>
  <si>
    <t>MEC/TG</t>
  </si>
  <si>
    <t>MUTUELLE D'EPARGNE ET DE CREDIT  DE MEDINA- FASS-COLOBANE ( MEC-MFCO )</t>
  </si>
  <si>
    <t>MEC/MFCO</t>
  </si>
  <si>
    <t>MUTUELLE D'EPARGNE ET DE CREDIT  DE CASTORS-DERKLE-GRAND YOFF ( MEC-C.D.GY )</t>
  </si>
  <si>
    <t>MEC/C.D.GY</t>
  </si>
  <si>
    <t xml:space="preserve">CAISSE D'EPARGNE ET DE CREDIT DE BARGNY ( CEC-B ) </t>
  </si>
  <si>
    <t>CEC/B</t>
  </si>
  <si>
    <t>MUTUELLE D'EPARGNE ET DE CREDIT PAMECAS DU DEPARTEMENT DE TIVAOUANE ( PAMECAS-TIVAOUANE )</t>
  </si>
  <si>
    <t>PAMECAS TIVAOUNE</t>
  </si>
  <si>
    <t>MUTUELLE D'EPARGNE ET DE CREDIT DE RUFISQUE - EST (MECREST)</t>
  </si>
  <si>
    <t>MECREST</t>
  </si>
  <si>
    <t>CAURIE MICROFINANCE</t>
  </si>
  <si>
    <t>MUTUELLE D'EPARGNE ET DE CREDIT "EPICENTRE KOKI"</t>
  </si>
  <si>
    <t>MEC EPICENTRE KOKI</t>
  </si>
  <si>
    <t>MUTUELLE D'EPARGNE ET DE CREDIT POUR LA DYNAMISATION DE LA MICROFINANCE A KEGOUGOU</t>
  </si>
  <si>
    <t>MEC DYNAMICS KEDOUGOU</t>
  </si>
  <si>
    <t xml:space="preserve">UNION DES MUTUELLES DU PARTENARIAT POUR LA MOBILISATION DE L'EPARGNE ET DU CREDIT AU SENEGAL </t>
  </si>
  <si>
    <t>UM- PAMECAS</t>
  </si>
  <si>
    <t>UNION  INTER-CREC ZIGUINCHOR</t>
  </si>
  <si>
    <t>RESEAU DES MUTUELLES D'EPARGNE ET DE CREDIT DES NIAYES</t>
  </si>
  <si>
    <t xml:space="preserve">UNION RURALE DES MUTUELLES D'EPARGNE ET DE CREDIT DU SENEGAL </t>
  </si>
  <si>
    <t xml:space="preserve">UNION DES INSTITUTIONS MUTUALISTES COMMUNAUTAIRES D'EPARGNE ET DE CREDIT </t>
  </si>
  <si>
    <t xml:space="preserve">UNION DES MUTUELLES D'EPARGNE ET DE CREDIT DES ARTISANS DU SENEGAL </t>
  </si>
  <si>
    <t xml:space="preserve">UNION DES MUTUELLES ALLIANCE DE CREDIT ET D'EPARGNE POUR LA PRODUCTION </t>
  </si>
  <si>
    <t>LG1-14-00604U</t>
  </si>
  <si>
    <t xml:space="preserve">UNION FINANCIERE MUTUALISTE DE LOUGA </t>
  </si>
  <si>
    <t>UFM/LOUGA</t>
  </si>
  <si>
    <t xml:space="preserve">FEDERATION DES CAISSES DU CREDIT MUTUEL DU SENEGAL </t>
  </si>
  <si>
    <t xml:space="preserve">CONFEDERATION DES CAISSES MUTUALISTES D'AFRIQUE DE L'OUEST </t>
  </si>
  <si>
    <t>SOCIETE  ANONYME "MICROSEN SA"</t>
  </si>
  <si>
    <t>SOCIETE  ANONYME "FIDES MICROFINANCE SENEGAL"</t>
  </si>
  <si>
    <t>FIDES Microfi nance Sénégal</t>
  </si>
  <si>
    <t>SOCIETE  ANONYME "MICROCRED SA"</t>
  </si>
  <si>
    <t>MICROCRED SA</t>
  </si>
  <si>
    <t>SOCIETE  ANONYME "KAJAS MICROFINANCE  SA"</t>
  </si>
  <si>
    <t>KAJAS MICROFINANCE SA</t>
  </si>
  <si>
    <t>COMPAGNIE FINANCIERE AFRICAINE SENEGAL SA</t>
  </si>
  <si>
    <t>COFINA SENEGAL SA</t>
  </si>
  <si>
    <t>CREDIT SOLIDAIRE AFRIQUE</t>
  </si>
  <si>
    <t>CSA SA</t>
  </si>
  <si>
    <t>ASSOCIATION "FEMME DEVELOPPEMENT ENTREPRISE EN AFRIQUE (FDEA) MICROFINANCE</t>
  </si>
  <si>
    <t>FDEA</t>
  </si>
  <si>
    <t>UFM</t>
  </si>
  <si>
    <t>UNION</t>
  </si>
  <si>
    <t>FEDERATION</t>
  </si>
  <si>
    <t>CONFEDERATION</t>
  </si>
  <si>
    <t>LG3-14-00603</t>
  </si>
  <si>
    <t>KG1-14-00605</t>
  </si>
  <si>
    <t>DK1-10-00595</t>
  </si>
  <si>
    <t>SL1-10-00597</t>
  </si>
  <si>
    <t>DK1-11-00598</t>
  </si>
  <si>
    <t>DK1-11-00599</t>
  </si>
  <si>
    <t>DK1-14-00600</t>
  </si>
  <si>
    <t>DK1-14-00602</t>
  </si>
  <si>
    <t>DK1-14-00601</t>
  </si>
  <si>
    <t xml:space="preserve">Autres dépôts de garantie reçus </t>
  </si>
  <si>
    <t>988 avec 7459 membres</t>
  </si>
  <si>
    <t>FATOU  DIEYE</t>
  </si>
  <si>
    <t>SIDY  DIEYE</t>
  </si>
  <si>
    <t>SALIMATA  MBAYE</t>
  </si>
  <si>
    <t>BABACAR  NDIAYE</t>
  </si>
  <si>
    <t>MADIOP  DIOP</t>
  </si>
  <si>
    <t>ABDOULAYE  SALL</t>
  </si>
  <si>
    <t>MAGATTE  SY</t>
  </si>
  <si>
    <t>ABOUBACAR  NDIAYE</t>
  </si>
  <si>
    <t>ABDOU  MARONE</t>
  </si>
  <si>
    <t>ELHADJI MALICK  SALL</t>
  </si>
  <si>
    <t>YAYA  KEITA</t>
  </si>
  <si>
    <t>MAMADOU  NDIAYE</t>
  </si>
  <si>
    <t>BIRAME NDAW</t>
  </si>
  <si>
    <t>MAME GOR  DIOP</t>
  </si>
  <si>
    <t>MORY  DIOP</t>
  </si>
  <si>
    <t>ALIOUNE  DIEYE</t>
  </si>
  <si>
    <t>SAID  NDIAYE</t>
  </si>
  <si>
    <t>DIOR  TOP</t>
  </si>
  <si>
    <t>SERIGNE  NDIAYE</t>
  </si>
  <si>
    <t>IDRISSA BADJI</t>
  </si>
  <si>
    <t>MAMADOU  DIAW</t>
  </si>
  <si>
    <t>ALGASSOUM  SYLLA</t>
  </si>
  <si>
    <t>MOUHAMADOU BACHIR  TOURE</t>
  </si>
  <si>
    <t>MEDOU  DIAW</t>
  </si>
  <si>
    <t>MAMADOU  DIOP</t>
  </si>
  <si>
    <t>OUSMANE  DIAW</t>
  </si>
  <si>
    <t>AMINATA  DIA</t>
  </si>
  <si>
    <t>PAPA AMADOU  KEBE</t>
  </si>
  <si>
    <t>ADAMA NDIAYE</t>
  </si>
  <si>
    <t>MOUSSA  BA</t>
  </si>
  <si>
    <t>ASSANE  SYLL</t>
  </si>
  <si>
    <t>ABDOU KHADRE  DIAO</t>
  </si>
  <si>
    <t>AMADOU GALELE  SOW</t>
  </si>
  <si>
    <t>MAYADA  DIOP</t>
  </si>
  <si>
    <t>Djiby Seck  BA</t>
  </si>
  <si>
    <t>KHADISSATOU  FALL</t>
  </si>
  <si>
    <t>ABDOULAYE  FALL</t>
  </si>
  <si>
    <t>BABACAR  DIAGNE</t>
  </si>
  <si>
    <t>FATOU  DIOP</t>
  </si>
  <si>
    <t>CHEIKH  KA</t>
  </si>
  <si>
    <t>MAMADOU  DEM</t>
  </si>
  <si>
    <t>BARAMA  DIOP</t>
  </si>
  <si>
    <t>EL HADJI SAM  FAYE</t>
  </si>
  <si>
    <t>EL HADJI IBA  NIANG</t>
  </si>
  <si>
    <t>MOR  DIOP</t>
  </si>
  <si>
    <t>SIDY  BA</t>
  </si>
  <si>
    <t>CHEIKH DAROU  DIOP</t>
  </si>
  <si>
    <t>SEYDINA OUMAR  DIOP</t>
  </si>
  <si>
    <t>EL HADJI BASSIROU  NIANG</t>
  </si>
  <si>
    <t>ABDOULAYE  KA</t>
  </si>
  <si>
    <t>Ablaye  DIOP</t>
  </si>
  <si>
    <t>ALIOUNE  MBAYE</t>
  </si>
  <si>
    <t>BABACAR  LOUME</t>
  </si>
  <si>
    <t>IBRAHIMA  DIOL</t>
  </si>
  <si>
    <t>IBRAHIMA  MBODJ</t>
  </si>
  <si>
    <t>LATYR  FALL</t>
  </si>
  <si>
    <t>PAPA  NGOM</t>
  </si>
  <si>
    <t>PEINDA  FAYE</t>
  </si>
  <si>
    <t>SABAKHAO  DIAW</t>
  </si>
  <si>
    <t>LO ABDOUL AZIZ</t>
  </si>
  <si>
    <t>LO MAGATTE</t>
  </si>
  <si>
    <t>LO MAME MAREME</t>
  </si>
  <si>
    <t>BA ABDOULAYE</t>
  </si>
  <si>
    <t>GUEYE MBAYE</t>
  </si>
  <si>
    <t>DIOP BARANE</t>
  </si>
  <si>
    <t>BA MAME</t>
  </si>
  <si>
    <t>LO SERIGNE ADY</t>
  </si>
  <si>
    <t>NDIAYE NDIAGA</t>
  </si>
  <si>
    <t>DIOP SALIOU</t>
  </si>
  <si>
    <t>DIOP SERIGNE</t>
  </si>
  <si>
    <t>SARR MOUSSA</t>
  </si>
  <si>
    <t>SY ASTOU GUEYE</t>
  </si>
  <si>
    <t>DIEYE FATOU</t>
  </si>
  <si>
    <t>DIENG KHADY</t>
  </si>
  <si>
    <t>NDIAYE SAFY</t>
  </si>
  <si>
    <t>DIOP AWA</t>
  </si>
  <si>
    <t>NIANG MAMADOU FATY KHARY</t>
  </si>
  <si>
    <t>MBOUP NDIAGA</t>
  </si>
  <si>
    <t>BA GUELADIO</t>
  </si>
  <si>
    <t>KA CHEIKH</t>
  </si>
  <si>
    <t>WADE ASSANE</t>
  </si>
  <si>
    <t>DIOP ASSANE</t>
  </si>
  <si>
    <t>SEYE FATOU</t>
  </si>
  <si>
    <t>NDIAYE CHEIKH</t>
  </si>
  <si>
    <t>DIOP OUMY</t>
  </si>
  <si>
    <t>LO MODOU</t>
  </si>
  <si>
    <t>FAYE ALE</t>
  </si>
  <si>
    <t>DIEYE SIDY</t>
  </si>
  <si>
    <t>NGUER SINY</t>
  </si>
  <si>
    <t>DIAGNE SADA</t>
  </si>
  <si>
    <t>DIENG PAPA</t>
  </si>
  <si>
    <t>DIALLO MAMADOU</t>
  </si>
  <si>
    <t>SOW ELHADJI AMADOU</t>
  </si>
  <si>
    <t>MBOUP SARR</t>
  </si>
  <si>
    <t>DIAGNE FATOU</t>
  </si>
  <si>
    <t>SOW SADIBOU</t>
  </si>
  <si>
    <t>DIALLO AMADOU IBRAHIMA</t>
  </si>
  <si>
    <t>MBAYE SALIMATA</t>
  </si>
  <si>
    <t>DIAO ABDOU KHADRE</t>
  </si>
  <si>
    <t>SARR IBRA</t>
  </si>
  <si>
    <t>MBODJI FACOUMBA</t>
  </si>
  <si>
    <t>DIOP MAGATTE</t>
  </si>
  <si>
    <t>FALL BIRAMA</t>
  </si>
  <si>
    <t>SOW SAMBA ABDOU BIRAM</t>
  </si>
  <si>
    <t>MBAYE SAFIETOU</t>
  </si>
  <si>
    <t>DIOP MAREMA</t>
  </si>
  <si>
    <t>TOURE MOUHAMED</t>
  </si>
  <si>
    <t>DIAW ABDOU BAKHE</t>
  </si>
  <si>
    <t>DIOP CHEIKH DAROU</t>
  </si>
  <si>
    <t>YAKHOUBA  NDIOM</t>
  </si>
  <si>
    <t>Agriculture chasse et sylviculture</t>
  </si>
  <si>
    <t>MOHAMED THEOPHILE  DIOP</t>
  </si>
  <si>
    <t>Commerce et réparation</t>
  </si>
  <si>
    <t>MBAYE  DIAW</t>
  </si>
  <si>
    <t>FATOU  LO</t>
  </si>
  <si>
    <t>CHEIKH  SALL</t>
  </si>
  <si>
    <t>CHEIKH MBACKE  SOW</t>
  </si>
  <si>
    <t>MAGATTE  NIANG</t>
  </si>
  <si>
    <t>MAMADOU  FALL</t>
  </si>
  <si>
    <t>MAYORO  WADE</t>
  </si>
  <si>
    <t>MBAYE BABACAR  SARR</t>
  </si>
  <si>
    <t>MOUSSA  SOW</t>
  </si>
  <si>
    <t>SAMBA  SOW</t>
  </si>
  <si>
    <t>ADAMA TALL</t>
  </si>
  <si>
    <t>AHMADOU  SOW</t>
  </si>
  <si>
    <t>DAME  NDAO</t>
  </si>
  <si>
    <t>DJIBY  CAMARA</t>
  </si>
  <si>
    <t>ALIOUNE  SEYE</t>
  </si>
  <si>
    <t>ABIBOU SEYE</t>
  </si>
  <si>
    <t>DEMBA  FAYE</t>
  </si>
  <si>
    <t>ELHADJI ALIOUNE  DIALLO</t>
  </si>
  <si>
    <t>MAGATTE  MBAYE</t>
  </si>
  <si>
    <t>CHEIKH  DIOUF</t>
  </si>
  <si>
    <t>CHEIKH  NIANG</t>
  </si>
  <si>
    <t>Pêche pisciculture aquaculture</t>
  </si>
  <si>
    <t>SAMBA  DIAW</t>
  </si>
  <si>
    <t>EL HADJI MOHAMED  DIAKHA</t>
  </si>
  <si>
    <t>HAMET  GUEYE</t>
  </si>
  <si>
    <t>RASSOLE  SOW</t>
  </si>
  <si>
    <t>AMED  DIAGNE</t>
  </si>
  <si>
    <t>DAOUDA  SOW</t>
  </si>
  <si>
    <t>DJIBY  GAYE</t>
  </si>
  <si>
    <t>MAKE AMADOU  BA</t>
  </si>
  <si>
    <t>MBAYE  FAYE</t>
  </si>
  <si>
    <t>SAER  DIENG</t>
  </si>
  <si>
    <t>YORO  SENE</t>
  </si>
  <si>
    <t>EMMANUEL SITEBO  SENGHOR</t>
  </si>
  <si>
    <t>OUSMANE  NDOUR</t>
  </si>
  <si>
    <t>MOCTAR  DIAW</t>
  </si>
  <si>
    <t>CHEIKH  NDAO</t>
  </si>
  <si>
    <t>FATOU  NDIAYE</t>
  </si>
  <si>
    <t>CHEIKH AMET TIDIANE  KANE</t>
  </si>
  <si>
    <t>AMINATA  DIOUF</t>
  </si>
  <si>
    <t>OUSMANE  KONE</t>
  </si>
  <si>
    <t>OUMAR  NDIAYE</t>
  </si>
  <si>
    <t>MALICK  KA</t>
  </si>
  <si>
    <t>EL HADJI FALLOU  DIOUF</t>
  </si>
  <si>
    <t>SALIF  SAMBA  DIA</t>
  </si>
  <si>
    <t>BAIDY  SALL</t>
  </si>
  <si>
    <t>SIDATE  DEME</t>
  </si>
  <si>
    <t>Ousseynou Diop</t>
  </si>
  <si>
    <t>acepsaintlouis@acepsenegal.com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</si>
</sst>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 &quot;€&quot;;\-#,##0\ &quot;€&quot;"/>
    <numFmt numFmtId="165" formatCode="_-* #,##0.00\ &quot;€&quot;_-;\-* #,##0.00\ &quot;€&quot;_-;_-* &quot;-&quot;??\ &quot;€&quot;_-;_-@_-"/>
    <numFmt numFmtId="166" formatCode="_-* #,##0.00\ _€_-;\-* #,##0.00\ _€_-;_-* &quot;-&quot;??\ _€_-;_-@_-"/>
    <numFmt numFmtId="167" formatCode="**&quot;-&quot;#&quot;-&quot;##&quot;-&quot;#####"/>
    <numFmt numFmtId="168" formatCode="#,##0\ _€"/>
    <numFmt numFmtId="169" formatCode="00000"/>
    <numFmt numFmtId="170" formatCode="_-* #,##0\ _€_-;\-* #,##0\ _€_-;_-* &quot;-&quot;??\ _€_-;_-@_-"/>
    <numFmt numFmtId="171" formatCode="_-* #,##0_ _$_-;\-* #,##0_ _$_-;_-* &quot;-&quot;??_ _$_-;_-@_-"/>
    <numFmt numFmtId="172" formatCode="_-* #,##0\ _F_-;\-* #,##0\ _F_-;_-* &quot;-&quot;??\ _F_-;_-@_-"/>
    <numFmt numFmtId="173" formatCode="_-* #,##0.00\ _F_-;\-* #,##0.00\ _F_-;_-* &quot;-&quot;??\ _F_-;_-@_-"/>
    <numFmt numFmtId="174" formatCode="_-* #,##0.0_ _$_-;\-* #,##0.0_ _$_-;_-* &quot;-&quot;??_ _$_-;_-@_-"/>
    <numFmt numFmtId="175" formatCode="_-* #,##0.00_ _$_-;\-* #,##0.00_ _$_-;_-* &quot;-&quot;??_ _$_-;_-@_-"/>
    <numFmt numFmtId="176" formatCode="#,##0.00_ ;\-#,##0.00\ "/>
  </numFmts>
  <fonts count="93" x14ac:knownFonts="1">
    <font>
      <sz val="11"/>
      <color theme="1"/>
      <name val="Calibri"/>
      <family val="2"/>
      <scheme val="minor"/>
    </font>
    <font>
      <b/>
      <sz val="11"/>
      <color theme="1"/>
      <name val="Calibri"/>
      <family val="2"/>
      <scheme val="minor"/>
    </font>
    <font>
      <sz val="8"/>
      <color indexed="81"/>
      <name val="Tahoma"/>
      <family val="2"/>
    </font>
    <font>
      <sz val="12"/>
      <color theme="1"/>
      <name val="Calibri"/>
      <family val="2"/>
      <scheme val="minor"/>
    </font>
    <font>
      <b/>
      <sz val="10"/>
      <name val="Arial"/>
      <family val="2"/>
    </font>
    <font>
      <b/>
      <sz val="12"/>
      <color theme="1"/>
      <name val="Calibri"/>
      <family val="2"/>
      <scheme val="minor"/>
    </font>
    <font>
      <sz val="12"/>
      <color rgb="FF000000"/>
      <name val="Calibri"/>
      <family val="2"/>
      <scheme val="minor"/>
    </font>
    <font>
      <sz val="10"/>
      <name val="Arial"/>
      <family val="2"/>
    </font>
    <font>
      <u/>
      <sz val="10"/>
      <color indexed="12"/>
      <name val="Arial"/>
      <family val="2"/>
    </font>
    <font>
      <b/>
      <sz val="10"/>
      <color indexed="53"/>
      <name val="Arial"/>
      <family val="2"/>
    </font>
    <font>
      <b/>
      <sz val="10"/>
      <color indexed="48"/>
      <name val="Arial"/>
      <family val="2"/>
    </font>
    <font>
      <b/>
      <sz val="12"/>
      <name val="Arial"/>
      <family val="2"/>
    </font>
    <font>
      <b/>
      <sz val="11"/>
      <name val="Arial"/>
      <family val="2"/>
    </font>
    <font>
      <b/>
      <sz val="14"/>
      <name val="Arial"/>
      <family val="2"/>
    </font>
    <font>
      <b/>
      <sz val="16"/>
      <color indexed="9"/>
      <name val="Arial"/>
      <family val="2"/>
    </font>
    <font>
      <b/>
      <sz val="14"/>
      <color indexed="9"/>
      <name val="Arial"/>
      <family val="2"/>
    </font>
    <font>
      <u/>
      <sz val="11"/>
      <color theme="10"/>
      <name val="Calibri"/>
      <family val="2"/>
    </font>
    <font>
      <sz val="11"/>
      <color rgb="FF000000"/>
      <name val="Calibri"/>
      <family val="2"/>
      <scheme val="minor"/>
    </font>
    <font>
      <sz val="1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1"/>
      <color theme="0"/>
      <name val="Calibri"/>
      <family val="2"/>
      <scheme val="minor"/>
    </font>
    <font>
      <sz val="12"/>
      <name val="Arial"/>
      <family val="2"/>
    </font>
    <font>
      <sz val="9"/>
      <color indexed="13"/>
      <name val="Tahoma"/>
      <family val="2"/>
    </font>
    <font>
      <sz val="8"/>
      <color theme="1"/>
      <name val="Calibri"/>
      <family val="2"/>
      <scheme val="minor"/>
    </font>
    <font>
      <b/>
      <sz val="12"/>
      <color theme="3" tint="-0.249977111117893"/>
      <name val="Calibri"/>
      <family val="2"/>
      <scheme val="minor"/>
    </font>
    <font>
      <sz val="12"/>
      <color theme="9" tint="-0.499984740745262"/>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u/>
      <sz val="9"/>
      <color theme="1"/>
      <name val="Calibri"/>
      <family val="2"/>
      <scheme val="minor"/>
    </font>
    <font>
      <b/>
      <u/>
      <sz val="8"/>
      <color theme="1"/>
      <name val="Calibri"/>
      <family val="2"/>
      <scheme val="minor"/>
    </font>
    <font>
      <b/>
      <sz val="14"/>
      <color theme="4" tint="-0.249977111117893"/>
      <name val="Calibri"/>
      <family val="2"/>
      <scheme val="minor"/>
    </font>
    <font>
      <b/>
      <sz val="12"/>
      <color theme="5" tint="-0.249977111117893"/>
      <name val="Arial"/>
      <family val="2"/>
    </font>
    <font>
      <sz val="18"/>
      <color theme="3" tint="-0.249977111117893"/>
      <name val="Calibri"/>
      <family val="2"/>
      <scheme val="minor"/>
    </font>
    <font>
      <sz val="9"/>
      <color indexed="81"/>
      <name val="Tahoma"/>
      <family val="2"/>
    </font>
    <font>
      <b/>
      <sz val="10"/>
      <name val="Calibri"/>
      <family val="2"/>
      <scheme val="minor"/>
    </font>
    <font>
      <sz val="8"/>
      <color theme="2"/>
      <name val="Calibri"/>
      <family val="2"/>
      <scheme val="minor"/>
    </font>
    <font>
      <b/>
      <sz val="12"/>
      <color theme="4" tint="0.39997558519241921"/>
      <name val="Calibri"/>
      <family val="2"/>
      <scheme val="minor"/>
    </font>
    <font>
      <b/>
      <sz val="11"/>
      <color theme="3" tint="-0.249977111117893"/>
      <name val="Calibri"/>
      <family val="2"/>
      <scheme val="minor"/>
    </font>
    <font>
      <i/>
      <sz val="11"/>
      <name val="Calibri"/>
      <family val="2"/>
      <scheme val="minor"/>
    </font>
    <font>
      <b/>
      <sz val="12"/>
      <color rgb="FFC00000"/>
      <name val="Calibri"/>
      <family val="2"/>
      <scheme val="minor"/>
    </font>
    <font>
      <sz val="11"/>
      <color theme="9" tint="-0.499984740745262"/>
      <name val="Calibri"/>
      <family val="2"/>
      <scheme val="minor"/>
    </font>
    <font>
      <b/>
      <u/>
      <sz val="18"/>
      <color theme="10"/>
      <name val="Calibri"/>
      <family val="2"/>
    </font>
    <font>
      <b/>
      <sz val="20"/>
      <color theme="1"/>
      <name val="Calibri"/>
      <family val="2"/>
      <scheme val="minor"/>
    </font>
    <font>
      <b/>
      <sz val="14"/>
      <color theme="1"/>
      <name val="Calibri"/>
      <family val="2"/>
      <scheme val="minor"/>
    </font>
    <font>
      <b/>
      <sz val="22"/>
      <color rgb="FFFF0000"/>
      <name val="Calibri"/>
      <family val="2"/>
      <scheme val="minor"/>
    </font>
    <font>
      <sz val="28"/>
      <color theme="1"/>
      <name val="Calibri"/>
      <family val="2"/>
      <scheme val="minor"/>
    </font>
    <font>
      <sz val="11"/>
      <color theme="1"/>
      <name val="Calibri"/>
      <family val="2"/>
    </font>
    <font>
      <b/>
      <i/>
      <sz val="11"/>
      <color theme="1"/>
      <name val="Calibri"/>
      <family val="2"/>
      <scheme val="minor"/>
    </font>
    <font>
      <b/>
      <sz val="11"/>
      <color rgb="FF000000"/>
      <name val="Calibri"/>
      <family val="2"/>
    </font>
    <font>
      <sz val="11"/>
      <name val="Calibri"/>
      <family val="2"/>
    </font>
    <font>
      <b/>
      <i/>
      <sz val="11"/>
      <color rgb="FF000000"/>
      <name val="Calibri"/>
      <family val="2"/>
    </font>
    <font>
      <b/>
      <i/>
      <sz val="12"/>
      <color rgb="FF000000"/>
      <name val="Calibri"/>
      <family val="2"/>
    </font>
    <font>
      <b/>
      <i/>
      <sz val="12"/>
      <color theme="1"/>
      <name val="Calibri"/>
      <family val="2"/>
      <scheme val="minor"/>
    </font>
    <font>
      <sz val="22"/>
      <color theme="1"/>
      <name val="Calibri"/>
      <family val="2"/>
      <scheme val="minor"/>
    </font>
    <font>
      <i/>
      <sz val="11"/>
      <color rgb="FF000000"/>
      <name val="Calibri"/>
      <family val="2"/>
    </font>
    <font>
      <sz val="24"/>
      <color theme="1"/>
      <name val="Calibri"/>
      <family val="2"/>
      <scheme val="minor"/>
    </font>
    <font>
      <sz val="16"/>
      <color rgb="FFFF0000"/>
      <name val="Calibri"/>
      <family val="2"/>
      <scheme val="minor"/>
    </font>
    <font>
      <sz val="16"/>
      <color theme="1"/>
      <name val="Calibri"/>
      <family val="2"/>
      <scheme val="minor"/>
    </font>
    <font>
      <sz val="18"/>
      <color theme="1"/>
      <name val="Calibri"/>
      <family val="2"/>
      <scheme val="minor"/>
    </font>
    <font>
      <b/>
      <sz val="18"/>
      <color theme="1"/>
      <name val="Calibri"/>
      <family val="2"/>
      <scheme val="minor"/>
    </font>
    <font>
      <b/>
      <sz val="16"/>
      <color theme="0" tint="-0.499984740745262"/>
      <name val="Calibri"/>
      <family val="2"/>
      <scheme val="minor"/>
    </font>
    <font>
      <sz val="12"/>
      <color theme="4" tint="0.39997558519241921"/>
      <name val="Calibri"/>
      <family val="2"/>
      <scheme val="minor"/>
    </font>
    <font>
      <b/>
      <sz val="12"/>
      <color rgb="FF000000"/>
      <name val="Calibri"/>
      <family val="2"/>
      <scheme val="minor"/>
    </font>
    <font>
      <b/>
      <sz val="22"/>
      <color theme="1"/>
      <name val="Calibri"/>
      <family val="2"/>
      <scheme val="minor"/>
    </font>
    <font>
      <b/>
      <i/>
      <sz val="12"/>
      <color rgb="FF000000"/>
      <name val="Calibri"/>
      <family val="2"/>
      <scheme val="minor"/>
    </font>
    <font>
      <sz val="12"/>
      <color theme="0"/>
      <name val="Calibri"/>
      <family val="2"/>
      <scheme val="minor"/>
    </font>
    <font>
      <b/>
      <sz val="18"/>
      <name val="Arial"/>
      <family val="2"/>
    </font>
    <font>
      <b/>
      <sz val="20"/>
      <name val="Arial"/>
      <family val="2"/>
    </font>
    <font>
      <i/>
      <sz val="12"/>
      <color theme="1"/>
      <name val="Calibri"/>
      <family val="2"/>
      <scheme val="minor"/>
    </font>
    <font>
      <b/>
      <sz val="11"/>
      <color theme="1"/>
      <name val="Calibri"/>
      <family val="2"/>
    </font>
    <font>
      <b/>
      <sz val="12"/>
      <color theme="0"/>
      <name val="Calibri"/>
      <family val="2"/>
      <scheme val="minor"/>
    </font>
    <font>
      <sz val="30"/>
      <color theme="0"/>
      <name val="Calibri"/>
      <family val="2"/>
      <scheme val="minor"/>
    </font>
    <font>
      <b/>
      <i/>
      <sz val="14"/>
      <name val="Calibri"/>
      <family val="2"/>
      <scheme val="minor"/>
    </font>
    <font>
      <sz val="20"/>
      <color theme="4" tint="-0.499984740745262"/>
      <name val="Calibri"/>
      <family val="2"/>
      <scheme val="minor"/>
    </font>
    <font>
      <b/>
      <sz val="11"/>
      <color rgb="FF000000"/>
      <name val="Calibri"/>
      <family val="2"/>
      <scheme val="minor"/>
    </font>
    <font>
      <b/>
      <sz val="12"/>
      <color rgb="FFFF0000"/>
      <name val="Calibri"/>
      <family val="2"/>
      <scheme val="minor"/>
    </font>
    <font>
      <b/>
      <sz val="28"/>
      <color theme="1"/>
      <name val="Calibri"/>
      <family val="2"/>
      <scheme val="minor"/>
    </font>
    <font>
      <sz val="20"/>
      <color theme="3" tint="-0.249977111117893"/>
      <name val="Calibri"/>
      <family val="2"/>
      <scheme val="minor"/>
    </font>
    <font>
      <b/>
      <sz val="19"/>
      <color theme="1"/>
      <name val="Calibri"/>
      <family val="2"/>
      <scheme val="minor"/>
    </font>
    <font>
      <sz val="11"/>
      <color theme="1"/>
      <name val="Calibri"/>
      <family val="2"/>
      <scheme val="minor"/>
    </font>
    <font>
      <i/>
      <sz val="8"/>
      <color theme="1"/>
      <name val="Calibri"/>
      <family val="2"/>
      <scheme val="minor"/>
    </font>
    <font>
      <b/>
      <i/>
      <sz val="8"/>
      <color theme="1"/>
      <name val="Calibri"/>
      <family val="2"/>
      <scheme val="minor"/>
    </font>
    <font>
      <sz val="10"/>
      <name val="MS Sans Serif"/>
      <family val="2"/>
    </font>
    <font>
      <sz val="11"/>
      <color indexed="8"/>
      <name val="Calibri"/>
      <family val="2"/>
    </font>
    <font>
      <sz val="11"/>
      <color rgb="FF000000"/>
      <name val="Calibri"/>
      <family val="2"/>
    </font>
    <font>
      <sz val="10"/>
      <name val="Geneva"/>
    </font>
    <font>
      <b/>
      <sz val="10"/>
      <name val="MS Sans Serif"/>
      <family val="2"/>
    </font>
    <font>
      <b/>
      <sz val="11"/>
      <color indexed="9"/>
      <name val="Calibri"/>
      <family val="2"/>
    </font>
    <font>
      <u/>
      <sz val="11"/>
      <color theme="11"/>
      <name val="Calibri"/>
      <family val="2"/>
      <scheme val="minor"/>
    </font>
    <font>
      <sz val="10"/>
      <color theme="0"/>
      <name val="MS Sans Serif"/>
      <family val="2"/>
    </font>
  </fonts>
  <fills count="32">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8"/>
      </patternFill>
    </fill>
    <fill>
      <patternFill patternType="solid">
        <fgColor theme="3"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8"/>
        <bgColor indexed="64"/>
      </patternFill>
    </fill>
    <fill>
      <patternFill patternType="solid">
        <fgColor theme="5" tint="-0.249977111117893"/>
        <bgColor indexed="64"/>
      </patternFill>
    </fill>
    <fill>
      <patternFill patternType="solid">
        <fgColor rgb="FFF7F7F7"/>
        <bgColor indexed="64"/>
      </patternFill>
    </fill>
    <fill>
      <patternFill patternType="solid">
        <fgColor theme="0" tint="-0.249977111117893"/>
        <bgColor indexed="64"/>
      </patternFill>
    </fill>
    <fill>
      <patternFill patternType="solid">
        <fgColor rgb="FFF8F8F8"/>
        <bgColor indexed="64"/>
      </patternFill>
    </fill>
    <fill>
      <patternFill patternType="solid">
        <fgColor theme="1" tint="0.499984740745262"/>
        <bgColor indexed="64"/>
      </patternFill>
    </fill>
    <fill>
      <patternFill patternType="solid">
        <fgColor rgb="FFFCF6F6"/>
        <bgColor indexed="64"/>
      </patternFill>
    </fill>
    <fill>
      <patternFill patternType="solid">
        <fgColor theme="9"/>
      </patternFill>
    </fill>
    <fill>
      <patternFill patternType="solid">
        <fgColor rgb="FFEBEDEB"/>
        <bgColor indexed="64"/>
      </patternFill>
    </fill>
    <fill>
      <patternFill patternType="solid">
        <fgColor rgb="FFEBEDEB"/>
        <bgColor rgb="FF000000"/>
      </patternFill>
    </fill>
    <fill>
      <patternFill patternType="solid">
        <fgColor rgb="FFA5A5A5"/>
        <bgColor rgb="FF000000"/>
      </patternFill>
    </fill>
    <fill>
      <patternFill patternType="solid">
        <fgColor rgb="FFF7F7F7"/>
        <bgColor rgb="FF000000"/>
      </patternFill>
    </fill>
    <fill>
      <patternFill patternType="solid">
        <fgColor rgb="FFFFFFFF"/>
        <bgColor rgb="FF000000"/>
      </patternFill>
    </fill>
    <fill>
      <patternFill patternType="solid">
        <fgColor rgb="FFEEECE1"/>
        <bgColor rgb="FF000000"/>
      </patternFill>
    </fill>
    <fill>
      <patternFill patternType="solid">
        <fgColor rgb="FFD8D8D8"/>
        <bgColor rgb="FF000000"/>
      </patternFill>
    </fill>
    <fill>
      <patternFill patternType="solid">
        <fgColor theme="2" tint="-9.9978637043366805E-2"/>
        <bgColor indexed="64"/>
      </patternFill>
    </fill>
    <fill>
      <patternFill patternType="solid">
        <fgColor theme="6" tint="0.39997558519241921"/>
        <bgColor indexed="64"/>
      </patternFill>
    </fill>
    <fill>
      <patternFill patternType="solid">
        <fgColor indexed="44"/>
        <bgColor indexed="64"/>
      </patternFill>
    </fill>
    <fill>
      <patternFill patternType="solid">
        <fgColor indexed="55"/>
      </patternFill>
    </fill>
  </fills>
  <borders count="19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theme="3" tint="-0.249977111117893"/>
      </right>
      <top/>
      <bottom/>
      <diagonal/>
    </border>
    <border>
      <left style="thin">
        <color theme="3" tint="-0.249977111117893"/>
      </left>
      <right/>
      <top style="thin">
        <color theme="3" tint="-0.249977111117893"/>
      </top>
      <bottom style="thin">
        <color theme="3" tint="-0.249977111117893"/>
      </bottom>
      <diagonal/>
    </border>
    <border>
      <left/>
      <right style="thin">
        <color theme="3" tint="-0.249977111117893"/>
      </right>
      <top style="thin">
        <color theme="3" tint="-0.249977111117893"/>
      </top>
      <bottom style="thin">
        <color theme="3" tint="-0.249977111117893"/>
      </bottom>
      <diagonal/>
    </border>
    <border>
      <left/>
      <right/>
      <top style="thin">
        <color theme="3" tint="-0.249977111117893"/>
      </top>
      <bottom style="thin">
        <color theme="3" tint="-0.249977111117893"/>
      </bottom>
      <diagonal/>
    </border>
    <border>
      <left style="thin">
        <color theme="3" tint="-0.249977111117893"/>
      </left>
      <right/>
      <top/>
      <bottom/>
      <diagonal/>
    </border>
    <border>
      <left style="thin">
        <color theme="3" tint="-0.249977111117893"/>
      </left>
      <right/>
      <top/>
      <bottom style="thin">
        <color theme="3" tint="-0.249977111117893"/>
      </bottom>
      <diagonal/>
    </border>
    <border>
      <left/>
      <right style="thin">
        <color theme="3" tint="-0.249977111117893"/>
      </right>
      <top/>
      <bottom style="thin">
        <color theme="3" tint="-0.249977111117893"/>
      </bottom>
      <diagonal/>
    </border>
    <border>
      <left style="thin">
        <color theme="3" tint="-0.249977111117893"/>
      </left>
      <right/>
      <top style="dashed">
        <color theme="3" tint="-0.249977111117893"/>
      </top>
      <bottom style="thin">
        <color theme="3" tint="-0.249977111117893"/>
      </bottom>
      <diagonal/>
    </border>
    <border>
      <left/>
      <right/>
      <top style="dashed">
        <color theme="3" tint="-0.249977111117893"/>
      </top>
      <bottom style="thin">
        <color theme="3" tint="-0.249977111117893"/>
      </bottom>
      <diagonal/>
    </border>
    <border>
      <left/>
      <right style="thin">
        <color theme="3" tint="-0.249977111117893"/>
      </right>
      <top style="dashed">
        <color theme="3" tint="-0.249977111117893"/>
      </top>
      <bottom style="thin">
        <color theme="3" tint="-0.249977111117893"/>
      </bottom>
      <diagonal/>
    </border>
    <border>
      <left style="thin">
        <color theme="3" tint="-0.249977111117893"/>
      </left>
      <right/>
      <top style="dashed">
        <color theme="3" tint="-0.249977111117893"/>
      </top>
      <bottom style="dashed">
        <color theme="3" tint="-0.249977111117893"/>
      </bottom>
      <diagonal/>
    </border>
    <border>
      <left/>
      <right/>
      <top style="dashed">
        <color theme="3" tint="-0.249977111117893"/>
      </top>
      <bottom style="dashed">
        <color theme="3" tint="-0.249977111117893"/>
      </bottom>
      <diagonal/>
    </border>
    <border>
      <left/>
      <right style="thin">
        <color theme="3" tint="-0.249977111117893"/>
      </right>
      <top style="dashed">
        <color theme="3" tint="-0.249977111117893"/>
      </top>
      <bottom style="dashed">
        <color theme="3" tint="-0.249977111117893"/>
      </bottom>
      <diagonal/>
    </border>
    <border>
      <left style="thin">
        <color theme="3" tint="-0.249977111117893"/>
      </left>
      <right/>
      <top style="dashed">
        <color theme="3" tint="-0.249977111117893"/>
      </top>
      <bottom/>
      <diagonal/>
    </border>
    <border>
      <left/>
      <right style="thin">
        <color theme="3" tint="-0.249977111117893"/>
      </right>
      <top style="dashed">
        <color theme="3" tint="-0.249977111117893"/>
      </top>
      <bottom/>
      <diagonal/>
    </border>
    <border>
      <left style="thin">
        <color theme="3" tint="-0.249977111117893"/>
      </left>
      <right/>
      <top style="thin">
        <color theme="3" tint="-0.249977111117893"/>
      </top>
      <bottom style="dashed">
        <color theme="3" tint="-0.249977111117893"/>
      </bottom>
      <diagonal/>
    </border>
    <border>
      <left/>
      <right style="thin">
        <color theme="3" tint="-0.249977111117893"/>
      </right>
      <top style="thin">
        <color theme="3" tint="-0.249977111117893"/>
      </top>
      <bottom style="dashed">
        <color theme="3" tint="-0.249977111117893"/>
      </bottom>
      <diagonal/>
    </border>
    <border>
      <left style="thin">
        <color theme="3" tint="-0.249977111117893"/>
      </left>
      <right/>
      <top/>
      <bottom style="dashed">
        <color theme="3" tint="-0.249977111117893"/>
      </bottom>
      <diagonal/>
    </border>
    <border>
      <left/>
      <right style="thin">
        <color theme="3" tint="-0.249977111117893"/>
      </right>
      <top/>
      <bottom style="dashed">
        <color theme="3" tint="-0.249977111117893"/>
      </bottom>
      <diagonal/>
    </border>
    <border>
      <left style="dashed">
        <color theme="3"/>
      </left>
      <right/>
      <top style="dashed">
        <color theme="3"/>
      </top>
      <bottom style="dashed">
        <color theme="3"/>
      </bottom>
      <diagonal/>
    </border>
    <border>
      <left/>
      <right/>
      <top style="dashed">
        <color theme="3"/>
      </top>
      <bottom style="dashed">
        <color theme="3"/>
      </bottom>
      <diagonal/>
    </border>
    <border>
      <left/>
      <right style="dashed">
        <color theme="3"/>
      </right>
      <top style="dashed">
        <color theme="3"/>
      </top>
      <bottom style="dashed">
        <color theme="3"/>
      </bottom>
      <diagonal/>
    </border>
    <border>
      <left style="thin">
        <color theme="3"/>
      </left>
      <right/>
      <top style="thin">
        <color theme="3"/>
      </top>
      <bottom/>
      <diagonal/>
    </border>
    <border>
      <left/>
      <right/>
      <top style="thin">
        <color theme="3"/>
      </top>
      <bottom/>
      <diagonal/>
    </border>
    <border>
      <left style="thin">
        <color theme="3"/>
      </left>
      <right/>
      <top style="thin">
        <color theme="3" tint="-0.249977111117893"/>
      </top>
      <bottom style="thin">
        <color theme="3" tint="-0.249977111117893"/>
      </bottom>
      <diagonal/>
    </border>
    <border>
      <left style="thin">
        <color theme="3"/>
      </left>
      <right/>
      <top/>
      <bottom/>
      <diagonal/>
    </border>
    <border>
      <left/>
      <right style="thin">
        <color theme="3"/>
      </right>
      <top style="thin">
        <color theme="3" tint="-0.249977111117893"/>
      </top>
      <bottom style="dashed">
        <color theme="3" tint="-0.249977111117893"/>
      </bottom>
      <diagonal/>
    </border>
    <border>
      <left style="thin">
        <color theme="3"/>
      </left>
      <right/>
      <top style="dashed">
        <color theme="3" tint="-0.249977111117893"/>
      </top>
      <bottom style="dashed">
        <color theme="3" tint="-0.249977111117893"/>
      </bottom>
      <diagonal/>
    </border>
    <border>
      <left/>
      <right style="thin">
        <color theme="3"/>
      </right>
      <top/>
      <bottom/>
      <diagonal/>
    </border>
    <border>
      <left/>
      <right style="thin">
        <color theme="3"/>
      </right>
      <top style="dashed">
        <color theme="3" tint="-0.249977111117893"/>
      </top>
      <bottom style="dashed">
        <color theme="3" tint="-0.249977111117893"/>
      </bottom>
      <diagonal/>
    </border>
    <border>
      <left style="thin">
        <color theme="3"/>
      </left>
      <right/>
      <top style="dashed">
        <color theme="3" tint="-0.249977111117893"/>
      </top>
      <bottom style="thin">
        <color theme="3"/>
      </bottom>
      <diagonal/>
    </border>
    <border>
      <left/>
      <right/>
      <top style="dashed">
        <color theme="3" tint="-0.249977111117893"/>
      </top>
      <bottom style="thin">
        <color theme="3"/>
      </bottom>
      <diagonal/>
    </border>
    <border>
      <left/>
      <right style="thin">
        <color theme="3" tint="-0.249977111117893"/>
      </right>
      <top style="dashed">
        <color theme="3" tint="-0.249977111117893"/>
      </top>
      <bottom style="thin">
        <color theme="3"/>
      </bottom>
      <diagonal/>
    </border>
    <border>
      <left style="thin">
        <color theme="3" tint="-0.249977111117893"/>
      </left>
      <right/>
      <top style="dashed">
        <color theme="3" tint="-0.249977111117893"/>
      </top>
      <bottom style="thin">
        <color theme="3"/>
      </bottom>
      <diagonal/>
    </border>
    <border>
      <left style="thin">
        <color theme="3" tint="-0.249977111117893"/>
      </left>
      <right/>
      <top/>
      <bottom style="thin">
        <color theme="3"/>
      </bottom>
      <diagonal/>
    </border>
    <border>
      <left/>
      <right style="thin">
        <color theme="3" tint="-0.249977111117893"/>
      </right>
      <top/>
      <bottom style="thin">
        <color theme="3"/>
      </bottom>
      <diagonal/>
    </border>
    <border>
      <left/>
      <right style="thin">
        <color theme="3"/>
      </right>
      <top/>
      <bottom style="thin">
        <color theme="3"/>
      </bottom>
      <diagonal/>
    </border>
    <border>
      <left style="thin">
        <color theme="3"/>
      </left>
      <right/>
      <top style="dotted">
        <color theme="3"/>
      </top>
      <bottom style="dashed">
        <color theme="3" tint="-0.249977111117893"/>
      </bottom>
      <diagonal/>
    </border>
    <border>
      <left/>
      <right/>
      <top style="dotted">
        <color theme="3"/>
      </top>
      <bottom style="dashed">
        <color theme="3" tint="-0.249977111117893"/>
      </bottom>
      <diagonal/>
    </border>
    <border>
      <left/>
      <right style="thin">
        <color theme="3" tint="-0.249977111117893"/>
      </right>
      <top style="dotted">
        <color theme="3"/>
      </top>
      <bottom style="dashed">
        <color theme="3" tint="-0.249977111117893"/>
      </bottom>
      <diagonal/>
    </border>
    <border>
      <left style="thin">
        <color theme="3" tint="-0.249977111117893"/>
      </left>
      <right/>
      <top style="dotted">
        <color theme="3"/>
      </top>
      <bottom style="dashed">
        <color theme="3" tint="-0.249977111117893"/>
      </bottom>
      <diagonal/>
    </border>
    <border>
      <left style="thin">
        <color theme="3"/>
      </left>
      <right/>
      <top style="thin">
        <color theme="3" tint="-0.249977111117893"/>
      </top>
      <bottom style="dashed">
        <color theme="3" tint="-0.249977111117893"/>
      </bottom>
      <diagonal/>
    </border>
    <border>
      <left/>
      <right/>
      <top style="thin">
        <color theme="3" tint="-0.249977111117893"/>
      </top>
      <bottom style="dashed">
        <color theme="3" tint="-0.249977111117893"/>
      </bottom>
      <diagonal/>
    </border>
    <border>
      <left/>
      <right/>
      <top/>
      <bottom style="thin">
        <color theme="3"/>
      </bottom>
      <diagonal/>
    </border>
    <border>
      <left/>
      <right style="thin">
        <color theme="3"/>
      </right>
      <top style="dashed">
        <color theme="3" tint="-0.249977111117893"/>
      </top>
      <bottom style="thin">
        <color theme="3"/>
      </bottom>
      <diagonal/>
    </border>
    <border>
      <left/>
      <right/>
      <top style="thin">
        <color theme="3"/>
      </top>
      <bottom style="thin">
        <color theme="3" tint="-0.249977111117893"/>
      </bottom>
      <diagonal/>
    </border>
    <border>
      <left/>
      <right/>
      <top/>
      <bottom style="thin">
        <color theme="3" tint="-0.249977111117893"/>
      </bottom>
      <diagonal/>
    </border>
    <border>
      <left style="thin">
        <color theme="4" tint="-0.499984740745262"/>
      </left>
      <right/>
      <top style="thin">
        <color theme="3" tint="-0.249977111117893"/>
      </top>
      <bottom style="dashed">
        <color theme="3" tint="-0.249977111117893"/>
      </bottom>
      <diagonal/>
    </border>
    <border>
      <left/>
      <right style="thin">
        <color theme="4" tint="-0.499984740745262"/>
      </right>
      <top style="dashed">
        <color theme="3" tint="-0.249977111117893"/>
      </top>
      <bottom style="dashed">
        <color theme="3" tint="-0.249977111117893"/>
      </bottom>
      <diagonal/>
    </border>
    <border>
      <left/>
      <right style="thin">
        <color theme="4" tint="-0.499984740745262"/>
      </right>
      <top style="dashed">
        <color theme="3" tint="-0.249977111117893"/>
      </top>
      <bottom style="thin">
        <color theme="3"/>
      </bottom>
      <diagonal/>
    </border>
    <border>
      <left style="thin">
        <color theme="4" tint="-0.499984740745262"/>
      </left>
      <right/>
      <top/>
      <bottom style="thin">
        <color theme="3" tint="-0.249977111117893"/>
      </bottom>
      <diagonal/>
    </border>
    <border>
      <left style="thin">
        <color theme="4" tint="-0.499984740745262"/>
      </left>
      <right/>
      <top style="dashed">
        <color theme="3" tint="-0.249977111117893"/>
      </top>
      <bottom style="dashed">
        <color theme="3" tint="-0.249977111117893"/>
      </bottom>
      <diagonal/>
    </border>
    <border>
      <left style="thin">
        <color theme="4" tint="-0.499984740745262"/>
      </left>
      <right/>
      <top style="dashed">
        <color theme="3" tint="-0.249977111117893"/>
      </top>
      <bottom style="thin">
        <color theme="3" tint="-0.249977111117893"/>
      </bottom>
      <diagonal/>
    </border>
    <border>
      <left style="thin">
        <color theme="3"/>
      </left>
      <right/>
      <top/>
      <bottom style="dashed">
        <color theme="3" tint="-0.249977111117893"/>
      </bottom>
      <diagonal/>
    </border>
    <border>
      <left style="thin">
        <color theme="3" tint="-0.249977111117893"/>
      </left>
      <right/>
      <top style="hair">
        <color theme="4" tint="-0.499984740745262"/>
      </top>
      <bottom style="hair">
        <color theme="4" tint="-0.499984740745262"/>
      </bottom>
      <diagonal/>
    </border>
    <border>
      <left/>
      <right style="thin">
        <color theme="3" tint="-0.249977111117893"/>
      </right>
      <top style="hair">
        <color theme="4" tint="-0.499984740745262"/>
      </top>
      <bottom style="hair">
        <color theme="4" tint="-0.499984740745262"/>
      </bottom>
      <diagonal/>
    </border>
    <border>
      <left style="thin">
        <color theme="3" tint="-0.249977111117893"/>
      </left>
      <right/>
      <top style="hair">
        <color theme="4" tint="-0.499984740745262"/>
      </top>
      <bottom style="dashed">
        <color theme="3" tint="-0.249977111117893"/>
      </bottom>
      <diagonal/>
    </border>
    <border>
      <left/>
      <right style="thin">
        <color theme="3" tint="-0.249977111117893"/>
      </right>
      <top style="hair">
        <color theme="4" tint="-0.499984740745262"/>
      </top>
      <bottom style="dashed">
        <color theme="3" tint="-0.249977111117893"/>
      </bottom>
      <diagonal/>
    </border>
    <border>
      <left/>
      <right style="thin">
        <color theme="3" tint="-0.249977111117893"/>
      </right>
      <top style="dashed">
        <color theme="3" tint="-0.249977111117893"/>
      </top>
      <bottom style="hair">
        <color theme="4" tint="-0.499984740745262"/>
      </bottom>
      <diagonal/>
    </border>
    <border>
      <left style="thin">
        <color theme="3" tint="-0.249977111117893"/>
      </left>
      <right/>
      <top/>
      <bottom style="hair">
        <color theme="4" tint="-0.499984740745262"/>
      </bottom>
      <diagonal/>
    </border>
    <border>
      <left/>
      <right style="thin">
        <color theme="3" tint="-0.249977111117893"/>
      </right>
      <top/>
      <bottom style="hair">
        <color theme="4" tint="-0.499984740745262"/>
      </bottom>
      <diagonal/>
    </border>
    <border>
      <left/>
      <right/>
      <top style="hair">
        <color theme="4" tint="-0.499984740745262"/>
      </top>
      <bottom style="hair">
        <color theme="4" tint="-0.499984740745262"/>
      </bottom>
      <diagonal/>
    </border>
    <border>
      <left style="thin">
        <color theme="3" tint="-0.249977111117893"/>
      </left>
      <right/>
      <top style="hair">
        <color theme="4" tint="-0.499984740745262"/>
      </top>
      <bottom style="thin">
        <color theme="3"/>
      </bottom>
      <diagonal/>
    </border>
    <border>
      <left/>
      <right style="thin">
        <color theme="3" tint="-0.249977111117893"/>
      </right>
      <top style="hair">
        <color theme="4" tint="-0.499984740745262"/>
      </top>
      <bottom style="thin">
        <color theme="3"/>
      </bottom>
      <diagonal/>
    </border>
    <border>
      <left style="thin">
        <color theme="3" tint="-0.249977111117893"/>
      </left>
      <right/>
      <top style="thin">
        <color theme="3" tint="-0.249977111117893"/>
      </top>
      <bottom style="dashed">
        <color theme="4" tint="-0.499984740745262"/>
      </bottom>
      <diagonal/>
    </border>
    <border>
      <left/>
      <right style="thin">
        <color theme="3" tint="-0.249977111117893"/>
      </right>
      <top style="thin">
        <color theme="3" tint="-0.249977111117893"/>
      </top>
      <bottom style="dashed">
        <color theme="4" tint="-0.499984740745262"/>
      </bottom>
      <diagonal/>
    </border>
    <border>
      <left style="thin">
        <color theme="3"/>
      </left>
      <right/>
      <top style="dashed">
        <color theme="3" tint="-0.249977111117893"/>
      </top>
      <bottom style="hair">
        <color theme="4" tint="-0.499984740745262"/>
      </bottom>
      <diagonal/>
    </border>
    <border>
      <left/>
      <right/>
      <top style="dashed">
        <color theme="3" tint="-0.249977111117893"/>
      </top>
      <bottom style="hair">
        <color theme="4" tint="-0.499984740745262"/>
      </bottom>
      <diagonal/>
    </border>
    <border>
      <left style="thin">
        <color theme="3"/>
      </left>
      <right/>
      <top style="hair">
        <color theme="4" tint="-0.499984740745262"/>
      </top>
      <bottom style="hair">
        <color theme="4" tint="-0.499984740745262"/>
      </bottom>
      <diagonal/>
    </border>
    <border>
      <left style="thin">
        <color theme="3"/>
      </left>
      <right/>
      <top style="hair">
        <color theme="4" tint="-0.499984740745262"/>
      </top>
      <bottom style="thin">
        <color theme="3"/>
      </bottom>
      <diagonal/>
    </border>
    <border>
      <left/>
      <right/>
      <top style="hair">
        <color theme="4" tint="-0.499984740745262"/>
      </top>
      <bottom style="thin">
        <color theme="3"/>
      </bottom>
      <diagonal/>
    </border>
    <border>
      <left style="thin">
        <color theme="3"/>
      </left>
      <right/>
      <top/>
      <bottom style="hair">
        <color theme="4" tint="-0.499984740745262"/>
      </bottom>
      <diagonal/>
    </border>
    <border>
      <left/>
      <right/>
      <top/>
      <bottom style="hair">
        <color theme="4" tint="-0.499984740745262"/>
      </bottom>
      <diagonal/>
    </border>
    <border>
      <left/>
      <right style="thin">
        <color theme="4" tint="-0.499984740745262"/>
      </right>
      <top style="dashed">
        <color theme="3" tint="-0.249977111117893"/>
      </top>
      <bottom style="thin">
        <color theme="3" tint="-0.249977111117893"/>
      </bottom>
      <diagonal/>
    </border>
    <border>
      <left/>
      <right style="thin">
        <color theme="4" tint="-0.499984740745262"/>
      </right>
      <top style="thin">
        <color theme="3" tint="-0.249977111117893"/>
      </top>
      <bottom style="dashed">
        <color theme="3" tint="-0.249977111117893"/>
      </bottom>
      <diagonal/>
    </border>
    <border>
      <left style="thin">
        <color theme="3"/>
      </left>
      <right/>
      <top style="dashed">
        <color theme="3" tint="-0.249977111117893"/>
      </top>
      <bottom style="thin">
        <color theme="4" tint="-0.499984740745262"/>
      </bottom>
      <diagonal/>
    </border>
    <border>
      <left/>
      <right/>
      <top style="dashed">
        <color theme="3" tint="-0.249977111117893"/>
      </top>
      <bottom style="thin">
        <color theme="4" tint="-0.499984740745262"/>
      </bottom>
      <diagonal/>
    </border>
    <border>
      <left/>
      <right style="thin">
        <color theme="3" tint="-0.249977111117893"/>
      </right>
      <top style="dashed">
        <color theme="3" tint="-0.249977111117893"/>
      </top>
      <bottom style="thin">
        <color theme="4" tint="-0.499984740745262"/>
      </bottom>
      <diagonal/>
    </border>
    <border>
      <left style="thin">
        <color theme="3" tint="-0.249977111117893"/>
      </left>
      <right/>
      <top style="dashed">
        <color theme="3" tint="-0.249977111117893"/>
      </top>
      <bottom style="thin">
        <color theme="4" tint="-0.499984740745262"/>
      </bottom>
      <diagonal/>
    </border>
    <border>
      <left style="thin">
        <color theme="3" tint="-0.249977111117893"/>
      </left>
      <right style="thin">
        <color theme="3"/>
      </right>
      <top style="dashed">
        <color theme="3" tint="-0.249977111117893"/>
      </top>
      <bottom style="dashed">
        <color theme="3" tint="-0.249977111117893"/>
      </bottom>
      <diagonal/>
    </border>
    <border>
      <left style="thin">
        <color theme="3"/>
      </left>
      <right style="thin">
        <color theme="3"/>
      </right>
      <top style="dashed">
        <color theme="3" tint="-0.249977111117893"/>
      </top>
      <bottom style="dashed">
        <color theme="3" tint="-0.249977111117893"/>
      </bottom>
      <diagonal/>
    </border>
    <border>
      <left style="thin">
        <color theme="3"/>
      </left>
      <right style="thin">
        <color theme="3"/>
      </right>
      <top style="thin">
        <color theme="3" tint="-0.249977111117893"/>
      </top>
      <bottom style="dashed">
        <color theme="3" tint="-0.249977111117893"/>
      </bottom>
      <diagonal/>
    </border>
    <border>
      <left style="thin">
        <color theme="3" tint="-0.249977111117893"/>
      </left>
      <right style="thin">
        <color theme="3"/>
      </right>
      <top style="thin">
        <color theme="3" tint="-0.249977111117893"/>
      </top>
      <bottom style="dashed">
        <color theme="3" tint="-0.249977111117893"/>
      </bottom>
      <diagonal/>
    </border>
    <border>
      <left style="thin">
        <color theme="3"/>
      </left>
      <right style="thin">
        <color theme="3"/>
      </right>
      <top style="dashed">
        <color theme="3" tint="-0.249977111117893"/>
      </top>
      <bottom style="thin">
        <color theme="3"/>
      </bottom>
      <diagonal/>
    </border>
    <border>
      <left style="thin">
        <color theme="3" tint="-0.249977111117893"/>
      </left>
      <right style="thin">
        <color theme="3"/>
      </right>
      <top style="dashed">
        <color theme="3" tint="-0.249977111117893"/>
      </top>
      <bottom style="thin">
        <color theme="3"/>
      </bottom>
      <diagonal/>
    </border>
    <border>
      <left style="thin">
        <color theme="3" tint="-0.249977111117893"/>
      </left>
      <right style="thin">
        <color theme="3"/>
      </right>
      <top style="dashed">
        <color theme="3" tint="-0.249977111117893"/>
      </top>
      <bottom/>
      <diagonal/>
    </border>
    <border>
      <left style="thin">
        <color theme="3" tint="-0.249977111117893"/>
      </left>
      <right style="thin">
        <color theme="3"/>
      </right>
      <top style="dashed">
        <color theme="3"/>
      </top>
      <bottom/>
      <diagonal/>
    </border>
    <border>
      <left style="thin">
        <color theme="3" tint="-0.249977111117893"/>
      </left>
      <right style="thin">
        <color theme="3"/>
      </right>
      <top style="dashed">
        <color theme="3"/>
      </top>
      <bottom style="dashed">
        <color theme="3"/>
      </bottom>
      <diagonal/>
    </border>
    <border>
      <left style="thin">
        <color theme="3" tint="-0.249977111117893"/>
      </left>
      <right style="thin">
        <color theme="3"/>
      </right>
      <top/>
      <bottom style="thin">
        <color theme="3"/>
      </bottom>
      <diagonal/>
    </border>
    <border>
      <left/>
      <right style="thin">
        <color theme="3"/>
      </right>
      <top/>
      <bottom style="dashed">
        <color theme="3" tint="-0.249977111117893"/>
      </bottom>
      <diagonal/>
    </border>
    <border>
      <left style="thin">
        <color theme="3" tint="-0.249977111117893"/>
      </left>
      <right style="thin">
        <color theme="3"/>
      </right>
      <top/>
      <bottom style="dashed">
        <color theme="3" tint="-0.249977111117893"/>
      </bottom>
      <diagonal/>
    </border>
    <border>
      <left style="thin">
        <color theme="3"/>
      </left>
      <right style="thin">
        <color theme="3"/>
      </right>
      <top style="thin">
        <color theme="3"/>
      </top>
      <bottom style="thin">
        <color theme="3"/>
      </bottom>
      <diagonal/>
    </border>
    <border>
      <left style="thin">
        <color theme="3" tint="-0.249977111117893"/>
      </left>
      <right style="thin">
        <color theme="3"/>
      </right>
      <top style="thin">
        <color theme="3"/>
      </top>
      <bottom style="dashed">
        <color theme="3"/>
      </bottom>
      <diagonal/>
    </border>
    <border>
      <left style="thin">
        <color theme="3"/>
      </left>
      <right style="thin">
        <color theme="3"/>
      </right>
      <top style="thin">
        <color theme="3"/>
      </top>
      <bottom/>
      <diagonal/>
    </border>
    <border>
      <left style="thin">
        <color theme="3" tint="-0.249977111117893"/>
      </left>
      <right style="thin">
        <color theme="3" tint="-0.249977111117893"/>
      </right>
      <top/>
      <bottom style="thin">
        <color theme="3"/>
      </bottom>
      <diagonal/>
    </border>
    <border>
      <left style="thin">
        <color theme="3"/>
      </left>
      <right style="thin">
        <color theme="3" tint="-0.249977111117893"/>
      </right>
      <top style="thin">
        <color theme="3"/>
      </top>
      <bottom style="dashed">
        <color theme="3" tint="-0.249977111117893"/>
      </bottom>
      <diagonal/>
    </border>
    <border>
      <left style="thin">
        <color theme="3"/>
      </left>
      <right style="thin">
        <color theme="3" tint="-0.249977111117893"/>
      </right>
      <top/>
      <bottom/>
      <diagonal/>
    </border>
    <border>
      <left style="thin">
        <color theme="3"/>
      </left>
      <right style="thin">
        <color theme="3"/>
      </right>
      <top/>
      <bottom style="dashed">
        <color theme="3" tint="-0.249977111117893"/>
      </bottom>
      <diagonal/>
    </border>
    <border>
      <left style="thin">
        <color theme="3"/>
      </left>
      <right style="thin">
        <color theme="3"/>
      </right>
      <top/>
      <bottom style="thin">
        <color theme="3"/>
      </bottom>
      <diagonal/>
    </border>
    <border>
      <left style="thin">
        <color theme="3" tint="-0.249977111117893"/>
      </left>
      <right/>
      <top style="thin">
        <color theme="3"/>
      </top>
      <bottom style="dashed">
        <color theme="3"/>
      </bottom>
      <diagonal/>
    </border>
    <border>
      <left style="thin">
        <color theme="3" tint="-0.249977111117893"/>
      </left>
      <right/>
      <top style="dashed">
        <color theme="3"/>
      </top>
      <bottom/>
      <diagonal/>
    </border>
    <border>
      <left style="thin">
        <color theme="3" tint="-0.249977111117893"/>
      </left>
      <right/>
      <top style="dashed">
        <color theme="3"/>
      </top>
      <bottom style="dashed">
        <color theme="3"/>
      </bottom>
      <diagonal/>
    </border>
    <border>
      <left/>
      <right style="thin">
        <color theme="3"/>
      </right>
      <top style="thin">
        <color theme="3"/>
      </top>
      <bottom style="thin">
        <color theme="3"/>
      </bottom>
      <diagonal/>
    </border>
    <border>
      <left style="thin">
        <color theme="3"/>
      </left>
      <right/>
      <top/>
      <bottom style="thin">
        <color theme="3"/>
      </bottom>
      <diagonal/>
    </border>
    <border>
      <left style="thin">
        <color theme="3" tint="-0.249977111117893"/>
      </left>
      <right/>
      <top style="thin">
        <color theme="3"/>
      </top>
      <bottom style="dashed">
        <color theme="3" tint="-0.249977111117893"/>
      </bottom>
      <diagonal/>
    </border>
    <border>
      <left/>
      <right style="thin">
        <color theme="3" tint="-0.249977111117893"/>
      </right>
      <top style="thin">
        <color theme="3"/>
      </top>
      <bottom style="dashed">
        <color theme="3" tint="-0.249977111117893"/>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tint="-0.249977111117893"/>
      </right>
      <top style="thin">
        <color theme="3"/>
      </top>
      <bottom style="thin">
        <color theme="3"/>
      </bottom>
      <diagonal/>
    </border>
    <border>
      <left style="thin">
        <color theme="3" tint="-0.249977111117893"/>
      </left>
      <right style="thin">
        <color theme="3"/>
      </right>
      <top style="thin">
        <color theme="3"/>
      </top>
      <bottom style="thin">
        <color theme="3"/>
      </bottom>
      <diagonal/>
    </border>
    <border>
      <left style="thin">
        <color theme="3"/>
      </left>
      <right style="thin">
        <color theme="3" tint="-0.249977111117893"/>
      </right>
      <top style="thin">
        <color theme="3"/>
      </top>
      <bottom style="thin">
        <color theme="3"/>
      </bottom>
      <diagonal/>
    </border>
    <border>
      <left style="thin">
        <color theme="3"/>
      </left>
      <right style="thin">
        <color theme="3"/>
      </right>
      <top/>
      <bottom/>
      <diagonal/>
    </border>
    <border>
      <left style="thin">
        <color theme="3"/>
      </left>
      <right/>
      <top style="thin">
        <color theme="3" tint="-0.249977111117893"/>
      </top>
      <bottom style="dashed">
        <color theme="3"/>
      </bottom>
      <diagonal/>
    </border>
    <border>
      <left/>
      <right style="thin">
        <color theme="3"/>
      </right>
      <top style="thin">
        <color theme="3" tint="-0.249977111117893"/>
      </top>
      <bottom style="dashed">
        <color theme="3"/>
      </bottom>
      <diagonal/>
    </border>
    <border>
      <left style="thin">
        <color theme="3"/>
      </left>
      <right/>
      <top style="dashed">
        <color theme="3"/>
      </top>
      <bottom style="thin">
        <color theme="3"/>
      </bottom>
      <diagonal/>
    </border>
    <border>
      <left/>
      <right style="thin">
        <color theme="3"/>
      </right>
      <top style="dashed">
        <color theme="3"/>
      </top>
      <bottom style="thin">
        <color theme="3"/>
      </bottom>
      <diagonal/>
    </border>
    <border>
      <left style="thin">
        <color theme="3"/>
      </left>
      <right/>
      <top style="dashed">
        <color theme="3"/>
      </top>
      <bottom style="dashed">
        <color theme="3"/>
      </bottom>
      <diagonal/>
    </border>
    <border>
      <left/>
      <right style="thin">
        <color theme="3"/>
      </right>
      <top style="dashed">
        <color theme="3"/>
      </top>
      <bottom style="dashed">
        <color theme="3"/>
      </bottom>
      <diagonal/>
    </border>
    <border>
      <left style="thin">
        <color theme="3"/>
      </left>
      <right/>
      <top style="dashed">
        <color theme="3"/>
      </top>
      <bottom/>
      <diagonal/>
    </border>
    <border>
      <left/>
      <right style="thin">
        <color theme="3"/>
      </right>
      <top style="dashed">
        <color theme="3"/>
      </top>
      <bottom/>
      <diagonal/>
    </border>
    <border>
      <left style="thin">
        <color theme="3"/>
      </left>
      <right style="thin">
        <color theme="3"/>
      </right>
      <top style="dashed">
        <color theme="3" tint="-0.249977111117893"/>
      </top>
      <bottom/>
      <diagonal/>
    </border>
    <border>
      <left/>
      <right/>
      <top/>
      <bottom style="dashed">
        <color theme="3" tint="-0.249977111117893"/>
      </bottom>
      <diagonal/>
    </border>
    <border>
      <left/>
      <right/>
      <top style="thin">
        <color theme="3"/>
      </top>
      <bottom style="dashed">
        <color theme="3" tint="-0.249977111117893"/>
      </bottom>
      <diagonal/>
    </border>
    <border>
      <left style="thin">
        <color theme="3" tint="-0.249977111117893"/>
      </left>
      <right style="thin">
        <color theme="3"/>
      </right>
      <top/>
      <bottom style="thin">
        <color theme="3" tint="-0.249977111117893"/>
      </bottom>
      <diagonal/>
    </border>
    <border>
      <left style="thin">
        <color auto="1"/>
      </left>
      <right style="thin">
        <color theme="3"/>
      </right>
      <top/>
      <bottom/>
      <diagonal/>
    </border>
    <border>
      <left style="thin">
        <color theme="3" tint="-0.249977111117893"/>
      </left>
      <right/>
      <top style="hair">
        <color theme="4" tint="-0.499984740745262"/>
      </top>
      <bottom/>
      <diagonal/>
    </border>
    <border>
      <left/>
      <right style="thin">
        <color theme="3" tint="-0.249977111117893"/>
      </right>
      <top style="hair">
        <color theme="4" tint="-0.499984740745262"/>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3" tint="-0.249977111117893"/>
      </left>
      <right style="thin">
        <color theme="3" tint="-0.249977111117893"/>
      </right>
      <top/>
      <bottom/>
      <diagonal/>
    </border>
    <border>
      <left/>
      <right style="thin">
        <color theme="3"/>
      </right>
      <top/>
      <bottom style="thin">
        <color theme="3" tint="-0.249977111117893"/>
      </bottom>
      <diagonal/>
    </border>
    <border>
      <left style="thin">
        <color theme="3"/>
      </left>
      <right style="thin">
        <color theme="3"/>
      </right>
      <top/>
      <bottom style="thin">
        <color theme="3" tint="-0.249977111117893"/>
      </bottom>
      <diagonal/>
    </border>
    <border>
      <left style="thin">
        <color theme="3"/>
      </left>
      <right/>
      <top/>
      <bottom style="thin">
        <color theme="3" tint="-0.249977111117893"/>
      </bottom>
      <diagonal/>
    </border>
    <border>
      <left style="thin">
        <color theme="3" tint="-0.249977111117893"/>
      </left>
      <right style="thin">
        <color theme="3"/>
      </right>
      <top style="thin">
        <color theme="3"/>
      </top>
      <bottom style="dashed">
        <color theme="3" tint="-0.249977111117893"/>
      </bottom>
      <diagonal/>
    </border>
    <border>
      <left/>
      <right style="thin">
        <color theme="3"/>
      </right>
      <top style="thin">
        <color theme="3"/>
      </top>
      <bottom/>
      <diagonal/>
    </border>
    <border>
      <left style="thin">
        <color theme="3" tint="-0.249977111117893"/>
      </left>
      <right style="thin">
        <color theme="3" tint="-0.249977111117893"/>
      </right>
      <top style="thin">
        <color theme="3"/>
      </top>
      <bottom/>
      <diagonal/>
    </border>
    <border>
      <left/>
      <right style="thin">
        <color theme="3" tint="-0.249977111117893"/>
      </right>
      <top style="thin">
        <color theme="3"/>
      </top>
      <bottom style="thin">
        <color theme="3" tint="-0.249977111117893"/>
      </bottom>
      <diagonal/>
    </border>
    <border>
      <left style="thin">
        <color theme="4" tint="-0.499984740745262"/>
      </left>
      <right/>
      <top style="thin">
        <color theme="3"/>
      </top>
      <bottom style="thin">
        <color theme="3" tint="-0.249977111117893"/>
      </bottom>
      <diagonal/>
    </border>
    <border>
      <left style="thin">
        <color theme="4" tint="-0.499984740745262"/>
      </left>
      <right/>
      <top style="dashed">
        <color theme="3" tint="-0.249977111117893"/>
      </top>
      <bottom style="thin">
        <color theme="3"/>
      </bottom>
      <diagonal/>
    </border>
    <border>
      <left/>
      <right style="thin">
        <color theme="3"/>
      </right>
      <top style="thin">
        <color theme="3"/>
      </top>
      <bottom style="thin">
        <color theme="3" tint="-0.249977111117893"/>
      </bottom>
      <diagonal/>
    </border>
    <border>
      <left style="thin">
        <color theme="0" tint="-0.249977111117893"/>
      </left>
      <right style="thin">
        <color theme="0" tint="-0.249977111117893"/>
      </right>
      <top/>
      <bottom style="thin">
        <color theme="0" tint="-0.249977111117893"/>
      </bottom>
      <diagonal/>
    </border>
    <border>
      <left style="thin">
        <color theme="3"/>
      </left>
      <right/>
      <top style="thin">
        <color theme="3"/>
      </top>
      <bottom style="thin">
        <color theme="3" tint="-0.249977111117893"/>
      </bottom>
      <diagonal/>
    </border>
    <border>
      <left style="thin">
        <color theme="3" tint="-0.249977111117893"/>
      </left>
      <right/>
      <top style="thin">
        <color theme="3"/>
      </top>
      <bottom style="thin">
        <color theme="3" tint="-0.249977111117893"/>
      </bottom>
      <diagonal/>
    </border>
    <border>
      <left/>
      <right style="thin">
        <color theme="4" tint="-0.499984740745262"/>
      </right>
      <top style="thin">
        <color theme="3"/>
      </top>
      <bottom style="thin">
        <color theme="3"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auto="1"/>
      </left>
      <right style="thin">
        <color rgb="FFBFBFBF"/>
      </right>
      <top style="thin">
        <color rgb="FFBFBFBF"/>
      </top>
      <bottom style="thin">
        <color rgb="FFBFBFBF"/>
      </bottom>
      <diagonal/>
    </border>
    <border>
      <left style="thin">
        <color theme="0" tint="-0.249977111117893"/>
      </left>
      <right style="thin">
        <color theme="0" tint="-0.249977111117893"/>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medium">
        <color auto="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right style="thin">
        <color theme="0" tint="-0.249977111117893"/>
      </right>
      <top/>
      <bottom/>
      <diagonal/>
    </border>
    <border>
      <left style="medium">
        <color auto="1"/>
      </left>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theme="3"/>
      </right>
      <top/>
      <bottom style="thin">
        <color theme="3"/>
      </bottom>
      <diagonal/>
    </border>
    <border>
      <left style="thin">
        <color auto="1"/>
      </left>
      <right style="thin">
        <color auto="1"/>
      </right>
      <top style="thin">
        <color theme="0" tint="-0.249977111117893"/>
      </top>
      <bottom style="thin">
        <color auto="1"/>
      </bottom>
      <diagonal/>
    </border>
    <border>
      <left style="thin">
        <color theme="3" tint="-0.249977111117893"/>
      </left>
      <right style="thin">
        <color theme="3" tint="-0.249977111117893"/>
      </right>
      <top style="thin">
        <color theme="3"/>
      </top>
      <bottom style="dashed">
        <color theme="3" tint="-0.249977111117893"/>
      </bottom>
      <diagonal/>
    </border>
    <border>
      <left style="thin">
        <color theme="3" tint="-0.249977111117893"/>
      </left>
      <right style="thin">
        <color theme="3" tint="-0.249977111117893"/>
      </right>
      <top style="dashed">
        <color theme="3" tint="-0.249977111117893"/>
      </top>
      <bottom style="dashed">
        <color theme="3" tint="-0.249977111117893"/>
      </bottom>
      <diagonal/>
    </border>
    <border>
      <left style="thin">
        <color theme="3" tint="-0.249977111117893"/>
      </left>
      <right style="thin">
        <color theme="3" tint="-0.249977111117893"/>
      </right>
      <top style="dashed">
        <color theme="3" tint="-0.249977111117893"/>
      </top>
      <bottom style="thin">
        <color theme="3"/>
      </bottom>
      <diagonal/>
    </border>
    <border>
      <left style="thin">
        <color theme="3" tint="-0.249977111117893"/>
      </left>
      <right style="thin">
        <color theme="3" tint="-0.249977111117893"/>
      </right>
      <top style="thin">
        <color theme="3" tint="-0.249977111117893"/>
      </top>
      <bottom style="thin">
        <color theme="3" tint="-0.249977111117893"/>
      </bottom>
      <diagonal/>
    </border>
    <border>
      <left/>
      <right style="thin">
        <color theme="3" tint="-0.249977111117893"/>
      </right>
      <top style="thin">
        <color theme="3" tint="-0.249977111117893"/>
      </top>
      <bottom/>
      <diagonal/>
    </border>
    <border>
      <left style="thin">
        <color theme="3"/>
      </left>
      <right/>
      <top style="thin">
        <color theme="3" tint="-0.249977111117893"/>
      </top>
      <bottom/>
      <diagonal/>
    </border>
    <border>
      <left/>
      <right/>
      <top style="thin">
        <color theme="3" tint="-0.249977111117893"/>
      </top>
      <bottom/>
      <diagonal/>
    </border>
    <border>
      <left style="thin">
        <color theme="3" tint="-0.249977111117893"/>
      </left>
      <right style="thin">
        <color theme="3" tint="-0.249977111117893"/>
      </right>
      <top style="dashed">
        <color theme="3" tint="-0.249977111117893"/>
      </top>
      <bottom style="thin">
        <color theme="3" tint="-0.249977111117893"/>
      </bottom>
      <diagonal/>
    </border>
    <border>
      <left style="thin">
        <color theme="3" tint="-0.249977111117893"/>
      </left>
      <right style="thin">
        <color theme="3" tint="-0.249977111117893"/>
      </right>
      <top style="thin">
        <color theme="3" tint="-0.249977111117893"/>
      </top>
      <bottom style="dashed">
        <color theme="3" tint="-0.249977111117893"/>
      </bottom>
      <diagonal/>
    </border>
    <border>
      <left style="dashed">
        <color theme="3" tint="-0.249977111117893"/>
      </left>
      <right/>
      <top style="dashed">
        <color theme="3" tint="-0.249977111117893"/>
      </top>
      <bottom style="dashed">
        <color theme="3" tint="-0.249977111117893"/>
      </bottom>
      <diagonal/>
    </border>
    <border>
      <left style="dashed">
        <color theme="3" tint="-0.249977111117893"/>
      </left>
      <right/>
      <top style="dashed">
        <color theme="3" tint="-0.249977111117893"/>
      </top>
      <bottom style="thin">
        <color theme="3" tint="-0.249977111117893"/>
      </bottom>
      <diagonal/>
    </border>
    <border>
      <left style="thin">
        <color theme="3" tint="-0.249977111117893"/>
      </left>
      <right style="dashed">
        <color theme="3" tint="-0.249977111117893"/>
      </right>
      <top style="dashed">
        <color theme="3" tint="-0.249977111117893"/>
      </top>
      <bottom/>
      <diagonal/>
    </border>
    <border>
      <left style="thin">
        <color theme="3" tint="-0.249977111117893"/>
      </left>
      <right style="dashed">
        <color theme="3" tint="-0.249977111117893"/>
      </right>
      <top/>
      <bottom/>
      <diagonal/>
    </border>
    <border>
      <left style="thin">
        <color theme="3" tint="-0.249977111117893"/>
      </left>
      <right style="dashed">
        <color theme="3" tint="-0.249977111117893"/>
      </right>
      <top/>
      <bottom style="thin">
        <color theme="3" tint="-0.249977111117893"/>
      </bottom>
      <diagonal/>
    </border>
    <border>
      <left style="double">
        <color indexed="63"/>
      </left>
      <right style="double">
        <color indexed="63"/>
      </right>
      <top style="double">
        <color indexed="63"/>
      </top>
      <bottom style="double">
        <color indexed="63"/>
      </bottom>
      <diagonal/>
    </border>
  </borders>
  <cellStyleXfs count="800">
    <xf numFmtId="0" fontId="0" fillId="0" borderId="0"/>
    <xf numFmtId="0" fontId="7" fillId="0" borderId="0"/>
    <xf numFmtId="0" fontId="8"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22" fillId="7" borderId="0" applyNumberFormat="0" applyBorder="0" applyAlignment="0" applyProtection="0"/>
    <xf numFmtId="0" fontId="22" fillId="20" borderId="0" applyNumberFormat="0" applyBorder="0" applyAlignment="0" applyProtection="0"/>
    <xf numFmtId="166" fontId="82" fillId="0" borderId="0" applyFont="0" applyFill="0" applyBorder="0" applyAlignment="0" applyProtection="0"/>
    <xf numFmtId="0" fontId="85" fillId="0" borderId="0"/>
    <xf numFmtId="165" fontId="7" fillId="0" borderId="0" applyFont="0" applyFill="0" applyBorder="0" applyAlignment="0" applyProtection="0"/>
    <xf numFmtId="0" fontId="87" fillId="0" borderId="0" applyBorder="0" applyProtection="0"/>
    <xf numFmtId="171" fontId="87" fillId="0" borderId="0" applyBorder="0" applyProtection="0"/>
    <xf numFmtId="170" fontId="87" fillId="0" borderId="0" applyBorder="0" applyProtection="0"/>
    <xf numFmtId="170" fontId="7" fillId="0" borderId="0" applyFont="0" applyFill="0" applyBorder="0" applyAlignment="0" applyProtection="0"/>
    <xf numFmtId="166" fontId="7" fillId="0" borderId="0" applyFont="0" applyFill="0" applyBorder="0" applyAlignment="0" applyProtection="0"/>
    <xf numFmtId="164" fontId="7" fillId="0" borderId="0" applyFont="0" applyFill="0" applyBorder="0" applyAlignment="0" applyProtection="0"/>
    <xf numFmtId="166" fontId="82" fillId="0" borderId="0" applyFont="0" applyFill="0" applyBorder="0" applyAlignment="0" applyProtection="0"/>
    <xf numFmtId="0" fontId="7" fillId="0" borderId="0" applyFont="0" applyFill="0" applyBorder="0" applyAlignment="0" applyProtection="0"/>
    <xf numFmtId="172" fontId="7" fillId="0" borderId="0" applyFont="0" applyFill="0" applyBorder="0" applyAlignment="0" applyProtection="0"/>
    <xf numFmtId="173" fontId="7" fillId="0" borderId="0" applyFont="0" applyFill="0" applyBorder="0" applyAlignment="0" applyProtection="0"/>
    <xf numFmtId="166" fontId="86" fillId="0" borderId="0" applyFont="0" applyFill="0" applyBorder="0" applyAlignment="0" applyProtection="0"/>
    <xf numFmtId="0" fontId="7" fillId="0" borderId="0" applyFont="0" applyFill="0" applyBorder="0" applyAlignment="0" applyProtection="0"/>
    <xf numFmtId="173" fontId="88" fillId="0" borderId="0" applyFont="0" applyFill="0" applyBorder="0" applyAlignment="0" applyProtection="0"/>
    <xf numFmtId="0" fontId="7" fillId="0" borderId="0" applyFont="0" applyFill="0" applyBorder="0" applyAlignment="0" applyProtection="0"/>
    <xf numFmtId="170" fontId="7" fillId="0" borderId="0" applyFont="0" applyFill="0" applyBorder="0" applyAlignment="0" applyProtection="0"/>
    <xf numFmtId="0" fontId="7" fillId="0" borderId="0" applyFont="0" applyFill="0" applyBorder="0" applyAlignment="0" applyProtection="0"/>
    <xf numFmtId="173" fontId="88" fillId="0" borderId="0" applyFont="0" applyFill="0" applyBorder="0" applyAlignment="0" applyProtection="0"/>
    <xf numFmtId="0" fontId="7" fillId="0" borderId="0" applyFont="0" applyFill="0" applyBorder="0" applyAlignment="0" applyProtection="0"/>
    <xf numFmtId="166" fontId="7" fillId="0" borderId="0" applyFont="0" applyFill="0" applyBorder="0" applyAlignment="0" applyProtection="0"/>
    <xf numFmtId="170" fontId="88" fillId="0" borderId="0" applyFont="0" applyFill="0" applyBorder="0" applyAlignment="0" applyProtection="0"/>
    <xf numFmtId="0" fontId="7" fillId="0" borderId="0" applyFont="0" applyFill="0" applyBorder="0" applyAlignment="0" applyProtection="0"/>
    <xf numFmtId="166" fontId="82" fillId="0" borderId="0" applyFont="0" applyFill="0" applyBorder="0" applyAlignment="0" applyProtection="0"/>
    <xf numFmtId="174" fontId="88" fillId="0" borderId="0" applyFont="0" applyFill="0" applyBorder="0" applyAlignment="0" applyProtection="0"/>
    <xf numFmtId="173" fontId="88" fillId="0" borderId="0" applyFont="0" applyFill="0" applyBorder="0" applyAlignment="0" applyProtection="0"/>
    <xf numFmtId="166" fontId="82" fillId="0" borderId="0" applyFont="0" applyFill="0" applyBorder="0" applyAlignment="0" applyProtection="0"/>
    <xf numFmtId="166" fontId="86" fillId="0" borderId="0" applyFont="0" applyFill="0" applyBorder="0" applyAlignment="0" applyProtection="0"/>
    <xf numFmtId="0" fontId="7" fillId="0" borderId="0" applyFont="0" applyFill="0" applyBorder="0" applyAlignment="0" applyProtection="0"/>
    <xf numFmtId="166" fontId="7" fillId="0" borderId="0" applyFont="0" applyFill="0" applyBorder="0" applyAlignment="0" applyProtection="0"/>
    <xf numFmtId="170" fontId="88" fillId="0" borderId="0" applyFont="0" applyFill="0" applyBorder="0" applyAlignment="0" applyProtection="0"/>
    <xf numFmtId="175" fontId="88" fillId="0" borderId="0" applyFont="0" applyFill="0" applyBorder="0" applyAlignment="0" applyProtection="0"/>
    <xf numFmtId="176" fontId="88" fillId="0" borderId="0" applyFont="0" applyFill="0" applyBorder="0" applyAlignment="0" applyProtection="0"/>
    <xf numFmtId="175" fontId="88" fillId="0" borderId="0" applyFont="0" applyFill="0" applyBorder="0" applyAlignment="0" applyProtection="0"/>
    <xf numFmtId="0" fontId="7" fillId="0" borderId="0" applyFont="0" applyFill="0" applyBorder="0" applyAlignment="0" applyProtection="0"/>
    <xf numFmtId="175" fontId="7" fillId="0" borderId="0" applyFont="0" applyFill="0" applyBorder="0" applyAlignment="0" applyProtection="0"/>
    <xf numFmtId="175" fontId="88" fillId="0" borderId="0" applyFont="0" applyFill="0" applyBorder="0" applyAlignment="0" applyProtection="0"/>
    <xf numFmtId="166" fontId="82" fillId="0" borderId="0" applyFont="0" applyFill="0" applyBorder="0" applyAlignment="0" applyProtection="0"/>
    <xf numFmtId="165" fontId="86" fillId="0" borderId="0" applyFont="0" applyFill="0" applyBorder="0" applyAlignment="0" applyProtection="0"/>
    <xf numFmtId="0" fontId="7" fillId="0" borderId="0"/>
    <xf numFmtId="0" fontId="7" fillId="0" borderId="0"/>
    <xf numFmtId="0" fontId="7" fillId="0" borderId="0"/>
    <xf numFmtId="0" fontId="82" fillId="0" borderId="0"/>
    <xf numFmtId="0" fontId="82" fillId="0" borderId="0"/>
    <xf numFmtId="0" fontId="7" fillId="0" borderId="0"/>
    <xf numFmtId="173" fontId="7" fillId="0" borderId="0"/>
    <xf numFmtId="0" fontId="7" fillId="0" borderId="0"/>
    <xf numFmtId="0" fontId="88" fillId="0" borderId="0"/>
    <xf numFmtId="0" fontId="7" fillId="0" borderId="0"/>
    <xf numFmtId="0" fontId="88" fillId="0" borderId="0"/>
    <xf numFmtId="0" fontId="88" fillId="0" borderId="0"/>
    <xf numFmtId="0" fontId="88" fillId="0" borderId="0"/>
    <xf numFmtId="0" fontId="88" fillId="0" borderId="0"/>
    <xf numFmtId="0" fontId="88" fillId="0" borderId="0"/>
    <xf numFmtId="0" fontId="88" fillId="0" borderId="0"/>
    <xf numFmtId="0" fontId="82" fillId="0" borderId="0"/>
    <xf numFmtId="0" fontId="7" fillId="0" borderId="0"/>
    <xf numFmtId="0" fontId="88" fillId="0" borderId="0"/>
    <xf numFmtId="0" fontId="82" fillId="0" borderId="0"/>
    <xf numFmtId="0" fontId="7" fillId="0" borderId="0"/>
    <xf numFmtId="0" fontId="88" fillId="0" borderId="0"/>
    <xf numFmtId="0" fontId="7" fillId="0" borderId="0"/>
    <xf numFmtId="0" fontId="7" fillId="0" borderId="0"/>
    <xf numFmtId="0" fontId="88" fillId="0" borderId="0"/>
    <xf numFmtId="0" fontId="7" fillId="0" borderId="0"/>
    <xf numFmtId="9" fontId="8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8" fillId="0" borderId="0" applyFont="0" applyFill="0" applyBorder="0" applyAlignment="0" applyProtection="0"/>
    <xf numFmtId="9" fontId="82" fillId="0" borderId="0" applyFont="0" applyFill="0" applyBorder="0" applyAlignment="0" applyProtection="0"/>
    <xf numFmtId="9" fontId="88" fillId="0" borderId="0" applyFont="0" applyFill="0" applyBorder="0" applyAlignment="0" applyProtection="0"/>
    <xf numFmtId="9" fontId="86" fillId="0" borderId="0" applyFont="0" applyFill="0" applyBorder="0" applyAlignment="0" applyProtection="0"/>
    <xf numFmtId="3" fontId="85" fillId="30" borderId="1">
      <alignment horizontal="center"/>
      <protection locked="0"/>
    </xf>
    <xf numFmtId="37" fontId="85" fillId="30" borderId="1">
      <protection locked="0"/>
    </xf>
    <xf numFmtId="0" fontId="89" fillId="0" borderId="0">
      <alignment horizontal="center"/>
    </xf>
    <xf numFmtId="0" fontId="85" fillId="0" borderId="1">
      <alignment horizontal="center"/>
    </xf>
    <xf numFmtId="0" fontId="89" fillId="0" borderId="0">
      <alignment horizontal="left"/>
    </xf>
    <xf numFmtId="0" fontId="85" fillId="0" borderId="1">
      <alignment horizontal="left"/>
    </xf>
    <xf numFmtId="0" fontId="90" fillId="31" borderId="191" applyNumberFormat="0" applyAlignment="0" applyProtection="0"/>
    <xf numFmtId="173" fontId="82" fillId="0" borderId="0" applyFont="0" applyFill="0" applyBorder="0" applyAlignment="0" applyProtection="0"/>
    <xf numFmtId="166" fontId="7"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cellStyleXfs>
  <cellXfs count="1354">
    <xf numFmtId="0" fontId="0" fillId="0" borderId="0" xfId="0"/>
    <xf numFmtId="0" fontId="0" fillId="0" borderId="0" xfId="0" applyAlignment="1" applyProtection="1">
      <alignment wrapText="1"/>
    </xf>
    <xf numFmtId="0" fontId="0" fillId="0" borderId="0" xfId="0" applyFont="1" applyAlignment="1" applyProtection="1">
      <alignment wrapText="1"/>
    </xf>
    <xf numFmtId="0" fontId="0" fillId="0" borderId="0" xfId="0" applyAlignment="1" applyProtection="1">
      <alignment wrapText="1"/>
    </xf>
    <xf numFmtId="0" fontId="0" fillId="0" borderId="0" xfId="0" applyProtection="1">
      <protection hidden="1"/>
    </xf>
    <xf numFmtId="3" fontId="0" fillId="0" borderId="0" xfId="0" applyNumberFormat="1" applyFont="1" applyAlignment="1" applyProtection="1">
      <alignment wrapText="1"/>
    </xf>
    <xf numFmtId="3" fontId="1" fillId="0" borderId="0" xfId="0" applyNumberFormat="1" applyFont="1" applyFill="1" applyBorder="1" applyAlignment="1">
      <alignment vertical="center" wrapText="1"/>
    </xf>
    <xf numFmtId="0" fontId="0" fillId="14" borderId="0" xfId="0" applyFill="1" applyProtection="1">
      <protection hidden="1"/>
    </xf>
    <xf numFmtId="0" fontId="22" fillId="0" borderId="0" xfId="0" applyFont="1" applyProtection="1">
      <protection hidden="1"/>
    </xf>
    <xf numFmtId="0" fontId="12" fillId="4" borderId="0" xfId="0" applyFont="1" applyFill="1" applyBorder="1" applyAlignment="1" applyProtection="1">
      <protection hidden="1"/>
    </xf>
    <xf numFmtId="0" fontId="13" fillId="0" borderId="0" xfId="0" applyFont="1" applyProtection="1">
      <protection hidden="1"/>
    </xf>
    <xf numFmtId="0" fontId="34" fillId="15" borderId="0" xfId="2" applyFont="1" applyFill="1" applyAlignment="1" applyProtection="1">
      <alignment vertical="top"/>
      <protection hidden="1"/>
    </xf>
    <xf numFmtId="0" fontId="12" fillId="15" borderId="0" xfId="0" applyFont="1" applyFill="1" applyBorder="1" applyAlignment="1" applyProtection="1">
      <protection hidden="1"/>
    </xf>
    <xf numFmtId="0" fontId="11" fillId="15" borderId="0" xfId="0" applyFont="1" applyFill="1" applyBorder="1" applyAlignment="1" applyProtection="1">
      <protection hidden="1"/>
    </xf>
    <xf numFmtId="0" fontId="18" fillId="4" borderId="0" xfId="0" applyFont="1" applyFill="1" applyBorder="1" applyProtection="1">
      <protection hidden="1"/>
    </xf>
    <xf numFmtId="0" fontId="4" fillId="4" borderId="0" xfId="0" applyFont="1" applyFill="1" applyBorder="1" applyAlignment="1" applyProtection="1">
      <alignment horizontal="center"/>
      <protection hidden="1"/>
    </xf>
    <xf numFmtId="0" fontId="9" fillId="0" borderId="0" xfId="0" applyFont="1" applyFill="1" applyAlignment="1" applyProtection="1">
      <alignment horizontal="center" vertical="center"/>
      <protection hidden="1"/>
    </xf>
    <xf numFmtId="0" fontId="10" fillId="0" borderId="0" xfId="0" applyFont="1" applyFill="1" applyAlignment="1" applyProtection="1">
      <alignment vertical="center"/>
      <protection hidden="1"/>
    </xf>
    <xf numFmtId="0" fontId="4" fillId="0" borderId="0" xfId="0" applyFont="1" applyAlignment="1" applyProtection="1">
      <protection hidden="1"/>
    </xf>
    <xf numFmtId="0" fontId="0" fillId="0" borderId="0" xfId="0" applyBorder="1" applyProtection="1">
      <protection hidden="1"/>
    </xf>
    <xf numFmtId="0" fontId="0" fillId="0" borderId="0" xfId="0" applyAlignment="1" applyProtection="1">
      <alignment wrapText="1"/>
      <protection hidden="1"/>
    </xf>
    <xf numFmtId="0" fontId="5" fillId="8" borderId="1" xfId="0" applyFont="1" applyFill="1" applyBorder="1" applyAlignment="1" applyProtection="1">
      <alignment horizontal="center" vertical="center" wrapText="1"/>
      <protection hidden="1"/>
    </xf>
    <xf numFmtId="0" fontId="3" fillId="0" borderId="0" xfId="0" applyFont="1" applyAlignment="1" applyProtection="1">
      <alignment horizontal="center" vertical="center" wrapText="1"/>
      <protection hidden="1"/>
    </xf>
    <xf numFmtId="0" fontId="0" fillId="0" borderId="0" xfId="0" applyFont="1" applyAlignment="1" applyProtection="1">
      <alignment vertical="center" wrapText="1"/>
      <protection hidden="1"/>
    </xf>
    <xf numFmtId="0" fontId="0" fillId="0" borderId="0" xfId="0" applyAlignment="1" applyProtection="1">
      <alignment horizontal="center" wrapText="1"/>
      <protection hidden="1"/>
    </xf>
    <xf numFmtId="0" fontId="0" fillId="0" borderId="0" xfId="0" applyAlignment="1" applyProtection="1">
      <alignment vertical="center" wrapText="1"/>
      <protection hidden="1"/>
    </xf>
    <xf numFmtId="0" fontId="37" fillId="0" borderId="1" xfId="0" applyFont="1" applyBorder="1" applyAlignment="1" applyProtection="1">
      <alignment horizontal="left" vertical="center" wrapText="1"/>
      <protection hidden="1"/>
    </xf>
    <xf numFmtId="0" fontId="0" fillId="0" borderId="0" xfId="0" applyAlignment="1" applyProtection="1">
      <alignment horizontal="left" wrapText="1"/>
      <protection hidden="1"/>
    </xf>
    <xf numFmtId="0" fontId="26" fillId="0" borderId="0" xfId="0" applyFont="1" applyFill="1" applyBorder="1" applyAlignment="1" applyProtection="1">
      <alignment vertical="center"/>
      <protection hidden="1"/>
    </xf>
    <xf numFmtId="0" fontId="25" fillId="0" borderId="0" xfId="0" applyFont="1" applyFill="1" applyBorder="1" applyAlignment="1" applyProtection="1">
      <alignment vertical="center" wrapText="1"/>
      <protection hidden="1"/>
    </xf>
    <xf numFmtId="0" fontId="28" fillId="11" borderId="90" xfId="0" applyFont="1" applyFill="1" applyBorder="1" applyAlignment="1" applyProtection="1">
      <alignment horizontal="center" vertical="center" wrapText="1"/>
      <protection hidden="1"/>
    </xf>
    <xf numFmtId="3" fontId="29" fillId="0" borderId="0" xfId="0" applyNumberFormat="1" applyFont="1" applyFill="1" applyBorder="1" applyAlignment="1" applyProtection="1">
      <alignment vertical="center" wrapText="1"/>
      <protection hidden="1"/>
    </xf>
    <xf numFmtId="10" fontId="0" fillId="0" borderId="0" xfId="0" applyNumberFormat="1" applyFont="1" applyFill="1" applyBorder="1" applyAlignment="1" applyProtection="1">
      <alignment vertical="center"/>
      <protection hidden="1"/>
    </xf>
    <xf numFmtId="0" fontId="30" fillId="11" borderId="88" xfId="0" applyFont="1" applyFill="1" applyBorder="1" applyAlignment="1" applyProtection="1">
      <alignment horizontal="center" vertical="center" wrapText="1"/>
      <protection hidden="1"/>
    </xf>
    <xf numFmtId="3" fontId="25" fillId="0" borderId="0" xfId="0" applyNumberFormat="1" applyFont="1" applyFill="1" applyBorder="1" applyAlignment="1" applyProtection="1">
      <alignment vertical="center" wrapText="1"/>
      <protection hidden="1"/>
    </xf>
    <xf numFmtId="10" fontId="0" fillId="0" borderId="0" xfId="0" applyNumberFormat="1" applyFill="1" applyBorder="1" applyAlignment="1" applyProtection="1">
      <protection hidden="1"/>
    </xf>
    <xf numFmtId="0" fontId="25" fillId="11" borderId="88" xfId="0" applyFont="1" applyFill="1" applyBorder="1" applyAlignment="1" applyProtection="1">
      <alignment horizontal="center" vertical="center" wrapText="1"/>
      <protection hidden="1"/>
    </xf>
    <xf numFmtId="3" fontId="0" fillId="0" borderId="0" xfId="0" applyNumberFormat="1" applyFill="1" applyBorder="1" applyAlignment="1" applyProtection="1">
      <protection hidden="1"/>
    </xf>
    <xf numFmtId="0" fontId="25" fillId="11" borderId="89" xfId="0" applyFont="1" applyFill="1" applyBorder="1" applyAlignment="1" applyProtection="1">
      <alignment horizontal="center" vertical="center" wrapText="1"/>
      <protection hidden="1"/>
    </xf>
    <xf numFmtId="0" fontId="28" fillId="11" borderId="88" xfId="0" applyFont="1" applyFill="1" applyBorder="1" applyAlignment="1" applyProtection="1">
      <alignment horizontal="center" vertical="center" wrapText="1"/>
      <protection hidden="1"/>
    </xf>
    <xf numFmtId="0" fontId="1" fillId="2" borderId="21" xfId="0" applyFont="1" applyFill="1" applyBorder="1" applyAlignment="1" applyProtection="1">
      <alignment horizontal="center" vertical="center" wrapText="1"/>
      <protection hidden="1"/>
    </xf>
    <xf numFmtId="10" fontId="0" fillId="0" borderId="0" xfId="0" applyNumberFormat="1" applyFill="1" applyBorder="1" applyAlignment="1" applyProtection="1">
      <alignment vertical="center"/>
      <protection hidden="1"/>
    </xf>
    <xf numFmtId="0" fontId="25" fillId="11" borderId="92" xfId="0" applyFont="1" applyFill="1" applyBorder="1" applyAlignment="1" applyProtection="1">
      <alignment horizontal="center" vertical="center" wrapText="1"/>
      <protection hidden="1"/>
    </xf>
    <xf numFmtId="0" fontId="25" fillId="0" borderId="0" xfId="0" applyFont="1" applyFill="1" applyBorder="1" applyAlignment="1" applyProtection="1">
      <alignment horizontal="center" vertical="center" wrapText="1"/>
      <protection hidden="1"/>
    </xf>
    <xf numFmtId="3" fontId="28" fillId="0" borderId="0" xfId="0" applyNumberFormat="1" applyFont="1" applyFill="1" applyBorder="1" applyAlignment="1" applyProtection="1">
      <alignment vertical="center" wrapText="1"/>
      <protection hidden="1"/>
    </xf>
    <xf numFmtId="3" fontId="28" fillId="0" borderId="0" xfId="0" applyNumberFormat="1" applyFont="1" applyFill="1" applyBorder="1" applyAlignment="1" applyProtection="1">
      <alignment horizontal="right" vertical="center" wrapText="1"/>
      <protection hidden="1"/>
    </xf>
    <xf numFmtId="0" fontId="28" fillId="0" borderId="31" xfId="0" applyFont="1" applyFill="1" applyBorder="1" applyAlignment="1" applyProtection="1">
      <alignment horizontal="center" vertical="center" wrapText="1"/>
      <protection hidden="1"/>
    </xf>
    <xf numFmtId="3" fontId="28" fillId="0" borderId="32" xfId="0" applyNumberFormat="1" applyFont="1" applyBorder="1" applyAlignment="1" applyProtection="1">
      <alignment vertical="center" wrapText="1"/>
      <protection hidden="1"/>
    </xf>
    <xf numFmtId="0" fontId="25" fillId="0" borderId="34" xfId="0" applyFont="1" applyFill="1" applyBorder="1" applyAlignment="1" applyProtection="1">
      <alignment vertical="center" wrapText="1"/>
      <protection hidden="1"/>
    </xf>
    <xf numFmtId="0" fontId="25" fillId="10" borderId="100" xfId="0" applyFont="1" applyFill="1" applyBorder="1" applyAlignment="1" applyProtection="1">
      <alignment vertical="center" wrapText="1"/>
      <protection hidden="1"/>
    </xf>
    <xf numFmtId="0" fontId="25" fillId="10" borderId="52" xfId="0" applyFont="1" applyFill="1" applyBorder="1" applyAlignment="1" applyProtection="1">
      <alignment vertical="center" wrapText="1"/>
      <protection hidden="1"/>
    </xf>
    <xf numFmtId="0" fontId="25" fillId="10" borderId="112" xfId="0" applyFont="1" applyFill="1" applyBorder="1" applyAlignment="1" applyProtection="1">
      <alignment vertical="center" wrapText="1"/>
      <protection hidden="1"/>
    </xf>
    <xf numFmtId="0" fontId="25" fillId="0" borderId="34" xfId="0" applyFont="1" applyFill="1" applyBorder="1" applyAlignment="1" applyProtection="1">
      <alignment horizontal="center" vertical="center" wrapText="1"/>
      <protection hidden="1"/>
    </xf>
    <xf numFmtId="3" fontId="28" fillId="0" borderId="34" xfId="0" applyNumberFormat="1" applyFont="1" applyFill="1" applyBorder="1" applyAlignment="1" applyProtection="1">
      <alignment vertical="center" wrapText="1"/>
      <protection hidden="1"/>
    </xf>
    <xf numFmtId="0" fontId="25" fillId="0" borderId="19" xfId="0" applyFont="1" applyFill="1" applyBorder="1" applyAlignment="1" applyProtection="1">
      <alignment horizontal="left" vertical="center" wrapText="1"/>
      <protection hidden="1"/>
    </xf>
    <xf numFmtId="0" fontId="25" fillId="0" borderId="21" xfId="0" applyFont="1" applyFill="1" applyBorder="1" applyAlignment="1" applyProtection="1">
      <alignment horizontal="left" vertical="center" wrapText="1"/>
      <protection hidden="1"/>
    </xf>
    <xf numFmtId="3" fontId="25" fillId="0" borderId="88" xfId="0" applyNumberFormat="1" applyFont="1" applyBorder="1" applyAlignment="1" applyProtection="1">
      <alignment vertical="center" wrapText="1"/>
      <protection hidden="1"/>
    </xf>
    <xf numFmtId="3" fontId="28" fillId="0" borderId="95" xfId="0" applyNumberFormat="1" applyFont="1" applyBorder="1" applyAlignment="1" applyProtection="1">
      <alignment vertical="center" wrapText="1"/>
      <protection hidden="1"/>
    </xf>
    <xf numFmtId="3" fontId="28" fillId="0" borderId="96" xfId="0" applyNumberFormat="1" applyFont="1" applyBorder="1" applyAlignment="1" applyProtection="1">
      <alignment vertical="center" wrapText="1"/>
      <protection hidden="1"/>
    </xf>
    <xf numFmtId="3" fontId="28" fillId="0" borderId="110" xfId="0" applyNumberFormat="1" applyFont="1" applyBorder="1" applyAlignment="1" applyProtection="1">
      <alignment vertical="center" wrapText="1"/>
      <protection hidden="1"/>
    </xf>
    <xf numFmtId="0" fontId="0" fillId="0" borderId="34" xfId="0" applyFill="1" applyBorder="1" applyProtection="1">
      <protection hidden="1"/>
    </xf>
    <xf numFmtId="0" fontId="0" fillId="0" borderId="0" xfId="0" applyFill="1" applyBorder="1" applyProtection="1">
      <protection hidden="1"/>
    </xf>
    <xf numFmtId="0" fontId="1" fillId="0" borderId="0" xfId="0" applyFont="1" applyProtection="1">
      <protection hidden="1"/>
    </xf>
    <xf numFmtId="3" fontId="1" fillId="0" borderId="0" xfId="0" applyNumberFormat="1" applyFont="1" applyFill="1" applyBorder="1" applyAlignment="1" applyProtection="1">
      <alignment vertical="center" wrapText="1"/>
      <protection hidden="1"/>
    </xf>
    <xf numFmtId="3" fontId="30" fillId="0" borderId="0" xfId="0" applyNumberFormat="1" applyFont="1" applyFill="1" applyBorder="1" applyAlignment="1" applyProtection="1">
      <alignment vertical="center" wrapText="1"/>
      <protection hidden="1"/>
    </xf>
    <xf numFmtId="3" fontId="19" fillId="0" borderId="0" xfId="0" applyNumberFormat="1" applyFont="1" applyFill="1" applyBorder="1" applyAlignment="1" applyProtection="1">
      <alignment vertical="center" wrapText="1"/>
      <protection hidden="1"/>
    </xf>
    <xf numFmtId="0" fontId="0" fillId="0" borderId="32" xfId="0" applyBorder="1" applyProtection="1">
      <protection hidden="1"/>
    </xf>
    <xf numFmtId="3" fontId="28" fillId="0" borderId="0" xfId="0" applyNumberFormat="1" applyFont="1" applyBorder="1" applyAlignment="1" applyProtection="1">
      <alignment vertical="center" wrapText="1"/>
      <protection hidden="1"/>
    </xf>
    <xf numFmtId="0" fontId="30" fillId="11" borderId="99" xfId="0" applyFont="1" applyFill="1" applyBorder="1" applyAlignment="1" applyProtection="1">
      <alignment horizontal="center" vertical="center" wrapText="1"/>
      <protection hidden="1"/>
    </xf>
    <xf numFmtId="0" fontId="25" fillId="11" borderId="93" xfId="0" applyFont="1" applyFill="1" applyBorder="1" applyAlignment="1" applyProtection="1">
      <alignment horizontal="center" vertical="center" wrapText="1"/>
      <protection hidden="1"/>
    </xf>
    <xf numFmtId="0" fontId="28" fillId="10" borderId="15" xfId="0" applyFont="1" applyFill="1" applyBorder="1" applyAlignment="1" applyProtection="1">
      <alignment horizontal="center" vertical="center" wrapText="1"/>
      <protection hidden="1"/>
    </xf>
    <xf numFmtId="0" fontId="28" fillId="10" borderId="132" xfId="0" applyFont="1" applyFill="1" applyBorder="1" applyAlignment="1" applyProtection="1">
      <alignment horizontal="center" vertical="center" wrapText="1"/>
      <protection hidden="1"/>
    </xf>
    <xf numFmtId="0" fontId="30" fillId="11" borderId="97" xfId="0" applyFont="1" applyFill="1" applyBorder="1" applyAlignment="1" applyProtection="1">
      <alignment horizontal="center" vertical="center" wrapText="1"/>
      <protection hidden="1"/>
    </xf>
    <xf numFmtId="3" fontId="30" fillId="0" borderId="93" xfId="0" applyNumberFormat="1" applyFont="1" applyBorder="1" applyAlignment="1" applyProtection="1">
      <alignment vertical="center" wrapText="1"/>
      <protection hidden="1"/>
    </xf>
    <xf numFmtId="0" fontId="25" fillId="11" borderId="99" xfId="0" applyFont="1" applyFill="1" applyBorder="1" applyAlignment="1" applyProtection="1">
      <alignment horizontal="center" vertical="center" wrapText="1"/>
      <protection hidden="1"/>
    </xf>
    <xf numFmtId="0" fontId="31" fillId="11" borderId="93" xfId="0" applyFont="1" applyFill="1" applyBorder="1" applyAlignment="1" applyProtection="1">
      <alignment horizontal="center" vertical="center" wrapText="1"/>
      <protection hidden="1"/>
    </xf>
    <xf numFmtId="0" fontId="25" fillId="11" borderId="118" xfId="0" applyFont="1" applyFill="1" applyBorder="1" applyAlignment="1" applyProtection="1">
      <alignment horizontal="center" vertical="center" wrapText="1"/>
      <protection hidden="1"/>
    </xf>
    <xf numFmtId="3" fontId="28" fillId="0" borderId="118" xfId="0" applyNumberFormat="1" applyFont="1" applyBorder="1" applyAlignment="1" applyProtection="1">
      <alignment vertical="center" wrapText="1"/>
      <protection hidden="1"/>
    </xf>
    <xf numFmtId="0" fontId="3" fillId="0" borderId="0" xfId="0" applyFont="1" applyFill="1" applyProtection="1">
      <protection hidden="1"/>
    </xf>
    <xf numFmtId="0" fontId="0" fillId="0" borderId="0" xfId="0" applyAlignment="1" applyProtection="1">
      <protection hidden="1"/>
    </xf>
    <xf numFmtId="3" fontId="0" fillId="0" borderId="0" xfId="0" applyNumberFormat="1" applyProtection="1">
      <protection hidden="1"/>
    </xf>
    <xf numFmtId="0" fontId="27" fillId="0" borderId="0" xfId="4" applyFont="1" applyFill="1" applyAlignment="1" applyProtection="1">
      <protection hidden="1"/>
    </xf>
    <xf numFmtId="0" fontId="0" fillId="0" borderId="9" xfId="0" applyBorder="1" applyProtection="1">
      <protection hidden="1"/>
    </xf>
    <xf numFmtId="0" fontId="25" fillId="0" borderId="0" xfId="0" applyFont="1" applyBorder="1" applyAlignment="1" applyProtection="1">
      <alignment horizontal="center" vertical="center" wrapText="1"/>
      <protection hidden="1"/>
    </xf>
    <xf numFmtId="0" fontId="0" fillId="0" borderId="0" xfId="0" applyBorder="1" applyAlignment="1" applyProtection="1">
      <alignment horizontal="center"/>
      <protection hidden="1"/>
    </xf>
    <xf numFmtId="0" fontId="0" fillId="0" borderId="0" xfId="0" applyAlignment="1" applyProtection="1">
      <alignment vertical="center"/>
      <protection hidden="1"/>
    </xf>
    <xf numFmtId="0" fontId="0" fillId="0" borderId="0" xfId="0" applyBorder="1" applyAlignment="1" applyProtection="1">
      <alignment vertical="center" wrapText="1"/>
      <protection hidden="1"/>
    </xf>
    <xf numFmtId="0" fontId="0" fillId="0" borderId="0" xfId="0" applyNumberFormat="1" applyBorder="1" applyAlignment="1" applyProtection="1">
      <alignment vertical="center" wrapText="1"/>
      <protection hidden="1"/>
    </xf>
    <xf numFmtId="0" fontId="0" fillId="0" borderId="0" xfId="0" applyBorder="1" applyAlignment="1" applyProtection="1">
      <alignment horizontal="center" vertical="center" wrapText="1"/>
      <protection hidden="1"/>
    </xf>
    <xf numFmtId="0" fontId="0" fillId="0" borderId="0" xfId="0" applyAlignment="1" applyProtection="1">
      <alignment horizontal="left" vertical="center" wrapText="1"/>
      <protection hidden="1"/>
    </xf>
    <xf numFmtId="0" fontId="0" fillId="0" borderId="0" xfId="0" applyAlignment="1" applyProtection="1">
      <alignment horizontal="center" vertical="center" wrapText="1"/>
      <protection hidden="1"/>
    </xf>
    <xf numFmtId="0" fontId="0" fillId="0" borderId="0" xfId="0" applyFill="1" applyBorder="1" applyAlignment="1" applyProtection="1">
      <protection hidden="1"/>
    </xf>
    <xf numFmtId="0" fontId="0" fillId="0" borderId="0" xfId="0" applyFill="1" applyProtection="1">
      <protection hidden="1"/>
    </xf>
    <xf numFmtId="0" fontId="25" fillId="0" borderId="0" xfId="0" applyFont="1" applyBorder="1" applyAlignment="1" applyProtection="1">
      <alignment horizontal="left" vertical="center" wrapText="1"/>
      <protection hidden="1"/>
    </xf>
    <xf numFmtId="0" fontId="25" fillId="0" borderId="0" xfId="0" applyFont="1" applyBorder="1" applyAlignment="1" applyProtection="1">
      <alignment vertical="top" wrapText="1"/>
      <protection hidden="1"/>
    </xf>
    <xf numFmtId="0" fontId="26" fillId="0" borderId="0" xfId="0" applyFont="1" applyFill="1" applyBorder="1" applyAlignment="1" applyProtection="1">
      <alignment vertical="center" wrapText="1"/>
      <protection hidden="1"/>
    </xf>
    <xf numFmtId="0" fontId="0" fillId="0" borderId="0" xfId="0" applyAlignment="1" applyProtection="1">
      <alignment horizontal="center"/>
      <protection hidden="1"/>
    </xf>
    <xf numFmtId="0" fontId="25" fillId="11" borderId="24" xfId="0" applyFont="1" applyFill="1" applyBorder="1" applyAlignment="1" applyProtection="1">
      <alignment horizontal="left" vertical="center" wrapText="1"/>
      <protection hidden="1"/>
    </xf>
    <xf numFmtId="0" fontId="25" fillId="11" borderId="19" xfId="0" applyFont="1" applyFill="1" applyBorder="1" applyAlignment="1" applyProtection="1">
      <alignment vertical="center" wrapText="1"/>
      <protection hidden="1"/>
    </xf>
    <xf numFmtId="0" fontId="25" fillId="11" borderId="22" xfId="0" applyFont="1" applyFill="1" applyBorder="1" applyAlignment="1" applyProtection="1">
      <alignment vertical="center" wrapText="1"/>
      <protection hidden="1"/>
    </xf>
    <xf numFmtId="0" fontId="25" fillId="10" borderId="107" xfId="0" applyFont="1" applyFill="1" applyBorder="1" applyAlignment="1" applyProtection="1">
      <alignment horizontal="center" vertical="center" wrapText="1"/>
      <protection hidden="1"/>
    </xf>
    <xf numFmtId="0" fontId="25" fillId="10" borderId="14" xfId="0" applyFont="1" applyFill="1" applyBorder="1" applyAlignment="1" applyProtection="1">
      <alignment horizontal="center" vertical="center" wrapText="1"/>
      <protection hidden="1"/>
    </xf>
    <xf numFmtId="3" fontId="25" fillId="0" borderId="88" xfId="0" applyNumberFormat="1" applyFont="1" applyBorder="1" applyAlignment="1" applyProtection="1">
      <alignment vertical="center" wrapText="1"/>
      <protection locked="0"/>
    </xf>
    <xf numFmtId="3" fontId="28" fillId="0" borderId="88" xfId="0" applyNumberFormat="1" applyFont="1" applyBorder="1" applyAlignment="1" applyProtection="1">
      <alignment vertical="center" wrapText="1"/>
      <protection locked="0"/>
    </xf>
    <xf numFmtId="3" fontId="28" fillId="0" borderId="88" xfId="0" applyNumberFormat="1" applyFont="1" applyFill="1" applyBorder="1" applyAlignment="1" applyProtection="1">
      <alignment vertical="center" wrapText="1"/>
      <protection locked="0"/>
    </xf>
    <xf numFmtId="3" fontId="30" fillId="0" borderId="27" xfId="0" applyNumberFormat="1" applyFont="1" applyFill="1" applyBorder="1" applyAlignment="1" applyProtection="1">
      <alignment vertical="center" wrapText="1"/>
      <protection locked="0"/>
    </xf>
    <xf numFmtId="3" fontId="28" fillId="0" borderId="101" xfId="0" applyNumberFormat="1" applyFont="1" applyBorder="1" applyAlignment="1" applyProtection="1">
      <alignment vertical="center" wrapText="1"/>
      <protection locked="0"/>
    </xf>
    <xf numFmtId="3" fontId="28" fillId="0" borderId="95" xfId="0" applyNumberFormat="1" applyFont="1" applyBorder="1" applyAlignment="1" applyProtection="1">
      <alignment vertical="center" wrapText="1"/>
      <protection locked="0"/>
    </xf>
    <xf numFmtId="3" fontId="28" fillId="0" borderId="96" xfId="0" applyNumberFormat="1" applyFont="1" applyBorder="1" applyAlignment="1" applyProtection="1">
      <alignment vertical="center" wrapText="1"/>
      <protection locked="0"/>
    </xf>
    <xf numFmtId="3" fontId="25" fillId="0" borderId="94" xfId="0" applyNumberFormat="1" applyFont="1" applyBorder="1" applyAlignment="1" applyProtection="1">
      <alignment vertical="center" wrapText="1"/>
      <protection locked="0"/>
    </xf>
    <xf numFmtId="3" fontId="1" fillId="0" borderId="90" xfId="0" applyNumberFormat="1" applyFont="1" applyFill="1" applyBorder="1" applyAlignment="1" applyProtection="1">
      <alignment vertical="center" wrapText="1"/>
      <protection locked="0"/>
    </xf>
    <xf numFmtId="3" fontId="30" fillId="0" borderId="89" xfId="0" applyNumberFormat="1" applyFont="1" applyFill="1" applyBorder="1" applyAlignment="1" applyProtection="1">
      <alignment vertical="center" wrapText="1"/>
      <protection locked="0"/>
    </xf>
    <xf numFmtId="3" fontId="25" fillId="0" borderId="89" xfId="0" applyNumberFormat="1" applyFont="1" applyBorder="1" applyAlignment="1" applyProtection="1">
      <alignment vertical="center" wrapText="1"/>
      <protection locked="0"/>
    </xf>
    <xf numFmtId="3" fontId="28" fillId="0" borderId="89" xfId="0" applyNumberFormat="1" applyFont="1" applyFill="1" applyBorder="1" applyAlignment="1" applyProtection="1">
      <alignment vertical="center" wrapText="1"/>
      <protection locked="0"/>
    </xf>
    <xf numFmtId="3" fontId="28" fillId="0" borderId="89" xfId="0" applyNumberFormat="1" applyFont="1" applyBorder="1" applyAlignment="1" applyProtection="1">
      <alignment vertical="center" wrapText="1"/>
      <protection locked="0"/>
    </xf>
    <xf numFmtId="3" fontId="1" fillId="0" borderId="89" xfId="0" applyNumberFormat="1" applyFont="1" applyFill="1" applyBorder="1" applyAlignment="1" applyProtection="1">
      <alignment vertical="center" wrapText="1"/>
      <protection locked="0"/>
    </xf>
    <xf numFmtId="3" fontId="19" fillId="0" borderId="89" xfId="0" applyNumberFormat="1" applyFont="1" applyBorder="1" applyAlignment="1" applyProtection="1">
      <alignment vertical="center" wrapText="1"/>
      <protection locked="0"/>
    </xf>
    <xf numFmtId="3" fontId="25" fillId="0" borderId="92" xfId="0" applyNumberFormat="1" applyFont="1" applyBorder="1" applyAlignment="1" applyProtection="1">
      <alignment vertical="center" wrapText="1"/>
      <protection locked="0"/>
    </xf>
    <xf numFmtId="3" fontId="25" fillId="0" borderId="88" xfId="0" applyNumberFormat="1" applyFont="1" applyBorder="1" applyAlignment="1" applyProtection="1">
      <alignment horizontal="right" vertical="center" wrapText="1"/>
      <protection locked="0"/>
    </xf>
    <xf numFmtId="3" fontId="28" fillId="0" borderId="88" xfId="0" applyNumberFormat="1" applyFont="1" applyBorder="1" applyAlignment="1" applyProtection="1">
      <alignment horizontal="right" vertical="center" wrapText="1"/>
      <protection locked="0"/>
    </xf>
    <xf numFmtId="3" fontId="1" fillId="0" borderId="25" xfId="0" applyNumberFormat="1" applyFont="1" applyFill="1" applyBorder="1" applyAlignment="1" applyProtection="1">
      <alignment horizontal="right" vertical="center" wrapText="1"/>
      <protection locked="0"/>
    </xf>
    <xf numFmtId="3" fontId="1" fillId="0" borderId="91" xfId="0" applyNumberFormat="1" applyFont="1" applyFill="1" applyBorder="1" applyAlignment="1" applyProtection="1">
      <alignment horizontal="right" vertical="center" wrapText="1"/>
      <protection locked="0"/>
    </xf>
    <xf numFmtId="3" fontId="28" fillId="0" borderId="88" xfId="0" applyNumberFormat="1" applyFont="1" applyFill="1" applyBorder="1" applyAlignment="1" applyProtection="1">
      <alignment horizontal="right" vertical="center" wrapText="1"/>
    </xf>
    <xf numFmtId="3" fontId="28" fillId="0" borderId="99" xfId="0" applyNumberFormat="1" applyFont="1" applyBorder="1" applyAlignment="1" applyProtection="1">
      <alignment vertical="center" wrapText="1"/>
      <protection locked="0"/>
    </xf>
    <xf numFmtId="3" fontId="30" fillId="0" borderId="93" xfId="0" applyNumberFormat="1" applyFont="1" applyBorder="1" applyAlignment="1" applyProtection="1">
      <alignment vertical="center" wrapText="1"/>
      <protection locked="0"/>
    </xf>
    <xf numFmtId="3" fontId="30" fillId="0" borderId="99" xfId="0" applyNumberFormat="1" applyFont="1" applyBorder="1" applyAlignment="1" applyProtection="1">
      <alignment vertical="center" wrapText="1"/>
      <protection locked="0"/>
    </xf>
    <xf numFmtId="3" fontId="28" fillId="0" borderId="93" xfId="0" applyNumberFormat="1" applyFont="1" applyBorder="1" applyAlignment="1" applyProtection="1">
      <alignment vertical="center" wrapText="1"/>
      <protection locked="0"/>
    </xf>
    <xf numFmtId="3" fontId="30" fillId="0" borderId="88" xfId="0" applyNumberFormat="1" applyFont="1" applyBorder="1" applyAlignment="1" applyProtection="1">
      <alignment vertical="center" wrapText="1"/>
      <protection locked="0"/>
    </xf>
    <xf numFmtId="0" fontId="0" fillId="0" borderId="0" xfId="0" applyBorder="1" applyAlignment="1" applyProtection="1">
      <alignment horizontal="center" wrapText="1"/>
      <protection hidden="1"/>
    </xf>
    <xf numFmtId="0" fontId="25" fillId="10" borderId="132" xfId="0" applyFont="1" applyFill="1" applyBorder="1" applyAlignment="1" applyProtection="1">
      <alignment horizontal="center" vertical="center" wrapText="1"/>
      <protection hidden="1"/>
    </xf>
    <xf numFmtId="0" fontId="25" fillId="10" borderId="15" xfId="0" applyFont="1" applyFill="1" applyBorder="1" applyAlignment="1" applyProtection="1">
      <alignment vertical="center" wrapText="1"/>
      <protection hidden="1"/>
    </xf>
    <xf numFmtId="0" fontId="39" fillId="5" borderId="52" xfId="0" applyFont="1" applyFill="1" applyBorder="1" applyAlignment="1" applyProtection="1">
      <alignment vertical="center"/>
      <protection locked="0" hidden="1"/>
    </xf>
    <xf numFmtId="0" fontId="28" fillId="10" borderId="107" xfId="0" applyFont="1" applyFill="1" applyBorder="1" applyAlignment="1" applyProtection="1">
      <alignment horizontal="center" vertical="center" wrapText="1"/>
      <protection hidden="1"/>
    </xf>
    <xf numFmtId="0" fontId="28" fillId="10" borderId="112" xfId="0" applyFont="1" applyFill="1" applyBorder="1" applyAlignment="1" applyProtection="1">
      <alignment horizontal="center" vertical="center" wrapText="1"/>
      <protection hidden="1"/>
    </xf>
    <xf numFmtId="3" fontId="29" fillId="0" borderId="27" xfId="0" applyNumberFormat="1" applyFont="1" applyFill="1" applyBorder="1" applyAlignment="1" applyProtection="1">
      <alignment vertical="center" wrapText="1"/>
      <protection locked="0"/>
    </xf>
    <xf numFmtId="3" fontId="25" fillId="0" borderId="101" xfId="0" applyNumberFormat="1" applyFont="1" applyBorder="1" applyAlignment="1" applyProtection="1">
      <alignment vertical="center" wrapText="1"/>
      <protection locked="0"/>
    </xf>
    <xf numFmtId="0" fontId="25" fillId="10" borderId="139" xfId="0" applyFont="1" applyFill="1" applyBorder="1" applyAlignment="1" applyProtection="1">
      <alignment horizontal="center" vertical="center" wrapText="1"/>
      <protection hidden="1"/>
    </xf>
    <xf numFmtId="0" fontId="39" fillId="5" borderId="52" xfId="0" applyFont="1" applyFill="1" applyBorder="1" applyAlignment="1" applyProtection="1">
      <alignment vertical="center" wrapText="1"/>
      <protection locked="0" hidden="1"/>
    </xf>
    <xf numFmtId="3" fontId="28" fillId="0" borderId="31" xfId="0" applyNumberFormat="1" applyFont="1" applyFill="1" applyBorder="1" applyAlignment="1" applyProtection="1">
      <alignment vertical="center" wrapText="1"/>
      <protection hidden="1"/>
    </xf>
    <xf numFmtId="3" fontId="30" fillId="0" borderId="13" xfId="0" applyNumberFormat="1" applyFont="1" applyBorder="1" applyAlignment="1" applyProtection="1">
      <alignment vertical="center" wrapText="1"/>
      <protection locked="0"/>
    </xf>
    <xf numFmtId="3" fontId="29" fillId="0" borderId="27" xfId="0" applyNumberFormat="1" applyFont="1" applyFill="1" applyBorder="1" applyAlignment="1" applyProtection="1">
      <alignment horizontal="right" vertical="center" wrapText="1"/>
      <protection locked="0"/>
    </xf>
    <xf numFmtId="3" fontId="29" fillId="0" borderId="98" xfId="0" applyNumberFormat="1" applyFont="1" applyFill="1" applyBorder="1" applyAlignment="1" applyProtection="1">
      <alignment horizontal="right" vertical="center" wrapText="1"/>
      <protection locked="0"/>
    </xf>
    <xf numFmtId="0" fontId="25" fillId="10" borderId="100" xfId="0" applyFont="1" applyFill="1" applyBorder="1" applyAlignment="1" applyProtection="1">
      <alignment horizontal="right" vertical="center" wrapText="1"/>
      <protection hidden="1"/>
    </xf>
    <xf numFmtId="3" fontId="29" fillId="0" borderId="141" xfId="0" applyNumberFormat="1" applyFont="1" applyFill="1" applyBorder="1" applyAlignment="1" applyProtection="1">
      <alignment vertical="center" wrapText="1"/>
      <protection locked="0"/>
    </xf>
    <xf numFmtId="3" fontId="29" fillId="0" borderId="99" xfId="0" applyNumberFormat="1" applyFont="1" applyFill="1" applyBorder="1" applyAlignment="1" applyProtection="1">
      <alignment horizontal="left" vertical="center" wrapText="1"/>
      <protection locked="0"/>
    </xf>
    <xf numFmtId="3" fontId="25" fillId="0" borderId="93" xfId="0" applyNumberFormat="1" applyFont="1" applyBorder="1" applyAlignment="1" applyProtection="1">
      <alignment vertical="center" wrapText="1"/>
      <protection locked="0"/>
    </xf>
    <xf numFmtId="14" fontId="29" fillId="0" borderId="27" xfId="0" applyNumberFormat="1" applyFont="1" applyFill="1" applyBorder="1" applyAlignment="1" applyProtection="1">
      <alignment vertical="center" wrapText="1"/>
      <protection locked="0"/>
    </xf>
    <xf numFmtId="3" fontId="29" fillId="0" borderId="89" xfId="0" applyNumberFormat="1" applyFont="1" applyFill="1" applyBorder="1" applyAlignment="1" applyProtection="1">
      <alignment vertical="center" wrapText="1"/>
      <protection locked="0"/>
    </xf>
    <xf numFmtId="3" fontId="29" fillId="0" borderId="130" xfId="0" applyNumberFormat="1" applyFont="1" applyFill="1" applyBorder="1" applyAlignment="1" applyProtection="1">
      <alignment vertical="center" wrapText="1"/>
      <protection locked="0"/>
    </xf>
    <xf numFmtId="14" fontId="29" fillId="0" borderId="99" xfId="0" applyNumberFormat="1" applyFont="1" applyFill="1" applyBorder="1" applyAlignment="1" applyProtection="1">
      <alignment vertical="center" wrapText="1"/>
      <protection locked="0"/>
    </xf>
    <xf numFmtId="3" fontId="29" fillId="0" borderId="106" xfId="0" applyNumberFormat="1" applyFont="1" applyFill="1" applyBorder="1" applyAlignment="1" applyProtection="1">
      <alignment vertical="center" wrapText="1"/>
      <protection locked="0"/>
    </xf>
    <xf numFmtId="3" fontId="25" fillId="0" borderId="96" xfId="0" applyNumberFormat="1" applyFont="1" applyBorder="1" applyAlignment="1" applyProtection="1">
      <alignment vertical="center" wrapText="1"/>
      <protection locked="0"/>
    </xf>
    <xf numFmtId="3" fontId="25" fillId="0" borderId="95" xfId="0" applyNumberFormat="1" applyFont="1" applyBorder="1" applyAlignment="1" applyProtection="1">
      <alignment vertical="center" wrapText="1"/>
      <protection locked="0"/>
    </xf>
    <xf numFmtId="0" fontId="25" fillId="10" borderId="52" xfId="0" applyFont="1" applyFill="1" applyBorder="1" applyAlignment="1" applyProtection="1">
      <alignment horizontal="right" vertical="center" wrapText="1"/>
      <protection hidden="1"/>
    </xf>
    <xf numFmtId="3" fontId="25" fillId="0" borderId="88" xfId="0" applyNumberFormat="1" applyFont="1" applyFill="1" applyBorder="1" applyAlignment="1" applyProtection="1">
      <alignment vertical="center" wrapText="1"/>
      <protection locked="0"/>
    </xf>
    <xf numFmtId="3" fontId="25" fillId="0" borderId="93" xfId="0" applyNumberFormat="1" applyFont="1" applyFill="1" applyBorder="1" applyAlignment="1" applyProtection="1">
      <alignment vertical="center" wrapText="1"/>
      <protection locked="0"/>
    </xf>
    <xf numFmtId="0" fontId="25" fillId="10" borderId="100" xfId="0" applyFont="1" applyFill="1" applyBorder="1" applyAlignment="1" applyProtection="1">
      <alignment horizontal="left" vertical="center" wrapText="1"/>
      <protection hidden="1"/>
    </xf>
    <xf numFmtId="3" fontId="25" fillId="0" borderId="94" xfId="0" applyNumberFormat="1" applyFont="1" applyFill="1" applyBorder="1" applyAlignment="1" applyProtection="1">
      <alignment vertical="center" wrapText="1"/>
      <protection locked="0"/>
    </xf>
    <xf numFmtId="14" fontId="25" fillId="0" borderId="94" xfId="0" applyNumberFormat="1" applyFont="1" applyFill="1" applyBorder="1" applyAlignment="1" applyProtection="1">
      <alignment vertical="center" wrapText="1"/>
      <protection locked="0"/>
    </xf>
    <xf numFmtId="0" fontId="0" fillId="11" borderId="1" xfId="0" applyFont="1" applyFill="1" applyBorder="1" applyAlignment="1" applyProtection="1">
      <alignment vertical="center" wrapText="1"/>
      <protection hidden="1"/>
    </xf>
    <xf numFmtId="0" fontId="3" fillId="0" borderId="0" xfId="0" applyFont="1" applyProtection="1">
      <protection hidden="1"/>
    </xf>
    <xf numFmtId="0" fontId="0" fillId="0" borderId="0" xfId="0" applyProtection="1">
      <protection hidden="1"/>
    </xf>
    <xf numFmtId="0" fontId="1" fillId="0" borderId="0" xfId="0" applyFont="1" applyFill="1" applyBorder="1" applyAlignment="1" applyProtection="1">
      <alignment horizontal="center" wrapText="1"/>
      <protection hidden="1"/>
    </xf>
    <xf numFmtId="3" fontId="30" fillId="6" borderId="21" xfId="0" applyNumberFormat="1" applyFont="1" applyFill="1" applyBorder="1" applyAlignment="1" applyProtection="1">
      <alignment horizontal="right" vertical="center" wrapText="1"/>
    </xf>
    <xf numFmtId="3" fontId="30" fillId="6" borderId="88" xfId="0" applyNumberFormat="1" applyFont="1" applyFill="1" applyBorder="1" applyAlignment="1" applyProtection="1">
      <alignment horizontal="right" vertical="center" wrapText="1"/>
    </xf>
    <xf numFmtId="0" fontId="6" fillId="6" borderId="136" xfId="0" applyFont="1" applyFill="1" applyBorder="1" applyProtection="1">
      <protection hidden="1"/>
    </xf>
    <xf numFmtId="0" fontId="3" fillId="6" borderId="136" xfId="0" applyFont="1" applyFill="1" applyBorder="1" applyProtection="1">
      <protection hidden="1"/>
    </xf>
    <xf numFmtId="0" fontId="26" fillId="5" borderId="52" xfId="0" applyFont="1" applyFill="1" applyBorder="1" applyAlignment="1" applyProtection="1">
      <alignment vertical="center"/>
      <protection hidden="1"/>
    </xf>
    <xf numFmtId="0" fontId="25" fillId="10" borderId="15" xfId="0" applyFont="1" applyFill="1" applyBorder="1" applyAlignment="1" applyProtection="1">
      <alignment horizontal="right" vertical="center" wrapText="1"/>
      <protection hidden="1"/>
    </xf>
    <xf numFmtId="0" fontId="25" fillId="10" borderId="132" xfId="0" applyFont="1" applyFill="1" applyBorder="1" applyAlignment="1" applyProtection="1">
      <alignment horizontal="right" vertical="center" wrapText="1"/>
      <protection hidden="1"/>
    </xf>
    <xf numFmtId="0" fontId="28" fillId="6" borderId="16" xfId="0" applyFont="1" applyFill="1" applyBorder="1" applyAlignment="1" applyProtection="1">
      <alignment vertical="center" wrapText="1"/>
      <protection hidden="1"/>
    </xf>
    <xf numFmtId="0" fontId="18" fillId="11" borderId="1" xfId="0" applyFont="1" applyFill="1" applyBorder="1" applyAlignment="1" applyProtection="1">
      <alignment vertical="center" wrapText="1"/>
      <protection hidden="1"/>
    </xf>
    <xf numFmtId="0" fontId="1" fillId="6" borderId="25" xfId="0" applyFont="1" applyFill="1" applyBorder="1" applyAlignment="1" applyProtection="1">
      <alignment horizontal="center" vertical="center" wrapText="1"/>
      <protection hidden="1"/>
    </xf>
    <xf numFmtId="0" fontId="30" fillId="17" borderId="21" xfId="0" applyFont="1" applyFill="1" applyBorder="1" applyAlignment="1" applyProtection="1">
      <alignment vertical="center" wrapText="1"/>
      <protection hidden="1"/>
    </xf>
    <xf numFmtId="0" fontId="25" fillId="17" borderId="21" xfId="0" applyFont="1" applyFill="1" applyBorder="1" applyAlignment="1" applyProtection="1">
      <alignment vertical="center" wrapText="1"/>
      <protection hidden="1"/>
    </xf>
    <xf numFmtId="0" fontId="28" fillId="17" borderId="21" xfId="0" applyFont="1" applyFill="1" applyBorder="1" applyAlignment="1" applyProtection="1">
      <alignment vertical="center" wrapText="1"/>
      <protection hidden="1"/>
    </xf>
    <xf numFmtId="0" fontId="19" fillId="17" borderId="21" xfId="0" applyFont="1" applyFill="1" applyBorder="1" applyAlignment="1" applyProtection="1">
      <alignment vertical="center" wrapText="1"/>
      <protection hidden="1"/>
    </xf>
    <xf numFmtId="0" fontId="25" fillId="17" borderId="41" xfId="0" applyFont="1" applyFill="1" applyBorder="1" applyAlignment="1" applyProtection="1">
      <alignment vertical="center" wrapText="1"/>
      <protection hidden="1"/>
    </xf>
    <xf numFmtId="0" fontId="29" fillId="0" borderId="99" xfId="0" applyFont="1" applyFill="1" applyBorder="1" applyAlignment="1" applyProtection="1">
      <alignment vertical="center" wrapText="1"/>
      <protection locked="0"/>
    </xf>
    <xf numFmtId="0" fontId="25" fillId="0" borderId="88" xfId="0" applyFont="1" applyFill="1" applyBorder="1" applyAlignment="1" applyProtection="1">
      <alignment vertical="center" wrapText="1"/>
      <protection locked="0"/>
    </xf>
    <xf numFmtId="0" fontId="25" fillId="0" borderId="89" xfId="0" applyFont="1" applyFill="1" applyBorder="1" applyAlignment="1" applyProtection="1">
      <alignment vertical="center" wrapText="1"/>
      <protection locked="0"/>
    </xf>
    <xf numFmtId="0" fontId="25" fillId="0" borderId="94" xfId="0" applyFont="1" applyFill="1" applyBorder="1" applyAlignment="1" applyProtection="1">
      <alignment vertical="center" wrapText="1"/>
      <protection locked="0"/>
    </xf>
    <xf numFmtId="3" fontId="25" fillId="0" borderId="101" xfId="0" applyNumberFormat="1" applyFont="1" applyFill="1" applyBorder="1" applyAlignment="1" applyProtection="1">
      <alignment vertical="center" wrapText="1"/>
      <protection locked="0"/>
    </xf>
    <xf numFmtId="14" fontId="25" fillId="0" borderId="88" xfId="0" applyNumberFormat="1" applyFont="1" applyFill="1" applyBorder="1" applyAlignment="1" applyProtection="1">
      <alignment vertical="center" wrapText="1"/>
      <protection locked="0"/>
    </xf>
    <xf numFmtId="3" fontId="25" fillId="0" borderId="95" xfId="0" applyNumberFormat="1" applyFont="1" applyFill="1" applyBorder="1" applyAlignment="1" applyProtection="1">
      <alignment vertical="center" wrapText="1"/>
      <protection locked="0"/>
    </xf>
    <xf numFmtId="3" fontId="25" fillId="0" borderId="96" xfId="0" applyNumberFormat="1" applyFont="1" applyFill="1" applyBorder="1" applyAlignment="1" applyProtection="1">
      <alignment vertical="center" wrapText="1"/>
      <protection locked="0"/>
    </xf>
    <xf numFmtId="0" fontId="31" fillId="17" borderId="41" xfId="0" applyFont="1" applyFill="1" applyBorder="1" applyAlignment="1" applyProtection="1">
      <alignment horizontal="center" vertical="center" wrapText="1"/>
      <protection hidden="1"/>
    </xf>
    <xf numFmtId="0" fontId="25" fillId="17" borderId="27" xfId="0" applyFont="1" applyFill="1" applyBorder="1" applyAlignment="1" applyProtection="1">
      <alignment vertical="center" wrapText="1"/>
      <protection hidden="1"/>
    </xf>
    <xf numFmtId="0" fontId="31" fillId="17" borderId="41" xfId="0" applyFont="1" applyFill="1" applyBorder="1" applyAlignment="1" applyProtection="1">
      <alignment vertical="center" wrapText="1"/>
      <protection hidden="1"/>
    </xf>
    <xf numFmtId="0" fontId="32" fillId="17" borderId="117" xfId="0" applyFont="1" applyFill="1" applyBorder="1" applyAlignment="1" applyProtection="1">
      <alignment horizontal="center" vertical="center" wrapText="1"/>
      <protection hidden="1"/>
    </xf>
    <xf numFmtId="0" fontId="30" fillId="17" borderId="27" xfId="0" applyFont="1" applyFill="1" applyBorder="1" applyAlignment="1" applyProtection="1">
      <alignment vertical="center" wrapText="1"/>
      <protection hidden="1"/>
    </xf>
    <xf numFmtId="3" fontId="29" fillId="0" borderId="21" xfId="0" applyNumberFormat="1" applyFont="1" applyFill="1" applyBorder="1" applyAlignment="1" applyProtection="1">
      <alignment vertical="center" wrapText="1"/>
      <protection locked="0"/>
    </xf>
    <xf numFmtId="3" fontId="29" fillId="0" borderId="88" xfId="0" applyNumberFormat="1" applyFont="1" applyFill="1" applyBorder="1" applyAlignment="1" applyProtection="1">
      <alignment vertical="center" wrapText="1"/>
      <protection locked="0"/>
    </xf>
    <xf numFmtId="0" fontId="28" fillId="18" borderId="119" xfId="0" applyFont="1" applyFill="1" applyBorder="1" applyAlignment="1" applyProtection="1">
      <alignment horizontal="center" vertical="center" wrapText="1"/>
      <protection hidden="1"/>
    </xf>
    <xf numFmtId="3" fontId="28" fillId="18" borderId="93" xfId="0" applyNumberFormat="1" applyFont="1" applyFill="1" applyBorder="1" applyAlignment="1" applyProtection="1">
      <alignment vertical="center" wrapText="1"/>
      <protection hidden="1"/>
    </xf>
    <xf numFmtId="0" fontId="28" fillId="18" borderId="100" xfId="0" applyFont="1" applyFill="1" applyBorder="1" applyAlignment="1" applyProtection="1">
      <alignment horizontal="right" vertical="center" wrapText="1"/>
      <protection hidden="1"/>
    </xf>
    <xf numFmtId="3" fontId="28" fillId="18" borderId="100" xfId="0" applyNumberFormat="1" applyFont="1" applyFill="1" applyBorder="1" applyAlignment="1" applyProtection="1">
      <alignment horizontal="right" vertical="center" wrapText="1"/>
      <protection hidden="1"/>
    </xf>
    <xf numFmtId="0" fontId="22" fillId="0" borderId="0" xfId="0" applyNumberFormat="1" applyFont="1" applyFill="1" applyBorder="1" applyProtection="1">
      <protection hidden="1"/>
    </xf>
    <xf numFmtId="0" fontId="34" fillId="15" borderId="0" xfId="2" applyFont="1" applyFill="1" applyAlignment="1" applyProtection="1">
      <alignment horizontal="left" vertical="top"/>
      <protection hidden="1"/>
    </xf>
    <xf numFmtId="0" fontId="20" fillId="0" borderId="0" xfId="0" applyFont="1" applyAlignment="1" applyProtection="1">
      <alignment vertical="center" wrapText="1"/>
      <protection hidden="1"/>
    </xf>
    <xf numFmtId="0" fontId="0" fillId="11" borderId="1" xfId="0" applyFill="1" applyBorder="1" applyAlignment="1" applyProtection="1">
      <alignment vertical="center" wrapText="1"/>
      <protection hidden="1"/>
    </xf>
    <xf numFmtId="3" fontId="0" fillId="0" borderId="0" xfId="0" applyNumberFormat="1" applyAlignment="1" applyProtection="1">
      <alignment vertical="center" wrapText="1"/>
      <protection hidden="1"/>
    </xf>
    <xf numFmtId="0" fontId="1" fillId="8" borderId="1" xfId="0" applyFont="1" applyFill="1" applyBorder="1" applyAlignment="1" applyProtection="1">
      <alignment horizontal="center" vertical="center" wrapText="1"/>
      <protection hidden="1"/>
    </xf>
    <xf numFmtId="0" fontId="37" fillId="0" borderId="1" xfId="0" applyFont="1" applyBorder="1" applyAlignment="1" applyProtection="1">
      <alignment vertical="center" wrapText="1"/>
      <protection hidden="1"/>
    </xf>
    <xf numFmtId="0" fontId="21" fillId="0" borderId="1" xfId="0" applyFont="1" applyBorder="1" applyAlignment="1" applyProtection="1">
      <alignment vertical="center" wrapText="1"/>
      <protection hidden="1"/>
    </xf>
    <xf numFmtId="0" fontId="1" fillId="11" borderId="3" xfId="0" applyFont="1" applyFill="1" applyBorder="1" applyAlignment="1" applyProtection="1">
      <alignment vertical="center" wrapText="1"/>
      <protection hidden="1"/>
    </xf>
    <xf numFmtId="0" fontId="19" fillId="11" borderId="1" xfId="0" applyFont="1" applyFill="1" applyBorder="1" applyAlignment="1" applyProtection="1">
      <alignment vertical="center" wrapText="1"/>
      <protection hidden="1"/>
    </xf>
    <xf numFmtId="0" fontId="1" fillId="11" borderId="1" xfId="0" applyFont="1" applyFill="1" applyBorder="1" applyAlignment="1" applyProtection="1">
      <alignment vertical="center" wrapText="1"/>
      <protection hidden="1"/>
    </xf>
    <xf numFmtId="0" fontId="0" fillId="2" borderId="136" xfId="0" applyFill="1" applyBorder="1" applyAlignment="1" applyProtection="1">
      <alignment vertical="center" wrapText="1"/>
      <protection hidden="1"/>
    </xf>
    <xf numFmtId="0" fontId="1" fillId="2" borderId="136" xfId="0" applyFont="1" applyFill="1" applyBorder="1" applyAlignment="1" applyProtection="1">
      <alignment horizontal="center" vertical="center" wrapText="1"/>
      <protection hidden="1"/>
    </xf>
    <xf numFmtId="0" fontId="0" fillId="2" borderId="136" xfId="0" applyFill="1" applyBorder="1" applyAlignment="1" applyProtection="1">
      <alignment horizontal="center" vertical="center"/>
      <protection hidden="1"/>
    </xf>
    <xf numFmtId="0" fontId="0" fillId="2" borderId="136" xfId="0" applyFill="1" applyBorder="1" applyAlignment="1" applyProtection="1">
      <alignment horizontal="center" vertical="center" wrapText="1"/>
      <protection hidden="1"/>
    </xf>
    <xf numFmtId="0" fontId="49" fillId="0" borderId="156" xfId="0" applyFont="1" applyBorder="1" applyAlignment="1" applyProtection="1">
      <protection hidden="1"/>
    </xf>
    <xf numFmtId="0" fontId="0" fillId="0" borderId="136" xfId="0" applyBorder="1" applyProtection="1">
      <protection hidden="1"/>
    </xf>
    <xf numFmtId="0" fontId="49" fillId="0" borderId="156" xfId="0" applyFont="1" applyFill="1" applyBorder="1" applyAlignment="1" applyProtection="1">
      <protection hidden="1"/>
    </xf>
    <xf numFmtId="0" fontId="49" fillId="21" borderId="156" xfId="0" applyFont="1" applyFill="1" applyBorder="1" applyAlignment="1" applyProtection="1">
      <protection hidden="1"/>
    </xf>
    <xf numFmtId="0" fontId="1" fillId="21" borderId="136" xfId="0" applyFont="1" applyFill="1" applyBorder="1" applyProtection="1">
      <protection hidden="1"/>
    </xf>
    <xf numFmtId="0" fontId="50" fillId="21" borderId="136" xfId="0" applyFont="1" applyFill="1" applyBorder="1" applyProtection="1">
      <protection hidden="1"/>
    </xf>
    <xf numFmtId="3" fontId="0" fillId="0" borderId="136" xfId="0" applyNumberFormat="1" applyBorder="1" applyProtection="1">
      <protection hidden="1"/>
    </xf>
    <xf numFmtId="0" fontId="49" fillId="23" borderId="158" xfId="0" applyFont="1" applyFill="1" applyBorder="1" applyProtection="1">
      <protection hidden="1"/>
    </xf>
    <xf numFmtId="0" fontId="0" fillId="3" borderId="136" xfId="0" applyFill="1" applyBorder="1" applyProtection="1">
      <protection hidden="1"/>
    </xf>
    <xf numFmtId="0" fontId="51" fillId="22" borderId="156" xfId="0" applyFont="1" applyFill="1" applyBorder="1" applyAlignment="1" applyProtection="1">
      <alignment horizontal="center" vertical="center" wrapText="1"/>
      <protection hidden="1"/>
    </xf>
    <xf numFmtId="0" fontId="1" fillId="21" borderId="136" xfId="0" applyFont="1" applyFill="1" applyBorder="1" applyAlignment="1" applyProtection="1">
      <alignment horizontal="center" vertical="center" wrapText="1"/>
      <protection hidden="1"/>
    </xf>
    <xf numFmtId="0" fontId="49" fillId="23" borderId="159" xfId="0" applyFont="1" applyFill="1" applyBorder="1" applyProtection="1">
      <protection hidden="1"/>
    </xf>
    <xf numFmtId="0" fontId="1" fillId="2" borderId="136" xfId="0" applyFont="1" applyFill="1" applyBorder="1" applyAlignment="1" applyProtection="1">
      <alignment horizontal="center" vertical="center"/>
      <protection hidden="1"/>
    </xf>
    <xf numFmtId="0" fontId="0" fillId="0" borderId="136" xfId="0" applyBorder="1" applyAlignment="1" applyProtection="1">
      <protection hidden="1"/>
    </xf>
    <xf numFmtId="0" fontId="49" fillId="24" borderId="158" xfId="0" applyFont="1" applyFill="1" applyBorder="1" applyAlignment="1" applyProtection="1">
      <protection hidden="1"/>
    </xf>
    <xf numFmtId="0" fontId="0" fillId="17" borderId="136" xfId="0" applyFill="1" applyBorder="1" applyProtection="1">
      <protection hidden="1"/>
    </xf>
    <xf numFmtId="3" fontId="49" fillId="24" borderId="158" xfId="0" applyNumberFormat="1" applyFont="1" applyFill="1" applyBorder="1" applyProtection="1">
      <protection hidden="1"/>
    </xf>
    <xf numFmtId="0" fontId="49" fillId="25" borderId="158" xfId="0" applyFont="1" applyFill="1" applyBorder="1" applyAlignment="1" applyProtection="1">
      <protection hidden="1"/>
    </xf>
    <xf numFmtId="0" fontId="0" fillId="4" borderId="136" xfId="0" applyFill="1" applyBorder="1" applyProtection="1">
      <protection hidden="1"/>
    </xf>
    <xf numFmtId="3" fontId="51" fillId="23" borderId="158" xfId="0" applyNumberFormat="1" applyFont="1" applyFill="1" applyBorder="1" applyProtection="1">
      <protection hidden="1"/>
    </xf>
    <xf numFmtId="0" fontId="51" fillId="26" borderId="158" xfId="0" applyFont="1" applyFill="1" applyBorder="1" applyAlignment="1" applyProtection="1">
      <alignment horizontal="center" vertical="center"/>
      <protection hidden="1"/>
    </xf>
    <xf numFmtId="0" fontId="52" fillId="25" borderId="158" xfId="0" applyFont="1" applyFill="1" applyBorder="1" applyAlignment="1" applyProtection="1">
      <protection hidden="1"/>
    </xf>
    <xf numFmtId="0" fontId="18" fillId="4" borderId="136" xfId="0" applyFont="1" applyFill="1" applyBorder="1" applyProtection="1">
      <protection hidden="1"/>
    </xf>
    <xf numFmtId="0" fontId="49" fillId="0" borderId="158" xfId="0" applyFont="1" applyBorder="1" applyAlignment="1" applyProtection="1">
      <protection hidden="1"/>
    </xf>
    <xf numFmtId="3" fontId="49" fillId="23" borderId="158" xfId="0" applyNumberFormat="1" applyFont="1" applyFill="1" applyBorder="1" applyProtection="1">
      <protection hidden="1"/>
    </xf>
    <xf numFmtId="0" fontId="51" fillId="22" borderId="158" xfId="0" applyFont="1" applyFill="1" applyBorder="1" applyProtection="1">
      <protection hidden="1"/>
    </xf>
    <xf numFmtId="0" fontId="49" fillId="22" borderId="158" xfId="0" applyFont="1" applyFill="1" applyBorder="1" applyAlignment="1" applyProtection="1">
      <protection hidden="1"/>
    </xf>
    <xf numFmtId="3" fontId="53" fillId="22" borderId="158" xfId="0" applyNumberFormat="1" applyFont="1" applyFill="1" applyBorder="1" applyProtection="1">
      <protection hidden="1"/>
    </xf>
    <xf numFmtId="0" fontId="18" fillId="0" borderId="136" xfId="0" applyFont="1" applyBorder="1" applyProtection="1">
      <protection hidden="1"/>
    </xf>
    <xf numFmtId="0" fontId="51" fillId="23" borderId="158" xfId="0" applyFont="1" applyFill="1" applyBorder="1" applyProtection="1">
      <protection hidden="1"/>
    </xf>
    <xf numFmtId="0" fontId="1" fillId="3" borderId="136" xfId="0" applyFont="1" applyFill="1" applyBorder="1" applyProtection="1">
      <protection hidden="1"/>
    </xf>
    <xf numFmtId="0" fontId="0" fillId="0" borderId="136" xfId="0" applyFill="1" applyBorder="1" applyAlignment="1" applyProtection="1">
      <protection hidden="1"/>
    </xf>
    <xf numFmtId="0" fontId="0" fillId="0" borderId="136" xfId="0" applyFill="1" applyBorder="1" applyProtection="1">
      <protection hidden="1"/>
    </xf>
    <xf numFmtId="3" fontId="51" fillId="22" borderId="158" xfId="0" applyNumberFormat="1" applyFont="1" applyFill="1" applyBorder="1" applyProtection="1">
      <protection hidden="1"/>
    </xf>
    <xf numFmtId="0" fontId="54" fillId="22" borderId="158" xfId="0" applyFont="1" applyFill="1" applyBorder="1" applyProtection="1">
      <protection hidden="1"/>
    </xf>
    <xf numFmtId="0" fontId="55" fillId="21" borderId="136" xfId="0" applyFont="1" applyFill="1" applyBorder="1" applyProtection="1">
      <protection hidden="1"/>
    </xf>
    <xf numFmtId="0" fontId="18" fillId="17" borderId="136" xfId="0" applyFont="1" applyFill="1" applyBorder="1" applyProtection="1">
      <protection hidden="1"/>
    </xf>
    <xf numFmtId="0" fontId="57" fillId="22" borderId="158" xfId="0" applyFont="1" applyFill="1" applyBorder="1" applyAlignment="1" applyProtection="1">
      <protection hidden="1"/>
    </xf>
    <xf numFmtId="0" fontId="41" fillId="0" borderId="136" xfId="0" applyFont="1" applyBorder="1" applyProtection="1">
      <protection hidden="1"/>
    </xf>
    <xf numFmtId="0" fontId="49" fillId="0" borderId="158" xfId="0" applyFont="1" applyFill="1" applyBorder="1" applyAlignment="1" applyProtection="1">
      <protection hidden="1"/>
    </xf>
    <xf numFmtId="0" fontId="53" fillId="22" borderId="158" xfId="0" applyFont="1" applyFill="1" applyBorder="1" applyAlignment="1" applyProtection="1">
      <protection hidden="1"/>
    </xf>
    <xf numFmtId="0" fontId="51" fillId="26" borderId="158" xfId="0" applyFont="1" applyFill="1" applyBorder="1" applyAlignment="1" applyProtection="1">
      <alignment horizontal="center" vertical="center" wrapText="1"/>
      <protection hidden="1"/>
    </xf>
    <xf numFmtId="0" fontId="0" fillId="15" borderId="136" xfId="0" applyFill="1" applyBorder="1" applyProtection="1">
      <protection hidden="1"/>
    </xf>
    <xf numFmtId="0" fontId="53" fillId="22" borderId="158" xfId="0" applyFont="1" applyFill="1" applyBorder="1" applyAlignment="1" applyProtection="1">
      <alignment horizontal="center" vertical="center" wrapText="1"/>
      <protection hidden="1"/>
    </xf>
    <xf numFmtId="0" fontId="50" fillId="21" borderId="136" xfId="0" applyFont="1" applyFill="1" applyBorder="1" applyAlignment="1" applyProtection="1">
      <alignment horizontal="center" vertical="center" wrapText="1"/>
      <protection hidden="1"/>
    </xf>
    <xf numFmtId="0" fontId="0" fillId="9" borderId="136" xfId="0" applyFill="1" applyBorder="1" applyAlignment="1" applyProtection="1">
      <alignment vertical="center" wrapText="1"/>
      <protection hidden="1"/>
    </xf>
    <xf numFmtId="0" fontId="1" fillId="9" borderId="136" xfId="0" applyFont="1" applyFill="1" applyBorder="1" applyAlignment="1" applyProtection="1">
      <alignment horizontal="left" vertical="center"/>
      <protection hidden="1"/>
    </xf>
    <xf numFmtId="3" fontId="51" fillId="27" borderId="158" xfId="0" applyNumberFormat="1" applyFont="1" applyFill="1" applyBorder="1" applyAlignment="1" applyProtection="1">
      <alignment horizontal="right" vertical="center"/>
      <protection hidden="1"/>
    </xf>
    <xf numFmtId="3" fontId="60" fillId="0" borderId="155" xfId="0" applyNumberFormat="1" applyFont="1" applyBorder="1" applyAlignment="1" applyProtection="1">
      <alignment vertical="center" wrapText="1"/>
      <protection hidden="1"/>
    </xf>
    <xf numFmtId="0" fontId="49" fillId="15" borderId="158" xfId="0" applyFont="1" applyFill="1" applyBorder="1" applyAlignment="1" applyProtection="1">
      <alignment vertical="center" wrapText="1"/>
      <protection hidden="1"/>
    </xf>
    <xf numFmtId="0" fontId="0" fillId="15" borderId="136" xfId="0" applyFont="1" applyFill="1" applyBorder="1" applyAlignment="1" applyProtection="1">
      <alignment horizontal="left" vertical="center"/>
      <protection hidden="1"/>
    </xf>
    <xf numFmtId="3" fontId="49" fillId="24" borderId="158" xfId="0" applyNumberFormat="1" applyFont="1" applyFill="1" applyBorder="1" applyAlignment="1" applyProtection="1">
      <alignment horizontal="right"/>
      <protection hidden="1"/>
    </xf>
    <xf numFmtId="0" fontId="53" fillId="22" borderId="158" xfId="0" applyFont="1" applyFill="1" applyBorder="1" applyProtection="1">
      <protection hidden="1"/>
    </xf>
    <xf numFmtId="3" fontId="49" fillId="22" borderId="158" xfId="0" applyNumberFormat="1" applyFont="1" applyFill="1" applyBorder="1" applyProtection="1">
      <protection hidden="1"/>
    </xf>
    <xf numFmtId="0" fontId="18" fillId="15" borderId="136" xfId="0" applyFont="1" applyFill="1" applyBorder="1" applyProtection="1">
      <protection hidden="1"/>
    </xf>
    <xf numFmtId="0" fontId="7" fillId="17" borderId="136" xfId="0" applyFont="1" applyFill="1" applyBorder="1" applyAlignment="1" applyProtection="1">
      <protection hidden="1"/>
    </xf>
    <xf numFmtId="0" fontId="7" fillId="0" borderId="158" xfId="0" applyFont="1" applyFill="1" applyBorder="1" applyAlignment="1" applyProtection="1">
      <alignment horizontal="left"/>
      <protection hidden="1"/>
    </xf>
    <xf numFmtId="0" fontId="7" fillId="0" borderId="136" xfId="0" applyFont="1" applyFill="1" applyBorder="1" applyAlignment="1" applyProtection="1">
      <protection hidden="1"/>
    </xf>
    <xf numFmtId="0" fontId="64" fillId="5" borderId="0" xfId="0" applyFont="1" applyFill="1" applyBorder="1" applyAlignment="1" applyProtection="1">
      <alignment vertical="center"/>
      <protection locked="0" hidden="1"/>
    </xf>
    <xf numFmtId="0" fontId="3" fillId="2" borderId="136" xfId="0" applyFont="1" applyFill="1" applyBorder="1" applyAlignment="1" applyProtection="1">
      <alignment horizontal="center" vertical="center" wrapText="1"/>
      <protection hidden="1"/>
    </xf>
    <xf numFmtId="0" fontId="5" fillId="2" borderId="136" xfId="0" applyFont="1" applyFill="1" applyBorder="1" applyAlignment="1" applyProtection="1">
      <alignment horizontal="center" vertical="center" wrapText="1"/>
      <protection hidden="1"/>
    </xf>
    <xf numFmtId="0" fontId="3" fillId="2" borderId="136" xfId="0" applyFont="1" applyFill="1" applyBorder="1" applyAlignment="1" applyProtection="1">
      <alignment horizontal="center" vertical="center"/>
      <protection hidden="1"/>
    </xf>
    <xf numFmtId="0" fontId="65" fillId="0" borderId="136" xfId="0" applyFont="1" applyFill="1" applyBorder="1" applyProtection="1">
      <protection hidden="1"/>
    </xf>
    <xf numFmtId="0" fontId="65" fillId="0" borderId="136" xfId="0" applyFont="1" applyFill="1" applyBorder="1" applyAlignment="1" applyProtection="1">
      <alignment wrapText="1"/>
      <protection hidden="1"/>
    </xf>
    <xf numFmtId="0" fontId="5" fillId="0" borderId="136" xfId="0" applyFont="1" applyFill="1" applyBorder="1" applyProtection="1">
      <protection hidden="1"/>
    </xf>
    <xf numFmtId="0" fontId="65" fillId="0" borderId="136" xfId="0" applyFont="1" applyFill="1" applyBorder="1" applyAlignment="1" applyProtection="1">
      <protection hidden="1"/>
    </xf>
    <xf numFmtId="0" fontId="5" fillId="3" borderId="136" xfId="0" applyFont="1" applyFill="1" applyBorder="1" applyProtection="1">
      <protection hidden="1"/>
    </xf>
    <xf numFmtId="0" fontId="5" fillId="0" borderId="136" xfId="0" applyFont="1" applyFill="1" applyBorder="1" applyAlignment="1" applyProtection="1">
      <alignment vertical="center" wrapText="1"/>
      <protection hidden="1"/>
    </xf>
    <xf numFmtId="0" fontId="3" fillId="0" borderId="0" xfId="0" applyFont="1" applyBorder="1" applyProtection="1">
      <protection hidden="1"/>
    </xf>
    <xf numFmtId="3" fontId="3" fillId="0" borderId="0" xfId="0" applyNumberFormat="1" applyFont="1" applyBorder="1" applyProtection="1">
      <protection hidden="1"/>
    </xf>
    <xf numFmtId="0" fontId="65" fillId="17" borderId="136" xfId="0" applyFont="1" applyFill="1" applyBorder="1" applyProtection="1">
      <protection hidden="1"/>
    </xf>
    <xf numFmtId="0" fontId="65" fillId="6" borderId="136" xfId="0" applyFont="1" applyFill="1" applyBorder="1" applyProtection="1">
      <protection hidden="1"/>
    </xf>
    <xf numFmtId="3" fontId="3" fillId="6" borderId="136" xfId="0" applyNumberFormat="1" applyFont="1" applyFill="1" applyBorder="1" applyProtection="1">
      <protection hidden="1"/>
    </xf>
    <xf numFmtId="0" fontId="3" fillId="17" borderId="136" xfId="0" applyFont="1" applyFill="1" applyBorder="1" applyProtection="1">
      <protection hidden="1"/>
    </xf>
    <xf numFmtId="3" fontId="3" fillId="17" borderId="136" xfId="0" applyNumberFormat="1" applyFont="1" applyFill="1" applyBorder="1" applyProtection="1">
      <protection hidden="1"/>
    </xf>
    <xf numFmtId="0" fontId="65" fillId="6" borderId="136" xfId="0" applyFont="1" applyFill="1" applyBorder="1" applyAlignment="1" applyProtection="1">
      <alignment wrapText="1"/>
      <protection hidden="1"/>
    </xf>
    <xf numFmtId="0" fontId="67" fillId="6" borderId="136" xfId="0" applyFont="1" applyFill="1" applyBorder="1" applyProtection="1">
      <protection hidden="1"/>
    </xf>
    <xf numFmtId="0" fontId="5" fillId="6" borderId="136" xfId="0" applyFont="1" applyFill="1" applyBorder="1" applyProtection="1">
      <protection hidden="1"/>
    </xf>
    <xf numFmtId="0" fontId="65" fillId="6" borderId="136" xfId="0" applyFont="1" applyFill="1" applyBorder="1" applyAlignment="1" applyProtection="1">
      <protection hidden="1"/>
    </xf>
    <xf numFmtId="0" fontId="5" fillId="3" borderId="136" xfId="0" applyFont="1" applyFill="1" applyBorder="1" applyAlignment="1" applyProtection="1">
      <alignment horizontal="left"/>
      <protection hidden="1"/>
    </xf>
    <xf numFmtId="0" fontId="3" fillId="0" borderId="136" xfId="0" applyFont="1" applyFill="1" applyBorder="1" applyProtection="1">
      <protection hidden="1"/>
    </xf>
    <xf numFmtId="0" fontId="5" fillId="0" borderId="136" xfId="0" applyFont="1" applyFill="1" applyBorder="1" applyAlignment="1" applyProtection="1">
      <alignment horizontal="left" vertical="center" wrapText="1"/>
      <protection hidden="1"/>
    </xf>
    <xf numFmtId="0" fontId="3" fillId="3" borderId="136" xfId="0" applyFont="1" applyFill="1" applyBorder="1" applyProtection="1">
      <protection hidden="1"/>
    </xf>
    <xf numFmtId="0" fontId="3" fillId="0" borderId="0" xfId="0" applyFont="1" applyAlignment="1" applyProtection="1">
      <alignment horizontal="center"/>
      <protection hidden="1"/>
    </xf>
    <xf numFmtId="0" fontId="68" fillId="7" borderId="0" xfId="4" applyFont="1" applyProtection="1">
      <protection hidden="1"/>
    </xf>
    <xf numFmtId="0" fontId="68" fillId="20" borderId="0" xfId="5" applyFont="1" applyProtection="1">
      <protection hidden="1"/>
    </xf>
    <xf numFmtId="3" fontId="5" fillId="6" borderId="136" xfId="0" applyNumberFormat="1" applyFont="1" applyFill="1" applyBorder="1" applyProtection="1">
      <protection hidden="1"/>
    </xf>
    <xf numFmtId="0" fontId="5" fillId="0" borderId="136" xfId="0" applyFont="1" applyFill="1" applyBorder="1" applyAlignment="1" applyProtection="1">
      <alignment wrapText="1"/>
      <protection hidden="1"/>
    </xf>
    <xf numFmtId="0" fontId="5" fillId="6" borderId="136" xfId="0" applyFont="1" applyFill="1" applyBorder="1" applyAlignment="1" applyProtection="1">
      <alignment wrapText="1"/>
      <protection hidden="1"/>
    </xf>
    <xf numFmtId="0" fontId="3" fillId="0" borderId="136" xfId="0" applyFont="1" applyFill="1" applyBorder="1" applyAlignment="1" applyProtection="1">
      <alignment wrapText="1"/>
      <protection hidden="1"/>
    </xf>
    <xf numFmtId="0" fontId="5" fillId="6" borderId="136" xfId="0" applyFont="1" applyFill="1" applyBorder="1" applyAlignment="1" applyProtection="1">
      <alignment vertical="center" wrapText="1"/>
      <protection hidden="1"/>
    </xf>
    <xf numFmtId="0" fontId="5" fillId="17" borderId="136" xfId="0" applyFont="1" applyFill="1" applyBorder="1" applyAlignment="1" applyProtection="1">
      <alignment vertical="center" wrapText="1"/>
      <protection hidden="1"/>
    </xf>
    <xf numFmtId="0" fontId="3" fillId="0" borderId="136" xfId="0" applyFont="1" applyBorder="1" applyProtection="1">
      <protection hidden="1"/>
    </xf>
    <xf numFmtId="0" fontId="6" fillId="0" borderId="136" xfId="0" applyFont="1" applyFill="1" applyBorder="1" applyAlignment="1" applyProtection="1">
      <alignment wrapText="1"/>
      <protection hidden="1"/>
    </xf>
    <xf numFmtId="0" fontId="71" fillId="17" borderId="136" xfId="0" applyFont="1" applyFill="1" applyBorder="1" applyAlignment="1" applyProtection="1">
      <alignment wrapText="1"/>
      <protection hidden="1"/>
    </xf>
    <xf numFmtId="0" fontId="5" fillId="0" borderId="136" xfId="0" applyFont="1" applyBorder="1" applyAlignment="1" applyProtection="1">
      <alignment wrapText="1"/>
      <protection hidden="1"/>
    </xf>
    <xf numFmtId="0" fontId="23" fillId="0" borderId="136" xfId="1" applyFont="1" applyBorder="1" applyAlignment="1" applyProtection="1">
      <alignment horizontal="left"/>
      <protection hidden="1"/>
    </xf>
    <xf numFmtId="0" fontId="65" fillId="9" borderId="136" xfId="0" applyFont="1" applyFill="1" applyBorder="1" applyProtection="1">
      <protection hidden="1"/>
    </xf>
    <xf numFmtId="0" fontId="5" fillId="9" borderId="136" xfId="0" applyFont="1" applyFill="1" applyBorder="1" applyAlignment="1" applyProtection="1">
      <alignment wrapText="1"/>
      <protection hidden="1"/>
    </xf>
    <xf numFmtId="0" fontId="5" fillId="9" borderId="136" xfId="0" applyFont="1" applyFill="1" applyBorder="1" applyProtection="1">
      <protection hidden="1"/>
    </xf>
    <xf numFmtId="168" fontId="5" fillId="0" borderId="136" xfId="0" applyNumberFormat="1" applyFont="1" applyBorder="1" applyProtection="1">
      <protection locked="0"/>
    </xf>
    <xf numFmtId="3" fontId="1" fillId="0" borderId="136" xfId="0" applyNumberFormat="1" applyFont="1" applyBorder="1" applyProtection="1">
      <protection hidden="1"/>
    </xf>
    <xf numFmtId="3" fontId="72" fillId="24" borderId="158" xfId="0" applyNumberFormat="1" applyFont="1" applyFill="1" applyBorder="1" applyProtection="1">
      <protection hidden="1"/>
    </xf>
    <xf numFmtId="0" fontId="22" fillId="0" borderId="0" xfId="0" applyFont="1" applyAlignment="1" applyProtection="1">
      <alignment wrapText="1"/>
      <protection hidden="1"/>
    </xf>
    <xf numFmtId="0" fontId="68" fillId="0" borderId="0" xfId="0" applyFont="1" applyProtection="1">
      <protection hidden="1"/>
    </xf>
    <xf numFmtId="0" fontId="68" fillId="0" borderId="0" xfId="0" applyFont="1" applyBorder="1" applyProtection="1">
      <protection hidden="1"/>
    </xf>
    <xf numFmtId="0" fontId="73" fillId="0" borderId="0" xfId="0" applyFont="1" applyFill="1" applyBorder="1" applyAlignment="1" applyProtection="1">
      <alignment horizontal="center" vertical="center" wrapText="1"/>
      <protection hidden="1"/>
    </xf>
    <xf numFmtId="0" fontId="7" fillId="0" borderId="136" xfId="0" applyFont="1" applyFill="1" applyBorder="1" applyAlignment="1" applyProtection="1">
      <alignment wrapText="1"/>
      <protection hidden="1"/>
    </xf>
    <xf numFmtId="3" fontId="1" fillId="16" borderId="25" xfId="0" applyNumberFormat="1" applyFont="1" applyFill="1" applyBorder="1" applyAlignment="1" applyProtection="1">
      <alignment vertical="center" wrapText="1"/>
      <protection hidden="1"/>
    </xf>
    <xf numFmtId="3" fontId="1" fillId="16" borderId="91" xfId="0" applyNumberFormat="1" applyFont="1" applyFill="1" applyBorder="1" applyAlignment="1" applyProtection="1">
      <alignment vertical="center" wrapText="1"/>
      <protection hidden="1"/>
    </xf>
    <xf numFmtId="3" fontId="30" fillId="16" borderId="21" xfId="0" applyNumberFormat="1" applyFont="1" applyFill="1" applyBorder="1" applyAlignment="1" applyProtection="1">
      <alignment vertical="center" wrapText="1"/>
      <protection hidden="1"/>
    </xf>
    <xf numFmtId="3" fontId="30" fillId="16" borderId="88" xfId="0" applyNumberFormat="1" applyFont="1" applyFill="1" applyBorder="1" applyAlignment="1" applyProtection="1">
      <alignment vertical="center" wrapText="1"/>
      <protection hidden="1"/>
    </xf>
    <xf numFmtId="3" fontId="28" fillId="16" borderId="88" xfId="0" applyNumberFormat="1" applyFont="1" applyFill="1" applyBorder="1" applyAlignment="1" applyProtection="1">
      <alignment vertical="center" wrapText="1"/>
      <protection hidden="1"/>
    </xf>
    <xf numFmtId="3" fontId="1" fillId="16" borderId="88" xfId="0" applyNumberFormat="1" applyFont="1" applyFill="1" applyBorder="1" applyAlignment="1" applyProtection="1">
      <alignment vertical="center" wrapText="1"/>
      <protection hidden="1"/>
    </xf>
    <xf numFmtId="3" fontId="19" fillId="16" borderId="21" xfId="0" applyNumberFormat="1" applyFont="1" applyFill="1" applyBorder="1" applyAlignment="1" applyProtection="1">
      <alignment vertical="center" wrapText="1"/>
      <protection hidden="1"/>
    </xf>
    <xf numFmtId="3" fontId="19" fillId="16" borderId="88" xfId="0" applyNumberFormat="1" applyFont="1" applyFill="1" applyBorder="1" applyAlignment="1" applyProtection="1">
      <alignment vertical="center" wrapText="1"/>
      <protection hidden="1"/>
    </xf>
    <xf numFmtId="3" fontId="1" fillId="16" borderId="25" xfId="0" applyNumberFormat="1" applyFont="1" applyFill="1" applyBorder="1" applyAlignment="1" applyProtection="1">
      <alignment vertical="center" wrapText="1"/>
      <protection locked="0"/>
    </xf>
    <xf numFmtId="3" fontId="1" fillId="16" borderId="91" xfId="0" applyNumberFormat="1" applyFont="1" applyFill="1" applyBorder="1" applyAlignment="1" applyProtection="1">
      <alignment vertical="center" wrapText="1"/>
      <protection locked="0"/>
    </xf>
    <xf numFmtId="3" fontId="28" fillId="16" borderId="94" xfId="0" applyNumberFormat="1" applyFont="1" applyFill="1" applyBorder="1" applyAlignment="1" applyProtection="1">
      <alignment vertical="center" wrapText="1"/>
      <protection hidden="1"/>
    </xf>
    <xf numFmtId="3" fontId="28" fillId="16" borderId="95" xfId="0" applyNumberFormat="1" applyFont="1" applyFill="1" applyBorder="1" applyAlignment="1" applyProtection="1">
      <alignment vertical="center" wrapText="1"/>
      <protection hidden="1"/>
    </xf>
    <xf numFmtId="3" fontId="28" fillId="16" borderId="96" xfId="0" applyNumberFormat="1" applyFont="1" applyFill="1" applyBorder="1" applyAlignment="1" applyProtection="1">
      <alignment vertical="center" wrapText="1"/>
      <protection hidden="1"/>
    </xf>
    <xf numFmtId="3" fontId="28" fillId="16" borderId="97" xfId="0" applyNumberFormat="1" applyFont="1" applyFill="1" applyBorder="1" applyAlignment="1" applyProtection="1">
      <alignment vertical="center" wrapText="1"/>
      <protection hidden="1"/>
    </xf>
    <xf numFmtId="3" fontId="28" fillId="16" borderId="93" xfId="0" applyNumberFormat="1" applyFont="1" applyFill="1" applyBorder="1" applyAlignment="1" applyProtection="1">
      <alignment vertical="center" wrapText="1"/>
      <protection hidden="1"/>
    </xf>
    <xf numFmtId="3" fontId="28" fillId="16" borderId="118" xfId="0" applyNumberFormat="1" applyFont="1" applyFill="1" applyBorder="1" applyAlignment="1" applyProtection="1">
      <alignment vertical="center" wrapText="1"/>
      <protection hidden="1"/>
    </xf>
    <xf numFmtId="3" fontId="28" fillId="16" borderId="100" xfId="0" applyNumberFormat="1" applyFont="1" applyFill="1" applyBorder="1" applyAlignment="1" applyProtection="1">
      <alignment horizontal="center" vertical="center" wrapText="1"/>
      <protection hidden="1"/>
    </xf>
    <xf numFmtId="3" fontId="28" fillId="16" borderId="101" xfId="0" applyNumberFormat="1" applyFont="1" applyFill="1" applyBorder="1" applyAlignment="1" applyProtection="1">
      <alignment vertical="center" wrapText="1"/>
      <protection hidden="1"/>
    </xf>
    <xf numFmtId="3" fontId="30" fillId="16" borderId="100" xfId="0" applyNumberFormat="1" applyFont="1" applyFill="1" applyBorder="1" applyAlignment="1" applyProtection="1">
      <alignment vertical="center" wrapText="1"/>
      <protection hidden="1"/>
    </xf>
    <xf numFmtId="3" fontId="28" fillId="16" borderId="100" xfId="0" applyNumberFormat="1" applyFont="1" applyFill="1" applyBorder="1" applyAlignment="1" applyProtection="1">
      <alignment vertical="center" wrapText="1"/>
      <protection hidden="1"/>
    </xf>
    <xf numFmtId="3" fontId="30" fillId="16" borderId="27" xfId="0" applyNumberFormat="1" applyFont="1" applyFill="1" applyBorder="1" applyAlignment="1" applyProtection="1">
      <alignment vertical="center" wrapText="1"/>
      <protection hidden="1"/>
    </xf>
    <xf numFmtId="3" fontId="25" fillId="16" borderId="88" xfId="0" applyNumberFormat="1" applyFont="1" applyFill="1" applyBorder="1" applyAlignment="1" applyProtection="1">
      <alignment vertical="center" wrapText="1"/>
      <protection hidden="1"/>
    </xf>
    <xf numFmtId="3" fontId="28" fillId="16" borderId="108" xfId="0" applyNumberFormat="1" applyFont="1" applyFill="1" applyBorder="1" applyAlignment="1" applyProtection="1">
      <alignment vertical="center" wrapText="1"/>
      <protection hidden="1"/>
    </xf>
    <xf numFmtId="3" fontId="28" fillId="16" borderId="109" xfId="0" applyNumberFormat="1" applyFont="1" applyFill="1" applyBorder="1" applyAlignment="1" applyProtection="1">
      <alignment vertical="center" wrapText="1"/>
      <protection hidden="1"/>
    </xf>
    <xf numFmtId="3" fontId="28" fillId="16" borderId="129" xfId="0" applyNumberFormat="1" applyFont="1" applyFill="1" applyBorder="1" applyAlignment="1" applyProtection="1">
      <alignment vertical="center" wrapText="1"/>
      <protection hidden="1"/>
    </xf>
    <xf numFmtId="3" fontId="28" fillId="16" borderId="100" xfId="0" applyNumberFormat="1" applyFont="1" applyFill="1" applyBorder="1" applyAlignment="1" applyProtection="1">
      <alignment horizontal="right" vertical="center" wrapText="1"/>
      <protection hidden="1"/>
    </xf>
    <xf numFmtId="3" fontId="1" fillId="16" borderId="91" xfId="0" applyNumberFormat="1" applyFont="1" applyFill="1" applyBorder="1" applyAlignment="1" applyProtection="1">
      <alignment horizontal="right" vertical="center" wrapText="1"/>
      <protection hidden="1"/>
    </xf>
    <xf numFmtId="3" fontId="28" fillId="16" borderId="94" xfId="0" applyNumberFormat="1" applyFont="1" applyFill="1" applyBorder="1" applyAlignment="1" applyProtection="1">
      <alignment vertical="center" wrapText="1"/>
    </xf>
    <xf numFmtId="3" fontId="28" fillId="16" borderId="96" xfId="0" applyNumberFormat="1" applyFont="1" applyFill="1" applyBorder="1" applyAlignment="1" applyProtection="1">
      <alignment vertical="center" wrapText="1"/>
    </xf>
    <xf numFmtId="3" fontId="1" fillId="16" borderId="100" xfId="0" applyNumberFormat="1" applyFont="1" applyFill="1" applyBorder="1" applyProtection="1">
      <protection hidden="1"/>
    </xf>
    <xf numFmtId="3" fontId="30" fillId="16" borderId="106" xfId="0" applyNumberFormat="1" applyFont="1" applyFill="1" applyBorder="1" applyAlignment="1" applyProtection="1">
      <alignment vertical="center" wrapText="1"/>
      <protection hidden="1"/>
    </xf>
    <xf numFmtId="3" fontId="30" fillId="16" borderId="89" xfId="0" applyNumberFormat="1" applyFont="1" applyFill="1" applyBorder="1" applyAlignment="1" applyProtection="1">
      <alignment vertical="center" wrapText="1"/>
      <protection hidden="1"/>
    </xf>
    <xf numFmtId="0" fontId="1" fillId="16" borderId="100" xfId="0" applyFont="1" applyFill="1" applyBorder="1" applyProtection="1">
      <protection hidden="1"/>
    </xf>
    <xf numFmtId="0" fontId="0" fillId="11" borderId="4" xfId="0" applyFill="1" applyBorder="1" applyAlignment="1" applyProtection="1">
      <alignment vertical="center" wrapText="1"/>
      <protection hidden="1"/>
    </xf>
    <xf numFmtId="0" fontId="1" fillId="11" borderId="175" xfId="0" applyFont="1" applyFill="1" applyBorder="1" applyAlignment="1" applyProtection="1">
      <alignment vertical="center" wrapText="1"/>
      <protection hidden="1"/>
    </xf>
    <xf numFmtId="0" fontId="1" fillId="2" borderId="6" xfId="0" applyFont="1" applyFill="1" applyBorder="1" applyAlignment="1" applyProtection="1">
      <alignment vertical="center" wrapText="1"/>
      <protection hidden="1"/>
    </xf>
    <xf numFmtId="3" fontId="1" fillId="2" borderId="3" xfId="0" applyNumberFormat="1" applyFont="1" applyFill="1" applyBorder="1" applyAlignment="1" applyProtection="1">
      <alignment vertical="center" wrapText="1"/>
      <protection hidden="1"/>
    </xf>
    <xf numFmtId="3" fontId="19" fillId="2" borderId="1" xfId="0" applyNumberFormat="1" applyFont="1" applyFill="1" applyBorder="1" applyAlignment="1" applyProtection="1">
      <alignment vertical="center" wrapText="1"/>
      <protection hidden="1"/>
    </xf>
    <xf numFmtId="3" fontId="20" fillId="2" borderId="1" xfId="0" applyNumberFormat="1" applyFont="1" applyFill="1" applyBorder="1" applyAlignment="1" applyProtection="1">
      <alignment vertical="center" wrapText="1"/>
      <protection hidden="1"/>
    </xf>
    <xf numFmtId="0" fontId="1" fillId="2" borderId="1" xfId="0" applyFont="1" applyFill="1" applyBorder="1" applyAlignment="1" applyProtection="1">
      <alignment vertical="center" wrapText="1"/>
      <protection hidden="1"/>
    </xf>
    <xf numFmtId="3" fontId="1" fillId="2" borderId="1" xfId="0" applyNumberFormat="1" applyFont="1" applyFill="1" applyBorder="1" applyAlignment="1" applyProtection="1">
      <alignment vertical="center" wrapText="1"/>
      <protection hidden="1"/>
    </xf>
    <xf numFmtId="3" fontId="19" fillId="2" borderId="3" xfId="0" applyNumberFormat="1" applyFont="1" applyFill="1" applyBorder="1" applyAlignment="1" applyProtection="1">
      <alignment vertical="center" wrapText="1"/>
      <protection hidden="1"/>
    </xf>
    <xf numFmtId="0" fontId="1" fillId="28" borderId="1" xfId="0" applyFont="1" applyFill="1" applyBorder="1" applyAlignment="1" applyProtection="1">
      <alignment vertical="center" wrapText="1"/>
      <protection hidden="1"/>
    </xf>
    <xf numFmtId="3" fontId="1" fillId="28" borderId="1" xfId="0" applyNumberFormat="1" applyFont="1" applyFill="1" applyBorder="1" applyAlignment="1" applyProtection="1">
      <alignment vertical="center" wrapText="1"/>
      <protection hidden="1"/>
    </xf>
    <xf numFmtId="0" fontId="1" fillId="11" borderId="3" xfId="0" applyFont="1" applyFill="1" applyBorder="1" applyAlignment="1" applyProtection="1">
      <alignment vertical="center" wrapText="1"/>
      <protection locked="0" hidden="1"/>
    </xf>
    <xf numFmtId="0" fontId="5" fillId="2" borderId="6" xfId="0" applyFont="1" applyFill="1" applyBorder="1" applyAlignment="1" applyProtection="1">
      <alignment horizontal="center" vertical="center" wrapText="1"/>
      <protection locked="0" hidden="1"/>
    </xf>
    <xf numFmtId="3" fontId="19" fillId="0" borderId="1" xfId="0" applyNumberFormat="1" applyFont="1" applyFill="1" applyBorder="1" applyAlignment="1" applyProtection="1">
      <alignment horizontal="right" vertical="center" wrapText="1"/>
      <protection locked="0"/>
    </xf>
    <xf numFmtId="3" fontId="19" fillId="2" borderId="1" xfId="0" applyNumberFormat="1" applyFont="1" applyFill="1" applyBorder="1" applyAlignment="1" applyProtection="1">
      <alignment horizontal="right" vertical="center" wrapText="1"/>
      <protection hidden="1"/>
    </xf>
    <xf numFmtId="0" fontId="1" fillId="11" borderId="1" xfId="0" applyFont="1" applyFill="1" applyBorder="1" applyAlignment="1" applyProtection="1">
      <alignment vertical="center" wrapText="1"/>
      <protection locked="0" hidden="1"/>
    </xf>
    <xf numFmtId="0" fontId="1" fillId="2" borderId="1" xfId="0" applyFont="1" applyFill="1" applyBorder="1" applyAlignment="1" applyProtection="1">
      <alignment vertical="center" wrapText="1"/>
      <protection locked="0" hidden="1"/>
    </xf>
    <xf numFmtId="0" fontId="1" fillId="15" borderId="5" xfId="0" applyFont="1" applyFill="1" applyBorder="1" applyAlignment="1" applyProtection="1">
      <alignment vertical="center" wrapText="1"/>
      <protection hidden="1"/>
    </xf>
    <xf numFmtId="0" fontId="1" fillId="29" borderId="1" xfId="0" applyFont="1" applyFill="1" applyBorder="1" applyAlignment="1" applyProtection="1">
      <alignment vertical="center" wrapText="1"/>
      <protection hidden="1"/>
    </xf>
    <xf numFmtId="0" fontId="35" fillId="0" borderId="0" xfId="0" applyFont="1" applyFill="1" applyBorder="1" applyAlignment="1" applyProtection="1">
      <alignment vertical="center" wrapText="1"/>
      <protection hidden="1"/>
    </xf>
    <xf numFmtId="0" fontId="19" fillId="11" borderId="175" xfId="0" applyFont="1" applyFill="1" applyBorder="1" applyAlignment="1" applyProtection="1">
      <alignment vertical="center" wrapText="1"/>
      <protection hidden="1"/>
    </xf>
    <xf numFmtId="0" fontId="19" fillId="0" borderId="4" xfId="0" applyFont="1" applyBorder="1" applyAlignment="1" applyProtection="1">
      <alignment vertical="center" wrapText="1"/>
      <protection hidden="1"/>
    </xf>
    <xf numFmtId="3" fontId="19" fillId="0" borderId="1" xfId="0" applyNumberFormat="1" applyFont="1" applyBorder="1" applyAlignment="1" applyProtection="1">
      <alignment vertical="center" wrapText="1"/>
      <protection locked="0"/>
    </xf>
    <xf numFmtId="0" fontId="0" fillId="11" borderId="133" xfId="0" applyFill="1" applyBorder="1" applyAlignment="1" applyProtection="1">
      <alignment vertical="center" wrapText="1"/>
      <protection hidden="1"/>
    </xf>
    <xf numFmtId="0" fontId="0" fillId="0" borderId="4" xfId="0" applyBorder="1" applyAlignment="1" applyProtection="1">
      <alignment vertical="center" wrapText="1"/>
      <protection hidden="1"/>
    </xf>
    <xf numFmtId="3" fontId="0" fillId="0" borderId="1" xfId="0" applyNumberFormat="1" applyFill="1" applyBorder="1" applyAlignment="1" applyProtection="1">
      <alignment vertical="center" wrapText="1"/>
      <protection locked="0"/>
    </xf>
    <xf numFmtId="3" fontId="20" fillId="0" borderId="1" xfId="0" applyNumberFormat="1" applyFont="1" applyFill="1" applyBorder="1" applyAlignment="1" applyProtection="1">
      <alignment vertical="center" wrapText="1"/>
      <protection locked="0"/>
    </xf>
    <xf numFmtId="0" fontId="0" fillId="15" borderId="32" xfId="0" applyFill="1" applyBorder="1" applyAlignment="1" applyProtection="1">
      <alignment vertical="center" wrapText="1"/>
      <protection hidden="1"/>
    </xf>
    <xf numFmtId="3" fontId="0" fillId="0" borderId="1" xfId="0" applyNumberFormat="1" applyBorder="1" applyAlignment="1" applyProtection="1">
      <alignment vertical="center" wrapText="1"/>
      <protection locked="0"/>
    </xf>
    <xf numFmtId="0" fontId="0" fillId="15" borderId="0" xfId="0" applyFill="1" applyAlignment="1" applyProtection="1">
      <alignment vertical="center" wrapText="1"/>
      <protection hidden="1"/>
    </xf>
    <xf numFmtId="0" fontId="0" fillId="15" borderId="1" xfId="0" applyFill="1" applyBorder="1" applyAlignment="1" applyProtection="1">
      <alignment vertical="center" wrapText="1"/>
      <protection hidden="1"/>
    </xf>
    <xf numFmtId="0" fontId="0" fillId="15" borderId="174" xfId="0" applyFill="1" applyBorder="1" applyAlignment="1" applyProtection="1">
      <alignment vertical="center" wrapText="1"/>
      <protection hidden="1"/>
    </xf>
    <xf numFmtId="0" fontId="1" fillId="0" borderId="1" xfId="0" applyFont="1" applyBorder="1" applyAlignment="1" applyProtection="1">
      <alignment vertical="center" wrapText="1"/>
      <protection hidden="1"/>
    </xf>
    <xf numFmtId="3" fontId="19" fillId="0" borderId="1" xfId="0" applyNumberFormat="1" applyFont="1" applyFill="1" applyBorder="1" applyAlignment="1" applyProtection="1">
      <alignment vertical="center" wrapText="1"/>
      <protection locked="0"/>
    </xf>
    <xf numFmtId="0" fontId="0" fillId="0" borderId="1" xfId="0" applyBorder="1" applyAlignment="1" applyProtection="1">
      <alignment vertical="center" wrapText="1"/>
      <protection hidden="1"/>
    </xf>
    <xf numFmtId="3" fontId="20" fillId="0" borderId="1" xfId="0" applyNumberFormat="1" applyFont="1" applyBorder="1" applyAlignment="1" applyProtection="1">
      <alignment vertical="center" wrapText="1"/>
      <protection locked="0"/>
    </xf>
    <xf numFmtId="0" fontId="0" fillId="15" borderId="169" xfId="0" applyFill="1" applyBorder="1" applyAlignment="1" applyProtection="1">
      <alignment vertical="center" wrapText="1"/>
      <protection hidden="1"/>
    </xf>
    <xf numFmtId="0" fontId="1" fillId="15" borderId="169" xfId="0" applyFont="1" applyFill="1" applyBorder="1" applyAlignment="1" applyProtection="1">
      <alignment vertical="center" wrapText="1"/>
      <protection hidden="1"/>
    </xf>
    <xf numFmtId="0" fontId="0" fillId="15" borderId="7" xfId="0" applyFill="1" applyBorder="1" applyAlignment="1" applyProtection="1">
      <alignment vertical="center" wrapText="1"/>
      <protection hidden="1"/>
    </xf>
    <xf numFmtId="0" fontId="1" fillId="15" borderId="172" xfId="0" applyFont="1" applyFill="1" applyBorder="1" applyAlignment="1" applyProtection="1">
      <alignment vertical="center" wrapText="1"/>
      <protection hidden="1"/>
    </xf>
    <xf numFmtId="3" fontId="19" fillId="2" borderId="5" xfId="0" applyNumberFormat="1" applyFont="1" applyFill="1" applyBorder="1" applyAlignment="1" applyProtection="1">
      <alignment vertical="center" wrapText="1"/>
      <protection hidden="1"/>
    </xf>
    <xf numFmtId="0" fontId="1" fillId="15" borderId="7" xfId="0" applyFont="1" applyFill="1" applyBorder="1" applyAlignment="1" applyProtection="1">
      <alignment vertical="center" wrapText="1"/>
      <protection hidden="1"/>
    </xf>
    <xf numFmtId="0" fontId="0" fillId="15" borderId="171" xfId="0" applyFill="1" applyBorder="1" applyAlignment="1" applyProtection="1">
      <alignment vertical="center" wrapText="1"/>
      <protection hidden="1"/>
    </xf>
    <xf numFmtId="0" fontId="1" fillId="0" borderId="0" xfId="0" applyFont="1" applyBorder="1" applyAlignment="1" applyProtection="1">
      <alignment vertical="center" wrapText="1"/>
      <protection hidden="1"/>
    </xf>
    <xf numFmtId="0" fontId="0" fillId="15" borderId="172" xfId="0" applyFill="1" applyBorder="1" applyAlignment="1" applyProtection="1">
      <alignment vertical="center" wrapText="1"/>
      <protection hidden="1"/>
    </xf>
    <xf numFmtId="0" fontId="0" fillId="29" borderId="1" xfId="0" applyFill="1" applyBorder="1" applyAlignment="1" applyProtection="1">
      <alignment vertical="center" wrapText="1"/>
      <protection hidden="1"/>
    </xf>
    <xf numFmtId="0" fontId="0" fillId="11" borderId="5" xfId="0" applyFill="1" applyBorder="1" applyAlignment="1" applyProtection="1">
      <alignment vertical="center" wrapText="1"/>
      <protection hidden="1"/>
    </xf>
    <xf numFmtId="0" fontId="0" fillId="0" borderId="8" xfId="0" applyBorder="1" applyAlignment="1" applyProtection="1">
      <alignment vertical="center" wrapText="1"/>
      <protection hidden="1"/>
    </xf>
    <xf numFmtId="0" fontId="1" fillId="29" borderId="3" xfId="0" applyFont="1" applyFill="1" applyBorder="1" applyAlignment="1" applyProtection="1">
      <alignment vertical="center" wrapText="1"/>
      <protection hidden="1"/>
    </xf>
    <xf numFmtId="3" fontId="19" fillId="0" borderId="3" xfId="0" applyNumberFormat="1" applyFont="1" applyBorder="1" applyAlignment="1" applyProtection="1">
      <alignment vertical="center" wrapText="1"/>
      <protection locked="0"/>
    </xf>
    <xf numFmtId="0" fontId="18" fillId="29" borderId="1" xfId="0" applyFont="1" applyFill="1" applyBorder="1" applyAlignment="1" applyProtection="1">
      <alignment vertical="center" wrapText="1"/>
      <protection hidden="1"/>
    </xf>
    <xf numFmtId="0" fontId="0" fillId="15" borderId="8" xfId="0" applyFill="1" applyBorder="1" applyAlignment="1" applyProtection="1">
      <alignment vertical="center" wrapText="1"/>
      <protection hidden="1"/>
    </xf>
    <xf numFmtId="3" fontId="19" fillId="2" borderId="1" xfId="0" applyNumberFormat="1" applyFont="1" applyFill="1" applyBorder="1" applyAlignment="1" applyProtection="1">
      <alignment vertical="center" wrapText="1"/>
      <protection locked="0" hidden="1"/>
    </xf>
    <xf numFmtId="0" fontId="0" fillId="11" borderId="0" xfId="0" applyFont="1" applyFill="1" applyAlignment="1" applyProtection="1">
      <alignment vertical="center" wrapText="1"/>
      <protection hidden="1"/>
    </xf>
    <xf numFmtId="3" fontId="20" fillId="0" borderId="1" xfId="0" applyNumberFormat="1" applyFont="1" applyBorder="1" applyAlignment="1" applyProtection="1">
      <alignment horizontal="center" vertical="center" wrapText="1"/>
      <protection locked="0"/>
    </xf>
    <xf numFmtId="0" fontId="0" fillId="15" borderId="5" xfId="0" applyFill="1" applyBorder="1" applyAlignment="1" applyProtection="1">
      <alignment vertical="center" wrapText="1"/>
      <protection hidden="1"/>
    </xf>
    <xf numFmtId="0" fontId="1" fillId="11" borderId="4" xfId="0" applyFont="1" applyFill="1" applyBorder="1" applyAlignment="1" applyProtection="1">
      <alignment vertical="center" wrapText="1"/>
      <protection hidden="1"/>
    </xf>
    <xf numFmtId="0" fontId="1" fillId="11" borderId="1" xfId="0" applyFont="1" applyFill="1" applyBorder="1" applyAlignment="1" applyProtection="1">
      <alignment horizontal="left" vertical="center" wrapText="1"/>
      <protection hidden="1"/>
    </xf>
    <xf numFmtId="0" fontId="0" fillId="0" borderId="1" xfId="0" applyFont="1" applyBorder="1" applyAlignment="1" applyProtection="1">
      <alignment vertical="center" wrapText="1"/>
      <protection hidden="1"/>
    </xf>
    <xf numFmtId="0" fontId="18" fillId="0" borderId="1" xfId="0" applyFont="1" applyBorder="1" applyAlignment="1" applyProtection="1">
      <alignment vertical="center" wrapText="1"/>
      <protection hidden="1"/>
    </xf>
    <xf numFmtId="3" fontId="21" fillId="0" borderId="1" xfId="0" applyNumberFormat="1" applyFont="1" applyBorder="1" applyAlignment="1" applyProtection="1">
      <alignment vertical="center" wrapText="1"/>
      <protection locked="0"/>
    </xf>
    <xf numFmtId="0" fontId="35" fillId="0" borderId="172" xfId="0" applyFont="1" applyFill="1" applyBorder="1" applyAlignment="1" applyProtection="1">
      <alignment vertical="center" wrapText="1"/>
      <protection hidden="1"/>
    </xf>
    <xf numFmtId="0" fontId="19" fillId="11" borderId="1" xfId="0" applyFont="1" applyFill="1" applyBorder="1" applyAlignment="1" applyProtection="1">
      <alignment vertical="center" wrapText="1"/>
      <protection locked="0" hidden="1"/>
    </xf>
    <xf numFmtId="0" fontId="20" fillId="11" borderId="1" xfId="0" applyFont="1" applyFill="1" applyBorder="1" applyAlignment="1" applyProtection="1">
      <alignment vertical="center" wrapText="1"/>
      <protection locked="0" hidden="1"/>
    </xf>
    <xf numFmtId="0" fontId="20" fillId="15" borderId="1" xfId="0" applyFont="1" applyFill="1" applyBorder="1" applyAlignment="1" applyProtection="1">
      <alignment vertical="center" wrapText="1"/>
      <protection locked="0" hidden="1"/>
    </xf>
    <xf numFmtId="0" fontId="21" fillId="0" borderId="1" xfId="0" applyFont="1" applyBorder="1" applyAlignment="1" applyProtection="1">
      <alignment vertical="center" wrapText="1"/>
      <protection locked="0"/>
    </xf>
    <xf numFmtId="0" fontId="0" fillId="15" borderId="1" xfId="0" applyFill="1" applyBorder="1" applyAlignment="1" applyProtection="1">
      <alignment vertical="center" wrapText="1"/>
      <protection locked="0" hidden="1"/>
    </xf>
    <xf numFmtId="0" fontId="0" fillId="11" borderId="1" xfId="0" applyFill="1" applyBorder="1" applyAlignment="1" applyProtection="1">
      <alignment vertical="center" wrapText="1"/>
      <protection locked="0" hidden="1"/>
    </xf>
    <xf numFmtId="0" fontId="20" fillId="0" borderId="1" xfId="0" applyFont="1" applyBorder="1" applyAlignment="1" applyProtection="1">
      <alignment vertical="center" wrapText="1"/>
      <protection locked="0" hidden="1"/>
    </xf>
    <xf numFmtId="0" fontId="1" fillId="15" borderId="172" xfId="0" applyFont="1" applyFill="1" applyBorder="1" applyAlignment="1" applyProtection="1">
      <alignment vertical="center" wrapText="1"/>
      <protection locked="0" hidden="1"/>
    </xf>
    <xf numFmtId="0" fontId="1" fillId="15" borderId="0" xfId="0" applyFont="1" applyFill="1" applyBorder="1" applyAlignment="1" applyProtection="1">
      <alignment vertical="center" wrapText="1"/>
      <protection locked="0" hidden="1"/>
    </xf>
    <xf numFmtId="0" fontId="1" fillId="15" borderId="173" xfId="0" applyFont="1" applyFill="1" applyBorder="1" applyAlignment="1" applyProtection="1">
      <alignment vertical="center" wrapText="1"/>
      <protection locked="0" hidden="1"/>
    </xf>
    <xf numFmtId="0" fontId="0" fillId="11" borderId="1" xfId="0" applyFont="1" applyFill="1" applyBorder="1" applyAlignment="1" applyProtection="1">
      <alignment vertical="center" wrapText="1"/>
      <protection locked="0" hidden="1"/>
    </xf>
    <xf numFmtId="0" fontId="1" fillId="15" borderId="1" xfId="0" applyFont="1" applyFill="1" applyBorder="1" applyAlignment="1" applyProtection="1">
      <alignment vertical="center" wrapText="1"/>
      <protection locked="0" hidden="1"/>
    </xf>
    <xf numFmtId="0" fontId="1" fillId="15" borderId="7" xfId="0" applyFont="1" applyFill="1" applyBorder="1" applyAlignment="1" applyProtection="1">
      <alignment vertical="center" wrapText="1"/>
      <protection locked="0" hidden="1"/>
    </xf>
    <xf numFmtId="0" fontId="1" fillId="15" borderId="174" xfId="0" applyFont="1" applyFill="1" applyBorder="1" applyAlignment="1" applyProtection="1">
      <alignment vertical="center" wrapText="1"/>
      <protection locked="0" hidden="1"/>
    </xf>
    <xf numFmtId="0" fontId="1" fillId="15" borderId="6" xfId="0" applyFont="1" applyFill="1" applyBorder="1" applyAlignment="1" applyProtection="1">
      <alignment vertical="center" wrapText="1"/>
      <protection locked="0" hidden="1"/>
    </xf>
    <xf numFmtId="0" fontId="0" fillId="15" borderId="172" xfId="0" applyFill="1" applyBorder="1" applyAlignment="1" applyProtection="1">
      <alignment vertical="center" wrapText="1"/>
      <protection locked="0" hidden="1"/>
    </xf>
    <xf numFmtId="0" fontId="0" fillId="15" borderId="0" xfId="0" applyFill="1" applyBorder="1" applyAlignment="1" applyProtection="1">
      <alignment vertical="center" wrapText="1"/>
      <protection locked="0" hidden="1"/>
    </xf>
    <xf numFmtId="0" fontId="0" fillId="15" borderId="173" xfId="0" applyFill="1" applyBorder="1" applyAlignment="1" applyProtection="1">
      <alignment vertical="center" wrapText="1"/>
      <protection locked="0" hidden="1"/>
    </xf>
    <xf numFmtId="0" fontId="19" fillId="0" borderId="1" xfId="0" applyFont="1" applyBorder="1" applyAlignment="1" applyProtection="1">
      <alignment vertical="center" wrapText="1"/>
      <protection locked="0" hidden="1"/>
    </xf>
    <xf numFmtId="0" fontId="0" fillId="15" borderId="174" xfId="0" applyFill="1" applyBorder="1" applyAlignment="1" applyProtection="1">
      <alignment vertical="center" wrapText="1"/>
      <protection locked="0" hidden="1"/>
    </xf>
    <xf numFmtId="0" fontId="0" fillId="15" borderId="6" xfId="0" applyFill="1" applyBorder="1" applyAlignment="1" applyProtection="1">
      <alignment vertical="center" wrapText="1"/>
      <protection locked="0" hidden="1"/>
    </xf>
    <xf numFmtId="0" fontId="5" fillId="8" borderId="176" xfId="0" applyFont="1" applyFill="1" applyBorder="1" applyAlignment="1">
      <alignment horizontal="center" vertical="center" wrapText="1"/>
    </xf>
    <xf numFmtId="0" fontId="1" fillId="11" borderId="3" xfId="0" applyFont="1" applyFill="1" applyBorder="1" applyAlignment="1" applyProtection="1">
      <alignment vertical="center" wrapText="1"/>
    </xf>
    <xf numFmtId="0" fontId="1" fillId="16" borderId="3" xfId="0" applyFont="1" applyFill="1" applyBorder="1" applyAlignment="1" applyProtection="1">
      <alignment vertical="center" wrapText="1"/>
    </xf>
    <xf numFmtId="3" fontId="1" fillId="16" borderId="3" xfId="0" applyNumberFormat="1" applyFont="1" applyFill="1" applyBorder="1" applyAlignment="1" applyProtection="1">
      <alignment vertical="center" wrapText="1"/>
    </xf>
    <xf numFmtId="0" fontId="1" fillId="2" borderId="3" xfId="0" applyFont="1" applyFill="1" applyBorder="1" applyAlignment="1" applyProtection="1">
      <alignment vertical="center" wrapText="1"/>
    </xf>
    <xf numFmtId="3" fontId="1" fillId="2" borderId="3" xfId="0" applyNumberFormat="1" applyFont="1" applyFill="1" applyBorder="1" applyAlignment="1" applyProtection="1">
      <alignment vertical="center" wrapText="1"/>
    </xf>
    <xf numFmtId="0" fontId="65" fillId="11" borderId="1" xfId="0" applyFont="1" applyFill="1" applyBorder="1" applyAlignment="1" applyProtection="1">
      <alignment wrapText="1"/>
    </xf>
    <xf numFmtId="0" fontId="65" fillId="0" borderId="1" xfId="0" applyFont="1" applyFill="1" applyBorder="1" applyAlignment="1" applyProtection="1">
      <alignment wrapText="1"/>
    </xf>
    <xf numFmtId="3" fontId="77" fillId="6" borderId="1" xfId="0" applyNumberFormat="1" applyFont="1" applyFill="1" applyBorder="1" applyAlignment="1" applyProtection="1">
      <alignment wrapText="1"/>
    </xf>
    <xf numFmtId="0" fontId="17" fillId="11" borderId="1" xfId="0" applyFont="1" applyFill="1" applyBorder="1" applyAlignment="1" applyProtection="1">
      <alignment wrapText="1"/>
    </xf>
    <xf numFmtId="0" fontId="17" fillId="0" borderId="1" xfId="0" applyFont="1" applyFill="1" applyBorder="1" applyAlignment="1" applyProtection="1">
      <alignment wrapText="1"/>
    </xf>
    <xf numFmtId="3" fontId="17" fillId="0" borderId="1" xfId="0" applyNumberFormat="1" applyFont="1" applyFill="1" applyBorder="1" applyAlignment="1" applyProtection="1">
      <alignment wrapText="1"/>
      <protection locked="0"/>
    </xf>
    <xf numFmtId="0" fontId="17" fillId="21" borderId="5" xfId="0" applyFont="1" applyFill="1" applyBorder="1" applyAlignment="1" applyProtection="1">
      <alignment wrapText="1"/>
    </xf>
    <xf numFmtId="0" fontId="6" fillId="21" borderId="5" xfId="0" applyFont="1" applyFill="1" applyBorder="1" applyAlignment="1" applyProtection="1">
      <alignment wrapText="1"/>
    </xf>
    <xf numFmtId="3" fontId="65" fillId="0" borderId="1" xfId="0" applyNumberFormat="1" applyFont="1" applyFill="1" applyBorder="1" applyAlignment="1" applyProtection="1">
      <alignment wrapText="1"/>
      <protection locked="0"/>
    </xf>
    <xf numFmtId="0" fontId="77" fillId="11" borderId="1" xfId="0" applyFont="1" applyFill="1" applyBorder="1" applyAlignment="1" applyProtection="1">
      <alignment wrapText="1"/>
    </xf>
    <xf numFmtId="0" fontId="77" fillId="0" borderId="1" xfId="0" applyFont="1" applyFill="1" applyBorder="1" applyAlignment="1" applyProtection="1">
      <alignment wrapText="1"/>
    </xf>
    <xf numFmtId="3" fontId="77" fillId="0" borderId="1" xfId="0" applyNumberFormat="1" applyFont="1" applyFill="1" applyBorder="1" applyAlignment="1" applyProtection="1">
      <alignment wrapText="1"/>
      <protection locked="0"/>
    </xf>
    <xf numFmtId="0" fontId="17" fillId="21" borderId="169" xfId="0" applyFont="1" applyFill="1" applyBorder="1" applyAlignment="1" applyProtection="1">
      <alignment wrapText="1"/>
    </xf>
    <xf numFmtId="0" fontId="65" fillId="21" borderId="169" xfId="0" applyFont="1" applyFill="1" applyBorder="1" applyAlignment="1" applyProtection="1">
      <alignment wrapText="1"/>
    </xf>
    <xf numFmtId="0" fontId="17" fillId="21" borderId="7" xfId="0" applyFont="1" applyFill="1" applyBorder="1" applyAlignment="1" applyProtection="1">
      <alignment wrapText="1"/>
    </xf>
    <xf numFmtId="0" fontId="65" fillId="21" borderId="7" xfId="0" applyFont="1" applyFill="1" applyBorder="1" applyAlignment="1" applyProtection="1">
      <alignment wrapText="1"/>
    </xf>
    <xf numFmtId="0" fontId="6" fillId="11" borderId="1" xfId="0" applyFont="1" applyFill="1" applyBorder="1" applyAlignment="1" applyProtection="1">
      <alignment wrapText="1"/>
    </xf>
    <xf numFmtId="0" fontId="6" fillId="0" borderId="1" xfId="0" applyFont="1" applyFill="1" applyBorder="1" applyAlignment="1" applyProtection="1">
      <alignment wrapText="1"/>
    </xf>
    <xf numFmtId="0" fontId="6" fillId="21" borderId="169" xfId="0" applyFont="1" applyFill="1" applyBorder="1" applyAlignment="1" applyProtection="1">
      <alignment wrapText="1"/>
    </xf>
    <xf numFmtId="0" fontId="6" fillId="21" borderId="7" xfId="0" applyFont="1" applyFill="1" applyBorder="1" applyAlignment="1" applyProtection="1">
      <alignment wrapText="1"/>
    </xf>
    <xf numFmtId="0" fontId="67" fillId="0" borderId="1" xfId="0" applyFont="1" applyFill="1" applyBorder="1" applyAlignment="1" applyProtection="1">
      <alignment wrapText="1"/>
    </xf>
    <xf numFmtId="0" fontId="5" fillId="11" borderId="1" xfId="0" applyFont="1" applyFill="1" applyBorder="1" applyAlignment="1" applyProtection="1">
      <alignment wrapText="1"/>
    </xf>
    <xf numFmtId="0" fontId="65" fillId="0" borderId="1" xfId="0" applyFont="1" applyFill="1" applyBorder="1" applyAlignment="1" applyProtection="1">
      <alignment wrapText="1"/>
      <protection locked="0"/>
    </xf>
    <xf numFmtId="0" fontId="0" fillId="11" borderId="1" xfId="0" applyFont="1" applyFill="1" applyBorder="1" applyAlignment="1" applyProtection="1">
      <alignment wrapText="1"/>
    </xf>
    <xf numFmtId="0" fontId="3" fillId="11" borderId="1" xfId="0" applyFont="1" applyFill="1" applyBorder="1" applyAlignment="1" applyProtection="1">
      <alignment wrapText="1"/>
    </xf>
    <xf numFmtId="0" fontId="0" fillId="21" borderId="169" xfId="0" applyFill="1" applyBorder="1" applyAlignment="1" applyProtection="1">
      <alignment wrapText="1"/>
    </xf>
    <xf numFmtId="0" fontId="0" fillId="21" borderId="7" xfId="0" applyFill="1" applyBorder="1" applyAlignment="1" applyProtection="1">
      <alignment wrapText="1"/>
    </xf>
    <xf numFmtId="0" fontId="0" fillId="11" borderId="1" xfId="0" applyFill="1" applyBorder="1" applyAlignment="1" applyProtection="1">
      <alignment wrapText="1"/>
    </xf>
    <xf numFmtId="0" fontId="1" fillId="11" borderId="1" xfId="0" applyFont="1" applyFill="1" applyBorder="1" applyAlignment="1" applyProtection="1">
      <alignment wrapText="1"/>
    </xf>
    <xf numFmtId="0" fontId="17" fillId="4" borderId="1" xfId="0" applyFont="1" applyFill="1" applyBorder="1" applyAlignment="1" applyProtection="1">
      <alignment wrapText="1"/>
    </xf>
    <xf numFmtId="0" fontId="0" fillId="21" borderId="5" xfId="0" applyFill="1" applyBorder="1" applyAlignment="1" applyProtection="1">
      <alignment wrapText="1"/>
    </xf>
    <xf numFmtId="0" fontId="0" fillId="21" borderId="5" xfId="0" applyFont="1" applyFill="1" applyBorder="1" applyAlignment="1" applyProtection="1">
      <alignment wrapText="1"/>
    </xf>
    <xf numFmtId="0" fontId="77" fillId="21" borderId="5" xfId="0" applyFont="1" applyFill="1" applyBorder="1" applyAlignment="1" applyProtection="1">
      <alignment wrapText="1"/>
    </xf>
    <xf numFmtId="0" fontId="17" fillId="0" borderId="1" xfId="0" applyFont="1" applyFill="1" applyBorder="1" applyAlignment="1" applyProtection="1">
      <alignment vertical="center" wrapText="1"/>
    </xf>
    <xf numFmtId="0" fontId="17" fillId="21" borderId="171" xfId="0" applyFont="1" applyFill="1" applyBorder="1" applyAlignment="1" applyProtection="1">
      <alignment wrapText="1"/>
    </xf>
    <xf numFmtId="0" fontId="17" fillId="6" borderId="171" xfId="0" applyFont="1" applyFill="1" applyBorder="1" applyAlignment="1" applyProtection="1">
      <alignment wrapText="1"/>
    </xf>
    <xf numFmtId="0" fontId="17" fillId="6" borderId="170" xfId="0" applyFont="1" applyFill="1" applyBorder="1" applyAlignment="1" applyProtection="1">
      <alignment wrapText="1"/>
    </xf>
    <xf numFmtId="0" fontId="17" fillId="21" borderId="174" xfId="0" applyFont="1" applyFill="1" applyBorder="1" applyAlignment="1" applyProtection="1">
      <alignment wrapText="1"/>
    </xf>
    <xf numFmtId="0" fontId="17" fillId="6" borderId="174" xfId="0" applyFont="1" applyFill="1" applyBorder="1" applyAlignment="1" applyProtection="1">
      <alignment wrapText="1"/>
    </xf>
    <xf numFmtId="0" fontId="17" fillId="6" borderId="6" xfId="0" applyFont="1" applyFill="1" applyBorder="1" applyAlignment="1" applyProtection="1">
      <alignment wrapText="1"/>
    </xf>
    <xf numFmtId="0" fontId="3" fillId="21" borderId="169" xfId="0" applyFont="1" applyFill="1" applyBorder="1" applyAlignment="1" applyProtection="1">
      <alignment wrapText="1"/>
    </xf>
    <xf numFmtId="0" fontId="3" fillId="21" borderId="7" xfId="0" applyFont="1" applyFill="1" applyBorder="1" applyAlignment="1" applyProtection="1">
      <alignment wrapText="1"/>
    </xf>
    <xf numFmtId="0" fontId="3" fillId="21" borderId="5" xfId="0" applyFont="1" applyFill="1" applyBorder="1" applyAlignment="1" applyProtection="1">
      <alignment wrapText="1"/>
    </xf>
    <xf numFmtId="0" fontId="78" fillId="0" borderId="1" xfId="0" applyFont="1" applyFill="1" applyBorder="1" applyAlignment="1" applyProtection="1">
      <alignment wrapText="1"/>
    </xf>
    <xf numFmtId="0" fontId="1" fillId="0" borderId="1" xfId="0" applyFont="1" applyFill="1" applyBorder="1" applyAlignment="1" applyProtection="1">
      <alignment vertical="center" wrapText="1"/>
      <protection locked="0"/>
    </xf>
    <xf numFmtId="0" fontId="3" fillId="21" borderId="172" xfId="0" applyFont="1" applyFill="1" applyBorder="1" applyAlignment="1" applyProtection="1">
      <alignment wrapText="1"/>
    </xf>
    <xf numFmtId="0" fontId="5" fillId="11" borderId="3" xfId="0" applyFont="1" applyFill="1" applyBorder="1" applyAlignment="1" applyProtection="1">
      <alignment vertical="center" wrapText="1"/>
    </xf>
    <xf numFmtId="0" fontId="5" fillId="2" borderId="3" xfId="0" applyFont="1" applyFill="1" applyBorder="1" applyAlignment="1" applyProtection="1">
      <alignment vertical="center" wrapText="1"/>
    </xf>
    <xf numFmtId="0" fontId="6" fillId="21" borderId="174" xfId="0" applyFont="1" applyFill="1" applyBorder="1" applyAlignment="1" applyProtection="1">
      <alignment wrapText="1"/>
    </xf>
    <xf numFmtId="0" fontId="6" fillId="21" borderId="6" xfId="0" applyFont="1" applyFill="1" applyBorder="1" applyAlignment="1" applyProtection="1">
      <alignment wrapText="1"/>
    </xf>
    <xf numFmtId="0" fontId="5" fillId="0" borderId="1" xfId="0" applyFont="1" applyBorder="1" applyAlignment="1" applyProtection="1">
      <alignment wrapText="1"/>
    </xf>
    <xf numFmtId="0" fontId="77" fillId="0" borderId="1" xfId="0" applyFont="1" applyFill="1" applyBorder="1" applyAlignment="1" applyProtection="1">
      <alignment wrapText="1"/>
      <protection locked="0"/>
    </xf>
    <xf numFmtId="0" fontId="3" fillId="21" borderId="8" xfId="0" applyFont="1" applyFill="1" applyBorder="1" applyAlignment="1" applyProtection="1">
      <alignment wrapText="1"/>
    </xf>
    <xf numFmtId="0" fontId="0" fillId="21" borderId="8" xfId="0" applyFont="1" applyFill="1" applyBorder="1" applyAlignment="1" applyProtection="1">
      <alignment wrapText="1"/>
    </xf>
    <xf numFmtId="0" fontId="0" fillId="21" borderId="4" xfId="0" applyFont="1" applyFill="1" applyBorder="1" applyAlignment="1" applyProtection="1">
      <alignment wrapText="1"/>
    </xf>
    <xf numFmtId="3" fontId="1" fillId="0" borderId="3" xfId="0" applyNumberFormat="1" applyFont="1" applyFill="1" applyBorder="1" applyAlignment="1" applyProtection="1">
      <alignment vertical="center" wrapText="1"/>
      <protection locked="0"/>
    </xf>
    <xf numFmtId="0" fontId="0" fillId="21" borderId="171" xfId="0" applyFill="1" applyBorder="1" applyAlignment="1" applyProtection="1">
      <alignment wrapText="1"/>
    </xf>
    <xf numFmtId="0" fontId="0" fillId="21" borderId="0" xfId="0" applyFill="1" applyBorder="1" applyAlignment="1" applyProtection="1">
      <alignment wrapText="1"/>
    </xf>
    <xf numFmtId="0" fontId="0" fillId="21" borderId="174" xfId="0" applyFill="1" applyBorder="1" applyAlignment="1" applyProtection="1">
      <alignment wrapText="1"/>
    </xf>
    <xf numFmtId="0" fontId="65" fillId="21" borderId="5" xfId="0" applyFont="1" applyFill="1" applyBorder="1" applyAlignment="1" applyProtection="1">
      <alignment wrapText="1"/>
    </xf>
    <xf numFmtId="0" fontId="6" fillId="21" borderId="172" xfId="0" applyFont="1" applyFill="1" applyBorder="1" applyAlignment="1" applyProtection="1">
      <alignment wrapText="1"/>
    </xf>
    <xf numFmtId="0" fontId="65" fillId="2" borderId="1" xfId="0" applyFont="1" applyFill="1" applyBorder="1" applyAlignment="1" applyProtection="1">
      <alignment wrapText="1"/>
    </xf>
    <xf numFmtId="3" fontId="77" fillId="2" borderId="1" xfId="0" applyNumberFormat="1" applyFont="1" applyFill="1" applyBorder="1" applyAlignment="1" applyProtection="1">
      <alignment wrapText="1"/>
    </xf>
    <xf numFmtId="3" fontId="77" fillId="6" borderId="1" xfId="0" applyNumberFormat="1" applyFont="1" applyFill="1" applyBorder="1" applyAlignment="1" applyProtection="1">
      <alignment wrapText="1"/>
      <protection hidden="1"/>
    </xf>
    <xf numFmtId="0" fontId="0" fillId="0" borderId="1" xfId="0" applyBorder="1" applyAlignment="1" applyProtection="1">
      <alignment wrapText="1"/>
    </xf>
    <xf numFmtId="3" fontId="1" fillId="11" borderId="3" xfId="0" applyNumberFormat="1" applyFont="1" applyFill="1" applyBorder="1" applyAlignment="1" applyProtection="1">
      <alignment vertical="center" wrapText="1"/>
    </xf>
    <xf numFmtId="3" fontId="17" fillId="21" borderId="5" xfId="0" applyNumberFormat="1" applyFont="1" applyFill="1" applyBorder="1" applyAlignment="1" applyProtection="1">
      <alignment wrapText="1"/>
    </xf>
    <xf numFmtId="0" fontId="17" fillId="21" borderId="8" xfId="0" applyFont="1" applyFill="1" applyBorder="1" applyAlignment="1" applyProtection="1">
      <alignment wrapText="1"/>
    </xf>
    <xf numFmtId="0" fontId="17" fillId="21" borderId="4" xfId="0" applyFont="1" applyFill="1" applyBorder="1" applyAlignment="1" applyProtection="1">
      <alignment wrapText="1"/>
    </xf>
    <xf numFmtId="0" fontId="77" fillId="21" borderId="169" xfId="0" applyFont="1" applyFill="1" applyBorder="1" applyAlignment="1" applyProtection="1">
      <alignment wrapText="1"/>
    </xf>
    <xf numFmtId="0" fontId="77" fillId="21" borderId="172" xfId="0" applyFont="1" applyFill="1" applyBorder="1" applyAlignment="1" applyProtection="1">
      <alignment wrapText="1"/>
    </xf>
    <xf numFmtId="0" fontId="77" fillId="21" borderId="7" xfId="0" applyFont="1" applyFill="1" applyBorder="1" applyAlignment="1" applyProtection="1">
      <alignment wrapText="1"/>
    </xf>
    <xf numFmtId="0" fontId="1" fillId="11" borderId="1" xfId="0" applyFont="1" applyFill="1" applyBorder="1" applyAlignment="1">
      <alignment vertical="center" wrapText="1"/>
    </xf>
    <xf numFmtId="0" fontId="1" fillId="28" borderId="1" xfId="0" applyFont="1" applyFill="1" applyBorder="1" applyAlignment="1">
      <alignment vertical="center" wrapText="1"/>
    </xf>
    <xf numFmtId="3" fontId="1" fillId="28" borderId="1" xfId="0" applyNumberFormat="1" applyFont="1" applyFill="1" applyBorder="1" applyAlignment="1">
      <alignment vertical="center" wrapText="1"/>
    </xf>
    <xf numFmtId="3" fontId="1" fillId="2" borderId="7" xfId="0" applyNumberFormat="1" applyFont="1" applyFill="1" applyBorder="1" applyAlignment="1" applyProtection="1">
      <alignment vertical="center" wrapText="1"/>
    </xf>
    <xf numFmtId="0" fontId="0" fillId="0" borderId="0" xfId="0" applyBorder="1" applyAlignment="1" applyProtection="1">
      <alignment wrapText="1"/>
    </xf>
    <xf numFmtId="0" fontId="73" fillId="0" borderId="0" xfId="0" applyFont="1" applyFill="1" applyBorder="1" applyAlignment="1" applyProtection="1">
      <alignment vertical="center" wrapText="1"/>
      <protection hidden="1"/>
    </xf>
    <xf numFmtId="0" fontId="79" fillId="0" borderId="0" xfId="0" applyFont="1" applyFill="1" applyBorder="1" applyAlignment="1" applyProtection="1">
      <alignment vertical="center" wrapText="1"/>
      <protection hidden="1"/>
    </xf>
    <xf numFmtId="0" fontId="29" fillId="0" borderId="104" xfId="0" applyFont="1" applyFill="1" applyBorder="1" applyAlignment="1" applyProtection="1">
      <alignment horizontal="left" vertical="center" wrapText="1"/>
      <protection locked="0"/>
    </xf>
    <xf numFmtId="0" fontId="25" fillId="0" borderId="21" xfId="0" applyFont="1" applyBorder="1" applyAlignment="1" applyProtection="1">
      <alignment horizontal="left" vertical="center" wrapText="1"/>
      <protection locked="0"/>
    </xf>
    <xf numFmtId="0" fontId="0" fillId="2" borderId="1" xfId="0" applyFill="1" applyBorder="1" applyAlignment="1" applyProtection="1">
      <alignment vertical="center" wrapText="1"/>
      <protection hidden="1"/>
    </xf>
    <xf numFmtId="0" fontId="1" fillId="0" borderId="1" xfId="0" applyFont="1" applyFill="1" applyBorder="1" applyAlignment="1" applyProtection="1">
      <alignment vertical="center" wrapText="1"/>
      <protection hidden="1"/>
    </xf>
    <xf numFmtId="0" fontId="0" fillId="0" borderId="1" xfId="0" applyFill="1" applyBorder="1" applyAlignment="1" applyProtection="1">
      <alignment vertical="center" wrapText="1"/>
      <protection hidden="1"/>
    </xf>
    <xf numFmtId="0" fontId="1" fillId="0" borderId="3" xfId="0" applyFont="1" applyFill="1" applyBorder="1" applyAlignment="1" applyProtection="1">
      <alignment vertical="center" wrapText="1"/>
      <protection hidden="1"/>
    </xf>
    <xf numFmtId="0" fontId="18" fillId="0" borderId="1" xfId="0" applyFont="1" applyFill="1" applyBorder="1" applyAlignment="1" applyProtection="1">
      <alignment vertical="center" wrapText="1"/>
      <protection hidden="1"/>
    </xf>
    <xf numFmtId="0" fontId="19" fillId="2" borderId="4" xfId="0" applyFont="1" applyFill="1" applyBorder="1" applyAlignment="1" applyProtection="1">
      <alignment vertical="center" wrapText="1"/>
      <protection hidden="1"/>
    </xf>
    <xf numFmtId="0" fontId="1" fillId="2" borderId="4" xfId="0" applyFont="1" applyFill="1" applyBorder="1" applyAlignment="1" applyProtection="1">
      <alignment vertical="center" wrapText="1"/>
      <protection hidden="1"/>
    </xf>
    <xf numFmtId="0" fontId="1" fillId="2" borderId="1" xfId="0" applyFont="1" applyFill="1" applyBorder="1" applyAlignment="1" applyProtection="1">
      <alignment horizontal="left" vertical="center" wrapText="1"/>
      <protection hidden="1"/>
    </xf>
    <xf numFmtId="0" fontId="23" fillId="0" borderId="136" xfId="1" applyFont="1" applyFill="1" applyBorder="1" applyAlignment="1" applyProtection="1">
      <alignment horizontal="right" wrapText="1" indent="10"/>
      <protection hidden="1"/>
    </xf>
    <xf numFmtId="3" fontId="5" fillId="0" borderId="136" xfId="0" applyNumberFormat="1" applyFont="1" applyBorder="1" applyProtection="1">
      <protection locked="0"/>
    </xf>
    <xf numFmtId="3" fontId="5" fillId="3" borderId="136" xfId="0" applyNumberFormat="1" applyFont="1" applyFill="1" applyBorder="1" applyProtection="1">
      <protection hidden="1"/>
    </xf>
    <xf numFmtId="3" fontId="5" fillId="2" borderId="136" xfId="0" applyNumberFormat="1" applyFont="1" applyFill="1" applyBorder="1" applyAlignment="1" applyProtection="1">
      <alignment horizontal="center" vertical="center" wrapText="1"/>
      <protection hidden="1"/>
    </xf>
    <xf numFmtId="3" fontId="65" fillId="6" borderId="136" xfId="0" applyNumberFormat="1" applyFont="1" applyFill="1" applyBorder="1" applyAlignment="1" applyProtection="1">
      <alignment wrapText="1"/>
      <protection hidden="1"/>
    </xf>
    <xf numFmtId="3" fontId="3" fillId="2" borderId="136" xfId="0" applyNumberFormat="1" applyFont="1" applyFill="1" applyBorder="1" applyAlignment="1" applyProtection="1">
      <alignment horizontal="center" vertical="center"/>
      <protection hidden="1"/>
    </xf>
    <xf numFmtId="3" fontId="65" fillId="9" borderId="136" xfId="0" applyNumberFormat="1" applyFont="1" applyFill="1" applyBorder="1" applyProtection="1">
      <protection hidden="1"/>
    </xf>
    <xf numFmtId="3" fontId="5" fillId="9" borderId="136" xfId="0" applyNumberFormat="1" applyFont="1" applyFill="1" applyBorder="1" applyAlignment="1" applyProtection="1">
      <alignment wrapText="1"/>
      <protection hidden="1"/>
    </xf>
    <xf numFmtId="3" fontId="5" fillId="9" borderId="136" xfId="0" applyNumberFormat="1" applyFont="1" applyFill="1" applyBorder="1" applyProtection="1">
      <protection hidden="1"/>
    </xf>
    <xf numFmtId="0" fontId="3" fillId="2" borderId="155" xfId="0" applyFont="1" applyFill="1" applyBorder="1" applyAlignment="1" applyProtection="1">
      <alignment horizontal="center" vertical="center" wrapText="1"/>
      <protection hidden="1"/>
    </xf>
    <xf numFmtId="3" fontId="51" fillId="26" borderId="158" xfId="0" applyNumberFormat="1" applyFont="1" applyFill="1" applyBorder="1" applyAlignment="1" applyProtection="1">
      <alignment horizontal="center" vertical="center"/>
      <protection hidden="1"/>
    </xf>
    <xf numFmtId="3" fontId="51" fillId="26" borderId="158" xfId="0" applyNumberFormat="1" applyFont="1" applyFill="1" applyBorder="1" applyAlignment="1" applyProtection="1">
      <alignment horizontal="center" vertical="center" wrapText="1"/>
      <protection hidden="1"/>
    </xf>
    <xf numFmtId="3" fontId="53" fillId="22" borderId="158" xfId="0" applyNumberFormat="1" applyFont="1" applyFill="1" applyBorder="1" applyAlignment="1" applyProtection="1">
      <alignment horizontal="right" vertical="center" wrapText="1"/>
      <protection hidden="1"/>
    </xf>
    <xf numFmtId="3" fontId="5" fillId="0" borderId="136" xfId="0" applyNumberFormat="1" applyFont="1" applyBorder="1" applyProtection="1">
      <protection hidden="1"/>
    </xf>
    <xf numFmtId="168" fontId="5" fillId="0" borderId="136" xfId="0" applyNumberFormat="1" applyFont="1" applyBorder="1" applyProtection="1">
      <protection hidden="1"/>
    </xf>
    <xf numFmtId="3" fontId="3" fillId="0" borderId="136" xfId="0" applyNumberFormat="1" applyFont="1" applyBorder="1" applyProtection="1">
      <protection hidden="1"/>
    </xf>
    <xf numFmtId="0" fontId="3" fillId="11" borderId="169" xfId="0" applyFont="1" applyFill="1" applyBorder="1" applyAlignment="1" applyProtection="1">
      <alignment wrapText="1"/>
    </xf>
    <xf numFmtId="0" fontId="34" fillId="19" borderId="0" xfId="2" applyFont="1" applyFill="1" applyBorder="1" applyAlignment="1" applyProtection="1">
      <alignment horizontal="left"/>
      <protection hidden="1"/>
    </xf>
    <xf numFmtId="0" fontId="0" fillId="0" borderId="0" xfId="0" applyProtection="1">
      <protection hidden="1"/>
    </xf>
    <xf numFmtId="0" fontId="28" fillId="11" borderId="111" xfId="0" applyFont="1" applyFill="1" applyBorder="1" applyAlignment="1" applyProtection="1">
      <alignment horizontal="center" vertical="center" wrapText="1"/>
      <protection hidden="1"/>
    </xf>
    <xf numFmtId="0" fontId="25" fillId="10" borderId="107" xfId="0" applyFont="1" applyFill="1" applyBorder="1" applyAlignment="1" applyProtection="1">
      <alignment horizontal="center" vertical="center" wrapText="1"/>
      <protection hidden="1"/>
    </xf>
    <xf numFmtId="0" fontId="25" fillId="10" borderId="100" xfId="0" applyFont="1" applyFill="1" applyBorder="1" applyAlignment="1" applyProtection="1">
      <alignment horizontal="center" vertical="center" wrapText="1"/>
      <protection hidden="1"/>
    </xf>
    <xf numFmtId="0" fontId="19" fillId="10" borderId="107" xfId="0" applyFont="1" applyFill="1" applyBorder="1" applyAlignment="1" applyProtection="1">
      <alignment horizontal="center" vertical="center" wrapText="1"/>
      <protection hidden="1"/>
    </xf>
    <xf numFmtId="0" fontId="25" fillId="10" borderId="15" xfId="0" applyFont="1" applyFill="1" applyBorder="1" applyAlignment="1" applyProtection="1">
      <alignment horizontal="center" vertical="center" wrapText="1"/>
      <protection hidden="1"/>
    </xf>
    <xf numFmtId="0" fontId="25" fillId="10" borderId="52" xfId="0" applyFont="1" applyFill="1" applyBorder="1" applyAlignment="1" applyProtection="1">
      <alignment horizontal="center" vertical="center" wrapText="1"/>
      <protection hidden="1"/>
    </xf>
    <xf numFmtId="0" fontId="25" fillId="0" borderId="23" xfId="0" applyFont="1" applyFill="1" applyBorder="1" applyAlignment="1" applyProtection="1">
      <alignment horizontal="left" vertical="center" wrapText="1"/>
      <protection locked="0"/>
    </xf>
    <xf numFmtId="0" fontId="25" fillId="10" borderId="107" xfId="0" applyFont="1" applyFill="1" applyBorder="1" applyAlignment="1" applyProtection="1">
      <alignment horizontal="right" vertical="center" wrapText="1"/>
      <protection hidden="1"/>
    </xf>
    <xf numFmtId="0" fontId="25" fillId="10" borderId="102" xfId="0" applyFont="1" applyFill="1" applyBorder="1" applyAlignment="1" applyProtection="1">
      <alignment horizontal="right" vertical="center" wrapText="1"/>
      <protection hidden="1"/>
    </xf>
    <xf numFmtId="0" fontId="25" fillId="10" borderId="120" xfId="0" applyFont="1" applyFill="1" applyBorder="1" applyAlignment="1" applyProtection="1">
      <alignment horizontal="center" vertical="center" wrapText="1"/>
      <protection hidden="1"/>
    </xf>
    <xf numFmtId="3" fontId="0" fillId="0" borderId="26" xfId="0" applyNumberFormat="1" applyBorder="1" applyAlignment="1" applyProtection="1">
      <alignment horizontal="right"/>
      <protection locked="0"/>
    </xf>
    <xf numFmtId="3" fontId="0" fillId="0" borderId="27" xfId="0" applyNumberFormat="1" applyBorder="1" applyAlignment="1" applyProtection="1">
      <alignment horizontal="right"/>
      <protection locked="0"/>
    </xf>
    <xf numFmtId="0" fontId="25" fillId="11" borderId="0" xfId="0" applyFont="1" applyFill="1" applyBorder="1" applyAlignment="1" applyProtection="1">
      <alignment vertical="center" wrapText="1"/>
      <protection hidden="1"/>
    </xf>
    <xf numFmtId="0" fontId="25" fillId="0" borderId="20" xfId="0" applyFont="1" applyFill="1" applyBorder="1" applyAlignment="1" applyProtection="1">
      <alignment horizontal="left" vertical="center" wrapText="1"/>
      <protection locked="0"/>
    </xf>
    <xf numFmtId="0" fontId="0" fillId="0" borderId="0" xfId="0" applyProtection="1">
      <protection hidden="1"/>
    </xf>
    <xf numFmtId="0" fontId="29" fillId="0" borderId="114" xfId="0" applyFont="1" applyFill="1" applyBorder="1" applyAlignment="1" applyProtection="1">
      <alignment vertical="center" wrapText="1"/>
      <protection locked="0"/>
    </xf>
    <xf numFmtId="0" fontId="25" fillId="0" borderId="21" xfId="0" applyFont="1" applyFill="1" applyBorder="1" applyAlignment="1" applyProtection="1">
      <alignment vertical="center" wrapText="1"/>
      <protection locked="0"/>
    </xf>
    <xf numFmtId="0" fontId="25" fillId="0" borderId="41" xfId="0" applyFont="1" applyFill="1" applyBorder="1" applyAlignment="1" applyProtection="1">
      <alignment vertical="center" wrapText="1"/>
      <protection locked="0"/>
    </xf>
    <xf numFmtId="0" fontId="25" fillId="10" borderId="111" xfId="0" applyFont="1" applyFill="1" applyBorder="1" applyAlignment="1" applyProtection="1">
      <alignment vertical="center" wrapText="1"/>
      <protection hidden="1"/>
    </xf>
    <xf numFmtId="169" fontId="29" fillId="0" borderId="141" xfId="0" applyNumberFormat="1" applyFont="1" applyFill="1" applyBorder="1" applyAlignment="1" applyProtection="1">
      <alignment vertical="center" wrapText="1"/>
      <protection locked="0"/>
    </xf>
    <xf numFmtId="0" fontId="25" fillId="0" borderId="93" xfId="0" applyFont="1" applyFill="1" applyBorder="1" applyAlignment="1" applyProtection="1">
      <alignment vertical="center" wrapText="1"/>
      <protection locked="0"/>
    </xf>
    <xf numFmtId="0" fontId="29" fillId="0" borderId="177" xfId="0" applyFont="1" applyFill="1" applyBorder="1" applyAlignment="1" applyProtection="1">
      <alignment horizontal="left" vertical="center" wrapText="1"/>
      <protection locked="0"/>
    </xf>
    <xf numFmtId="0" fontId="25" fillId="0" borderId="178" xfId="0" applyFont="1" applyFill="1" applyBorder="1" applyAlignment="1" applyProtection="1">
      <alignment horizontal="left" vertical="center" wrapText="1"/>
      <protection locked="0"/>
    </xf>
    <xf numFmtId="0" fontId="25" fillId="0" borderId="179" xfId="0" applyFont="1" applyFill="1" applyBorder="1" applyAlignment="1" applyProtection="1">
      <alignment horizontal="left" vertical="center" wrapText="1"/>
      <protection locked="0"/>
    </xf>
    <xf numFmtId="170" fontId="29" fillId="0" borderId="27" xfId="6" applyNumberFormat="1" applyFont="1" applyFill="1" applyBorder="1" applyAlignment="1" applyProtection="1">
      <alignment horizontal="left" vertical="center" wrapText="1"/>
      <protection locked="0"/>
    </xf>
    <xf numFmtId="3" fontId="25" fillId="0" borderId="0" xfId="0" applyNumberFormat="1" applyFont="1" applyBorder="1" applyAlignment="1" applyProtection="1">
      <alignment horizontal="right" vertical="center" wrapText="1"/>
      <protection locked="0"/>
    </xf>
    <xf numFmtId="3" fontId="0" fillId="0" borderId="0" xfId="0" applyNumberFormat="1" applyBorder="1" applyAlignment="1" applyProtection="1">
      <alignment horizontal="right"/>
      <protection locked="0"/>
    </xf>
    <xf numFmtId="0" fontId="25" fillId="11" borderId="62" xfId="0" applyFont="1" applyFill="1" applyBorder="1" applyAlignment="1" applyProtection="1">
      <alignment horizontal="left" vertical="center" wrapText="1"/>
      <protection hidden="1"/>
    </xf>
    <xf numFmtId="0" fontId="74" fillId="0" borderId="0" xfId="0" applyFont="1" applyFill="1" applyAlignment="1" applyProtection="1">
      <protection hidden="1"/>
    </xf>
    <xf numFmtId="0" fontId="0" fillId="2" borderId="164" xfId="0" applyFill="1" applyBorder="1" applyAlignment="1" applyProtection="1">
      <alignment vertical="center"/>
      <protection hidden="1"/>
    </xf>
    <xf numFmtId="0" fontId="0" fillId="2" borderId="152" xfId="0" applyFill="1" applyBorder="1" applyAlignment="1" applyProtection="1">
      <alignment vertical="center" wrapText="1"/>
      <protection hidden="1"/>
    </xf>
    <xf numFmtId="0" fontId="0" fillId="2" borderId="153" xfId="0" applyFill="1" applyBorder="1" applyAlignment="1" applyProtection="1">
      <alignment vertical="center" wrapText="1"/>
      <protection hidden="1"/>
    </xf>
    <xf numFmtId="0" fontId="0" fillId="2" borderId="154" xfId="0" applyFill="1" applyBorder="1" applyAlignment="1" applyProtection="1">
      <alignment vertical="center" wrapText="1"/>
      <protection hidden="1"/>
    </xf>
    <xf numFmtId="0" fontId="0" fillId="17" borderId="152" xfId="0" applyFill="1" applyBorder="1" applyAlignment="1" applyProtection="1">
      <protection hidden="1"/>
    </xf>
    <xf numFmtId="0" fontId="0" fillId="17" borderId="153" xfId="0" applyFill="1" applyBorder="1" applyAlignment="1" applyProtection="1">
      <protection hidden="1"/>
    </xf>
    <xf numFmtId="0" fontId="0" fillId="17" borderId="154" xfId="0" applyFill="1" applyBorder="1" applyAlignment="1" applyProtection="1">
      <protection hidden="1"/>
    </xf>
    <xf numFmtId="0" fontId="0" fillId="17" borderId="160" xfId="0" applyFill="1" applyBorder="1" applyAlignment="1" applyProtection="1">
      <protection hidden="1"/>
    </xf>
    <xf numFmtId="0" fontId="0" fillId="17" borderId="161" xfId="0" applyFill="1" applyBorder="1" applyAlignment="1" applyProtection="1">
      <protection hidden="1"/>
    </xf>
    <xf numFmtId="0" fontId="0" fillId="17" borderId="162" xfId="0" applyFill="1" applyBorder="1" applyAlignment="1" applyProtection="1">
      <protection hidden="1"/>
    </xf>
    <xf numFmtId="0" fontId="5" fillId="5" borderId="0" xfId="0" applyFont="1" applyFill="1" applyBorder="1" applyAlignment="1" applyProtection="1">
      <alignment vertical="center"/>
      <protection hidden="1"/>
    </xf>
    <xf numFmtId="0" fontId="3" fillId="2" borderId="164" xfId="0" applyFont="1" applyFill="1" applyBorder="1" applyAlignment="1" applyProtection="1">
      <alignment vertical="center"/>
      <protection hidden="1"/>
    </xf>
    <xf numFmtId="9" fontId="66" fillId="17" borderId="160" xfId="0" applyNumberFormat="1" applyFont="1" applyFill="1" applyBorder="1" applyAlignment="1" applyProtection="1">
      <alignment vertical="center" wrapText="1"/>
      <protection hidden="1"/>
    </xf>
    <xf numFmtId="9" fontId="66" fillId="17" borderId="161" xfId="0" applyNumberFormat="1" applyFont="1" applyFill="1" applyBorder="1" applyAlignment="1" applyProtection="1">
      <alignment vertical="center" wrapText="1"/>
      <protection hidden="1"/>
    </xf>
    <xf numFmtId="9" fontId="66" fillId="17" borderId="162" xfId="0" applyNumberFormat="1" applyFont="1" applyFill="1" applyBorder="1" applyAlignment="1" applyProtection="1">
      <alignment vertical="center" wrapText="1"/>
      <protection hidden="1"/>
    </xf>
    <xf numFmtId="0" fontId="65" fillId="6" borderId="160" xfId="0" applyFont="1" applyFill="1" applyBorder="1" applyAlignment="1" applyProtection="1">
      <protection hidden="1"/>
    </xf>
    <xf numFmtId="0" fontId="65" fillId="6" borderId="161" xfId="0" applyFont="1" applyFill="1" applyBorder="1" applyAlignment="1" applyProtection="1">
      <protection hidden="1"/>
    </xf>
    <xf numFmtId="0" fontId="65" fillId="6" borderId="162" xfId="0" applyFont="1" applyFill="1" applyBorder="1" applyAlignment="1" applyProtection="1">
      <protection hidden="1"/>
    </xf>
    <xf numFmtId="0" fontId="65" fillId="17" borderId="160" xfId="0" applyFont="1" applyFill="1" applyBorder="1" applyAlignment="1" applyProtection="1">
      <protection hidden="1"/>
    </xf>
    <xf numFmtId="0" fontId="65" fillId="17" borderId="161" xfId="0" applyFont="1" applyFill="1" applyBorder="1" applyAlignment="1" applyProtection="1">
      <protection hidden="1"/>
    </xf>
    <xf numFmtId="0" fontId="65" fillId="17" borderId="162" xfId="0" applyFont="1" applyFill="1" applyBorder="1" applyAlignment="1" applyProtection="1">
      <protection hidden="1"/>
    </xf>
    <xf numFmtId="0" fontId="5" fillId="17" borderId="152" xfId="0" applyFont="1" applyFill="1" applyBorder="1" applyAlignment="1" applyProtection="1">
      <protection hidden="1"/>
    </xf>
    <xf numFmtId="0" fontId="5" fillId="17" borderId="153" xfId="0" applyFont="1" applyFill="1" applyBorder="1" applyAlignment="1" applyProtection="1">
      <protection hidden="1"/>
    </xf>
    <xf numFmtId="0" fontId="5" fillId="17" borderId="154" xfId="0" applyFont="1" applyFill="1" applyBorder="1" applyAlignment="1" applyProtection="1">
      <protection hidden="1"/>
    </xf>
    <xf numFmtId="0" fontId="5" fillId="17" borderId="163" xfId="0" applyFont="1" applyFill="1" applyBorder="1" applyAlignment="1" applyProtection="1">
      <protection hidden="1"/>
    </xf>
    <xf numFmtId="0" fontId="5" fillId="17" borderId="164" xfId="0" applyFont="1" applyFill="1" applyBorder="1" applyAlignment="1" applyProtection="1">
      <protection hidden="1"/>
    </xf>
    <xf numFmtId="0" fontId="5" fillId="17" borderId="165" xfId="0" applyFont="1" applyFill="1" applyBorder="1" applyAlignment="1" applyProtection="1">
      <protection hidden="1"/>
    </xf>
    <xf numFmtId="0" fontId="3" fillId="6" borderId="160" xfId="0" applyFont="1" applyFill="1" applyBorder="1" applyAlignment="1" applyProtection="1">
      <protection hidden="1"/>
    </xf>
    <xf numFmtId="0" fontId="3" fillId="6" borderId="161" xfId="0" applyFont="1" applyFill="1" applyBorder="1" applyAlignment="1" applyProtection="1">
      <protection hidden="1"/>
    </xf>
    <xf numFmtId="0" fontId="3" fillId="6" borderId="162" xfId="0" applyFont="1" applyFill="1" applyBorder="1" applyAlignment="1" applyProtection="1">
      <protection hidden="1"/>
    </xf>
    <xf numFmtId="0" fontId="68" fillId="7" borderId="0" xfId="4" applyFont="1" applyAlignment="1" applyProtection="1">
      <protection hidden="1"/>
    </xf>
    <xf numFmtId="0" fontId="68" fillId="20" borderId="0" xfId="5" applyFont="1" applyAlignment="1" applyProtection="1">
      <protection hidden="1"/>
    </xf>
    <xf numFmtId="0" fontId="3" fillId="17" borderId="152" xfId="0" applyFont="1" applyFill="1" applyBorder="1" applyAlignment="1" applyProtection="1">
      <protection hidden="1"/>
    </xf>
    <xf numFmtId="0" fontId="3" fillId="17" borderId="153" xfId="0" applyFont="1" applyFill="1" applyBorder="1" applyAlignment="1" applyProtection="1">
      <protection hidden="1"/>
    </xf>
    <xf numFmtId="0" fontId="3" fillId="17" borderId="154" xfId="0" applyFont="1" applyFill="1" applyBorder="1" applyAlignment="1" applyProtection="1">
      <protection hidden="1"/>
    </xf>
    <xf numFmtId="0" fontId="3" fillId="17" borderId="163" xfId="0" applyFont="1" applyFill="1" applyBorder="1" applyAlignment="1" applyProtection="1">
      <protection hidden="1"/>
    </xf>
    <xf numFmtId="0" fontId="3" fillId="17" borderId="164" xfId="0" applyFont="1" applyFill="1" applyBorder="1" applyAlignment="1" applyProtection="1">
      <protection hidden="1"/>
    </xf>
    <xf numFmtId="0" fontId="3" fillId="17" borderId="165" xfId="0" applyFont="1" applyFill="1" applyBorder="1" applyAlignment="1" applyProtection="1">
      <protection hidden="1"/>
    </xf>
    <xf numFmtId="0" fontId="3" fillId="17" borderId="160" xfId="0" applyFont="1" applyFill="1" applyBorder="1" applyAlignment="1" applyProtection="1">
      <protection hidden="1"/>
    </xf>
    <xf numFmtId="0" fontId="3" fillId="17" borderId="161" xfId="0" applyFont="1" applyFill="1" applyBorder="1" applyAlignment="1" applyProtection="1">
      <protection hidden="1"/>
    </xf>
    <xf numFmtId="0" fontId="3" fillId="17" borderId="162" xfId="0" applyFont="1" applyFill="1" applyBorder="1" applyAlignment="1" applyProtection="1">
      <protection hidden="1"/>
    </xf>
    <xf numFmtId="0" fontId="23" fillId="17" borderId="155" xfId="1" applyFont="1" applyFill="1" applyBorder="1" applyAlignment="1" applyProtection="1">
      <alignment vertical="center" wrapText="1"/>
      <protection hidden="1"/>
    </xf>
    <xf numFmtId="3" fontId="3" fillId="17" borderId="155" xfId="0" applyNumberFormat="1" applyFont="1" applyFill="1" applyBorder="1" applyAlignment="1" applyProtection="1">
      <protection hidden="1"/>
    </xf>
    <xf numFmtId="0" fontId="23" fillId="17" borderId="148" xfId="1" applyFont="1" applyFill="1" applyBorder="1" applyAlignment="1" applyProtection="1">
      <alignment vertical="center" wrapText="1"/>
      <protection hidden="1"/>
    </xf>
    <xf numFmtId="3" fontId="3" fillId="17" borderId="148" xfId="0" applyNumberFormat="1" applyFont="1" applyFill="1" applyBorder="1" applyAlignment="1" applyProtection="1">
      <protection hidden="1"/>
    </xf>
    <xf numFmtId="3" fontId="5" fillId="17" borderId="152" xfId="0" applyNumberFormat="1" applyFont="1" applyFill="1" applyBorder="1" applyAlignment="1" applyProtection="1">
      <alignment wrapText="1"/>
      <protection hidden="1"/>
    </xf>
    <xf numFmtId="3" fontId="5" fillId="17" borderId="153" xfId="0" applyNumberFormat="1" applyFont="1" applyFill="1" applyBorder="1" applyAlignment="1" applyProtection="1">
      <alignment wrapText="1"/>
      <protection hidden="1"/>
    </xf>
    <xf numFmtId="3" fontId="5" fillId="17" borderId="154" xfId="0" applyNumberFormat="1" applyFont="1" applyFill="1" applyBorder="1" applyAlignment="1" applyProtection="1">
      <alignment wrapText="1"/>
      <protection hidden="1"/>
    </xf>
    <xf numFmtId="3" fontId="5" fillId="17" borderId="166" xfId="0" applyNumberFormat="1" applyFont="1" applyFill="1" applyBorder="1" applyAlignment="1" applyProtection="1">
      <alignment wrapText="1"/>
      <protection hidden="1"/>
    </xf>
    <xf numFmtId="3" fontId="5" fillId="17" borderId="0" xfId="0" applyNumberFormat="1" applyFont="1" applyFill="1" applyBorder="1" applyAlignment="1" applyProtection="1">
      <alignment wrapText="1"/>
      <protection hidden="1"/>
    </xf>
    <xf numFmtId="3" fontId="5" fillId="17" borderId="167" xfId="0" applyNumberFormat="1" applyFont="1" applyFill="1" applyBorder="1" applyAlignment="1" applyProtection="1">
      <alignment wrapText="1"/>
      <protection hidden="1"/>
    </xf>
    <xf numFmtId="3" fontId="5" fillId="17" borderId="163" xfId="0" applyNumberFormat="1" applyFont="1" applyFill="1" applyBorder="1" applyAlignment="1" applyProtection="1">
      <alignment wrapText="1"/>
      <protection hidden="1"/>
    </xf>
    <xf numFmtId="3" fontId="5" fillId="17" borderId="164" xfId="0" applyNumberFormat="1" applyFont="1" applyFill="1" applyBorder="1" applyAlignment="1" applyProtection="1">
      <alignment wrapText="1"/>
      <protection hidden="1"/>
    </xf>
    <xf numFmtId="3" fontId="5" fillId="17" borderId="165" xfId="0" applyNumberFormat="1" applyFont="1" applyFill="1" applyBorder="1" applyAlignment="1" applyProtection="1">
      <alignment wrapText="1"/>
      <protection hidden="1"/>
    </xf>
    <xf numFmtId="3" fontId="5" fillId="0" borderId="160" xfId="0" applyNumberFormat="1" applyFont="1" applyBorder="1" applyProtection="1">
      <protection hidden="1"/>
    </xf>
    <xf numFmtId="3" fontId="49" fillId="22" borderId="160" xfId="0" applyNumberFormat="1" applyFont="1" applyFill="1" applyBorder="1" applyProtection="1">
      <protection hidden="1"/>
    </xf>
    <xf numFmtId="3" fontId="49" fillId="23" borderId="160" xfId="0" applyNumberFormat="1" applyFont="1" applyFill="1" applyBorder="1" applyProtection="1">
      <protection hidden="1"/>
    </xf>
    <xf numFmtId="3" fontId="51" fillId="22" borderId="160" xfId="0" applyNumberFormat="1" applyFont="1" applyFill="1" applyBorder="1" applyAlignment="1" applyProtection="1">
      <alignment horizontal="center" vertical="center" wrapText="1"/>
      <protection hidden="1"/>
    </xf>
    <xf numFmtId="3" fontId="49" fillId="22" borderId="136" xfId="0" applyNumberFormat="1" applyFont="1" applyFill="1" applyBorder="1" applyProtection="1">
      <protection hidden="1"/>
    </xf>
    <xf numFmtId="3" fontId="49" fillId="23" borderId="136" xfId="0" applyNumberFormat="1" applyFont="1" applyFill="1" applyBorder="1" applyProtection="1">
      <protection hidden="1"/>
    </xf>
    <xf numFmtId="3" fontId="51" fillId="22" borderId="136" xfId="0" applyNumberFormat="1" applyFont="1" applyFill="1" applyBorder="1" applyAlignment="1" applyProtection="1">
      <alignment horizontal="center" vertical="center" wrapText="1"/>
      <protection hidden="1"/>
    </xf>
    <xf numFmtId="169" fontId="29" fillId="0" borderId="141" xfId="0" applyNumberFormat="1" applyFont="1" applyFill="1" applyBorder="1" applyAlignment="1" applyProtection="1">
      <alignment vertical="center" wrapText="1"/>
      <protection hidden="1"/>
    </xf>
    <xf numFmtId="0" fontId="29" fillId="0" borderId="114" xfId="0" applyFont="1" applyFill="1" applyBorder="1" applyAlignment="1" applyProtection="1">
      <alignment vertical="center" wrapText="1"/>
      <protection hidden="1"/>
    </xf>
    <xf numFmtId="0" fontId="29" fillId="0" borderId="177" xfId="0" applyFont="1" applyFill="1" applyBorder="1" applyAlignment="1" applyProtection="1">
      <alignment horizontal="left" vertical="center" wrapText="1"/>
      <protection hidden="1"/>
    </xf>
    <xf numFmtId="170" fontId="29" fillId="0" borderId="27" xfId="6" applyNumberFormat="1" applyFont="1" applyFill="1" applyBorder="1" applyAlignment="1" applyProtection="1">
      <alignment horizontal="left" vertical="center" wrapText="1"/>
      <protection hidden="1"/>
    </xf>
    <xf numFmtId="3" fontId="29" fillId="0" borderId="27" xfId="0" applyNumberFormat="1" applyFont="1" applyFill="1" applyBorder="1" applyAlignment="1" applyProtection="1">
      <alignment horizontal="right" vertical="center" wrapText="1"/>
      <protection hidden="1"/>
    </xf>
    <xf numFmtId="3" fontId="29" fillId="0" borderId="98" xfId="0" applyNumberFormat="1" applyFont="1" applyFill="1" applyBorder="1" applyAlignment="1" applyProtection="1">
      <alignment horizontal="right" vertical="center" wrapText="1"/>
      <protection hidden="1"/>
    </xf>
    <xf numFmtId="0" fontId="25" fillId="0" borderId="88" xfId="0" applyFont="1" applyFill="1" applyBorder="1" applyAlignment="1" applyProtection="1">
      <alignment vertical="center" wrapText="1"/>
      <protection hidden="1"/>
    </xf>
    <xf numFmtId="0" fontId="25" fillId="0" borderId="21" xfId="0" applyFont="1" applyFill="1" applyBorder="1" applyAlignment="1" applyProtection="1">
      <alignment vertical="center" wrapText="1"/>
      <protection hidden="1"/>
    </xf>
    <xf numFmtId="0" fontId="25" fillId="0" borderId="178" xfId="0" applyFont="1" applyFill="1" applyBorder="1" applyAlignment="1" applyProtection="1">
      <alignment horizontal="left" vertical="center" wrapText="1"/>
      <protection hidden="1"/>
    </xf>
    <xf numFmtId="0" fontId="25" fillId="0" borderId="20" xfId="0" applyFont="1" applyFill="1" applyBorder="1" applyAlignment="1" applyProtection="1">
      <alignment horizontal="left" vertical="center" wrapText="1"/>
      <protection hidden="1"/>
    </xf>
    <xf numFmtId="3" fontId="25" fillId="0" borderId="88" xfId="0" applyNumberFormat="1" applyFont="1" applyBorder="1" applyAlignment="1" applyProtection="1">
      <alignment horizontal="right" vertical="center" wrapText="1"/>
      <protection hidden="1"/>
    </xf>
    <xf numFmtId="0" fontId="25" fillId="0" borderId="89" xfId="0" applyFont="1" applyFill="1" applyBorder="1" applyAlignment="1" applyProtection="1">
      <alignment vertical="center" wrapText="1"/>
      <protection hidden="1"/>
    </xf>
    <xf numFmtId="3" fontId="28" fillId="0" borderId="88" xfId="0" applyNumberFormat="1" applyFont="1" applyBorder="1" applyAlignment="1" applyProtection="1">
      <alignment horizontal="right" vertical="center" wrapText="1"/>
      <protection hidden="1"/>
    </xf>
    <xf numFmtId="0" fontId="0" fillId="0" borderId="0" xfId="0" applyProtection="1">
      <protection hidden="1"/>
    </xf>
    <xf numFmtId="0" fontId="25" fillId="10" borderId="100" xfId="0" applyFont="1" applyFill="1" applyBorder="1" applyAlignment="1" applyProtection="1">
      <alignment horizontal="center" vertical="center" wrapText="1"/>
      <protection hidden="1"/>
    </xf>
    <xf numFmtId="0" fontId="25" fillId="11" borderId="19" xfId="0" applyFont="1" applyFill="1" applyBorder="1" applyAlignment="1" applyProtection="1">
      <alignment vertical="center" wrapText="1"/>
      <protection hidden="1"/>
    </xf>
    <xf numFmtId="0" fontId="25" fillId="11" borderId="21" xfId="0" applyFont="1" applyFill="1" applyBorder="1" applyAlignment="1" applyProtection="1">
      <alignment vertical="center" wrapText="1"/>
      <protection hidden="1"/>
    </xf>
    <xf numFmtId="0" fontId="25" fillId="11" borderId="36" xfId="0" applyFont="1" applyFill="1" applyBorder="1" applyAlignment="1" applyProtection="1">
      <alignment vertical="center" wrapText="1"/>
      <protection hidden="1"/>
    </xf>
    <xf numFmtId="0" fontId="25" fillId="0" borderId="20" xfId="0" applyFont="1" applyFill="1" applyBorder="1" applyAlignment="1" applyProtection="1">
      <alignment horizontal="left" vertical="center" wrapText="1"/>
      <protection locked="0"/>
    </xf>
    <xf numFmtId="3" fontId="25" fillId="0" borderId="0" xfId="0" applyNumberFormat="1" applyFont="1" applyFill="1" applyBorder="1" applyAlignment="1" applyProtection="1">
      <alignment horizontal="right" vertical="center" wrapText="1"/>
      <protection locked="0"/>
    </xf>
    <xf numFmtId="0" fontId="25" fillId="0" borderId="0" xfId="0" applyFont="1" applyProtection="1">
      <protection hidden="1"/>
    </xf>
    <xf numFmtId="0" fontId="28" fillId="0" borderId="0" xfId="0" applyFont="1" applyProtection="1">
      <protection hidden="1"/>
    </xf>
    <xf numFmtId="10" fontId="25" fillId="0" borderId="0" xfId="0" applyNumberFormat="1" applyFont="1" applyFill="1" applyBorder="1" applyAlignment="1" applyProtection="1">
      <alignment vertical="center" wrapText="1"/>
      <protection locked="0"/>
    </xf>
    <xf numFmtId="10" fontId="0" fillId="0" borderId="0" xfId="0" applyNumberFormat="1" applyBorder="1" applyAlignment="1" applyProtection="1">
      <protection locked="0"/>
    </xf>
    <xf numFmtId="0" fontId="25" fillId="10" borderId="180" xfId="0" applyFont="1" applyFill="1" applyBorder="1" applyAlignment="1" applyProtection="1">
      <alignment horizontal="center" vertical="center" wrapText="1"/>
      <protection hidden="1"/>
    </xf>
    <xf numFmtId="3" fontId="25" fillId="0" borderId="185" xfId="0" applyNumberFormat="1" applyFont="1" applyBorder="1" applyAlignment="1" applyProtection="1">
      <alignment vertical="center" wrapText="1"/>
      <protection locked="0"/>
    </xf>
    <xf numFmtId="3" fontId="25" fillId="0" borderId="178" xfId="0" applyNumberFormat="1" applyFont="1" applyBorder="1" applyAlignment="1" applyProtection="1">
      <alignment vertical="center" wrapText="1"/>
      <protection locked="0"/>
    </xf>
    <xf numFmtId="3" fontId="25" fillId="0" borderId="184" xfId="0" applyNumberFormat="1" applyFont="1" applyBorder="1" applyAlignment="1" applyProtection="1">
      <alignment vertical="center" wrapText="1"/>
      <protection locked="0"/>
    </xf>
    <xf numFmtId="3" fontId="25" fillId="0" borderId="134" xfId="0" applyNumberFormat="1" applyFont="1" applyBorder="1" applyAlignment="1" applyProtection="1">
      <alignment vertical="center" wrapText="1"/>
      <protection locked="0"/>
    </xf>
    <xf numFmtId="3" fontId="25" fillId="0" borderId="135" xfId="0" applyNumberFormat="1" applyFont="1" applyBorder="1" applyAlignment="1" applyProtection="1">
      <alignment vertical="center" wrapText="1"/>
      <protection locked="0"/>
    </xf>
    <xf numFmtId="0" fontId="25" fillId="11" borderId="188" xfId="0" applyFont="1" applyFill="1" applyBorder="1" applyAlignment="1" applyProtection="1">
      <alignment vertical="center" wrapText="1"/>
      <protection hidden="1"/>
    </xf>
    <xf numFmtId="0" fontId="25" fillId="11" borderId="189" xfId="0" applyFont="1" applyFill="1" applyBorder="1" applyAlignment="1" applyProtection="1">
      <alignment vertical="center" wrapText="1"/>
      <protection hidden="1"/>
    </xf>
    <xf numFmtId="0" fontId="25" fillId="11" borderId="190" xfId="0" applyFont="1" applyFill="1" applyBorder="1" applyAlignment="1" applyProtection="1">
      <alignment vertical="center" wrapText="1"/>
      <protection hidden="1"/>
    </xf>
    <xf numFmtId="1" fontId="0" fillId="0" borderId="0" xfId="0" applyNumberFormat="1" applyAlignment="1" applyProtection="1">
      <alignment vertical="center" wrapText="1"/>
      <protection hidden="1"/>
    </xf>
    <xf numFmtId="0" fontId="0" fillId="0" borderId="0" xfId="0" applyProtection="1">
      <protection hidden="1"/>
    </xf>
    <xf numFmtId="0" fontId="0" fillId="0" borderId="0" xfId="0" applyProtection="1">
      <protection hidden="1"/>
    </xf>
    <xf numFmtId="0" fontId="1" fillId="2" borderId="136" xfId="0" applyFont="1" applyFill="1" applyBorder="1" applyAlignment="1" applyProtection="1">
      <alignment horizontal="left" vertical="center"/>
      <protection hidden="1"/>
    </xf>
    <xf numFmtId="0" fontId="1" fillId="2" borderId="136" xfId="0" applyFont="1" applyFill="1" applyBorder="1" applyAlignment="1" applyProtection="1">
      <alignment horizontal="left" vertical="center" wrapText="1"/>
      <protection hidden="1"/>
    </xf>
    <xf numFmtId="0" fontId="46" fillId="2" borderId="136" xfId="0" applyFont="1" applyFill="1" applyBorder="1" applyAlignment="1" applyProtection="1">
      <alignment horizontal="left" vertical="center"/>
      <protection hidden="1"/>
    </xf>
    <xf numFmtId="0" fontId="18" fillId="14" borderId="0" xfId="0" applyFont="1" applyFill="1" applyProtection="1">
      <protection hidden="1"/>
    </xf>
    <xf numFmtId="0" fontId="18" fillId="0" borderId="0" xfId="0" applyFont="1" applyProtection="1">
      <protection hidden="1"/>
    </xf>
    <xf numFmtId="0" fontId="46" fillId="2" borderId="136" xfId="0" applyFont="1" applyFill="1" applyBorder="1" applyAlignment="1" applyProtection="1">
      <alignment horizontal="center" vertical="center"/>
      <protection hidden="1"/>
    </xf>
    <xf numFmtId="1" fontId="15" fillId="14" borderId="0" xfId="0" applyNumberFormat="1" applyFont="1" applyFill="1" applyAlignment="1" applyProtection="1">
      <alignment horizontal="left" vertical="center"/>
      <protection hidden="1"/>
    </xf>
    <xf numFmtId="0" fontId="15" fillId="14" borderId="0" xfId="0" applyFont="1" applyFill="1" applyAlignment="1" applyProtection="1">
      <alignment horizontal="left" vertical="center"/>
      <protection hidden="1"/>
    </xf>
    <xf numFmtId="0" fontId="14" fillId="14" borderId="0" xfId="0" applyFont="1" applyFill="1" applyAlignment="1" applyProtection="1">
      <alignment horizontal="left" vertical="center"/>
      <protection hidden="1"/>
    </xf>
    <xf numFmtId="0" fontId="34" fillId="0" borderId="0" xfId="2" applyNumberFormat="1" applyFont="1" applyFill="1" applyBorder="1" applyAlignment="1" applyProtection="1">
      <alignment horizontal="left" vertical="center"/>
      <protection hidden="1"/>
    </xf>
    <xf numFmtId="1" fontId="34" fillId="0" borderId="0" xfId="2" applyNumberFormat="1" applyFont="1" applyFill="1" applyBorder="1" applyAlignment="1" applyProtection="1">
      <alignment horizontal="left" vertical="center"/>
      <protection hidden="1"/>
    </xf>
    <xf numFmtId="0" fontId="12" fillId="4" borderId="0" xfId="0" applyFont="1" applyFill="1" applyBorder="1" applyAlignment="1" applyProtection="1">
      <alignment horizontal="left" vertical="center"/>
      <protection hidden="1"/>
    </xf>
    <xf numFmtId="0" fontId="34" fillId="19" borderId="0" xfId="2" applyFont="1" applyFill="1" applyBorder="1" applyAlignment="1" applyProtection="1">
      <alignment horizontal="left" vertical="center"/>
      <protection hidden="1"/>
    </xf>
    <xf numFmtId="0" fontId="34" fillId="0" borderId="0" xfId="2" applyFont="1" applyFill="1" applyAlignment="1" applyProtection="1">
      <alignment horizontal="left" vertical="center"/>
      <protection locked="0" hidden="1"/>
    </xf>
    <xf numFmtId="0" fontId="13" fillId="0" borderId="0" xfId="0" applyFont="1" applyAlignment="1" applyProtection="1">
      <alignment horizontal="left" vertical="center"/>
      <protection hidden="1"/>
    </xf>
    <xf numFmtId="14" fontId="34" fillId="0" borderId="0" xfId="2" applyNumberFormat="1" applyFont="1" applyFill="1" applyBorder="1" applyAlignment="1" applyProtection="1">
      <alignment horizontal="left" vertical="center"/>
      <protection locked="0"/>
    </xf>
    <xf numFmtId="14" fontId="34" fillId="0" borderId="0" xfId="2" applyNumberFormat="1" applyFont="1" applyFill="1" applyBorder="1" applyAlignment="1" applyProtection="1">
      <alignment horizontal="left" vertical="center"/>
      <protection hidden="1"/>
    </xf>
    <xf numFmtId="167" fontId="34" fillId="0" borderId="0" xfId="2" applyNumberFormat="1" applyFont="1" applyFill="1" applyBorder="1" applyAlignment="1" applyProtection="1">
      <alignment horizontal="left" vertical="center"/>
      <protection locked="0"/>
    </xf>
    <xf numFmtId="167" fontId="34" fillId="0" borderId="0" xfId="2" applyNumberFormat="1" applyFont="1" applyFill="1" applyBorder="1" applyAlignment="1" applyProtection="1">
      <alignment horizontal="left" vertical="center"/>
      <protection hidden="1"/>
    </xf>
    <xf numFmtId="0" fontId="34" fillId="0" borderId="0" xfId="2" applyFont="1" applyFill="1" applyAlignment="1" applyProtection="1">
      <alignment horizontal="left" vertical="center"/>
      <protection locked="0"/>
    </xf>
    <xf numFmtId="0" fontId="34" fillId="15" borderId="0" xfId="2" applyFont="1" applyFill="1" applyBorder="1" applyAlignment="1" applyProtection="1">
      <alignment horizontal="left" vertical="center" wrapText="1"/>
      <protection hidden="1"/>
    </xf>
    <xf numFmtId="0" fontId="34" fillId="15" borderId="0" xfId="2" applyFont="1" applyFill="1" applyBorder="1" applyAlignment="1" applyProtection="1">
      <alignment horizontal="left" vertical="center"/>
      <protection hidden="1"/>
    </xf>
    <xf numFmtId="0" fontId="34" fillId="15" borderId="0" xfId="2" applyFont="1" applyFill="1" applyAlignment="1" applyProtection="1">
      <alignment horizontal="left" vertical="center"/>
      <protection hidden="1"/>
    </xf>
    <xf numFmtId="0" fontId="12" fillId="15" borderId="0" xfId="0" applyFont="1" applyFill="1" applyBorder="1" applyAlignment="1" applyProtection="1">
      <alignment horizontal="left" vertical="center"/>
      <protection hidden="1"/>
    </xf>
    <xf numFmtId="0" fontId="34" fillId="0" borderId="0" xfId="2" applyNumberFormat="1" applyFont="1" applyFill="1" applyBorder="1" applyAlignment="1" applyProtection="1">
      <alignment horizontal="left" vertical="center"/>
      <protection locked="0"/>
    </xf>
    <xf numFmtId="49" fontId="34" fillId="15" borderId="0" xfId="2" applyNumberFormat="1" applyFont="1" applyFill="1" applyAlignment="1" applyProtection="1">
      <alignment horizontal="left" vertical="center"/>
      <protection hidden="1"/>
    </xf>
    <xf numFmtId="0" fontId="11" fillId="15" borderId="0" xfId="0" applyFont="1" applyFill="1" applyBorder="1" applyAlignment="1" applyProtection="1">
      <alignment horizontal="left" vertical="center"/>
      <protection hidden="1"/>
    </xf>
    <xf numFmtId="0" fontId="34" fillId="15" borderId="0" xfId="2" applyFont="1" applyFill="1" applyAlignment="1" applyProtection="1">
      <alignment horizontal="left" vertical="center"/>
      <protection locked="0"/>
    </xf>
    <xf numFmtId="0" fontId="0" fillId="0" borderId="0" xfId="0" applyProtection="1">
      <protection hidden="1"/>
    </xf>
    <xf numFmtId="0" fontId="92" fillId="0" borderId="0" xfId="7" applyFont="1"/>
    <xf numFmtId="0" fontId="0" fillId="0" borderId="0" xfId="0" applyProtection="1">
      <protection hidden="1"/>
    </xf>
    <xf numFmtId="0" fontId="72" fillId="0" borderId="156" xfId="0" applyFont="1" applyBorder="1" applyAlignment="1" applyProtection="1">
      <protection hidden="1"/>
    </xf>
    <xf numFmtId="0" fontId="1" fillId="0" borderId="136" xfId="0" applyFont="1" applyBorder="1" applyProtection="1">
      <protection hidden="1"/>
    </xf>
    <xf numFmtId="10" fontId="25" fillId="0" borderId="19" xfId="0" applyNumberFormat="1" applyFont="1" applyBorder="1" applyAlignment="1" applyProtection="1">
      <alignment horizontal="right" vertical="center" wrapText="1"/>
      <protection locked="0"/>
    </xf>
    <xf numFmtId="0" fontId="0" fillId="0" borderId="0" xfId="0" applyProtection="1">
      <protection hidden="1"/>
    </xf>
    <xf numFmtId="0" fontId="34" fillId="19" borderId="0" xfId="2" applyFont="1" applyFill="1" applyBorder="1" applyAlignment="1" applyProtection="1">
      <alignment horizontal="left" vertical="center"/>
      <protection hidden="1"/>
    </xf>
    <xf numFmtId="0" fontId="16" fillId="0" borderId="0" xfId="3" applyFill="1" applyAlignment="1" applyProtection="1">
      <alignment vertical="center"/>
      <protection hidden="1"/>
    </xf>
    <xf numFmtId="0" fontId="44" fillId="4" borderId="0" xfId="3" applyFont="1" applyFill="1" applyBorder="1" applyAlignment="1" applyProtection="1">
      <alignment horizontal="center" vertical="top"/>
      <protection hidden="1"/>
    </xf>
    <xf numFmtId="0" fontId="15" fillId="14" borderId="0" xfId="0" applyNumberFormat="1" applyFont="1" applyFill="1" applyAlignment="1" applyProtection="1">
      <alignment horizontal="left" vertical="center" wrapText="1"/>
      <protection hidden="1"/>
    </xf>
    <xf numFmtId="0" fontId="34" fillId="19" borderId="0" xfId="2" applyFont="1" applyFill="1" applyBorder="1" applyAlignment="1" applyProtection="1">
      <alignment horizontal="left" vertical="center" wrapText="1"/>
      <protection hidden="1"/>
    </xf>
    <xf numFmtId="0" fontId="80" fillId="2" borderId="8" xfId="0" applyFont="1" applyFill="1" applyBorder="1" applyAlignment="1" applyProtection="1">
      <alignment horizontal="center" wrapText="1"/>
      <protection hidden="1"/>
    </xf>
    <xf numFmtId="0" fontId="80" fillId="2" borderId="4" xfId="0" applyFont="1" applyFill="1" applyBorder="1" applyAlignment="1" applyProtection="1">
      <alignment horizontal="center" wrapText="1"/>
      <protection hidden="1"/>
    </xf>
    <xf numFmtId="0" fontId="76" fillId="5" borderId="169" xfId="0" applyNumberFormat="1" applyFont="1" applyFill="1" applyBorder="1" applyAlignment="1" applyProtection="1">
      <alignment horizontal="center" vertical="center" wrapText="1"/>
      <protection hidden="1"/>
    </xf>
    <xf numFmtId="0" fontId="76" fillId="5" borderId="171" xfId="0" applyNumberFormat="1" applyFont="1" applyFill="1" applyBorder="1" applyAlignment="1" applyProtection="1">
      <alignment horizontal="center" vertical="center" wrapText="1"/>
      <protection hidden="1"/>
    </xf>
    <xf numFmtId="0" fontId="76" fillId="5" borderId="170" xfId="0" applyNumberFormat="1" applyFont="1" applyFill="1" applyBorder="1" applyAlignment="1" applyProtection="1">
      <alignment horizontal="center" vertical="center" wrapText="1"/>
      <protection hidden="1"/>
    </xf>
    <xf numFmtId="0" fontId="76" fillId="5" borderId="172" xfId="0" applyNumberFormat="1" applyFont="1" applyFill="1" applyBorder="1" applyAlignment="1" applyProtection="1">
      <alignment horizontal="center" vertical="center" wrapText="1"/>
      <protection hidden="1"/>
    </xf>
    <xf numFmtId="0" fontId="76" fillId="5" borderId="0" xfId="0" applyNumberFormat="1" applyFont="1" applyFill="1" applyBorder="1" applyAlignment="1" applyProtection="1">
      <alignment horizontal="center" vertical="center" wrapText="1"/>
      <protection hidden="1"/>
    </xf>
    <xf numFmtId="0" fontId="76" fillId="5" borderId="173" xfId="0" applyNumberFormat="1" applyFont="1" applyFill="1" applyBorder="1" applyAlignment="1" applyProtection="1">
      <alignment horizontal="center" vertical="center" wrapText="1"/>
      <protection hidden="1"/>
    </xf>
    <xf numFmtId="0" fontId="76" fillId="5" borderId="7" xfId="0" applyNumberFormat="1" applyFont="1" applyFill="1" applyBorder="1" applyAlignment="1" applyProtection="1">
      <alignment horizontal="center" vertical="center" wrapText="1"/>
      <protection hidden="1"/>
    </xf>
    <xf numFmtId="0" fontId="76" fillId="5" borderId="174" xfId="0" applyNumberFormat="1" applyFont="1" applyFill="1" applyBorder="1" applyAlignment="1" applyProtection="1">
      <alignment horizontal="center" vertical="center" wrapText="1"/>
      <protection hidden="1"/>
    </xf>
    <xf numFmtId="0" fontId="76" fillId="5" borderId="6" xfId="0" applyNumberFormat="1" applyFont="1" applyFill="1" applyBorder="1" applyAlignment="1" applyProtection="1">
      <alignment horizontal="center" vertical="center" wrapText="1"/>
      <protection hidden="1"/>
    </xf>
    <xf numFmtId="0" fontId="5" fillId="8" borderId="2" xfId="0" applyFont="1" applyFill="1" applyBorder="1" applyAlignment="1" applyProtection="1">
      <alignment horizontal="center" vertical="center" wrapText="1"/>
      <protection hidden="1"/>
    </xf>
    <xf numFmtId="0" fontId="5" fillId="8" borderId="3" xfId="0" applyFont="1" applyFill="1" applyBorder="1" applyAlignment="1" applyProtection="1">
      <alignment horizontal="center" vertical="center" wrapText="1"/>
      <protection hidden="1"/>
    </xf>
    <xf numFmtId="0" fontId="1" fillId="8" borderId="5" xfId="0" applyFont="1" applyFill="1" applyBorder="1" applyAlignment="1" applyProtection="1">
      <alignment horizontal="center" vertical="center" wrapText="1"/>
      <protection hidden="1"/>
    </xf>
    <xf numFmtId="0" fontId="1" fillId="8" borderId="8" xfId="0" applyFont="1" applyFill="1" applyBorder="1" applyAlignment="1" applyProtection="1">
      <alignment horizontal="center" vertical="center" wrapText="1"/>
      <protection hidden="1"/>
    </xf>
    <xf numFmtId="0" fontId="1" fillId="8" borderId="4" xfId="0" applyFont="1" applyFill="1" applyBorder="1" applyAlignment="1" applyProtection="1">
      <alignment horizontal="center" vertical="center" wrapText="1"/>
      <protection hidden="1"/>
    </xf>
    <xf numFmtId="0" fontId="0" fillId="15" borderId="171" xfId="0" applyFill="1" applyBorder="1" applyAlignment="1" applyProtection="1">
      <alignment horizontal="center" vertical="center" wrapText="1"/>
      <protection hidden="1"/>
    </xf>
    <xf numFmtId="0" fontId="0" fillId="15" borderId="170" xfId="0" applyFill="1" applyBorder="1" applyAlignment="1" applyProtection="1">
      <alignment horizontal="center" vertical="center" wrapText="1"/>
      <protection hidden="1"/>
    </xf>
    <xf numFmtId="0" fontId="0" fillId="15" borderId="0" xfId="0" applyFill="1" applyBorder="1" applyAlignment="1" applyProtection="1">
      <alignment horizontal="center" vertical="center" wrapText="1"/>
      <protection hidden="1"/>
    </xf>
    <xf numFmtId="0" fontId="0" fillId="15" borderId="173" xfId="0" applyFill="1" applyBorder="1" applyAlignment="1" applyProtection="1">
      <alignment horizontal="center" vertical="center" wrapText="1"/>
      <protection hidden="1"/>
    </xf>
    <xf numFmtId="0" fontId="0" fillId="15" borderId="174" xfId="0" applyFill="1" applyBorder="1" applyAlignment="1" applyProtection="1">
      <alignment horizontal="center" vertical="center" wrapText="1"/>
      <protection hidden="1"/>
    </xf>
    <xf numFmtId="0" fontId="0" fillId="15" borderId="6" xfId="0" applyFill="1" applyBorder="1" applyAlignment="1" applyProtection="1">
      <alignment horizontal="center" vertical="center" wrapText="1"/>
      <protection hidden="1"/>
    </xf>
    <xf numFmtId="0" fontId="0" fillId="15" borderId="5" xfId="0" applyFill="1" applyBorder="1" applyAlignment="1" applyProtection="1">
      <alignment horizontal="center" vertical="center" wrapText="1"/>
      <protection hidden="1"/>
    </xf>
    <xf numFmtId="0" fontId="0" fillId="15" borderId="8" xfId="0" applyFill="1" applyBorder="1" applyAlignment="1" applyProtection="1">
      <alignment horizontal="center" vertical="center" wrapText="1"/>
      <protection hidden="1"/>
    </xf>
    <xf numFmtId="0" fontId="0" fillId="15" borderId="4" xfId="0" applyFill="1" applyBorder="1" applyAlignment="1" applyProtection="1">
      <alignment horizontal="center" vertical="center" wrapText="1"/>
      <protection hidden="1"/>
    </xf>
    <xf numFmtId="0" fontId="1" fillId="15" borderId="171" xfId="0" applyFont="1" applyFill="1" applyBorder="1" applyAlignment="1" applyProtection="1">
      <alignment horizontal="center" vertical="center" wrapText="1"/>
      <protection hidden="1"/>
    </xf>
    <xf numFmtId="0" fontId="1" fillId="15" borderId="170" xfId="0" applyFont="1" applyFill="1" applyBorder="1" applyAlignment="1" applyProtection="1">
      <alignment horizontal="center" vertical="center" wrapText="1"/>
      <protection hidden="1"/>
    </xf>
    <xf numFmtId="0" fontId="1" fillId="15" borderId="0" xfId="0" applyFont="1" applyFill="1" applyBorder="1" applyAlignment="1" applyProtection="1">
      <alignment horizontal="center" vertical="center" wrapText="1"/>
      <protection hidden="1"/>
    </xf>
    <xf numFmtId="0" fontId="1" fillId="15" borderId="173" xfId="0" applyFont="1" applyFill="1" applyBorder="1" applyAlignment="1" applyProtection="1">
      <alignment horizontal="center" vertical="center" wrapText="1"/>
      <protection hidden="1"/>
    </xf>
    <xf numFmtId="0" fontId="1" fillId="15" borderId="174" xfId="0" applyFont="1" applyFill="1" applyBorder="1" applyAlignment="1" applyProtection="1">
      <alignment horizontal="center" vertical="center" wrapText="1"/>
      <protection hidden="1"/>
    </xf>
    <xf numFmtId="0" fontId="1" fillId="15" borderId="6" xfId="0" applyFont="1" applyFill="1" applyBorder="1" applyAlignment="1" applyProtection="1">
      <alignment horizontal="center" vertical="center" wrapText="1"/>
      <protection hidden="1"/>
    </xf>
    <xf numFmtId="0" fontId="1" fillId="15" borderId="8" xfId="0" applyFont="1" applyFill="1" applyBorder="1" applyAlignment="1" applyProtection="1">
      <alignment horizontal="center" vertical="center" wrapText="1"/>
      <protection hidden="1"/>
    </xf>
    <xf numFmtId="0" fontId="1" fillId="15" borderId="4" xfId="0" applyFont="1" applyFill="1" applyBorder="1" applyAlignment="1" applyProtection="1">
      <alignment horizontal="center" vertical="center" wrapText="1"/>
      <protection hidden="1"/>
    </xf>
    <xf numFmtId="0" fontId="1" fillId="15" borderId="5" xfId="0" applyFont="1" applyFill="1" applyBorder="1" applyAlignment="1" applyProtection="1">
      <alignment horizontal="center" vertical="center" wrapText="1"/>
      <protection hidden="1"/>
    </xf>
    <xf numFmtId="0" fontId="79" fillId="0" borderId="174" xfId="0" applyFont="1" applyFill="1" applyBorder="1" applyAlignment="1" applyProtection="1">
      <alignment horizontal="center" vertical="center" wrapText="1"/>
      <protection hidden="1"/>
    </xf>
    <xf numFmtId="0" fontId="20" fillId="11" borderId="5" xfId="0" applyFont="1" applyFill="1" applyBorder="1" applyAlignment="1" applyProtection="1">
      <alignment horizontal="center" vertical="center" wrapText="1"/>
      <protection locked="0" hidden="1"/>
    </xf>
    <xf numFmtId="0" fontId="20" fillId="11" borderId="8" xfId="0" applyFont="1" applyFill="1" applyBorder="1" applyAlignment="1" applyProtection="1">
      <alignment horizontal="center" vertical="center" wrapText="1"/>
      <protection locked="0" hidden="1"/>
    </xf>
    <xf numFmtId="0" fontId="20" fillId="11" borderId="4" xfId="0" applyFont="1" applyFill="1" applyBorder="1" applyAlignment="1" applyProtection="1">
      <alignment horizontal="center" vertical="center" wrapText="1"/>
      <protection locked="0" hidden="1"/>
    </xf>
    <xf numFmtId="0" fontId="0" fillId="15" borderId="5" xfId="0" applyFill="1" applyBorder="1" applyAlignment="1" applyProtection="1">
      <alignment horizontal="center" vertical="center" wrapText="1"/>
      <protection locked="0" hidden="1"/>
    </xf>
    <xf numFmtId="0" fontId="0" fillId="15" borderId="8" xfId="0" applyFill="1" applyBorder="1" applyAlignment="1" applyProtection="1">
      <alignment horizontal="center" vertical="center" wrapText="1"/>
      <protection locked="0" hidden="1"/>
    </xf>
    <xf numFmtId="0" fontId="0" fillId="15" borderId="4" xfId="0" applyFill="1" applyBorder="1" applyAlignment="1" applyProtection="1">
      <alignment horizontal="center" vertical="center" wrapText="1"/>
      <protection locked="0" hidden="1"/>
    </xf>
    <xf numFmtId="3" fontId="1" fillId="2" borderId="5" xfId="0" applyNumberFormat="1" applyFont="1" applyFill="1" applyBorder="1" applyAlignment="1" applyProtection="1">
      <alignment horizontal="center" vertical="center" wrapText="1"/>
      <protection locked="0" hidden="1"/>
    </xf>
    <xf numFmtId="3" fontId="1" fillId="2" borderId="4" xfId="0" applyNumberFormat="1" applyFont="1" applyFill="1" applyBorder="1" applyAlignment="1" applyProtection="1">
      <alignment horizontal="center" vertical="center" wrapText="1"/>
      <protection locked="0" hidden="1"/>
    </xf>
    <xf numFmtId="0" fontId="1" fillId="15" borderId="5" xfId="0" applyFont="1" applyFill="1" applyBorder="1" applyAlignment="1" applyProtection="1">
      <alignment horizontal="center" vertical="center" wrapText="1"/>
      <protection locked="0" hidden="1"/>
    </xf>
    <xf numFmtId="0" fontId="1" fillId="15" borderId="4" xfId="0" applyFont="1" applyFill="1" applyBorder="1" applyAlignment="1" applyProtection="1">
      <alignment horizontal="center" vertical="center" wrapText="1"/>
      <protection locked="0" hidden="1"/>
    </xf>
    <xf numFmtId="0" fontId="35" fillId="2" borderId="5" xfId="0" applyFont="1" applyFill="1" applyBorder="1" applyAlignment="1" applyProtection="1">
      <alignment horizontal="left" vertical="center" wrapText="1"/>
      <protection hidden="1"/>
    </xf>
    <xf numFmtId="0" fontId="35" fillId="2" borderId="8" xfId="0" applyFont="1" applyFill="1" applyBorder="1" applyAlignment="1" applyProtection="1">
      <alignment horizontal="left" vertical="center" wrapText="1"/>
      <protection hidden="1"/>
    </xf>
    <xf numFmtId="0" fontId="35" fillId="2" borderId="4" xfId="0" applyFont="1" applyFill="1" applyBorder="1" applyAlignment="1" applyProtection="1">
      <alignment horizontal="left" vertical="center" wrapText="1"/>
      <protection hidden="1"/>
    </xf>
    <xf numFmtId="0" fontId="0" fillId="6" borderId="8" xfId="0" applyFill="1" applyBorder="1" applyAlignment="1" applyProtection="1">
      <alignment horizontal="center" vertical="center" wrapText="1"/>
      <protection hidden="1"/>
    </xf>
    <xf numFmtId="0" fontId="0" fillId="6" borderId="4" xfId="0" applyFill="1" applyBorder="1" applyAlignment="1" applyProtection="1">
      <alignment horizontal="center" vertical="center" wrapText="1"/>
      <protection hidden="1"/>
    </xf>
    <xf numFmtId="0" fontId="65" fillId="21" borderId="171" xfId="0" applyFont="1" applyFill="1" applyBorder="1" applyAlignment="1" applyProtection="1">
      <alignment horizontal="center" wrapText="1"/>
    </xf>
    <xf numFmtId="0" fontId="65" fillId="21" borderId="170" xfId="0" applyFont="1" applyFill="1" applyBorder="1" applyAlignment="1" applyProtection="1">
      <alignment horizontal="center" wrapText="1"/>
    </xf>
    <xf numFmtId="0" fontId="65" fillId="21" borderId="174" xfId="0" applyFont="1" applyFill="1" applyBorder="1" applyAlignment="1" applyProtection="1">
      <alignment horizontal="center" wrapText="1"/>
    </xf>
    <xf numFmtId="0" fontId="65" fillId="21" borderId="6" xfId="0" applyFont="1" applyFill="1" applyBorder="1" applyAlignment="1" applyProtection="1">
      <alignment horizontal="center" wrapText="1"/>
    </xf>
    <xf numFmtId="0" fontId="3" fillId="21" borderId="171" xfId="0" applyFont="1" applyFill="1" applyBorder="1" applyAlignment="1" applyProtection="1">
      <alignment horizontal="center" wrapText="1"/>
    </xf>
    <xf numFmtId="0" fontId="3" fillId="21" borderId="170" xfId="0" applyFont="1" applyFill="1" applyBorder="1" applyAlignment="1" applyProtection="1">
      <alignment horizontal="center" wrapText="1"/>
    </xf>
    <xf numFmtId="0" fontId="3" fillId="21" borderId="174" xfId="0" applyFont="1" applyFill="1" applyBorder="1" applyAlignment="1" applyProtection="1">
      <alignment horizontal="center" wrapText="1"/>
    </xf>
    <xf numFmtId="0" fontId="3" fillId="21" borderId="6" xfId="0" applyFont="1" applyFill="1" applyBorder="1" applyAlignment="1" applyProtection="1">
      <alignment horizontal="center" wrapText="1"/>
    </xf>
    <xf numFmtId="0" fontId="6" fillId="21" borderId="171" xfId="0" applyFont="1" applyFill="1" applyBorder="1" applyAlignment="1" applyProtection="1">
      <alignment horizontal="center" wrapText="1"/>
    </xf>
    <xf numFmtId="0" fontId="6" fillId="21" borderId="170" xfId="0" applyFont="1" applyFill="1" applyBorder="1" applyAlignment="1" applyProtection="1">
      <alignment horizontal="center" wrapText="1"/>
    </xf>
    <xf numFmtId="0" fontId="6" fillId="21" borderId="174" xfId="0" applyFont="1" applyFill="1" applyBorder="1" applyAlignment="1" applyProtection="1">
      <alignment horizontal="center" wrapText="1"/>
    </xf>
    <xf numFmtId="0" fontId="6" fillId="21" borderId="6" xfId="0" applyFont="1" applyFill="1" applyBorder="1" applyAlignment="1" applyProtection="1">
      <alignment horizontal="center" wrapText="1"/>
    </xf>
    <xf numFmtId="0" fontId="77" fillId="21" borderId="8" xfId="0" applyFont="1" applyFill="1" applyBorder="1" applyAlignment="1" applyProtection="1">
      <alignment horizontal="center" wrapText="1"/>
    </xf>
    <xf numFmtId="0" fontId="77" fillId="21" borderId="4" xfId="0" applyFont="1" applyFill="1" applyBorder="1" applyAlignment="1" applyProtection="1">
      <alignment horizontal="center" wrapText="1"/>
    </xf>
    <xf numFmtId="0" fontId="6" fillId="21" borderId="8" xfId="0" applyFont="1" applyFill="1" applyBorder="1" applyAlignment="1" applyProtection="1">
      <alignment horizontal="center" wrapText="1"/>
    </xf>
    <xf numFmtId="0" fontId="6" fillId="21" borderId="4" xfId="0" applyFont="1" applyFill="1" applyBorder="1" applyAlignment="1" applyProtection="1">
      <alignment horizontal="center" wrapText="1"/>
    </xf>
    <xf numFmtId="0" fontId="17" fillId="21" borderId="8" xfId="0" applyFont="1" applyFill="1" applyBorder="1" applyAlignment="1" applyProtection="1">
      <alignment horizontal="center" wrapText="1"/>
    </xf>
    <xf numFmtId="0" fontId="17" fillId="21" borderId="4" xfId="0" applyFont="1" applyFill="1" applyBorder="1" applyAlignment="1" applyProtection="1">
      <alignment horizontal="center" wrapText="1"/>
    </xf>
    <xf numFmtId="0" fontId="0" fillId="21" borderId="8" xfId="0" applyFont="1" applyFill="1" applyBorder="1" applyAlignment="1" applyProtection="1">
      <alignment horizontal="center" wrapText="1"/>
    </xf>
    <xf numFmtId="0" fontId="0" fillId="21" borderId="4" xfId="0" applyFont="1" applyFill="1" applyBorder="1" applyAlignment="1" applyProtection="1">
      <alignment horizontal="center" wrapText="1"/>
    </xf>
    <xf numFmtId="0" fontId="0" fillId="21" borderId="171" xfId="0" applyFill="1" applyBorder="1" applyAlignment="1" applyProtection="1">
      <alignment horizontal="center" wrapText="1"/>
    </xf>
    <xf numFmtId="0" fontId="0" fillId="21" borderId="170" xfId="0" applyFill="1" applyBorder="1" applyAlignment="1" applyProtection="1">
      <alignment horizontal="center" wrapText="1"/>
    </xf>
    <xf numFmtId="0" fontId="0" fillId="21" borderId="174" xfId="0" applyFill="1" applyBorder="1" applyAlignment="1" applyProtection="1">
      <alignment horizontal="center" wrapText="1"/>
    </xf>
    <xf numFmtId="0" fontId="0" fillId="21" borderId="6" xfId="0" applyFill="1" applyBorder="1" applyAlignment="1" applyProtection="1">
      <alignment horizontal="center" wrapText="1"/>
    </xf>
    <xf numFmtId="0" fontId="0" fillId="21" borderId="8" xfId="0" applyFill="1" applyBorder="1" applyAlignment="1" applyProtection="1">
      <alignment horizontal="center" wrapText="1"/>
    </xf>
    <xf numFmtId="0" fontId="0" fillId="21" borderId="4" xfId="0" applyFill="1" applyBorder="1" applyAlignment="1" applyProtection="1">
      <alignment horizontal="center" wrapText="1"/>
    </xf>
    <xf numFmtId="0" fontId="35" fillId="2" borderId="171" xfId="0" applyFont="1" applyFill="1" applyBorder="1" applyAlignment="1">
      <alignment horizontal="center" wrapText="1"/>
    </xf>
    <xf numFmtId="0" fontId="76" fillId="5" borderId="0" xfId="0" applyNumberFormat="1" applyFont="1" applyFill="1" applyBorder="1" applyAlignment="1">
      <alignment horizontal="center" vertical="center" wrapText="1"/>
    </xf>
    <xf numFmtId="0" fontId="17" fillId="21" borderId="171" xfId="0" applyFont="1" applyFill="1" applyBorder="1" applyAlignment="1" applyProtection="1">
      <alignment horizontal="center" wrapText="1"/>
    </xf>
    <xf numFmtId="0" fontId="17" fillId="21" borderId="170" xfId="0" applyFont="1" applyFill="1" applyBorder="1" applyAlignment="1" applyProtection="1">
      <alignment horizontal="center" wrapText="1"/>
    </xf>
    <xf numFmtId="0" fontId="17" fillId="21" borderId="174" xfId="0" applyFont="1" applyFill="1" applyBorder="1" applyAlignment="1" applyProtection="1">
      <alignment horizontal="center" wrapText="1"/>
    </xf>
    <xf numFmtId="0" fontId="17" fillId="21" borderId="6" xfId="0" applyFont="1" applyFill="1" applyBorder="1" applyAlignment="1" applyProtection="1">
      <alignment horizontal="center" wrapText="1"/>
    </xf>
    <xf numFmtId="0" fontId="3" fillId="21" borderId="8" xfId="0" applyFont="1" applyFill="1" applyBorder="1" applyAlignment="1" applyProtection="1">
      <alignment horizontal="center" wrapText="1"/>
    </xf>
    <xf numFmtId="0" fontId="3" fillId="21" borderId="4" xfId="0" applyFont="1" applyFill="1" applyBorder="1" applyAlignment="1" applyProtection="1">
      <alignment horizontal="center" wrapText="1"/>
    </xf>
    <xf numFmtId="0" fontId="0" fillId="21" borderId="169" xfId="0" applyFill="1" applyBorder="1" applyAlignment="1" applyProtection="1">
      <alignment horizontal="center" wrapText="1"/>
    </xf>
    <xf numFmtId="0" fontId="0" fillId="21" borderId="7" xfId="0" applyFill="1" applyBorder="1" applyAlignment="1" applyProtection="1">
      <alignment horizontal="center" wrapText="1"/>
    </xf>
    <xf numFmtId="0" fontId="3" fillId="21" borderId="0" xfId="0" applyFont="1" applyFill="1" applyBorder="1" applyAlignment="1" applyProtection="1">
      <alignment horizontal="center" wrapText="1"/>
    </xf>
    <xf numFmtId="0" fontId="3" fillId="21" borderId="173" xfId="0" applyFont="1" applyFill="1" applyBorder="1" applyAlignment="1" applyProtection="1">
      <alignment horizontal="center" wrapText="1"/>
    </xf>
    <xf numFmtId="0" fontId="0" fillId="21" borderId="8" xfId="0" applyFill="1" applyBorder="1" applyAlignment="1">
      <alignment horizontal="center" wrapText="1"/>
    </xf>
    <xf numFmtId="0" fontId="0" fillId="21" borderId="4" xfId="0" applyFill="1" applyBorder="1" applyAlignment="1">
      <alignment horizontal="center" wrapText="1"/>
    </xf>
    <xf numFmtId="0" fontId="65" fillId="21" borderId="8" xfId="0" applyFont="1" applyFill="1" applyBorder="1" applyAlignment="1" applyProtection="1">
      <alignment horizontal="center" wrapText="1"/>
    </xf>
    <xf numFmtId="0" fontId="65" fillId="21" borderId="4" xfId="0" applyFont="1" applyFill="1" applyBorder="1" applyAlignment="1" applyProtection="1">
      <alignment horizontal="center" wrapText="1"/>
    </xf>
    <xf numFmtId="0" fontId="6" fillId="21" borderId="0" xfId="0" applyFont="1" applyFill="1" applyBorder="1" applyAlignment="1" applyProtection="1">
      <alignment horizontal="center" wrapText="1"/>
    </xf>
    <xf numFmtId="0" fontId="6" fillId="21" borderId="173" xfId="0" applyFont="1" applyFill="1" applyBorder="1" applyAlignment="1" applyProtection="1">
      <alignment horizontal="center" wrapText="1"/>
    </xf>
    <xf numFmtId="3" fontId="17" fillId="21" borderId="8" xfId="0" applyNumberFormat="1" applyFont="1" applyFill="1" applyBorder="1" applyAlignment="1" applyProtection="1">
      <alignment horizontal="center" wrapText="1"/>
    </xf>
    <xf numFmtId="3" fontId="17" fillId="21" borderId="4" xfId="0" applyNumberFormat="1" applyFont="1" applyFill="1" applyBorder="1" applyAlignment="1" applyProtection="1">
      <alignment horizontal="center" wrapText="1"/>
    </xf>
    <xf numFmtId="0" fontId="77" fillId="21" borderId="171" xfId="0" applyFont="1" applyFill="1" applyBorder="1" applyAlignment="1" applyProtection="1">
      <alignment horizontal="center" wrapText="1"/>
    </xf>
    <xf numFmtId="0" fontId="77" fillId="21" borderId="170" xfId="0" applyFont="1" applyFill="1" applyBorder="1" applyAlignment="1" applyProtection="1">
      <alignment horizontal="center" wrapText="1"/>
    </xf>
    <xf numFmtId="0" fontId="77" fillId="21" borderId="0" xfId="0" applyFont="1" applyFill="1" applyBorder="1" applyAlignment="1" applyProtection="1">
      <alignment horizontal="center" wrapText="1"/>
    </xf>
    <xf numFmtId="0" fontId="77" fillId="21" borderId="173" xfId="0" applyFont="1" applyFill="1" applyBorder="1" applyAlignment="1" applyProtection="1">
      <alignment horizontal="center" wrapText="1"/>
    </xf>
    <xf numFmtId="0" fontId="77" fillId="21" borderId="174" xfId="0" applyFont="1" applyFill="1" applyBorder="1" applyAlignment="1" applyProtection="1">
      <alignment horizontal="center" wrapText="1"/>
    </xf>
    <xf numFmtId="0" fontId="77" fillId="21" borderId="6" xfId="0" applyFont="1" applyFill="1" applyBorder="1" applyAlignment="1" applyProtection="1">
      <alignment horizontal="center" wrapText="1"/>
    </xf>
    <xf numFmtId="0" fontId="0" fillId="21" borderId="0" xfId="0" applyFill="1" applyBorder="1" applyAlignment="1" applyProtection="1">
      <alignment horizontal="center" wrapText="1"/>
    </xf>
    <xf numFmtId="0" fontId="0" fillId="21" borderId="173" xfId="0" applyFill="1" applyBorder="1" applyAlignment="1" applyProtection="1">
      <alignment horizontal="center" wrapText="1"/>
    </xf>
    <xf numFmtId="0" fontId="30" fillId="11" borderId="115" xfId="0" applyFont="1" applyFill="1" applyBorder="1" applyAlignment="1" applyProtection="1">
      <alignment horizontal="right" vertical="center" wrapText="1"/>
      <protection hidden="1"/>
    </xf>
    <xf numFmtId="0" fontId="30" fillId="11" borderId="116" xfId="0" applyFont="1" applyFill="1" applyBorder="1" applyAlignment="1" applyProtection="1">
      <alignment horizontal="right" vertical="center" wrapText="1"/>
      <protection hidden="1"/>
    </xf>
    <xf numFmtId="0" fontId="30" fillId="11" borderId="111" xfId="0" applyFont="1" applyFill="1" applyBorder="1" applyAlignment="1" applyProtection="1">
      <alignment horizontal="right" vertical="center" wrapText="1"/>
      <protection hidden="1"/>
    </xf>
    <xf numFmtId="0" fontId="29" fillId="0" borderId="19" xfId="0" applyFont="1" applyFill="1" applyBorder="1" applyAlignment="1" applyProtection="1">
      <alignment horizontal="left" vertical="center" wrapText="1"/>
      <protection locked="0"/>
    </xf>
    <xf numFmtId="0" fontId="29" fillId="0" borderId="21" xfId="0" applyFont="1" applyFill="1" applyBorder="1" applyAlignment="1" applyProtection="1">
      <alignment horizontal="left" vertical="center" wrapText="1"/>
      <protection locked="0"/>
    </xf>
    <xf numFmtId="0" fontId="29" fillId="0" borderId="113" xfId="0" applyFont="1" applyFill="1" applyBorder="1" applyAlignment="1" applyProtection="1">
      <alignment horizontal="left" vertical="center" wrapText="1"/>
      <protection locked="0"/>
    </xf>
    <xf numFmtId="0" fontId="29" fillId="0" borderId="114" xfId="0" applyFont="1" applyFill="1" applyBorder="1" applyAlignment="1" applyProtection="1">
      <alignment horizontal="left" vertical="center" wrapText="1"/>
      <protection locked="0"/>
    </xf>
    <xf numFmtId="0" fontId="26" fillId="5" borderId="52" xfId="0" applyFont="1" applyFill="1" applyBorder="1" applyAlignment="1" applyProtection="1">
      <alignment horizontal="center" vertical="center"/>
      <protection hidden="1"/>
    </xf>
    <xf numFmtId="0" fontId="20" fillId="10" borderId="31" xfId="0" applyFont="1" applyFill="1" applyBorder="1" applyAlignment="1" applyProtection="1">
      <alignment horizontal="left" vertical="center" wrapText="1"/>
      <protection hidden="1"/>
    </xf>
    <xf numFmtId="0" fontId="20" fillId="10" borderId="142" xfId="0" applyFont="1" applyFill="1" applyBorder="1" applyAlignment="1" applyProtection="1">
      <alignment horizontal="left" vertical="center" wrapText="1"/>
      <protection hidden="1"/>
    </xf>
    <xf numFmtId="0" fontId="20" fillId="10" borderId="112" xfId="0" applyFont="1" applyFill="1" applyBorder="1" applyAlignment="1" applyProtection="1">
      <alignment horizontal="left" vertical="center" wrapText="1"/>
      <protection hidden="1"/>
    </xf>
    <xf numFmtId="0" fontId="20" fillId="10" borderId="45" xfId="0" applyFont="1" applyFill="1" applyBorder="1" applyAlignment="1" applyProtection="1">
      <alignment horizontal="left" vertical="center" wrapText="1"/>
      <protection hidden="1"/>
    </xf>
    <xf numFmtId="0" fontId="25" fillId="10" borderId="102" xfId="0" applyFont="1" applyFill="1" applyBorder="1" applyAlignment="1" applyProtection="1">
      <alignment horizontal="right" vertical="center" wrapText="1"/>
      <protection hidden="1"/>
    </xf>
    <xf numFmtId="0" fontId="25" fillId="10" borderId="107" xfId="0" applyFont="1" applyFill="1" applyBorder="1" applyAlignment="1" applyProtection="1">
      <alignment horizontal="right" vertical="center" wrapText="1"/>
      <protection hidden="1"/>
    </xf>
    <xf numFmtId="0" fontId="25" fillId="10" borderId="112" xfId="0" applyFont="1" applyFill="1" applyBorder="1" applyAlignment="1" applyProtection="1">
      <alignment horizontal="center" vertical="center" wrapText="1"/>
      <protection hidden="1"/>
    </xf>
    <xf numFmtId="0" fontId="25" fillId="10" borderId="45" xfId="0" applyFont="1" applyFill="1" applyBorder="1" applyAlignment="1" applyProtection="1">
      <alignment horizontal="center" vertical="center" wrapText="1"/>
      <protection hidden="1"/>
    </xf>
    <xf numFmtId="0" fontId="25" fillId="10" borderId="120" xfId="0" applyFont="1" applyFill="1" applyBorder="1" applyAlignment="1" applyProtection="1">
      <alignment horizontal="center" vertical="center" wrapText="1"/>
      <protection hidden="1"/>
    </xf>
    <xf numFmtId="0" fontId="25" fillId="10" borderId="107" xfId="0" applyFont="1" applyFill="1" applyBorder="1" applyAlignment="1" applyProtection="1">
      <alignment horizontal="center" vertical="center" wrapText="1"/>
      <protection hidden="1"/>
    </xf>
    <xf numFmtId="0" fontId="1" fillId="11" borderId="50" xfId="0" applyFont="1" applyFill="1" applyBorder="1" applyAlignment="1" applyProtection="1">
      <alignment horizontal="left" vertical="center" wrapText="1"/>
      <protection hidden="1"/>
    </xf>
    <xf numFmtId="0" fontId="1" fillId="11" borderId="25" xfId="0" applyFont="1" applyFill="1" applyBorder="1" applyAlignment="1" applyProtection="1">
      <alignment horizontal="left" vertical="center" wrapText="1"/>
      <protection hidden="1"/>
    </xf>
    <xf numFmtId="0" fontId="30" fillId="11" borderId="19" xfId="0" applyFont="1" applyFill="1" applyBorder="1" applyAlignment="1" applyProtection="1">
      <alignment horizontal="left" vertical="center" wrapText="1"/>
      <protection hidden="1"/>
    </xf>
    <xf numFmtId="0" fontId="30" fillId="11" borderId="21" xfId="0" applyFont="1" applyFill="1" applyBorder="1" applyAlignment="1" applyProtection="1">
      <alignment horizontal="left" vertical="center" wrapText="1"/>
      <protection hidden="1"/>
    </xf>
    <xf numFmtId="0" fontId="25" fillId="11" borderId="19" xfId="0" applyFont="1" applyFill="1" applyBorder="1" applyAlignment="1" applyProtection="1">
      <alignment horizontal="left" vertical="center" wrapText="1"/>
      <protection hidden="1"/>
    </xf>
    <xf numFmtId="0" fontId="25" fillId="11" borderId="21" xfId="0" applyFont="1" applyFill="1" applyBorder="1" applyAlignment="1" applyProtection="1">
      <alignment horizontal="left" vertical="center" wrapText="1"/>
      <protection hidden="1"/>
    </xf>
    <xf numFmtId="0" fontId="28" fillId="11" borderId="19" xfId="0" applyFont="1" applyFill="1" applyBorder="1" applyAlignment="1" applyProtection="1">
      <alignment horizontal="left" vertical="center" wrapText="1"/>
      <protection hidden="1"/>
    </xf>
    <xf numFmtId="0" fontId="28" fillId="11" borderId="21" xfId="0" applyFont="1" applyFill="1" applyBorder="1" applyAlignment="1" applyProtection="1">
      <alignment horizontal="left" vertical="center" wrapText="1"/>
      <protection hidden="1"/>
    </xf>
    <xf numFmtId="0" fontId="28" fillId="11" borderId="39" xfId="0" applyFont="1" applyFill="1" applyBorder="1" applyAlignment="1" applyProtection="1">
      <alignment horizontal="left" vertical="center" wrapText="1"/>
      <protection hidden="1"/>
    </xf>
    <xf numFmtId="0" fontId="28" fillId="11" borderId="41" xfId="0" applyFont="1" applyFill="1" applyBorder="1" applyAlignment="1" applyProtection="1">
      <alignment horizontal="left" vertical="center" wrapText="1"/>
      <protection hidden="1"/>
    </xf>
    <xf numFmtId="0" fontId="25" fillId="0" borderId="42" xfId="0" applyFont="1" applyFill="1" applyBorder="1" applyAlignment="1" applyProtection="1">
      <alignment horizontal="left" vertical="center" wrapText="1"/>
      <protection locked="0"/>
    </xf>
    <xf numFmtId="0" fontId="25" fillId="0" borderId="40" xfId="0" applyFont="1" applyFill="1" applyBorder="1" applyAlignment="1" applyProtection="1">
      <alignment horizontal="left" vertical="center" wrapText="1"/>
      <protection locked="0"/>
    </xf>
    <xf numFmtId="0" fontId="25" fillId="0" borderId="41" xfId="0" applyFont="1" applyFill="1" applyBorder="1" applyAlignment="1" applyProtection="1">
      <alignment horizontal="left" vertical="center" wrapText="1"/>
      <protection locked="0"/>
    </xf>
    <xf numFmtId="0" fontId="25" fillId="0" borderId="22" xfId="0" applyFont="1" applyFill="1" applyBorder="1" applyAlignment="1" applyProtection="1">
      <alignment horizontal="left" vertical="center" wrapText="1"/>
      <protection locked="0"/>
    </xf>
    <xf numFmtId="0" fontId="28" fillId="11" borderId="115" xfId="0" applyFont="1" applyFill="1" applyBorder="1" applyAlignment="1" applyProtection="1">
      <alignment horizontal="center" vertical="center" wrapText="1"/>
      <protection hidden="1"/>
    </xf>
    <xf numFmtId="0" fontId="28" fillId="11" borderId="116" xfId="0" applyFont="1" applyFill="1" applyBorder="1" applyAlignment="1" applyProtection="1">
      <alignment horizontal="center" vertical="center" wrapText="1"/>
      <protection hidden="1"/>
    </xf>
    <xf numFmtId="0" fontId="28" fillId="11" borderId="111" xfId="0" applyFont="1" applyFill="1" applyBorder="1" applyAlignment="1" applyProtection="1">
      <alignment horizontal="center" vertical="center" wrapText="1"/>
      <protection hidden="1"/>
    </xf>
    <xf numFmtId="0" fontId="25" fillId="10" borderId="14" xfId="0" applyFont="1" applyFill="1" applyBorder="1" applyAlignment="1" applyProtection="1">
      <alignment horizontal="center" vertical="center" wrapText="1"/>
      <protection hidden="1"/>
    </xf>
    <xf numFmtId="0" fontId="25" fillId="10" borderId="15" xfId="0" applyFont="1" applyFill="1" applyBorder="1" applyAlignment="1" applyProtection="1">
      <alignment horizontal="center" vertical="center" wrapText="1"/>
      <protection hidden="1"/>
    </xf>
    <xf numFmtId="0" fontId="29" fillId="0" borderId="20" xfId="0" applyFont="1" applyFill="1" applyBorder="1" applyAlignment="1" applyProtection="1">
      <alignment horizontal="left" vertical="center" wrapText="1"/>
      <protection locked="0"/>
    </xf>
    <xf numFmtId="3" fontId="29" fillId="0" borderId="113" xfId="0" applyNumberFormat="1" applyFont="1" applyFill="1" applyBorder="1" applyAlignment="1" applyProtection="1">
      <alignment horizontal="left" vertical="center" wrapText="1"/>
      <protection locked="0"/>
    </xf>
    <xf numFmtId="0" fontId="29" fillId="0" borderId="131" xfId="0" applyFont="1" applyFill="1" applyBorder="1" applyAlignment="1" applyProtection="1">
      <alignment horizontal="left" vertical="center" wrapText="1"/>
      <protection locked="0"/>
    </xf>
    <xf numFmtId="0" fontId="28" fillId="11" borderId="123" xfId="0" applyFont="1" applyFill="1" applyBorder="1" applyAlignment="1" applyProtection="1">
      <alignment horizontal="center" vertical="center" wrapText="1"/>
      <protection hidden="1"/>
    </xf>
    <xf numFmtId="0" fontId="28" fillId="11" borderId="124" xfId="0" applyFont="1" applyFill="1" applyBorder="1" applyAlignment="1" applyProtection="1">
      <alignment horizontal="center" vertical="center" wrapText="1"/>
      <protection hidden="1"/>
    </xf>
    <xf numFmtId="0" fontId="26" fillId="5" borderId="0" xfId="0" applyFont="1" applyFill="1" applyBorder="1" applyAlignment="1" applyProtection="1">
      <alignment horizontal="center" vertical="center"/>
      <protection hidden="1"/>
    </xf>
    <xf numFmtId="0" fontId="40" fillId="5" borderId="52" xfId="0" applyFont="1" applyFill="1" applyBorder="1" applyAlignment="1" applyProtection="1">
      <alignment horizontal="center" vertical="center"/>
      <protection hidden="1"/>
    </xf>
    <xf numFmtId="0" fontId="25" fillId="10" borderId="115" xfId="0" applyFont="1" applyFill="1" applyBorder="1" applyAlignment="1" applyProtection="1">
      <alignment horizontal="left" vertical="center" wrapText="1"/>
      <protection hidden="1"/>
    </xf>
    <xf numFmtId="0" fontId="25" fillId="10" borderId="116" xfId="0" applyFont="1" applyFill="1" applyBorder="1" applyAlignment="1" applyProtection="1">
      <alignment horizontal="left" vertical="center" wrapText="1"/>
      <protection hidden="1"/>
    </xf>
    <xf numFmtId="0" fontId="25" fillId="10" borderId="111" xfId="0" applyFont="1" applyFill="1" applyBorder="1" applyAlignment="1" applyProtection="1">
      <alignment horizontal="left" vertical="center" wrapText="1"/>
      <protection hidden="1"/>
    </xf>
    <xf numFmtId="0" fontId="25" fillId="11" borderId="127" xfId="0" applyFont="1" applyFill="1" applyBorder="1" applyAlignment="1" applyProtection="1">
      <alignment horizontal="left" vertical="center" wrapText="1"/>
      <protection hidden="1"/>
    </xf>
    <xf numFmtId="0" fontId="25" fillId="11" borderId="128" xfId="0" applyFont="1" applyFill="1" applyBorder="1" applyAlignment="1" applyProtection="1">
      <alignment horizontal="left" vertical="center" wrapText="1"/>
      <protection hidden="1"/>
    </xf>
    <xf numFmtId="0" fontId="25" fillId="11" borderId="123" xfId="0" applyFont="1" applyFill="1" applyBorder="1" applyAlignment="1" applyProtection="1">
      <alignment horizontal="left" vertical="center" wrapText="1"/>
      <protection hidden="1"/>
    </xf>
    <xf numFmtId="0" fontId="25" fillId="11" borderId="124" xfId="0" applyFont="1" applyFill="1" applyBorder="1" applyAlignment="1" applyProtection="1">
      <alignment horizontal="left" vertical="center" wrapText="1"/>
      <protection hidden="1"/>
    </xf>
    <xf numFmtId="0" fontId="26" fillId="5" borderId="52" xfId="0" applyFont="1" applyFill="1" applyBorder="1" applyAlignment="1" applyProtection="1">
      <alignment horizontal="left" vertical="center"/>
      <protection hidden="1"/>
    </xf>
    <xf numFmtId="0" fontId="25" fillId="10" borderId="138" xfId="0" applyFont="1" applyFill="1" applyBorder="1" applyAlignment="1" applyProtection="1">
      <alignment horizontal="center" vertical="center" wrapText="1"/>
      <protection hidden="1"/>
    </xf>
    <xf numFmtId="0" fontId="25" fillId="11" borderId="121" xfId="0" applyFont="1" applyFill="1" applyBorder="1" applyAlignment="1" applyProtection="1">
      <alignment horizontal="left" vertical="center" wrapText="1"/>
      <protection hidden="1"/>
    </xf>
    <xf numFmtId="0" fontId="25" fillId="11" borderId="122" xfId="0" applyFont="1" applyFill="1" applyBorder="1" applyAlignment="1" applyProtection="1">
      <alignment horizontal="left" vertical="center" wrapText="1"/>
      <protection hidden="1"/>
    </xf>
    <xf numFmtId="0" fontId="25" fillId="11" borderId="34" xfId="0" applyFont="1" applyFill="1" applyBorder="1" applyAlignment="1" applyProtection="1">
      <alignment horizontal="left" vertical="center" wrapText="1"/>
      <protection hidden="1"/>
    </xf>
    <xf numFmtId="0" fontId="25" fillId="11" borderId="37" xfId="0" applyFont="1" applyFill="1" applyBorder="1" applyAlignment="1" applyProtection="1">
      <alignment horizontal="left" vertical="center" wrapText="1"/>
      <protection hidden="1"/>
    </xf>
    <xf numFmtId="0" fontId="25" fillId="11" borderId="125" xfId="0" applyFont="1" applyFill="1" applyBorder="1" applyAlignment="1" applyProtection="1">
      <alignment horizontal="left" vertical="center" wrapText="1"/>
      <protection hidden="1"/>
    </xf>
    <xf numFmtId="0" fontId="25" fillId="11" borderId="126" xfId="0" applyFont="1" applyFill="1" applyBorder="1" applyAlignment="1" applyProtection="1">
      <alignment horizontal="left" vertical="center" wrapText="1"/>
      <protection hidden="1"/>
    </xf>
    <xf numFmtId="0" fontId="28" fillId="11" borderId="115" xfId="0" applyFont="1" applyFill="1" applyBorder="1" applyAlignment="1" applyProtection="1">
      <alignment horizontal="right" vertical="center" wrapText="1"/>
      <protection hidden="1"/>
    </xf>
    <xf numFmtId="0" fontId="28" fillId="11" borderId="111" xfId="0" applyFont="1" applyFill="1" applyBorder="1" applyAlignment="1" applyProtection="1">
      <alignment horizontal="right" vertical="center" wrapText="1"/>
      <protection hidden="1"/>
    </xf>
    <xf numFmtId="0" fontId="25" fillId="10" borderId="34" xfId="0" applyFont="1" applyFill="1" applyBorder="1" applyAlignment="1" applyProtection="1">
      <alignment horizontal="center" vertical="center" wrapText="1"/>
      <protection hidden="1"/>
    </xf>
    <xf numFmtId="0" fontId="25" fillId="10" borderId="37" xfId="0" applyFont="1" applyFill="1" applyBorder="1" applyAlignment="1" applyProtection="1">
      <alignment horizontal="center" vertical="center" wrapText="1"/>
      <protection hidden="1"/>
    </xf>
    <xf numFmtId="0" fontId="30" fillId="11" borderId="113" xfId="0" applyFont="1" applyFill="1" applyBorder="1" applyAlignment="1" applyProtection="1">
      <alignment horizontal="left" vertical="center" wrapText="1"/>
      <protection hidden="1"/>
    </xf>
    <xf numFmtId="0" fontId="30" fillId="11" borderId="114" xfId="0" applyFont="1" applyFill="1" applyBorder="1" applyAlignment="1" applyProtection="1">
      <alignment horizontal="left" vertical="center" wrapText="1"/>
      <protection hidden="1"/>
    </xf>
    <xf numFmtId="0" fontId="28" fillId="11" borderId="36" xfId="0" applyFont="1" applyFill="1" applyBorder="1" applyAlignment="1" applyProtection="1">
      <alignment horizontal="left" vertical="center" wrapText="1"/>
      <protection hidden="1"/>
    </xf>
    <xf numFmtId="0" fontId="25" fillId="0" borderId="39" xfId="0" applyFont="1" applyFill="1" applyBorder="1" applyAlignment="1" applyProtection="1">
      <alignment horizontal="center" vertical="center" wrapText="1"/>
      <protection hidden="1"/>
    </xf>
    <xf numFmtId="0" fontId="25" fillId="0" borderId="41" xfId="0" applyFont="1" applyFill="1" applyBorder="1" applyAlignment="1" applyProtection="1">
      <alignment horizontal="center" vertical="center" wrapText="1"/>
      <protection hidden="1"/>
    </xf>
    <xf numFmtId="0" fontId="29" fillId="11" borderId="113" xfId="0" applyFont="1" applyFill="1" applyBorder="1" applyAlignment="1" applyProtection="1">
      <alignment horizontal="left" vertical="center" wrapText="1"/>
      <protection hidden="1"/>
    </xf>
    <xf numFmtId="0" fontId="29" fillId="11" borderId="114" xfId="0" applyFont="1" applyFill="1" applyBorder="1" applyAlignment="1" applyProtection="1">
      <alignment horizontal="left" vertical="center" wrapText="1"/>
      <protection hidden="1"/>
    </xf>
    <xf numFmtId="0" fontId="25" fillId="11" borderId="36" xfId="0" applyFont="1" applyFill="1" applyBorder="1" applyAlignment="1" applyProtection="1">
      <alignment horizontal="left" vertical="center" wrapText="1"/>
      <protection hidden="1"/>
    </xf>
    <xf numFmtId="0" fontId="25" fillId="11" borderId="39" xfId="0" applyFont="1" applyFill="1" applyBorder="1" applyAlignment="1" applyProtection="1">
      <alignment horizontal="left" vertical="center" wrapText="1"/>
      <protection hidden="1"/>
    </xf>
    <xf numFmtId="0" fontId="25" fillId="11" borderId="41" xfId="0" applyFont="1" applyFill="1" applyBorder="1" applyAlignment="1" applyProtection="1">
      <alignment horizontal="left" vertical="center" wrapText="1"/>
      <protection hidden="1"/>
    </xf>
    <xf numFmtId="0" fontId="30" fillId="11" borderId="115" xfId="0" applyFont="1" applyFill="1" applyBorder="1" applyAlignment="1" applyProtection="1">
      <alignment horizontal="left" vertical="center" wrapText="1"/>
      <protection hidden="1"/>
    </xf>
    <xf numFmtId="0" fontId="30" fillId="11" borderId="111" xfId="0" applyFont="1" applyFill="1" applyBorder="1" applyAlignment="1" applyProtection="1">
      <alignment horizontal="left" vertical="center" wrapText="1"/>
      <protection hidden="1"/>
    </xf>
    <xf numFmtId="0" fontId="25" fillId="10" borderId="0" xfId="0" applyFont="1" applyFill="1" applyBorder="1" applyAlignment="1" applyProtection="1">
      <alignment horizontal="center" vertical="center" wrapText="1"/>
      <protection hidden="1"/>
    </xf>
    <xf numFmtId="0" fontId="25" fillId="10" borderId="52" xfId="0" applyFont="1" applyFill="1" applyBorder="1" applyAlignment="1" applyProtection="1">
      <alignment horizontal="center" vertical="center" wrapText="1"/>
      <protection hidden="1"/>
    </xf>
    <xf numFmtId="0" fontId="19" fillId="10" borderId="107" xfId="0" applyFont="1" applyFill="1" applyBorder="1" applyAlignment="1" applyProtection="1">
      <alignment horizontal="center" vertical="center" wrapText="1"/>
      <protection hidden="1"/>
    </xf>
    <xf numFmtId="0" fontId="25" fillId="10" borderId="100" xfId="0" applyFont="1" applyFill="1" applyBorder="1" applyAlignment="1" applyProtection="1">
      <alignment horizontal="center" vertical="center" wrapText="1"/>
      <protection hidden="1"/>
    </xf>
    <xf numFmtId="0" fontId="25" fillId="0" borderId="36" xfId="0" applyFont="1" applyFill="1" applyBorder="1" applyAlignment="1" applyProtection="1">
      <alignment horizontal="left" vertical="center" wrapText="1"/>
      <protection locked="0"/>
    </xf>
    <xf numFmtId="0" fontId="25" fillId="0" borderId="21" xfId="0" applyFont="1" applyFill="1" applyBorder="1" applyAlignment="1" applyProtection="1">
      <alignment horizontal="left" vertical="center" wrapText="1"/>
      <protection locked="0"/>
    </xf>
    <xf numFmtId="0" fontId="25" fillId="0" borderId="19" xfId="0" applyFont="1" applyFill="1" applyBorder="1" applyAlignment="1" applyProtection="1">
      <alignment horizontal="left" vertical="center" wrapText="1"/>
      <protection locked="0"/>
    </xf>
    <xf numFmtId="0" fontId="25" fillId="0" borderId="23" xfId="0" applyFont="1" applyFill="1" applyBorder="1" applyAlignment="1" applyProtection="1">
      <alignment horizontal="left" vertical="center" wrapText="1"/>
      <protection locked="0"/>
    </xf>
    <xf numFmtId="0" fontId="25" fillId="10" borderId="34" xfId="0" applyFont="1" applyFill="1" applyBorder="1" applyAlignment="1" applyProtection="1">
      <alignment horizontal="left" vertical="center" wrapText="1"/>
      <protection hidden="1"/>
    </xf>
    <xf numFmtId="0" fontId="25" fillId="10" borderId="9" xfId="0" applyFont="1" applyFill="1" applyBorder="1" applyAlignment="1" applyProtection="1">
      <alignment horizontal="left" vertical="center" wrapText="1"/>
      <protection hidden="1"/>
    </xf>
    <xf numFmtId="0" fontId="25" fillId="10" borderId="112" xfId="0" applyFont="1" applyFill="1" applyBorder="1" applyAlignment="1" applyProtection="1">
      <alignment horizontal="left" vertical="center" wrapText="1"/>
      <protection hidden="1"/>
    </xf>
    <xf numFmtId="0" fontId="25" fillId="10" borderId="44" xfId="0" applyFont="1" applyFill="1" applyBorder="1" applyAlignment="1" applyProtection="1">
      <alignment horizontal="left" vertical="center" wrapText="1"/>
      <protection hidden="1"/>
    </xf>
    <xf numFmtId="0" fontId="25" fillId="10" borderId="137" xfId="0" applyFont="1" applyFill="1" applyBorder="1" applyAlignment="1" applyProtection="1">
      <alignment horizontal="left" vertical="center" wrapText="1"/>
      <protection hidden="1"/>
    </xf>
    <xf numFmtId="0" fontId="25" fillId="10" borderId="103" xfId="0" applyFont="1" applyFill="1" applyBorder="1" applyAlignment="1" applyProtection="1">
      <alignment horizontal="left" vertical="center" wrapText="1"/>
      <protection hidden="1"/>
    </xf>
    <xf numFmtId="0" fontId="25" fillId="10" borderId="13" xfId="0" applyFont="1" applyFill="1" applyBorder="1" applyAlignment="1" applyProtection="1">
      <alignment horizontal="right" vertical="center" wrapText="1"/>
      <protection hidden="1"/>
    </xf>
    <xf numFmtId="0" fontId="25" fillId="10" borderId="43" xfId="0" applyFont="1" applyFill="1" applyBorder="1" applyAlignment="1" applyProtection="1">
      <alignment horizontal="right" vertical="center" wrapText="1"/>
      <protection hidden="1"/>
    </xf>
    <xf numFmtId="0" fontId="25" fillId="10" borderId="43" xfId="0" applyFont="1" applyFill="1" applyBorder="1" applyAlignment="1" applyProtection="1">
      <alignment horizontal="center" vertical="center" wrapText="1"/>
      <protection hidden="1"/>
    </xf>
    <xf numFmtId="0" fontId="25" fillId="10" borderId="120" xfId="0" applyFont="1" applyFill="1" applyBorder="1" applyAlignment="1" applyProtection="1">
      <alignment horizontal="right" vertical="center" wrapText="1"/>
      <protection hidden="1"/>
    </xf>
    <xf numFmtId="0" fontId="25" fillId="10" borderId="120" xfId="0" applyFont="1" applyFill="1" applyBorder="1" applyAlignment="1" applyProtection="1">
      <alignment horizontal="left" vertical="center" wrapText="1"/>
      <protection hidden="1"/>
    </xf>
    <xf numFmtId="0" fontId="25" fillId="10" borderId="107" xfId="0" applyFont="1" applyFill="1" applyBorder="1" applyAlignment="1" applyProtection="1">
      <alignment horizontal="left" vertical="center" wrapText="1"/>
      <protection hidden="1"/>
    </xf>
    <xf numFmtId="0" fontId="25" fillId="10" borderId="105" xfId="0" applyFont="1" applyFill="1" applyBorder="1" applyAlignment="1" applyProtection="1">
      <alignment horizontal="left" vertical="center" wrapText="1"/>
      <protection hidden="1"/>
    </xf>
    <xf numFmtId="0" fontId="25" fillId="10" borderId="143" xfId="0" applyFont="1" applyFill="1" applyBorder="1" applyAlignment="1" applyProtection="1">
      <alignment horizontal="right" vertical="center" wrapText="1"/>
      <protection hidden="1"/>
    </xf>
    <xf numFmtId="0" fontId="25" fillId="10" borderId="103" xfId="0" applyFont="1" applyFill="1" applyBorder="1" applyAlignment="1" applyProtection="1">
      <alignment horizontal="right" vertical="center" wrapText="1"/>
      <protection hidden="1"/>
    </xf>
    <xf numFmtId="0" fontId="28" fillId="11" borderId="117" xfId="0" applyFont="1" applyFill="1" applyBorder="1" applyAlignment="1" applyProtection="1">
      <alignment horizontal="center" vertical="center" wrapText="1"/>
      <protection hidden="1"/>
    </xf>
    <xf numFmtId="0" fontId="33" fillId="8" borderId="0" xfId="4" applyFont="1" applyFill="1" applyBorder="1" applyAlignment="1" applyProtection="1">
      <alignment horizontal="center"/>
      <protection hidden="1"/>
    </xf>
    <xf numFmtId="0" fontId="29" fillId="11" borderId="19" xfId="0" applyFont="1" applyFill="1" applyBorder="1" applyAlignment="1" applyProtection="1">
      <alignment horizontal="left" vertical="center" wrapText="1"/>
      <protection hidden="1"/>
    </xf>
    <xf numFmtId="0" fontId="29" fillId="11" borderId="21" xfId="0" applyFont="1" applyFill="1" applyBorder="1" applyAlignment="1" applyProtection="1">
      <alignment horizontal="left" vertical="center" wrapText="1"/>
      <protection hidden="1"/>
    </xf>
    <xf numFmtId="0" fontId="46" fillId="5" borderId="0" xfId="0" applyFont="1" applyFill="1" applyBorder="1" applyAlignment="1" applyProtection="1">
      <alignment horizontal="left" vertical="center"/>
      <protection hidden="1"/>
    </xf>
    <xf numFmtId="0" fontId="46" fillId="5" borderId="0" xfId="0" applyFont="1" applyFill="1" applyBorder="1" applyAlignment="1" applyProtection="1">
      <alignment horizontal="center" vertical="center"/>
      <protection hidden="1"/>
    </xf>
    <xf numFmtId="0" fontId="0" fillId="2" borderId="164" xfId="0" applyFill="1" applyBorder="1" applyAlignment="1" applyProtection="1">
      <alignment horizontal="center" vertical="center"/>
      <protection hidden="1"/>
    </xf>
    <xf numFmtId="10" fontId="47" fillId="0" borderId="154" xfId="0" applyNumberFormat="1" applyFont="1" applyBorder="1" applyAlignment="1" applyProtection="1">
      <alignment horizontal="center" vertical="center"/>
      <protection hidden="1"/>
    </xf>
    <xf numFmtId="10" fontId="47" fillId="0" borderId="167" xfId="0" applyNumberFormat="1" applyFont="1" applyBorder="1" applyAlignment="1" applyProtection="1">
      <alignment horizontal="center" vertical="center"/>
      <protection hidden="1"/>
    </xf>
    <xf numFmtId="10" fontId="47" fillId="0" borderId="165" xfId="0" applyNumberFormat="1" applyFont="1" applyBorder="1" applyAlignment="1" applyProtection="1">
      <alignment horizontal="center" vertical="center"/>
      <protection hidden="1"/>
    </xf>
    <xf numFmtId="10" fontId="47" fillId="0" borderId="155" xfId="0" applyNumberFormat="1" applyFont="1" applyBorder="1" applyAlignment="1" applyProtection="1">
      <alignment horizontal="center" vertical="center"/>
      <protection hidden="1"/>
    </xf>
    <xf numFmtId="10" fontId="47" fillId="0" borderId="157" xfId="0" applyNumberFormat="1" applyFont="1" applyBorder="1" applyAlignment="1" applyProtection="1">
      <alignment horizontal="center" vertical="center"/>
      <protection hidden="1"/>
    </xf>
    <xf numFmtId="10" fontId="47" fillId="0" borderId="148" xfId="0" applyNumberFormat="1" applyFont="1" applyBorder="1" applyAlignment="1" applyProtection="1">
      <alignment horizontal="center" vertical="center"/>
      <protection hidden="1"/>
    </xf>
    <xf numFmtId="9" fontId="62" fillId="0" borderId="155" xfId="0" applyNumberFormat="1" applyFont="1" applyBorder="1" applyAlignment="1" applyProtection="1">
      <alignment horizontal="center" vertical="center" wrapText="1"/>
      <protection hidden="1"/>
    </xf>
    <xf numFmtId="9" fontId="62" fillId="0" borderId="157" xfId="0" applyNumberFormat="1" applyFont="1" applyBorder="1" applyAlignment="1" applyProtection="1">
      <alignment horizontal="center" vertical="center" wrapText="1"/>
      <protection hidden="1"/>
    </xf>
    <xf numFmtId="9" fontId="62" fillId="0" borderId="148" xfId="0" applyNumberFormat="1" applyFont="1" applyBorder="1" applyAlignment="1" applyProtection="1">
      <alignment horizontal="center" vertical="center" wrapText="1"/>
      <protection hidden="1"/>
    </xf>
    <xf numFmtId="0" fontId="0" fillId="0" borderId="155" xfId="0" applyBorder="1" applyAlignment="1" applyProtection="1">
      <alignment horizontal="center" vertical="center"/>
      <protection hidden="1"/>
    </xf>
    <xf numFmtId="0" fontId="0" fillId="0" borderId="157" xfId="0" applyBorder="1" applyAlignment="1" applyProtection="1">
      <alignment horizontal="center" vertical="center"/>
      <protection hidden="1"/>
    </xf>
    <xf numFmtId="0" fontId="0" fillId="0" borderId="148" xfId="0" applyBorder="1" applyAlignment="1" applyProtection="1">
      <alignment horizontal="center" vertical="center"/>
      <protection hidden="1"/>
    </xf>
    <xf numFmtId="0" fontId="35" fillId="2" borderId="168" xfId="0" applyFont="1" applyFill="1" applyBorder="1" applyAlignment="1" applyProtection="1">
      <alignment horizontal="center" wrapText="1"/>
      <protection hidden="1"/>
    </xf>
    <xf numFmtId="0" fontId="35" fillId="2" borderId="0" xfId="0" applyFont="1" applyFill="1" applyBorder="1" applyAlignment="1" applyProtection="1">
      <alignment horizontal="center" wrapText="1"/>
      <protection hidden="1"/>
    </xf>
    <xf numFmtId="9" fontId="48" fillId="0" borderId="155" xfId="0" applyNumberFormat="1" applyFont="1" applyBorder="1" applyAlignment="1" applyProtection="1">
      <alignment horizontal="center" vertical="center" wrapText="1"/>
      <protection hidden="1"/>
    </xf>
    <xf numFmtId="9" fontId="48" fillId="0" borderId="157" xfId="0" applyNumberFormat="1" applyFont="1" applyBorder="1" applyAlignment="1" applyProtection="1">
      <alignment horizontal="center" vertical="center" wrapText="1"/>
      <protection hidden="1"/>
    </xf>
    <xf numFmtId="9" fontId="48" fillId="0" borderId="148" xfId="0" applyNumberFormat="1" applyFont="1" applyBorder="1" applyAlignment="1" applyProtection="1">
      <alignment horizontal="center" vertical="center" wrapText="1"/>
      <protection hidden="1"/>
    </xf>
    <xf numFmtId="3" fontId="59" fillId="0" borderId="154" xfId="0" applyNumberFormat="1" applyFont="1" applyBorder="1" applyAlignment="1" applyProtection="1">
      <alignment horizontal="center" vertical="center"/>
      <protection hidden="1"/>
    </xf>
    <xf numFmtId="3" fontId="59" fillId="0" borderId="167" xfId="0" applyNumberFormat="1" applyFont="1" applyBorder="1" applyAlignment="1" applyProtection="1">
      <alignment horizontal="center" vertical="center"/>
      <protection hidden="1"/>
    </xf>
    <xf numFmtId="3" fontId="59" fillId="0" borderId="165" xfId="0" applyNumberFormat="1" applyFont="1" applyBorder="1" applyAlignment="1" applyProtection="1">
      <alignment horizontal="center" vertical="center"/>
      <protection hidden="1"/>
    </xf>
    <xf numFmtId="3" fontId="59" fillId="0" borderId="155" xfId="0" applyNumberFormat="1" applyFont="1" applyBorder="1" applyAlignment="1" applyProtection="1">
      <alignment horizontal="center" vertical="center"/>
      <protection hidden="1"/>
    </xf>
    <xf numFmtId="3" fontId="59" fillId="0" borderId="157" xfId="0" applyNumberFormat="1" applyFont="1" applyBorder="1" applyAlignment="1" applyProtection="1">
      <alignment horizontal="center" vertical="center"/>
      <protection hidden="1"/>
    </xf>
    <xf numFmtId="3" fontId="59" fillId="0" borderId="148" xfId="0" applyNumberFormat="1" applyFont="1" applyBorder="1" applyAlignment="1" applyProtection="1">
      <alignment horizontal="center" vertical="center"/>
      <protection hidden="1"/>
    </xf>
    <xf numFmtId="3" fontId="61" fillId="0" borderId="157" xfId="0" applyNumberFormat="1" applyFont="1" applyBorder="1" applyAlignment="1" applyProtection="1">
      <alignment horizontal="center" vertical="center" wrapText="1"/>
      <protection hidden="1"/>
    </xf>
    <xf numFmtId="3" fontId="61" fillId="0" borderId="148" xfId="0" applyNumberFormat="1" applyFont="1" applyBorder="1" applyAlignment="1" applyProtection="1">
      <alignment horizontal="center" vertical="center" wrapText="1"/>
      <protection hidden="1"/>
    </xf>
    <xf numFmtId="0" fontId="5" fillId="5" borderId="0" xfId="0" applyFont="1" applyFill="1" applyBorder="1" applyAlignment="1" applyProtection="1">
      <alignment horizontal="center" vertical="center"/>
      <protection hidden="1"/>
    </xf>
    <xf numFmtId="0" fontId="3" fillId="2" borderId="164" xfId="0" applyFont="1" applyFill="1" applyBorder="1" applyAlignment="1" applyProtection="1">
      <alignment horizontal="center" vertical="center"/>
      <protection hidden="1"/>
    </xf>
    <xf numFmtId="0" fontId="81" fillId="0" borderId="155" xfId="0" applyFont="1" applyBorder="1" applyAlignment="1" applyProtection="1">
      <alignment horizontal="center" vertical="center" wrapText="1"/>
      <protection hidden="1"/>
    </xf>
    <xf numFmtId="0" fontId="81" fillId="0" borderId="157" xfId="0" applyFont="1" applyBorder="1" applyAlignment="1" applyProtection="1">
      <alignment horizontal="center" vertical="center" wrapText="1"/>
      <protection hidden="1"/>
    </xf>
    <xf numFmtId="0" fontId="81" fillId="0" borderId="148" xfId="0" applyFont="1" applyBorder="1" applyAlignment="1" applyProtection="1">
      <alignment horizontal="center" vertical="center" wrapText="1"/>
      <protection hidden="1"/>
    </xf>
    <xf numFmtId="0" fontId="3" fillId="0" borderId="155" xfId="0" applyFont="1" applyBorder="1" applyAlignment="1" applyProtection="1">
      <alignment horizontal="center" vertical="center" wrapText="1"/>
      <protection hidden="1"/>
    </xf>
    <xf numFmtId="0" fontId="3" fillId="0" borderId="157" xfId="0" applyFont="1" applyBorder="1" applyAlignment="1" applyProtection="1">
      <alignment horizontal="center" vertical="center" wrapText="1"/>
      <protection hidden="1"/>
    </xf>
    <xf numFmtId="0" fontId="3" fillId="0" borderId="148" xfId="0" applyFont="1" applyBorder="1" applyAlignment="1" applyProtection="1">
      <alignment horizontal="center" vertical="center" wrapText="1"/>
      <protection hidden="1"/>
    </xf>
    <xf numFmtId="0" fontId="69" fillId="0" borderId="155" xfId="1" applyFont="1" applyFill="1" applyBorder="1" applyAlignment="1" applyProtection="1">
      <alignment horizontal="center" vertical="center"/>
      <protection hidden="1"/>
    </xf>
    <xf numFmtId="0" fontId="69" fillId="0" borderId="157" xfId="1" applyFont="1" applyFill="1" applyBorder="1" applyAlignment="1" applyProtection="1">
      <alignment horizontal="center" vertical="center"/>
      <protection hidden="1"/>
    </xf>
    <xf numFmtId="0" fontId="69" fillId="0" borderId="148" xfId="1" applyFont="1" applyFill="1" applyBorder="1" applyAlignment="1" applyProtection="1">
      <alignment horizontal="center" vertical="center"/>
      <protection hidden="1"/>
    </xf>
    <xf numFmtId="4" fontId="47" fillId="0" borderId="155" xfId="0" applyNumberFormat="1" applyFont="1" applyBorder="1" applyAlignment="1" applyProtection="1">
      <alignment horizontal="center" vertical="center"/>
      <protection hidden="1"/>
    </xf>
    <xf numFmtId="4" fontId="47" fillId="0" borderId="157" xfId="0" applyNumberFormat="1" applyFont="1" applyBorder="1" applyAlignment="1" applyProtection="1">
      <alignment horizontal="center" vertical="center"/>
      <protection hidden="1"/>
    </xf>
    <xf numFmtId="4" fontId="47" fillId="0" borderId="148" xfId="0" applyNumberFormat="1" applyFont="1" applyBorder="1" applyAlignment="1" applyProtection="1">
      <alignment horizontal="center" vertical="center"/>
      <protection hidden="1"/>
    </xf>
    <xf numFmtId="0" fontId="5" fillId="5" borderId="164" xfId="0" applyFont="1" applyFill="1" applyBorder="1" applyAlignment="1" applyProtection="1">
      <alignment horizontal="center" vertical="center"/>
      <protection hidden="1"/>
    </xf>
    <xf numFmtId="0" fontId="3" fillId="2" borderId="160" xfId="0" applyFont="1" applyFill="1" applyBorder="1" applyAlignment="1" applyProtection="1">
      <alignment horizontal="center" vertical="center"/>
      <protection hidden="1"/>
    </xf>
    <xf numFmtId="0" fontId="3" fillId="2" borderId="162" xfId="0" applyFont="1" applyFill="1" applyBorder="1" applyAlignment="1" applyProtection="1">
      <alignment horizontal="center" vertical="center"/>
      <protection hidden="1"/>
    </xf>
    <xf numFmtId="3" fontId="47" fillId="0" borderId="155" xfId="0" applyNumberFormat="1" applyFont="1" applyBorder="1" applyAlignment="1" applyProtection="1">
      <alignment horizontal="center" vertical="center"/>
      <protection hidden="1"/>
    </xf>
    <xf numFmtId="3" fontId="47" fillId="0" borderId="157" xfId="0" applyNumberFormat="1" applyFont="1" applyBorder="1" applyAlignment="1" applyProtection="1">
      <alignment horizontal="center" vertical="center"/>
      <protection hidden="1"/>
    </xf>
    <xf numFmtId="3" fontId="47" fillId="0" borderId="148" xfId="0" applyNumberFormat="1" applyFont="1" applyBorder="1" applyAlignment="1" applyProtection="1">
      <alignment horizontal="center" vertical="center"/>
      <protection hidden="1"/>
    </xf>
    <xf numFmtId="0" fontId="69" fillId="0" borderId="155" xfId="1" applyFont="1" applyFill="1" applyBorder="1" applyAlignment="1" applyProtection="1">
      <alignment horizontal="center" vertical="center" wrapText="1"/>
      <protection hidden="1"/>
    </xf>
    <xf numFmtId="0" fontId="69" fillId="0" borderId="157" xfId="1" applyFont="1" applyFill="1" applyBorder="1" applyAlignment="1" applyProtection="1">
      <alignment horizontal="center" vertical="center" wrapText="1"/>
      <protection hidden="1"/>
    </xf>
    <xf numFmtId="0" fontId="69" fillId="0" borderId="148" xfId="1" applyFont="1" applyFill="1" applyBorder="1" applyAlignment="1" applyProtection="1">
      <alignment horizontal="center" vertical="center" wrapText="1"/>
      <protection hidden="1"/>
    </xf>
    <xf numFmtId="0" fontId="3" fillId="0" borderId="155" xfId="0" applyFont="1" applyBorder="1" applyAlignment="1" applyProtection="1">
      <alignment horizontal="center"/>
      <protection hidden="1"/>
    </xf>
    <xf numFmtId="0" fontId="3" fillId="0" borderId="157" xfId="0" applyFont="1" applyBorder="1" applyAlignment="1" applyProtection="1">
      <alignment horizontal="center"/>
      <protection hidden="1"/>
    </xf>
    <xf numFmtId="0" fontId="3" fillId="0" borderId="148" xfId="0" applyFont="1" applyBorder="1" applyAlignment="1" applyProtection="1">
      <alignment horizontal="center"/>
      <protection hidden="1"/>
    </xf>
    <xf numFmtId="0" fontId="63" fillId="8" borderId="0" xfId="0" applyFont="1" applyFill="1" applyBorder="1" applyAlignment="1" applyProtection="1">
      <alignment horizontal="center" vertical="center"/>
      <protection hidden="1"/>
    </xf>
    <xf numFmtId="0" fontId="70" fillId="0" borderId="155" xfId="1" applyFont="1" applyBorder="1" applyAlignment="1" applyProtection="1">
      <alignment horizontal="center" vertical="center"/>
      <protection hidden="1"/>
    </xf>
    <xf numFmtId="0" fontId="70" fillId="0" borderId="157" xfId="1" applyFont="1" applyBorder="1" applyAlignment="1" applyProtection="1">
      <alignment horizontal="center" vertical="center"/>
      <protection hidden="1"/>
    </xf>
    <xf numFmtId="0" fontId="70" fillId="0" borderId="148" xfId="1" applyFont="1" applyBorder="1" applyAlignment="1" applyProtection="1">
      <alignment horizontal="center" vertical="center"/>
      <protection hidden="1"/>
    </xf>
    <xf numFmtId="9" fontId="66" fillId="0" borderId="155" xfId="0" applyNumberFormat="1" applyFont="1" applyBorder="1" applyAlignment="1" applyProtection="1">
      <alignment horizontal="center" vertical="center" wrapText="1"/>
      <protection hidden="1"/>
    </xf>
    <xf numFmtId="9" fontId="66" fillId="0" borderId="157" xfId="0" applyNumberFormat="1" applyFont="1" applyBorder="1" applyAlignment="1" applyProtection="1">
      <alignment horizontal="center" vertical="center" wrapText="1"/>
      <protection hidden="1"/>
    </xf>
    <xf numFmtId="9" fontId="66" fillId="0" borderId="148" xfId="0" applyNumberFormat="1" applyFont="1" applyBorder="1" applyAlignment="1" applyProtection="1">
      <alignment horizontal="center" vertical="center" wrapText="1"/>
      <protection hidden="1"/>
    </xf>
    <xf numFmtId="0" fontId="3" fillId="0" borderId="155" xfId="0" applyFont="1" applyBorder="1" applyAlignment="1" applyProtection="1">
      <alignment horizontal="center" vertical="center"/>
      <protection hidden="1"/>
    </xf>
    <xf numFmtId="0" fontId="3" fillId="0" borderId="157" xfId="0" applyFont="1" applyBorder="1" applyAlignment="1" applyProtection="1">
      <alignment horizontal="center" vertical="center"/>
      <protection hidden="1"/>
    </xf>
    <xf numFmtId="0" fontId="3" fillId="0" borderId="148" xfId="0" applyFont="1" applyBorder="1" applyAlignment="1" applyProtection="1">
      <alignment horizontal="center" vertical="center"/>
      <protection hidden="1"/>
    </xf>
    <xf numFmtId="9" fontId="45" fillId="0" borderId="155" xfId="0" applyNumberFormat="1" applyFont="1" applyBorder="1" applyAlignment="1" applyProtection="1">
      <alignment horizontal="center" vertical="center" wrapText="1"/>
      <protection hidden="1"/>
    </xf>
    <xf numFmtId="9" fontId="45" fillId="0" borderId="157" xfId="0" applyNumberFormat="1" applyFont="1" applyBorder="1" applyAlignment="1" applyProtection="1">
      <alignment horizontal="center" vertical="center" wrapText="1"/>
      <protection hidden="1"/>
    </xf>
    <xf numFmtId="9" fontId="45" fillId="0" borderId="148" xfId="0" applyNumberFormat="1" applyFont="1" applyBorder="1" applyAlignment="1" applyProtection="1">
      <alignment horizontal="center" vertical="center" wrapText="1"/>
      <protection hidden="1"/>
    </xf>
    <xf numFmtId="9" fontId="45" fillId="0" borderId="155" xfId="0" applyNumberFormat="1" applyFont="1" applyBorder="1" applyAlignment="1" applyProtection="1">
      <alignment horizontal="center" vertical="center"/>
      <protection hidden="1"/>
    </xf>
    <xf numFmtId="9" fontId="45" fillId="0" borderId="157" xfId="0" applyNumberFormat="1" applyFont="1" applyBorder="1" applyAlignment="1" applyProtection="1">
      <alignment horizontal="center" vertical="center"/>
      <protection hidden="1"/>
    </xf>
    <xf numFmtId="9" fontId="45" fillId="0" borderId="148" xfId="0" applyNumberFormat="1" applyFont="1" applyBorder="1" applyAlignment="1" applyProtection="1">
      <alignment horizontal="center" vertical="center"/>
      <protection hidden="1"/>
    </xf>
    <xf numFmtId="10" fontId="47" fillId="0" borderId="155" xfId="0" applyNumberFormat="1" applyFont="1" applyBorder="1" applyAlignment="1" applyProtection="1">
      <alignment horizontal="center" vertical="center" wrapText="1"/>
      <protection hidden="1"/>
    </xf>
    <xf numFmtId="10" fontId="47" fillId="0" borderId="157" xfId="0" applyNumberFormat="1" applyFont="1" applyBorder="1" applyAlignment="1" applyProtection="1">
      <alignment horizontal="center" vertical="center" wrapText="1"/>
      <protection hidden="1"/>
    </xf>
    <xf numFmtId="10" fontId="47" fillId="0" borderId="148" xfId="0" applyNumberFormat="1" applyFont="1" applyBorder="1" applyAlignment="1" applyProtection="1">
      <alignment horizontal="center" vertical="center" wrapText="1"/>
      <protection hidden="1"/>
    </xf>
    <xf numFmtId="0" fontId="84" fillId="11" borderId="186" xfId="0" applyFont="1" applyFill="1" applyBorder="1" applyAlignment="1" applyProtection="1">
      <alignment horizontal="left" vertical="center" wrapText="1"/>
      <protection hidden="1"/>
    </xf>
    <xf numFmtId="0" fontId="84" fillId="11" borderId="21" xfId="0" applyFont="1" applyFill="1" applyBorder="1" applyAlignment="1" applyProtection="1">
      <alignment horizontal="left" vertical="center" wrapText="1"/>
      <protection hidden="1"/>
    </xf>
    <xf numFmtId="3" fontId="0" fillId="0" borderId="19" xfId="0" applyNumberFormat="1" applyBorder="1" applyAlignment="1" applyProtection="1">
      <alignment horizontal="center"/>
      <protection locked="0"/>
    </xf>
    <xf numFmtId="3" fontId="0" fillId="0" borderId="21" xfId="0" applyNumberFormat="1" applyBorder="1" applyAlignment="1" applyProtection="1">
      <alignment horizontal="center"/>
      <protection locked="0"/>
    </xf>
    <xf numFmtId="0" fontId="83" fillId="11" borderId="186" xfId="0" applyFont="1" applyFill="1" applyBorder="1" applyAlignment="1" applyProtection="1">
      <alignment horizontal="left" vertical="center" wrapText="1" indent="1"/>
      <protection hidden="1"/>
    </xf>
    <xf numFmtId="0" fontId="83" fillId="11" borderId="21" xfId="0" applyFont="1" applyFill="1" applyBorder="1" applyAlignment="1" applyProtection="1">
      <alignment horizontal="left" vertical="center" wrapText="1" indent="1"/>
      <protection hidden="1"/>
    </xf>
    <xf numFmtId="3" fontId="0" fillId="0" borderId="16" xfId="0" applyNumberFormat="1" applyBorder="1" applyAlignment="1" applyProtection="1">
      <alignment horizontal="center"/>
      <protection locked="0"/>
    </xf>
    <xf numFmtId="3" fontId="0" fillId="0" borderId="18" xfId="0" applyNumberFormat="1" applyBorder="1" applyAlignment="1" applyProtection="1">
      <alignment horizontal="center"/>
      <protection locked="0"/>
    </xf>
    <xf numFmtId="0" fontId="28" fillId="11" borderId="24" xfId="0" applyFont="1" applyFill="1" applyBorder="1" applyAlignment="1" applyProtection="1">
      <alignment vertical="center" wrapText="1"/>
      <protection hidden="1"/>
    </xf>
    <xf numFmtId="0" fontId="28" fillId="11" borderId="51" xfId="0" applyFont="1" applyFill="1" applyBorder="1" applyAlignment="1" applyProtection="1">
      <alignment vertical="center" wrapText="1"/>
      <protection hidden="1"/>
    </xf>
    <xf numFmtId="0" fontId="28" fillId="11" borderId="25" xfId="0" applyFont="1" applyFill="1" applyBorder="1" applyAlignment="1" applyProtection="1">
      <alignment vertical="center" wrapText="1"/>
      <protection hidden="1"/>
    </xf>
    <xf numFmtId="3" fontId="1" fillId="0" borderId="24" xfId="0" applyNumberFormat="1" applyFont="1" applyBorder="1" applyAlignment="1" applyProtection="1">
      <alignment horizontal="right"/>
      <protection locked="0"/>
    </xf>
    <xf numFmtId="3" fontId="1" fillId="0" borderId="25" xfId="0" applyNumberFormat="1" applyFont="1" applyBorder="1" applyAlignment="1" applyProtection="1">
      <alignment horizontal="right"/>
      <protection locked="0"/>
    </xf>
    <xf numFmtId="0" fontId="25" fillId="11" borderId="36" xfId="0" applyFont="1" applyFill="1" applyBorder="1" applyAlignment="1" applyProtection="1">
      <alignment horizontal="center" vertical="center" wrapText="1"/>
      <protection hidden="1"/>
    </xf>
    <xf numFmtId="0" fontId="25" fillId="11" borderId="20" xfId="0" applyFont="1" applyFill="1" applyBorder="1" applyAlignment="1" applyProtection="1">
      <alignment horizontal="center" vertical="center" wrapText="1"/>
      <protection hidden="1"/>
    </xf>
    <xf numFmtId="0" fontId="25" fillId="11" borderId="21" xfId="0" applyFont="1" applyFill="1" applyBorder="1" applyAlignment="1" applyProtection="1">
      <alignment horizontal="center" vertical="center" wrapText="1"/>
      <protection hidden="1"/>
    </xf>
    <xf numFmtId="0" fontId="25" fillId="11" borderId="39" xfId="0" applyFont="1" applyFill="1" applyBorder="1" applyAlignment="1" applyProtection="1">
      <alignment vertical="center" wrapText="1"/>
      <protection hidden="1"/>
    </xf>
    <xf numFmtId="0" fontId="25" fillId="11" borderId="40" xfId="0" applyFont="1" applyFill="1" applyBorder="1" applyAlignment="1" applyProtection="1">
      <alignment vertical="center" wrapText="1"/>
      <protection hidden="1"/>
    </xf>
    <xf numFmtId="0" fontId="25" fillId="11" borderId="41" xfId="0" applyFont="1" applyFill="1" applyBorder="1" applyAlignment="1" applyProtection="1">
      <alignment vertical="center" wrapText="1"/>
      <protection hidden="1"/>
    </xf>
    <xf numFmtId="0" fontId="30" fillId="10" borderId="33" xfId="0" applyFont="1" applyFill="1" applyBorder="1" applyAlignment="1" applyProtection="1">
      <alignment horizontal="left" vertical="center" wrapText="1"/>
      <protection hidden="1"/>
    </xf>
    <xf numFmtId="0" fontId="30" fillId="10" borderId="12" xfId="0" applyFont="1" applyFill="1" applyBorder="1" applyAlignment="1" applyProtection="1">
      <alignment horizontal="left" vertical="center" wrapText="1"/>
      <protection hidden="1"/>
    </xf>
    <xf numFmtId="0" fontId="30" fillId="10" borderId="11" xfId="0" applyFont="1" applyFill="1" applyBorder="1" applyAlignment="1" applyProtection="1">
      <alignment horizontal="left" vertical="center" wrapText="1"/>
      <protection hidden="1"/>
    </xf>
    <xf numFmtId="3" fontId="30" fillId="10" borderId="10" xfId="0" applyNumberFormat="1" applyFont="1" applyFill="1" applyBorder="1" applyAlignment="1" applyProtection="1">
      <alignment horizontal="center" vertical="center" wrapText="1"/>
      <protection hidden="1"/>
    </xf>
    <xf numFmtId="0" fontId="30" fillId="10" borderId="11" xfId="0" applyFont="1" applyFill="1" applyBorder="1" applyAlignment="1" applyProtection="1">
      <alignment horizontal="center" vertical="center" wrapText="1"/>
      <protection hidden="1"/>
    </xf>
    <xf numFmtId="3" fontId="0" fillId="0" borderId="19" xfId="0" applyNumberFormat="1" applyBorder="1" applyAlignment="1" applyProtection="1">
      <alignment horizontal="center" vertical="center"/>
      <protection locked="0"/>
    </xf>
    <xf numFmtId="3" fontId="0" fillId="0" borderId="21" xfId="0" applyNumberFormat="1" applyBorder="1" applyAlignment="1" applyProtection="1">
      <alignment horizontal="center" vertical="center"/>
      <protection locked="0"/>
    </xf>
    <xf numFmtId="0" fontId="25" fillId="10" borderId="33" xfId="0" applyFont="1" applyFill="1" applyBorder="1" applyAlignment="1" applyProtection="1">
      <alignment horizontal="left" vertical="center" wrapText="1"/>
      <protection hidden="1"/>
    </xf>
    <xf numFmtId="0" fontId="25" fillId="10" borderId="12" xfId="0" applyFont="1" applyFill="1" applyBorder="1" applyAlignment="1" applyProtection="1">
      <alignment horizontal="left" vertical="center" wrapText="1"/>
      <protection hidden="1"/>
    </xf>
    <xf numFmtId="0" fontId="25" fillId="10" borderId="11" xfId="0" applyFont="1" applyFill="1" applyBorder="1" applyAlignment="1" applyProtection="1">
      <alignment horizontal="left" vertical="center" wrapText="1"/>
      <protection hidden="1"/>
    </xf>
    <xf numFmtId="0" fontId="25" fillId="10" borderId="182" xfId="0" applyFont="1" applyFill="1" applyBorder="1" applyAlignment="1" applyProtection="1">
      <alignment horizontal="left" vertical="center" wrapText="1"/>
      <protection hidden="1"/>
    </xf>
    <xf numFmtId="0" fontId="25" fillId="10" borderId="183" xfId="0" applyFont="1" applyFill="1" applyBorder="1" applyAlignment="1" applyProtection="1">
      <alignment horizontal="left" vertical="center" wrapText="1"/>
      <protection hidden="1"/>
    </xf>
    <xf numFmtId="0" fontId="25" fillId="10" borderId="181" xfId="0" applyFont="1" applyFill="1" applyBorder="1" applyAlignment="1" applyProtection="1">
      <alignment horizontal="left" vertical="center" wrapText="1"/>
      <protection hidden="1"/>
    </xf>
    <xf numFmtId="0" fontId="25" fillId="10" borderId="140" xfId="0" applyFont="1" applyFill="1" applyBorder="1" applyAlignment="1" applyProtection="1">
      <alignment horizontal="left" vertical="center" wrapText="1"/>
      <protection hidden="1"/>
    </xf>
    <xf numFmtId="0" fontId="25" fillId="10" borderId="55" xfId="0" applyFont="1" applyFill="1" applyBorder="1" applyAlignment="1" applyProtection="1">
      <alignment horizontal="left" vertical="center" wrapText="1"/>
      <protection hidden="1"/>
    </xf>
    <xf numFmtId="0" fontId="25" fillId="10" borderId="15" xfId="0" applyFont="1" applyFill="1" applyBorder="1" applyAlignment="1" applyProtection="1">
      <alignment horizontal="left" vertical="center" wrapText="1"/>
      <protection hidden="1"/>
    </xf>
    <xf numFmtId="3" fontId="25" fillId="0" borderId="16" xfId="0" applyNumberFormat="1" applyFont="1" applyBorder="1" applyAlignment="1" applyProtection="1">
      <alignment horizontal="right" vertical="center" wrapText="1"/>
      <protection locked="0"/>
    </xf>
    <xf numFmtId="3" fontId="25" fillId="0" borderId="18" xfId="0" applyNumberFormat="1" applyFont="1" applyBorder="1" applyAlignment="1" applyProtection="1">
      <alignment horizontal="right" vertical="center" wrapText="1"/>
      <protection locked="0"/>
    </xf>
    <xf numFmtId="3" fontId="0" fillId="0" borderId="14" xfId="0" applyNumberFormat="1" applyBorder="1" applyAlignment="1" applyProtection="1">
      <alignment horizontal="right"/>
      <protection locked="0"/>
    </xf>
    <xf numFmtId="3" fontId="0" fillId="0" borderId="15" xfId="0" applyNumberFormat="1" applyBorder="1" applyAlignment="1" applyProtection="1">
      <alignment horizontal="right"/>
      <protection locked="0"/>
    </xf>
    <xf numFmtId="3" fontId="0" fillId="0" borderId="26" xfId="0" applyNumberFormat="1" applyBorder="1" applyAlignment="1" applyProtection="1">
      <alignment horizontal="right"/>
      <protection locked="0"/>
    </xf>
    <xf numFmtId="3" fontId="0" fillId="0" borderId="27" xfId="0" applyNumberFormat="1" applyBorder="1" applyAlignment="1" applyProtection="1">
      <alignment horizontal="right"/>
      <protection locked="0"/>
    </xf>
    <xf numFmtId="3" fontId="0" fillId="0" borderId="19" xfId="0" applyNumberFormat="1" applyBorder="1" applyAlignment="1" applyProtection="1">
      <alignment horizontal="right"/>
      <protection locked="0"/>
    </xf>
    <xf numFmtId="3" fontId="0" fillId="0" borderId="21" xfId="0" applyNumberFormat="1" applyBorder="1" applyAlignment="1" applyProtection="1">
      <alignment horizontal="right"/>
      <protection locked="0"/>
    </xf>
    <xf numFmtId="3" fontId="25" fillId="0" borderId="26" xfId="0" applyNumberFormat="1" applyFont="1" applyBorder="1" applyAlignment="1" applyProtection="1">
      <alignment horizontal="right" vertical="center" wrapText="1"/>
      <protection locked="0"/>
    </xf>
    <xf numFmtId="3" fontId="25" fillId="0" borderId="27" xfId="0" applyNumberFormat="1" applyFont="1" applyBorder="1" applyAlignment="1" applyProtection="1">
      <alignment horizontal="right" vertical="center" wrapText="1"/>
      <protection locked="0"/>
    </xf>
    <xf numFmtId="3" fontId="25" fillId="0" borderId="19" xfId="0" applyNumberFormat="1" applyFont="1" applyBorder="1" applyAlignment="1" applyProtection="1">
      <alignment horizontal="right" vertical="center" wrapText="1"/>
      <protection locked="0"/>
    </xf>
    <xf numFmtId="3" fontId="25" fillId="0" borderId="21" xfId="0" applyNumberFormat="1" applyFont="1" applyBorder="1" applyAlignment="1" applyProtection="1">
      <alignment horizontal="right" vertical="center" wrapText="1"/>
      <protection locked="0"/>
    </xf>
    <xf numFmtId="3" fontId="25" fillId="0" borderId="22" xfId="0" applyNumberFormat="1" applyFont="1" applyBorder="1" applyAlignment="1" applyProtection="1">
      <alignment horizontal="right" vertical="center" wrapText="1"/>
      <protection locked="0"/>
    </xf>
    <xf numFmtId="3" fontId="25" fillId="0" borderId="23" xfId="0" applyNumberFormat="1" applyFont="1" applyBorder="1" applyAlignment="1" applyProtection="1">
      <alignment horizontal="right" vertical="center" wrapText="1"/>
      <protection locked="0"/>
    </xf>
    <xf numFmtId="0" fontId="25" fillId="11" borderId="19" xfId="0" applyFont="1" applyFill="1" applyBorder="1" applyAlignment="1" applyProtection="1">
      <alignment vertical="center" wrapText="1"/>
      <protection hidden="1"/>
    </xf>
    <xf numFmtId="0" fontId="25" fillId="11" borderId="20" xfId="0" applyFont="1" applyFill="1" applyBorder="1" applyAlignment="1" applyProtection="1">
      <alignment vertical="center" wrapText="1"/>
      <protection hidden="1"/>
    </xf>
    <xf numFmtId="0" fontId="25" fillId="11" borderId="21" xfId="0" applyFont="1" applyFill="1" applyBorder="1" applyAlignment="1" applyProtection="1">
      <alignment vertical="center" wrapText="1"/>
      <protection hidden="1"/>
    </xf>
    <xf numFmtId="0" fontId="25" fillId="11" borderId="16" xfId="0" applyFont="1" applyFill="1" applyBorder="1" applyAlignment="1" applyProtection="1">
      <alignment vertical="center" wrapText="1"/>
      <protection hidden="1"/>
    </xf>
    <xf numFmtId="0" fontId="25" fillId="11" borderId="17" xfId="0" applyFont="1" applyFill="1" applyBorder="1" applyAlignment="1" applyProtection="1">
      <alignment vertical="center" wrapText="1"/>
      <protection hidden="1"/>
    </xf>
    <xf numFmtId="0" fontId="25" fillId="11" borderId="18" xfId="0" applyFont="1" applyFill="1" applyBorder="1" applyAlignment="1" applyProtection="1">
      <alignment vertical="center" wrapText="1"/>
      <protection hidden="1"/>
    </xf>
    <xf numFmtId="0" fontId="19" fillId="11" borderId="19" xfId="0" applyFont="1" applyFill="1" applyBorder="1" applyAlignment="1" applyProtection="1">
      <alignment vertical="center" wrapText="1"/>
      <protection hidden="1"/>
    </xf>
    <xf numFmtId="0" fontId="19" fillId="11" borderId="20" xfId="0" applyFont="1" applyFill="1" applyBorder="1" applyAlignment="1" applyProtection="1">
      <alignment vertical="center" wrapText="1"/>
      <protection hidden="1"/>
    </xf>
    <xf numFmtId="0" fontId="19" fillId="11" borderId="21" xfId="0" applyFont="1" applyFill="1" applyBorder="1" applyAlignment="1" applyProtection="1">
      <alignment vertical="center" wrapText="1"/>
      <protection hidden="1"/>
    </xf>
    <xf numFmtId="0" fontId="19" fillId="11" borderId="16" xfId="0" applyFont="1" applyFill="1" applyBorder="1" applyAlignment="1" applyProtection="1">
      <alignment vertical="center" wrapText="1"/>
      <protection hidden="1"/>
    </xf>
    <xf numFmtId="0" fontId="19" fillId="11" borderId="17" xfId="0" applyFont="1" applyFill="1" applyBorder="1" applyAlignment="1" applyProtection="1">
      <alignment vertical="center" wrapText="1"/>
      <protection hidden="1"/>
    </xf>
    <xf numFmtId="0" fontId="19" fillId="11" borderId="18" xfId="0" applyFont="1" applyFill="1" applyBorder="1" applyAlignment="1" applyProtection="1">
      <alignment vertical="center" wrapText="1"/>
      <protection hidden="1"/>
    </xf>
    <xf numFmtId="3" fontId="28" fillId="16" borderId="22" xfId="0" applyNumberFormat="1" applyFont="1" applyFill="1" applyBorder="1" applyAlignment="1" applyProtection="1">
      <alignment horizontal="right" vertical="center" wrapText="1"/>
      <protection hidden="1"/>
    </xf>
    <xf numFmtId="3" fontId="28" fillId="16" borderId="23" xfId="0" applyNumberFormat="1" applyFont="1" applyFill="1" applyBorder="1" applyAlignment="1" applyProtection="1">
      <alignment horizontal="right" vertical="center" wrapText="1"/>
      <protection hidden="1"/>
    </xf>
    <xf numFmtId="3" fontId="1" fillId="16" borderId="19" xfId="0" applyNumberFormat="1" applyFont="1" applyFill="1" applyBorder="1" applyAlignment="1" applyProtection="1">
      <alignment horizontal="right"/>
      <protection hidden="1"/>
    </xf>
    <xf numFmtId="3" fontId="1" fillId="16" borderId="21" xfId="0" applyNumberFormat="1" applyFont="1" applyFill="1" applyBorder="1" applyAlignment="1" applyProtection="1">
      <alignment horizontal="right"/>
      <protection hidden="1"/>
    </xf>
    <xf numFmtId="3" fontId="28" fillId="16" borderId="13" xfId="0" applyNumberFormat="1" applyFont="1" applyFill="1" applyBorder="1" applyAlignment="1" applyProtection="1">
      <alignment horizontal="right" vertical="center" wrapText="1"/>
      <protection hidden="1"/>
    </xf>
    <xf numFmtId="3" fontId="28" fillId="16" borderId="9" xfId="0" applyNumberFormat="1" applyFont="1" applyFill="1" applyBorder="1" applyAlignment="1" applyProtection="1">
      <alignment horizontal="right" vertical="center" wrapText="1"/>
      <protection hidden="1"/>
    </xf>
    <xf numFmtId="3" fontId="1" fillId="16" borderId="24" xfId="0" applyNumberFormat="1" applyFont="1" applyFill="1" applyBorder="1" applyAlignment="1" applyProtection="1">
      <alignment horizontal="right"/>
      <protection hidden="1"/>
    </xf>
    <xf numFmtId="3" fontId="1" fillId="16" borderId="25" xfId="0" applyNumberFormat="1" applyFont="1" applyFill="1" applyBorder="1" applyAlignment="1" applyProtection="1">
      <alignment horizontal="right"/>
      <protection hidden="1"/>
    </xf>
    <xf numFmtId="0" fontId="28" fillId="11" borderId="19" xfId="0" applyFont="1" applyFill="1" applyBorder="1" applyAlignment="1" applyProtection="1">
      <alignment vertical="center" wrapText="1"/>
      <protection hidden="1"/>
    </xf>
    <xf numFmtId="0" fontId="28" fillId="11" borderId="20" xfId="0" applyFont="1" applyFill="1" applyBorder="1" applyAlignment="1" applyProtection="1">
      <alignment vertical="center" wrapText="1"/>
      <protection hidden="1"/>
    </xf>
    <xf numFmtId="0" fontId="28" fillId="11" borderId="21" xfId="0" applyFont="1" applyFill="1" applyBorder="1" applyAlignment="1" applyProtection="1">
      <alignment vertical="center" wrapText="1"/>
      <protection hidden="1"/>
    </xf>
    <xf numFmtId="0" fontId="25" fillId="10" borderId="140" xfId="0" applyFont="1" applyFill="1" applyBorder="1" applyAlignment="1" applyProtection="1">
      <alignment horizontal="center" vertical="center" wrapText="1"/>
      <protection hidden="1"/>
    </xf>
    <xf numFmtId="0" fontId="25" fillId="10" borderId="55" xfId="0" applyFont="1" applyFill="1" applyBorder="1" applyAlignment="1" applyProtection="1">
      <alignment horizontal="center" vertical="center" wrapText="1"/>
      <protection hidden="1"/>
    </xf>
    <xf numFmtId="0" fontId="26" fillId="5" borderId="52" xfId="0" applyFont="1" applyFill="1" applyBorder="1" applyAlignment="1" applyProtection="1">
      <alignment horizontal="center" vertical="center" wrapText="1"/>
      <protection hidden="1"/>
    </xf>
    <xf numFmtId="0" fontId="0" fillId="13" borderId="28" xfId="0" applyFill="1" applyBorder="1" applyAlignment="1" applyProtection="1">
      <alignment horizontal="center" wrapText="1"/>
      <protection hidden="1"/>
    </xf>
    <xf numFmtId="0" fontId="0" fillId="13" borderId="29" xfId="0" applyFill="1" applyBorder="1" applyAlignment="1" applyProtection="1">
      <alignment horizontal="center" wrapText="1"/>
      <protection hidden="1"/>
    </xf>
    <xf numFmtId="0" fontId="0" fillId="13" borderId="30" xfId="0" applyFill="1" applyBorder="1" applyAlignment="1" applyProtection="1">
      <alignment horizontal="center" wrapText="1"/>
      <protection hidden="1"/>
    </xf>
    <xf numFmtId="3" fontId="0" fillId="0" borderId="24" xfId="0" applyNumberFormat="1" applyBorder="1" applyAlignment="1" applyProtection="1">
      <alignment horizontal="right"/>
      <protection locked="0"/>
    </xf>
    <xf numFmtId="3" fontId="0" fillId="0" borderId="25" xfId="0" applyNumberFormat="1" applyBorder="1" applyAlignment="1" applyProtection="1">
      <alignment horizontal="right"/>
      <protection locked="0"/>
    </xf>
    <xf numFmtId="3" fontId="25" fillId="0" borderId="60" xfId="0" applyNumberFormat="1" applyFont="1" applyFill="1" applyBorder="1" applyAlignment="1" applyProtection="1">
      <alignment horizontal="right" vertical="center" wrapText="1"/>
      <protection locked="0"/>
    </xf>
    <xf numFmtId="3" fontId="25" fillId="0" borderId="21" xfId="0" applyNumberFormat="1" applyFont="1" applyFill="1" applyBorder="1" applyAlignment="1" applyProtection="1">
      <alignment horizontal="right" vertical="center" wrapText="1"/>
      <protection locked="0"/>
    </xf>
    <xf numFmtId="3" fontId="28" fillId="16" borderId="16" xfId="0" applyNumberFormat="1" applyFont="1" applyFill="1" applyBorder="1" applyAlignment="1" applyProtection="1">
      <alignment horizontal="center" vertical="center" wrapText="1"/>
      <protection locked="0" hidden="1"/>
    </xf>
    <xf numFmtId="3" fontId="28" fillId="16" borderId="18" xfId="0" applyNumberFormat="1" applyFont="1" applyFill="1" applyBorder="1" applyAlignment="1" applyProtection="1">
      <alignment horizontal="center" vertical="center" wrapText="1"/>
      <protection locked="0" hidden="1"/>
    </xf>
    <xf numFmtId="3" fontId="1" fillId="18" borderId="14" xfId="0" applyNumberFormat="1" applyFont="1" applyFill="1" applyBorder="1" applyAlignment="1" applyProtection="1">
      <alignment horizontal="center"/>
      <protection locked="0" hidden="1"/>
    </xf>
    <xf numFmtId="3" fontId="1" fillId="18" borderId="15" xfId="0" applyNumberFormat="1" applyFont="1" applyFill="1" applyBorder="1" applyAlignment="1" applyProtection="1">
      <alignment horizontal="center"/>
      <protection locked="0" hidden="1"/>
    </xf>
    <xf numFmtId="0" fontId="25" fillId="11" borderId="20" xfId="0" applyFont="1" applyFill="1" applyBorder="1" applyAlignment="1" applyProtection="1">
      <alignment horizontal="left" vertical="center" wrapText="1"/>
      <protection hidden="1"/>
    </xf>
    <xf numFmtId="10" fontId="25" fillId="0" borderId="16" xfId="0" applyNumberFormat="1" applyFont="1" applyBorder="1" applyAlignment="1" applyProtection="1">
      <alignment horizontal="right" vertical="center" wrapText="1"/>
      <protection locked="0"/>
    </xf>
    <xf numFmtId="10" fontId="25" fillId="0" borderId="18" xfId="0" applyNumberFormat="1" applyFont="1" applyBorder="1" applyAlignment="1" applyProtection="1">
      <alignment horizontal="right" vertical="center" wrapText="1"/>
      <protection locked="0"/>
    </xf>
    <xf numFmtId="10" fontId="0" fillId="0" borderId="14" xfId="0" applyNumberFormat="1" applyBorder="1" applyAlignment="1" applyProtection="1">
      <alignment horizontal="right" vertical="center"/>
      <protection locked="0"/>
    </xf>
    <xf numFmtId="10" fontId="0" fillId="0" borderId="15" xfId="0" applyNumberFormat="1" applyBorder="1" applyAlignment="1" applyProtection="1">
      <alignment horizontal="right" vertical="center"/>
      <protection locked="0"/>
    </xf>
    <xf numFmtId="0" fontId="25" fillId="11" borderId="16" xfId="0" applyFont="1" applyFill="1" applyBorder="1" applyAlignment="1" applyProtection="1">
      <alignment horizontal="left" vertical="center" wrapText="1"/>
      <protection hidden="1"/>
    </xf>
    <xf numFmtId="0" fontId="25" fillId="11" borderId="17" xfId="0" applyFont="1" applyFill="1" applyBorder="1" applyAlignment="1" applyProtection="1">
      <alignment horizontal="left" vertical="center" wrapText="1"/>
      <protection hidden="1"/>
    </xf>
    <xf numFmtId="0" fontId="25" fillId="11" borderId="18" xfId="0" applyFont="1" applyFill="1" applyBorder="1" applyAlignment="1" applyProtection="1">
      <alignment horizontal="left" vertical="center" wrapText="1"/>
      <protection hidden="1"/>
    </xf>
    <xf numFmtId="0" fontId="26" fillId="5" borderId="52" xfId="0" applyFont="1" applyFill="1" applyBorder="1" applyAlignment="1" applyProtection="1">
      <alignment horizontal="center" vertical="center"/>
      <protection locked="0" hidden="1"/>
    </xf>
    <xf numFmtId="3" fontId="1" fillId="16" borderId="14" xfId="0" applyNumberFormat="1" applyFont="1" applyFill="1" applyBorder="1" applyAlignment="1" applyProtection="1">
      <alignment horizontal="center"/>
      <protection locked="0" hidden="1"/>
    </xf>
    <xf numFmtId="3" fontId="1" fillId="16" borderId="15" xfId="0" applyNumberFormat="1" applyFont="1" applyFill="1" applyBorder="1" applyAlignment="1" applyProtection="1">
      <alignment horizontal="center"/>
      <protection locked="0" hidden="1"/>
    </xf>
    <xf numFmtId="0" fontId="25" fillId="11" borderId="19" xfId="0" applyFont="1" applyFill="1" applyBorder="1" applyAlignment="1" applyProtection="1">
      <alignment horizontal="center" vertical="center" wrapText="1"/>
      <protection hidden="1"/>
    </xf>
    <xf numFmtId="0" fontId="25" fillId="11" borderId="16" xfId="0" applyFont="1" applyFill="1" applyBorder="1" applyAlignment="1" applyProtection="1">
      <alignment horizontal="center" vertical="center" wrapText="1"/>
      <protection hidden="1"/>
    </xf>
    <xf numFmtId="0" fontId="25" fillId="11" borderId="17" xfId="0" applyFont="1" applyFill="1" applyBorder="1" applyAlignment="1" applyProtection="1">
      <alignment horizontal="center" vertical="center" wrapText="1"/>
      <protection hidden="1"/>
    </xf>
    <xf numFmtId="0" fontId="25" fillId="11" borderId="18" xfId="0" applyFont="1" applyFill="1" applyBorder="1" applyAlignment="1" applyProtection="1">
      <alignment horizontal="center" vertical="center" wrapText="1"/>
      <protection hidden="1"/>
    </xf>
    <xf numFmtId="3" fontId="25" fillId="0" borderId="13" xfId="0" applyNumberFormat="1" applyFont="1" applyBorder="1" applyAlignment="1" applyProtection="1">
      <alignment horizontal="right" vertical="center" wrapText="1"/>
      <protection locked="0"/>
    </xf>
    <xf numFmtId="3" fontId="25" fillId="0" borderId="9" xfId="0" applyNumberFormat="1" applyFont="1" applyBorder="1" applyAlignment="1" applyProtection="1">
      <alignment horizontal="right" vertical="center" wrapText="1"/>
      <protection locked="0"/>
    </xf>
    <xf numFmtId="0" fontId="25" fillId="11" borderId="36" xfId="0" applyFont="1" applyFill="1" applyBorder="1" applyAlignment="1" applyProtection="1">
      <alignment vertical="top" wrapText="1"/>
      <protection hidden="1"/>
    </xf>
    <xf numFmtId="0" fontId="25" fillId="11" borderId="20" xfId="0" applyFont="1" applyFill="1" applyBorder="1" applyAlignment="1" applyProtection="1">
      <alignment vertical="top" wrapText="1"/>
      <protection hidden="1"/>
    </xf>
    <xf numFmtId="0" fontId="25" fillId="11" borderId="21" xfId="0" applyFont="1" applyFill="1" applyBorder="1" applyAlignment="1" applyProtection="1">
      <alignment vertical="top" wrapText="1"/>
      <protection hidden="1"/>
    </xf>
    <xf numFmtId="10" fontId="25" fillId="0" borderId="22" xfId="0" applyNumberFormat="1" applyFont="1" applyBorder="1" applyAlignment="1" applyProtection="1">
      <alignment horizontal="right" vertical="center" wrapText="1"/>
      <protection locked="0"/>
    </xf>
    <xf numFmtId="10" fontId="25" fillId="0" borderId="23" xfId="0" applyNumberFormat="1" applyFont="1" applyBorder="1" applyAlignment="1" applyProtection="1">
      <alignment horizontal="right" vertical="center" wrapText="1"/>
      <protection locked="0"/>
    </xf>
    <xf numFmtId="10" fontId="0" fillId="0" borderId="26" xfId="0" applyNumberFormat="1" applyBorder="1" applyAlignment="1" applyProtection="1">
      <alignment horizontal="right" vertical="center"/>
      <protection locked="0"/>
    </xf>
    <xf numFmtId="10" fontId="0" fillId="0" borderId="27" xfId="0" applyNumberFormat="1" applyBorder="1" applyAlignment="1" applyProtection="1">
      <alignment horizontal="right" vertical="center"/>
      <protection locked="0"/>
    </xf>
    <xf numFmtId="10" fontId="25" fillId="0" borderId="19" xfId="0" applyNumberFormat="1" applyFont="1" applyBorder="1" applyAlignment="1" applyProtection="1">
      <alignment horizontal="right" vertical="center" wrapText="1"/>
      <protection locked="0"/>
    </xf>
    <xf numFmtId="10" fontId="25" fillId="0" borderId="21" xfId="0" applyNumberFormat="1" applyFont="1" applyBorder="1" applyAlignment="1" applyProtection="1">
      <alignment horizontal="right" vertical="center" wrapText="1"/>
      <protection locked="0"/>
    </xf>
    <xf numFmtId="0" fontId="25" fillId="11" borderId="24" xfId="0" applyFont="1" applyFill="1" applyBorder="1" applyAlignment="1" applyProtection="1">
      <alignment horizontal="left" vertical="center" wrapText="1"/>
      <protection hidden="1"/>
    </xf>
    <xf numFmtId="0" fontId="25" fillId="11" borderId="51" xfId="0" applyFont="1" applyFill="1" applyBorder="1" applyAlignment="1" applyProtection="1">
      <alignment horizontal="left" vertical="center" wrapText="1"/>
      <protection hidden="1"/>
    </xf>
    <xf numFmtId="0" fontId="25" fillId="11" borderId="25" xfId="0" applyFont="1" applyFill="1" applyBorder="1" applyAlignment="1" applyProtection="1">
      <alignment horizontal="left" vertical="center" wrapText="1"/>
      <protection hidden="1"/>
    </xf>
    <xf numFmtId="10" fontId="25" fillId="0" borderId="13" xfId="0" applyNumberFormat="1" applyFont="1" applyBorder="1" applyAlignment="1" applyProtection="1">
      <alignment horizontal="right" vertical="center" wrapText="1"/>
      <protection locked="0"/>
    </xf>
    <xf numFmtId="10" fontId="25" fillId="0" borderId="9" xfId="0" applyNumberFormat="1" applyFont="1" applyBorder="1" applyAlignment="1" applyProtection="1">
      <alignment horizontal="right" vertical="center" wrapText="1"/>
      <protection locked="0"/>
    </xf>
    <xf numFmtId="10" fontId="0" fillId="0" borderId="24" xfId="0" applyNumberFormat="1" applyBorder="1" applyAlignment="1" applyProtection="1">
      <alignment horizontal="right" vertical="center"/>
      <protection locked="0"/>
    </xf>
    <xf numFmtId="10" fontId="0" fillId="0" borderId="25" xfId="0" applyNumberFormat="1" applyBorder="1" applyAlignment="1" applyProtection="1">
      <alignment horizontal="right" vertical="center"/>
      <protection locked="0"/>
    </xf>
    <xf numFmtId="10" fontId="0" fillId="0" borderId="19" xfId="0" applyNumberFormat="1" applyBorder="1" applyAlignment="1" applyProtection="1">
      <alignment horizontal="right" vertical="center"/>
      <protection locked="0"/>
    </xf>
    <xf numFmtId="10" fontId="0" fillId="0" borderId="21" xfId="0" applyNumberFormat="1" applyBorder="1" applyAlignment="1" applyProtection="1">
      <alignment horizontal="right" vertical="center"/>
      <protection locked="0"/>
    </xf>
    <xf numFmtId="0" fontId="0" fillId="13" borderId="0" xfId="0" applyFill="1" applyBorder="1" applyAlignment="1" applyProtection="1">
      <alignment horizontal="center" wrapText="1"/>
      <protection hidden="1"/>
    </xf>
    <xf numFmtId="3" fontId="25" fillId="0" borderId="42" xfId="0" applyNumberFormat="1" applyFont="1" applyBorder="1" applyAlignment="1" applyProtection="1">
      <alignment horizontal="right" vertical="center" wrapText="1"/>
      <protection locked="0"/>
    </xf>
    <xf numFmtId="3" fontId="25" fillId="0" borderId="41" xfId="0" applyNumberFormat="1" applyFont="1" applyBorder="1" applyAlignment="1" applyProtection="1">
      <alignment horizontal="right" vertical="center" wrapText="1"/>
      <protection locked="0"/>
    </xf>
    <xf numFmtId="3" fontId="0" fillId="0" borderId="43" xfId="0" applyNumberFormat="1" applyBorder="1" applyAlignment="1" applyProtection="1">
      <alignment horizontal="right"/>
      <protection locked="0"/>
    </xf>
    <xf numFmtId="3" fontId="0" fillId="0" borderId="44" xfId="0" applyNumberFormat="1" applyBorder="1" applyAlignment="1" applyProtection="1">
      <alignment horizontal="right"/>
      <protection locked="0"/>
    </xf>
    <xf numFmtId="0" fontId="25" fillId="11" borderId="36" xfId="0" applyFont="1" applyFill="1" applyBorder="1" applyAlignment="1" applyProtection="1">
      <alignment vertical="center" wrapText="1"/>
      <protection hidden="1"/>
    </xf>
    <xf numFmtId="0" fontId="25" fillId="11" borderId="34" xfId="0" applyFont="1" applyFill="1" applyBorder="1" applyAlignment="1" applyProtection="1">
      <alignment vertical="center" wrapText="1"/>
      <protection hidden="1"/>
    </xf>
    <xf numFmtId="0" fontId="25" fillId="11" borderId="0" xfId="0" applyFont="1" applyFill="1" applyBorder="1" applyAlignment="1" applyProtection="1">
      <alignment vertical="center" wrapText="1"/>
      <protection hidden="1"/>
    </xf>
    <xf numFmtId="3" fontId="0" fillId="0" borderId="38" xfId="0" applyNumberFormat="1" applyBorder="1" applyAlignment="1" applyProtection="1">
      <alignment horizontal="right"/>
      <protection locked="0"/>
    </xf>
    <xf numFmtId="0" fontId="25" fillId="0" borderId="39" xfId="0" applyFont="1" applyFill="1" applyBorder="1" applyAlignment="1" applyProtection="1">
      <alignment horizontal="left" vertical="center" wrapText="1"/>
      <protection locked="0"/>
    </xf>
    <xf numFmtId="3" fontId="0" fillId="0" borderId="43" xfId="0" applyNumberFormat="1" applyBorder="1" applyAlignment="1" applyProtection="1">
      <alignment horizontal="center"/>
      <protection locked="0"/>
    </xf>
    <xf numFmtId="3" fontId="0" fillId="0" borderId="44" xfId="0" applyNumberFormat="1" applyBorder="1" applyAlignment="1" applyProtection="1">
      <alignment horizontal="center"/>
      <protection locked="0"/>
    </xf>
    <xf numFmtId="3" fontId="0" fillId="0" borderId="45" xfId="0" applyNumberFormat="1" applyBorder="1" applyAlignment="1" applyProtection="1">
      <alignment horizontal="right"/>
      <protection locked="0"/>
    </xf>
    <xf numFmtId="3" fontId="0" fillId="0" borderId="26" xfId="0" applyNumberFormat="1" applyBorder="1" applyAlignment="1" applyProtection="1">
      <alignment horizontal="center"/>
      <protection locked="0"/>
    </xf>
    <xf numFmtId="3" fontId="0" fillId="0" borderId="27" xfId="0" applyNumberFormat="1" applyBorder="1" applyAlignment="1" applyProtection="1">
      <alignment horizontal="center"/>
      <protection locked="0"/>
    </xf>
    <xf numFmtId="3" fontId="0" fillId="0" borderId="13" xfId="0" applyNumberFormat="1" applyBorder="1" applyAlignment="1" applyProtection="1">
      <alignment horizontal="right"/>
      <protection locked="0"/>
    </xf>
    <xf numFmtId="3" fontId="0" fillId="0" borderId="37" xfId="0" applyNumberFormat="1" applyBorder="1" applyAlignment="1" applyProtection="1">
      <alignment horizontal="right"/>
      <protection locked="0"/>
    </xf>
    <xf numFmtId="3" fontId="0" fillId="0" borderId="24" xfId="0" applyNumberFormat="1" applyBorder="1" applyAlignment="1" applyProtection="1">
      <alignment horizontal="center"/>
      <protection locked="0"/>
    </xf>
    <xf numFmtId="3" fontId="0" fillId="0" borderId="25" xfId="0" applyNumberFormat="1" applyBorder="1" applyAlignment="1" applyProtection="1">
      <alignment horizontal="center"/>
      <protection locked="0"/>
    </xf>
    <xf numFmtId="0" fontId="25" fillId="0" borderId="34" xfId="0" applyFont="1" applyFill="1" applyBorder="1" applyAlignment="1" applyProtection="1">
      <alignment horizontal="left" vertical="center" wrapText="1"/>
      <protection locked="0"/>
    </xf>
    <xf numFmtId="0" fontId="25" fillId="0" borderId="0" xfId="0" applyFont="1" applyFill="1" applyBorder="1" applyAlignment="1" applyProtection="1">
      <alignment horizontal="left" vertical="center" wrapText="1"/>
      <protection locked="0"/>
    </xf>
    <xf numFmtId="3" fontId="25" fillId="0" borderId="16" xfId="0" applyNumberFormat="1" applyFont="1" applyBorder="1" applyAlignment="1" applyProtection="1">
      <alignment horizontal="center" vertical="center" wrapText="1"/>
      <protection locked="0"/>
    </xf>
    <xf numFmtId="3" fontId="25" fillId="0" borderId="18" xfId="0" applyNumberFormat="1" applyFont="1" applyBorder="1" applyAlignment="1" applyProtection="1">
      <alignment horizontal="center" vertical="center" wrapText="1"/>
      <protection locked="0"/>
    </xf>
    <xf numFmtId="3" fontId="25" fillId="0" borderId="19" xfId="0" applyNumberFormat="1" applyFont="1" applyBorder="1" applyAlignment="1" applyProtection="1">
      <alignment horizontal="center" vertical="center" wrapText="1"/>
      <protection locked="0"/>
    </xf>
    <xf numFmtId="3" fontId="25" fillId="0" borderId="21" xfId="0" applyNumberFormat="1" applyFont="1" applyBorder="1" applyAlignment="1" applyProtection="1">
      <alignment horizontal="center" vertical="center" wrapText="1"/>
      <protection locked="0"/>
    </xf>
    <xf numFmtId="3" fontId="25" fillId="0" borderId="13" xfId="0" applyNumberFormat="1" applyFont="1" applyBorder="1" applyAlignment="1" applyProtection="1">
      <alignment horizontal="center" vertical="center" wrapText="1"/>
      <protection locked="0"/>
    </xf>
    <xf numFmtId="3" fontId="25" fillId="0" borderId="9" xfId="0" applyNumberFormat="1" applyFont="1" applyBorder="1" applyAlignment="1" applyProtection="1">
      <alignment horizontal="center" vertical="center" wrapText="1"/>
      <protection locked="0"/>
    </xf>
    <xf numFmtId="3" fontId="0" fillId="0" borderId="38" xfId="0" applyNumberFormat="1" applyBorder="1" applyAlignment="1" applyProtection="1">
      <alignment horizontal="center"/>
      <protection locked="0"/>
    </xf>
    <xf numFmtId="3" fontId="0" fillId="0" borderId="45" xfId="0" applyNumberFormat="1" applyBorder="1" applyAlignment="1" applyProtection="1">
      <alignment horizontal="center"/>
      <protection locked="0"/>
    </xf>
    <xf numFmtId="0" fontId="25" fillId="0" borderId="20" xfId="0" applyFont="1" applyFill="1" applyBorder="1" applyAlignment="1" applyProtection="1">
      <alignment horizontal="left" vertical="center" wrapText="1"/>
      <protection locked="0"/>
    </xf>
    <xf numFmtId="3" fontId="0" fillId="0" borderId="13" xfId="0" applyNumberFormat="1" applyBorder="1" applyAlignment="1" applyProtection="1">
      <alignment horizontal="center"/>
      <protection locked="0"/>
    </xf>
    <xf numFmtId="3" fontId="0" fillId="0" borderId="37" xfId="0" applyNumberFormat="1" applyBorder="1" applyAlignment="1" applyProtection="1">
      <alignment horizontal="center"/>
      <protection locked="0"/>
    </xf>
    <xf numFmtId="3" fontId="0" fillId="0" borderId="22" xfId="0" applyNumberFormat="1" applyBorder="1" applyAlignment="1" applyProtection="1">
      <alignment horizontal="right"/>
      <protection locked="0"/>
    </xf>
    <xf numFmtId="3" fontId="0" fillId="0" borderId="23" xfId="0" applyNumberFormat="1" applyBorder="1" applyAlignment="1" applyProtection="1">
      <alignment horizontal="right"/>
      <protection locked="0"/>
    </xf>
    <xf numFmtId="3" fontId="0" fillId="0" borderId="42" xfId="0" applyNumberFormat="1" applyBorder="1" applyAlignment="1" applyProtection="1">
      <alignment horizontal="right"/>
      <protection locked="0"/>
    </xf>
    <xf numFmtId="3" fontId="0" fillId="0" borderId="41" xfId="0" applyNumberFormat="1" applyBorder="1" applyAlignment="1" applyProtection="1">
      <alignment horizontal="right"/>
      <protection locked="0"/>
    </xf>
    <xf numFmtId="3" fontId="1" fillId="0" borderId="22" xfId="0" applyNumberFormat="1" applyFont="1" applyBorder="1" applyAlignment="1" applyProtection="1">
      <alignment horizontal="right"/>
      <protection locked="0"/>
    </xf>
    <xf numFmtId="3" fontId="1" fillId="0" borderId="23" xfId="0" applyNumberFormat="1" applyFont="1" applyBorder="1" applyAlignment="1" applyProtection="1">
      <alignment horizontal="right"/>
      <protection locked="0"/>
    </xf>
    <xf numFmtId="3" fontId="0" fillId="0" borderId="35" xfId="0" applyNumberFormat="1" applyBorder="1" applyAlignment="1" applyProtection="1">
      <alignment horizontal="right"/>
      <protection locked="0"/>
    </xf>
    <xf numFmtId="3" fontId="28" fillId="16" borderId="19" xfId="0" applyNumberFormat="1" applyFont="1" applyFill="1" applyBorder="1" applyAlignment="1" applyProtection="1">
      <alignment horizontal="right" vertical="center" wrapText="1"/>
      <protection hidden="1"/>
    </xf>
    <xf numFmtId="3" fontId="28" fillId="16" borderId="21" xfId="0" applyNumberFormat="1" applyFont="1" applyFill="1" applyBorder="1" applyAlignment="1" applyProtection="1">
      <alignment horizontal="right" vertical="center" wrapText="1"/>
      <protection hidden="1"/>
    </xf>
    <xf numFmtId="0" fontId="28" fillId="11" borderId="50" xfId="0" applyFont="1" applyFill="1" applyBorder="1" applyAlignment="1" applyProtection="1">
      <alignment horizontal="left" vertical="center" wrapText="1"/>
      <protection hidden="1"/>
    </xf>
    <xf numFmtId="0" fontId="28" fillId="11" borderId="51" xfId="0" applyFont="1" applyFill="1" applyBorder="1" applyAlignment="1" applyProtection="1">
      <alignment horizontal="left" vertical="center" wrapText="1"/>
      <protection hidden="1"/>
    </xf>
    <xf numFmtId="0" fontId="28" fillId="11" borderId="25" xfId="0" applyFont="1" applyFill="1" applyBorder="1" applyAlignment="1" applyProtection="1">
      <alignment horizontal="left" vertical="center" wrapText="1"/>
      <protection hidden="1"/>
    </xf>
    <xf numFmtId="0" fontId="25" fillId="11" borderId="46" xfId="0" applyFont="1" applyFill="1" applyBorder="1" applyAlignment="1" applyProtection="1">
      <alignment vertical="center" wrapText="1"/>
      <protection hidden="1"/>
    </xf>
    <xf numFmtId="0" fontId="25" fillId="11" borderId="47" xfId="0" applyFont="1" applyFill="1" applyBorder="1" applyAlignment="1" applyProtection="1">
      <alignment vertical="center" wrapText="1"/>
      <protection hidden="1"/>
    </xf>
    <xf numFmtId="0" fontId="25" fillId="11" borderId="48" xfId="0" applyFont="1" applyFill="1" applyBorder="1" applyAlignment="1" applyProtection="1">
      <alignment vertical="center" wrapText="1"/>
      <protection hidden="1"/>
    </xf>
    <xf numFmtId="3" fontId="25" fillId="0" borderId="49" xfId="0" applyNumberFormat="1" applyFont="1" applyBorder="1" applyAlignment="1" applyProtection="1">
      <alignment horizontal="right" vertical="center" wrapText="1"/>
      <protection locked="0"/>
    </xf>
    <xf numFmtId="3" fontId="25" fillId="0" borderId="48" xfId="0" applyNumberFormat="1" applyFont="1" applyBorder="1" applyAlignment="1" applyProtection="1">
      <alignment horizontal="right" vertical="center" wrapText="1"/>
      <protection locked="0"/>
    </xf>
    <xf numFmtId="3" fontId="0" fillId="0" borderId="35" xfId="0" applyNumberFormat="1" applyBorder="1" applyAlignment="1" applyProtection="1">
      <alignment horizontal="center"/>
      <protection locked="0"/>
    </xf>
    <xf numFmtId="0" fontId="28" fillId="11" borderId="34" xfId="0" applyFont="1" applyFill="1" applyBorder="1" applyAlignment="1" applyProtection="1">
      <alignment vertical="center" wrapText="1"/>
      <protection hidden="1"/>
    </xf>
    <xf numFmtId="0" fontId="28" fillId="11" borderId="0" xfId="0" applyFont="1" applyFill="1" applyBorder="1" applyAlignment="1" applyProtection="1">
      <alignment vertical="center" wrapText="1"/>
      <protection hidden="1"/>
    </xf>
    <xf numFmtId="3" fontId="30" fillId="16" borderId="24" xfId="0" applyNumberFormat="1" applyFont="1" applyFill="1" applyBorder="1" applyAlignment="1" applyProtection="1">
      <alignment vertical="center" wrapText="1"/>
      <protection hidden="1"/>
    </xf>
    <xf numFmtId="3" fontId="30" fillId="16" borderId="25" xfId="0" applyNumberFormat="1" applyFont="1" applyFill="1" applyBorder="1" applyAlignment="1" applyProtection="1">
      <alignment vertical="center" wrapText="1"/>
      <protection hidden="1"/>
    </xf>
    <xf numFmtId="0" fontId="28" fillId="11" borderId="36" xfId="0" applyFont="1" applyFill="1" applyBorder="1" applyAlignment="1" applyProtection="1">
      <alignment vertical="center" wrapText="1"/>
      <protection hidden="1"/>
    </xf>
    <xf numFmtId="3" fontId="28" fillId="16" borderId="22" xfId="0" applyNumberFormat="1" applyFont="1" applyFill="1" applyBorder="1" applyAlignment="1" applyProtection="1">
      <alignment vertical="center" wrapText="1"/>
      <protection hidden="1"/>
    </xf>
    <xf numFmtId="3" fontId="28" fillId="16" borderId="23" xfId="0" applyNumberFormat="1" applyFont="1" applyFill="1" applyBorder="1" applyAlignment="1" applyProtection="1">
      <alignment vertical="center" wrapText="1"/>
      <protection hidden="1"/>
    </xf>
    <xf numFmtId="3" fontId="25" fillId="0" borderId="19" xfId="0" applyNumberFormat="1" applyFont="1" applyBorder="1" applyAlignment="1" applyProtection="1">
      <alignment vertical="center" wrapText="1"/>
      <protection locked="0"/>
    </xf>
    <xf numFmtId="3" fontId="25" fillId="0" borderId="21" xfId="0" applyNumberFormat="1" applyFont="1" applyBorder="1" applyAlignment="1" applyProtection="1">
      <alignment vertical="center" wrapText="1"/>
      <protection locked="0"/>
    </xf>
    <xf numFmtId="3" fontId="25" fillId="0" borderId="13" xfId="0" applyNumberFormat="1" applyFont="1" applyBorder="1" applyAlignment="1" applyProtection="1">
      <alignment vertical="center" wrapText="1"/>
      <protection locked="0"/>
    </xf>
    <xf numFmtId="3" fontId="25" fillId="0" borderId="9" xfId="0" applyNumberFormat="1" applyFont="1" applyBorder="1" applyAlignment="1" applyProtection="1">
      <alignment vertical="center" wrapText="1"/>
      <protection locked="0"/>
    </xf>
    <xf numFmtId="3" fontId="25" fillId="0" borderId="22" xfId="0" applyNumberFormat="1" applyFont="1" applyBorder="1" applyAlignment="1" applyProtection="1">
      <alignment vertical="center" wrapText="1"/>
      <protection locked="0"/>
    </xf>
    <xf numFmtId="3" fontId="25" fillId="0" borderId="23" xfId="0" applyNumberFormat="1" applyFont="1" applyBorder="1" applyAlignment="1" applyProtection="1">
      <alignment vertical="center" wrapText="1"/>
      <protection locked="0"/>
    </xf>
    <xf numFmtId="3" fontId="0" fillId="0" borderId="22" xfId="0" applyNumberFormat="1" applyBorder="1" applyAlignment="1" applyProtection="1">
      <protection locked="0"/>
    </xf>
    <xf numFmtId="3" fontId="0" fillId="0" borderId="23" xfId="0" applyNumberFormat="1" applyBorder="1" applyAlignment="1" applyProtection="1">
      <protection locked="0"/>
    </xf>
    <xf numFmtId="3" fontId="0" fillId="0" borderId="13" xfId="0" applyNumberFormat="1" applyBorder="1" applyAlignment="1" applyProtection="1">
      <protection locked="0"/>
    </xf>
    <xf numFmtId="3" fontId="0" fillId="0" borderId="9" xfId="0" applyNumberFormat="1" applyBorder="1" applyAlignment="1" applyProtection="1">
      <protection locked="0"/>
    </xf>
    <xf numFmtId="3" fontId="0" fillId="0" borderId="14" xfId="0" applyNumberFormat="1" applyBorder="1" applyAlignment="1" applyProtection="1">
      <protection locked="0"/>
    </xf>
    <xf numFmtId="3" fontId="0" fillId="0" borderId="15" xfId="0" applyNumberFormat="1" applyBorder="1" applyAlignment="1" applyProtection="1">
      <protection locked="0"/>
    </xf>
    <xf numFmtId="3" fontId="28" fillId="16" borderId="19" xfId="0" applyNumberFormat="1" applyFont="1" applyFill="1" applyBorder="1" applyAlignment="1" applyProtection="1">
      <alignment vertical="center" wrapText="1"/>
      <protection hidden="1"/>
    </xf>
    <xf numFmtId="3" fontId="28" fillId="16" borderId="21" xfId="0" applyNumberFormat="1" applyFont="1" applyFill="1" applyBorder="1" applyAlignment="1" applyProtection="1">
      <alignment vertical="center" wrapText="1"/>
      <protection hidden="1"/>
    </xf>
    <xf numFmtId="3" fontId="0" fillId="0" borderId="19" xfId="0" applyNumberFormat="1" applyBorder="1" applyAlignment="1" applyProtection="1">
      <protection locked="0"/>
    </xf>
    <xf numFmtId="3" fontId="0" fillId="0" borderId="21" xfId="0" applyNumberFormat="1" applyBorder="1" applyAlignment="1" applyProtection="1">
      <protection locked="0"/>
    </xf>
    <xf numFmtId="3" fontId="25" fillId="0" borderId="16" xfId="0" applyNumberFormat="1" applyFont="1" applyBorder="1" applyAlignment="1" applyProtection="1">
      <alignment vertical="center" wrapText="1"/>
      <protection locked="0"/>
    </xf>
    <xf numFmtId="3" fontId="25" fillId="0" borderId="18" xfId="0" applyNumberFormat="1" applyFont="1" applyBorder="1" applyAlignment="1" applyProtection="1">
      <alignment vertical="center" wrapText="1"/>
      <protection locked="0"/>
    </xf>
    <xf numFmtId="0" fontId="43" fillId="12" borderId="0" xfId="4" applyFont="1" applyFill="1" applyBorder="1" applyAlignment="1" applyProtection="1">
      <alignment horizontal="center"/>
      <protection hidden="1"/>
    </xf>
    <xf numFmtId="3" fontId="0" fillId="0" borderId="9" xfId="0" applyNumberFormat="1" applyBorder="1" applyAlignment="1" applyProtection="1">
      <alignment horizontal="right"/>
      <protection locked="0"/>
    </xf>
    <xf numFmtId="3" fontId="30" fillId="16" borderId="13" xfId="0" applyNumberFormat="1" applyFont="1" applyFill="1" applyBorder="1" applyAlignment="1" applyProtection="1">
      <alignment vertical="center" wrapText="1"/>
      <protection hidden="1"/>
    </xf>
    <xf numFmtId="3" fontId="30" fillId="16" borderId="9" xfId="0" applyNumberFormat="1" applyFont="1" applyFill="1" applyBorder="1" applyAlignment="1" applyProtection="1">
      <alignment vertical="center" wrapText="1"/>
      <protection hidden="1"/>
    </xf>
    <xf numFmtId="3" fontId="28" fillId="0" borderId="19" xfId="0" applyNumberFormat="1" applyFont="1" applyBorder="1" applyAlignment="1" applyProtection="1">
      <alignment horizontal="right" vertical="center" wrapText="1"/>
      <protection locked="0"/>
    </xf>
    <xf numFmtId="3" fontId="28" fillId="0" borderId="21" xfId="0" applyNumberFormat="1" applyFont="1" applyBorder="1" applyAlignment="1" applyProtection="1">
      <alignment horizontal="right" vertical="center" wrapText="1"/>
      <protection locked="0"/>
    </xf>
    <xf numFmtId="10" fontId="25" fillId="0" borderId="42" xfId="0" applyNumberFormat="1" applyFont="1" applyBorder="1" applyAlignment="1" applyProtection="1">
      <alignment horizontal="right" vertical="center" wrapText="1"/>
      <protection locked="0"/>
    </xf>
    <xf numFmtId="10" fontId="25" fillId="0" borderId="41" xfId="0" applyNumberFormat="1" applyFont="1" applyBorder="1" applyAlignment="1" applyProtection="1">
      <alignment horizontal="right" vertical="center" wrapText="1"/>
      <protection locked="0"/>
    </xf>
    <xf numFmtId="10" fontId="0" fillId="0" borderId="43" xfId="0" applyNumberFormat="1" applyBorder="1" applyAlignment="1" applyProtection="1">
      <alignment horizontal="right"/>
      <protection locked="0"/>
    </xf>
    <xf numFmtId="10" fontId="0" fillId="0" borderId="44" xfId="0" applyNumberFormat="1" applyBorder="1" applyAlignment="1" applyProtection="1">
      <alignment horizontal="right"/>
      <protection locked="0"/>
    </xf>
    <xf numFmtId="3" fontId="25" fillId="0" borderId="65" xfId="0" applyNumberFormat="1" applyFont="1" applyBorder="1" applyAlignment="1" applyProtection="1">
      <alignment horizontal="right" vertical="center" wrapText="1"/>
      <protection locked="0"/>
    </xf>
    <xf numFmtId="3" fontId="25" fillId="0" borderId="66" xfId="0" applyNumberFormat="1" applyFont="1" applyBorder="1" applyAlignment="1" applyProtection="1">
      <alignment horizontal="right" vertical="center" wrapText="1"/>
      <protection locked="0"/>
    </xf>
    <xf numFmtId="3" fontId="0" fillId="0" borderId="24" xfId="0" applyNumberFormat="1" applyBorder="1" applyAlignment="1" applyProtection="1">
      <alignment horizontal="right" vertical="center"/>
      <protection locked="0"/>
    </xf>
    <xf numFmtId="3" fontId="0" fillId="0" borderId="25" xfId="0" applyNumberFormat="1" applyBorder="1" applyAlignment="1" applyProtection="1">
      <alignment horizontal="right" vertical="center"/>
      <protection locked="0"/>
    </xf>
    <xf numFmtId="10" fontId="28" fillId="16" borderId="19" xfId="0" applyNumberFormat="1" applyFont="1" applyFill="1" applyBorder="1" applyAlignment="1" applyProtection="1">
      <alignment horizontal="right" vertical="center" wrapText="1"/>
      <protection locked="0"/>
    </xf>
    <xf numFmtId="10" fontId="28" fillId="16" borderId="21" xfId="0" applyNumberFormat="1" applyFont="1" applyFill="1" applyBorder="1" applyAlignment="1" applyProtection="1">
      <alignment horizontal="right" vertical="center" wrapText="1"/>
      <protection locked="0"/>
    </xf>
    <xf numFmtId="3" fontId="0" fillId="0" borderId="65" xfId="0" applyNumberFormat="1" applyBorder="1" applyAlignment="1" applyProtection="1">
      <alignment horizontal="right" vertical="center"/>
      <protection locked="0"/>
    </xf>
    <xf numFmtId="3" fontId="0" fillId="0" borderId="66" xfId="0" applyNumberFormat="1" applyBorder="1" applyAlignment="1" applyProtection="1">
      <alignment horizontal="right" vertical="center"/>
      <protection locked="0"/>
    </xf>
    <xf numFmtId="0" fontId="25" fillId="11" borderId="77" xfId="0" applyFont="1" applyFill="1" applyBorder="1" applyAlignment="1" applyProtection="1">
      <alignment horizontal="center" vertical="center" wrapText="1"/>
      <protection hidden="1"/>
    </xf>
    <xf numFmtId="0" fontId="25" fillId="11" borderId="70" xfId="0" applyFont="1" applyFill="1" applyBorder="1" applyAlignment="1" applyProtection="1">
      <alignment horizontal="center" vertical="center" wrapText="1"/>
      <protection hidden="1"/>
    </xf>
    <xf numFmtId="0" fontId="25" fillId="11" borderId="64" xfId="0" applyFont="1" applyFill="1" applyBorder="1" applyAlignment="1" applyProtection="1">
      <alignment horizontal="center" vertical="center" wrapText="1"/>
      <protection hidden="1"/>
    </xf>
    <xf numFmtId="0" fontId="28" fillId="11" borderId="75" xfId="0" applyFont="1" applyFill="1" applyBorder="1" applyAlignment="1" applyProtection="1">
      <alignment horizontal="left" vertical="center" wrapText="1"/>
      <protection hidden="1"/>
    </xf>
    <xf numFmtId="0" fontId="28" fillId="11" borderId="76" xfId="0" applyFont="1" applyFill="1" applyBorder="1" applyAlignment="1" applyProtection="1">
      <alignment horizontal="left" vertical="center" wrapText="1"/>
      <protection hidden="1"/>
    </xf>
    <xf numFmtId="0" fontId="28" fillId="11" borderId="67" xfId="0" applyFont="1" applyFill="1" applyBorder="1" applyAlignment="1" applyProtection="1">
      <alignment horizontal="left" vertical="center" wrapText="1"/>
      <protection hidden="1"/>
    </xf>
    <xf numFmtId="3" fontId="28" fillId="16" borderId="68" xfId="0" applyNumberFormat="1" applyFont="1" applyFill="1" applyBorder="1" applyAlignment="1" applyProtection="1">
      <alignment horizontal="right" vertical="center" wrapText="1"/>
      <protection hidden="1"/>
    </xf>
    <xf numFmtId="3" fontId="28" fillId="16" borderId="69" xfId="0" applyNumberFormat="1" applyFont="1" applyFill="1" applyBorder="1" applyAlignment="1" applyProtection="1">
      <alignment horizontal="right" vertical="center" wrapText="1"/>
      <protection hidden="1"/>
    </xf>
    <xf numFmtId="3" fontId="0" fillId="0" borderId="63" xfId="0" applyNumberFormat="1" applyBorder="1" applyAlignment="1" applyProtection="1">
      <alignment horizontal="right" vertical="center"/>
      <protection locked="0"/>
    </xf>
    <xf numFmtId="3" fontId="0" fillId="0" borderId="64" xfId="0" applyNumberFormat="1" applyBorder="1" applyAlignment="1" applyProtection="1">
      <alignment horizontal="right" vertical="center"/>
      <protection locked="0"/>
    </xf>
    <xf numFmtId="3" fontId="25" fillId="0" borderId="63" xfId="0" applyNumberFormat="1" applyFont="1" applyBorder="1" applyAlignment="1" applyProtection="1">
      <alignment horizontal="right" vertical="center" wrapText="1"/>
      <protection locked="0"/>
    </xf>
    <xf numFmtId="3" fontId="25" fillId="0" borderId="64" xfId="0" applyNumberFormat="1" applyFont="1" applyBorder="1" applyAlignment="1" applyProtection="1">
      <alignment horizontal="right" vertical="center" wrapText="1"/>
      <protection locked="0"/>
    </xf>
    <xf numFmtId="3" fontId="25" fillId="0" borderId="22" xfId="0" applyNumberFormat="1" applyFont="1" applyBorder="1" applyAlignment="1" applyProtection="1">
      <alignment horizontal="center" vertical="center" wrapText="1"/>
      <protection locked="0"/>
    </xf>
    <xf numFmtId="3" fontId="25" fillId="0" borderId="23" xfId="0" applyNumberFormat="1" applyFont="1" applyBorder="1" applyAlignment="1" applyProtection="1">
      <alignment horizontal="center" vertical="center" wrapText="1"/>
      <protection locked="0"/>
    </xf>
    <xf numFmtId="3" fontId="0" fillId="0" borderId="24" xfId="0" applyNumberFormat="1" applyBorder="1" applyAlignment="1" applyProtection="1">
      <alignment horizontal="center" vertical="center"/>
      <protection locked="0"/>
    </xf>
    <xf numFmtId="3" fontId="0" fillId="0" borderId="25" xfId="0" applyNumberFormat="1" applyBorder="1" applyAlignment="1" applyProtection="1">
      <alignment horizontal="center" vertical="center"/>
      <protection locked="0"/>
    </xf>
    <xf numFmtId="3" fontId="0" fillId="0" borderId="42" xfId="0" applyNumberFormat="1" applyBorder="1" applyAlignment="1" applyProtection="1">
      <alignment horizontal="center"/>
      <protection locked="0"/>
    </xf>
    <xf numFmtId="3" fontId="0" fillId="0" borderId="41" xfId="0" applyNumberFormat="1" applyBorder="1" applyAlignment="1" applyProtection="1">
      <alignment horizontal="center"/>
      <protection locked="0"/>
    </xf>
    <xf numFmtId="0" fontId="25" fillId="11" borderId="24" xfId="0" applyFont="1" applyFill="1" applyBorder="1" applyAlignment="1" applyProtection="1">
      <alignment vertical="center" wrapText="1"/>
      <protection hidden="1"/>
    </xf>
    <xf numFmtId="0" fontId="25" fillId="11" borderId="51" xfId="0" applyFont="1" applyFill="1" applyBorder="1" applyAlignment="1" applyProtection="1">
      <alignment vertical="center" wrapText="1"/>
      <protection hidden="1"/>
    </xf>
    <xf numFmtId="0" fontId="25" fillId="11" borderId="25" xfId="0" applyFont="1" applyFill="1" applyBorder="1" applyAlignment="1" applyProtection="1">
      <alignment vertical="center" wrapText="1"/>
      <protection hidden="1"/>
    </xf>
    <xf numFmtId="3" fontId="28" fillId="16" borderId="16" xfId="0" applyNumberFormat="1" applyFont="1" applyFill="1" applyBorder="1" applyAlignment="1" applyProtection="1">
      <alignment horizontal="right" vertical="center" wrapText="1"/>
      <protection hidden="1"/>
    </xf>
    <xf numFmtId="3" fontId="28" fillId="16" borderId="18" xfId="0" applyNumberFormat="1" applyFont="1" applyFill="1" applyBorder="1" applyAlignment="1" applyProtection="1">
      <alignment horizontal="right" vertical="center" wrapText="1"/>
      <protection hidden="1"/>
    </xf>
    <xf numFmtId="0" fontId="28" fillId="11" borderId="16" xfId="0" applyFont="1" applyFill="1" applyBorder="1" applyAlignment="1" applyProtection="1">
      <alignment vertical="center" wrapText="1"/>
      <protection hidden="1"/>
    </xf>
    <xf numFmtId="0" fontId="28" fillId="11" borderId="17" xfId="0" applyFont="1" applyFill="1" applyBorder="1" applyAlignment="1" applyProtection="1">
      <alignment vertical="center" wrapText="1"/>
      <protection hidden="1"/>
    </xf>
    <xf numFmtId="0" fontId="28" fillId="11" borderId="18" xfId="0" applyFont="1" applyFill="1" applyBorder="1" applyAlignment="1" applyProtection="1">
      <alignment vertical="center" wrapText="1"/>
      <protection hidden="1"/>
    </xf>
    <xf numFmtId="3" fontId="0" fillId="0" borderId="13" xfId="0" applyNumberFormat="1" applyBorder="1" applyAlignment="1" applyProtection="1">
      <alignment horizontal="right" vertical="center"/>
      <protection locked="0"/>
    </xf>
    <xf numFmtId="3" fontId="0" fillId="0" borderId="9" xfId="0" applyNumberFormat="1" applyBorder="1" applyAlignment="1" applyProtection="1">
      <alignment horizontal="right" vertical="center"/>
      <protection locked="0"/>
    </xf>
    <xf numFmtId="0" fontId="25" fillId="11" borderId="80" xfId="0" applyFont="1" applyFill="1" applyBorder="1" applyAlignment="1" applyProtection="1">
      <alignment horizontal="center" vertical="center" wrapText="1"/>
      <protection hidden="1"/>
    </xf>
    <xf numFmtId="0" fontId="25" fillId="11" borderId="81" xfId="0" applyFont="1" applyFill="1" applyBorder="1" applyAlignment="1" applyProtection="1">
      <alignment horizontal="center" vertical="center" wrapText="1"/>
      <protection hidden="1"/>
    </xf>
    <xf numFmtId="0" fontId="25" fillId="11" borderId="69" xfId="0" applyFont="1" applyFill="1" applyBorder="1" applyAlignment="1" applyProtection="1">
      <alignment horizontal="center" vertical="center" wrapText="1"/>
      <protection hidden="1"/>
    </xf>
    <xf numFmtId="0" fontId="25" fillId="11" borderId="50" xfId="0" applyFont="1" applyFill="1" applyBorder="1" applyAlignment="1" applyProtection="1">
      <alignment horizontal="left" vertical="center" wrapText="1"/>
      <protection hidden="1"/>
    </xf>
    <xf numFmtId="3" fontId="25" fillId="0" borderId="73" xfId="0" applyNumberFormat="1" applyFont="1" applyBorder="1" applyAlignment="1" applyProtection="1">
      <alignment horizontal="right" vertical="center" wrapText="1"/>
      <protection locked="0"/>
    </xf>
    <xf numFmtId="3" fontId="25" fillId="0" borderId="74" xfId="0" applyNumberFormat="1" applyFont="1" applyBorder="1" applyAlignment="1" applyProtection="1">
      <alignment horizontal="right" vertical="center" wrapText="1"/>
      <protection locked="0"/>
    </xf>
    <xf numFmtId="3" fontId="0" fillId="0" borderId="14" xfId="0" applyNumberFormat="1" applyBorder="1" applyAlignment="1" applyProtection="1">
      <alignment horizontal="center"/>
      <protection locked="0"/>
    </xf>
    <xf numFmtId="3" fontId="0" fillId="0" borderId="15" xfId="0" applyNumberFormat="1" applyBorder="1" applyAlignment="1" applyProtection="1">
      <alignment horizontal="center"/>
      <protection locked="0"/>
    </xf>
    <xf numFmtId="3" fontId="25" fillId="0" borderId="71" xfId="0" applyNumberFormat="1" applyFont="1" applyBorder="1" applyAlignment="1" applyProtection="1">
      <alignment horizontal="right" vertical="center" wrapText="1"/>
      <protection locked="0"/>
    </xf>
    <xf numFmtId="3" fontId="25" fillId="0" borderId="72" xfId="0" applyNumberFormat="1" applyFont="1" applyBorder="1" applyAlignment="1" applyProtection="1">
      <alignment horizontal="right" vertical="center" wrapText="1"/>
      <protection locked="0"/>
    </xf>
    <xf numFmtId="0" fontId="25" fillId="11" borderId="78" xfId="0" applyFont="1" applyFill="1" applyBorder="1" applyAlignment="1" applyProtection="1">
      <alignment horizontal="center" vertical="center" wrapText="1"/>
      <protection hidden="1"/>
    </xf>
    <xf numFmtId="0" fontId="25" fillId="11" borderId="79" xfId="0" applyFont="1" applyFill="1" applyBorder="1" applyAlignment="1" applyProtection="1">
      <alignment horizontal="center" vertical="center" wrapText="1"/>
      <protection hidden="1"/>
    </xf>
    <xf numFmtId="0" fontId="25" fillId="11" borderId="72" xfId="0" applyFont="1" applyFill="1" applyBorder="1" applyAlignment="1" applyProtection="1">
      <alignment horizontal="center" vertical="center" wrapText="1"/>
      <protection hidden="1"/>
    </xf>
    <xf numFmtId="0" fontId="26" fillId="5" borderId="52" xfId="0" applyFont="1" applyFill="1" applyBorder="1" applyAlignment="1" applyProtection="1">
      <alignment horizontal="left" vertical="center" wrapText="1"/>
      <protection hidden="1"/>
    </xf>
    <xf numFmtId="0" fontId="25" fillId="0" borderId="39" xfId="0" applyFont="1" applyFill="1" applyBorder="1" applyAlignment="1" applyProtection="1">
      <alignment horizontal="right" vertical="center" wrapText="1"/>
      <protection locked="0"/>
    </xf>
    <xf numFmtId="0" fontId="25" fillId="0" borderId="40" xfId="0" applyFont="1" applyFill="1" applyBorder="1" applyAlignment="1" applyProtection="1">
      <alignment horizontal="right" vertical="center" wrapText="1"/>
      <protection locked="0"/>
    </xf>
    <xf numFmtId="0" fontId="25" fillId="0" borderId="41" xfId="0" applyFont="1" applyFill="1" applyBorder="1" applyAlignment="1" applyProtection="1">
      <alignment horizontal="right" vertical="center" wrapText="1"/>
      <protection locked="0"/>
    </xf>
    <xf numFmtId="0" fontId="25" fillId="10" borderId="150" xfId="0" applyFont="1" applyFill="1" applyBorder="1" applyAlignment="1" applyProtection="1">
      <alignment horizontal="center" vertical="center" wrapText="1"/>
      <protection hidden="1"/>
    </xf>
    <xf numFmtId="0" fontId="25" fillId="10" borderId="54" xfId="0" applyFont="1" applyFill="1" applyBorder="1" applyAlignment="1" applyProtection="1">
      <alignment horizontal="center" vertical="center" wrapText="1"/>
      <protection hidden="1"/>
    </xf>
    <xf numFmtId="0" fontId="25" fillId="10" borderId="151" xfId="0" applyFont="1" applyFill="1" applyBorder="1" applyAlignment="1" applyProtection="1">
      <alignment horizontal="center" vertical="center" wrapText="1"/>
      <protection hidden="1"/>
    </xf>
    <xf numFmtId="3" fontId="25" fillId="0" borderId="24" xfId="0" applyNumberFormat="1" applyFont="1" applyBorder="1" applyAlignment="1" applyProtection="1">
      <alignment horizontal="right" vertical="center" wrapText="1"/>
      <protection locked="0"/>
    </xf>
    <xf numFmtId="3" fontId="25" fillId="0" borderId="51" xfId="0" applyNumberFormat="1" applyFont="1" applyBorder="1" applyAlignment="1" applyProtection="1">
      <alignment horizontal="right" vertical="center" wrapText="1"/>
      <protection locked="0"/>
    </xf>
    <xf numFmtId="3" fontId="25" fillId="0" borderId="83" xfId="0" applyNumberFormat="1" applyFont="1" applyBorder="1" applyAlignment="1" applyProtection="1">
      <alignment horizontal="right" vertical="center" wrapText="1"/>
      <protection locked="0"/>
    </xf>
    <xf numFmtId="3" fontId="25" fillId="0" borderId="20" xfId="0" applyNumberFormat="1" applyFont="1" applyBorder="1" applyAlignment="1" applyProtection="1">
      <alignment horizontal="right" vertical="center" wrapText="1"/>
      <protection locked="0"/>
    </xf>
    <xf numFmtId="3" fontId="25" fillId="0" borderId="57" xfId="0" applyNumberFormat="1" applyFont="1" applyBorder="1" applyAlignment="1" applyProtection="1">
      <alignment horizontal="right" vertical="center" wrapText="1"/>
      <protection locked="0"/>
    </xf>
    <xf numFmtId="3" fontId="25" fillId="0" borderId="40" xfId="0" applyNumberFormat="1" applyFont="1" applyBorder="1" applyAlignment="1" applyProtection="1">
      <alignment horizontal="right" vertical="center" wrapText="1"/>
      <protection locked="0"/>
    </xf>
    <xf numFmtId="3" fontId="25" fillId="0" borderId="58" xfId="0" applyNumberFormat="1" applyFont="1" applyBorder="1" applyAlignment="1" applyProtection="1">
      <alignment horizontal="right" vertical="center" wrapText="1"/>
      <protection locked="0"/>
    </xf>
    <xf numFmtId="0" fontId="0" fillId="0" borderId="56" xfId="0" applyBorder="1" applyAlignment="1" applyProtection="1">
      <alignment horizontal="right"/>
      <protection locked="0"/>
    </xf>
    <xf numFmtId="0" fontId="0" fillId="0" borderId="51" xfId="0" applyBorder="1" applyAlignment="1" applyProtection="1">
      <alignment horizontal="right"/>
      <protection locked="0"/>
    </xf>
    <xf numFmtId="0" fontId="0" fillId="0" borderId="35" xfId="0" applyBorder="1" applyAlignment="1" applyProtection="1">
      <alignment horizontal="right"/>
      <protection locked="0"/>
    </xf>
    <xf numFmtId="0" fontId="25" fillId="10" borderId="145" xfId="0" applyFont="1" applyFill="1" applyBorder="1" applyAlignment="1" applyProtection="1">
      <alignment horizontal="center" vertical="center" wrapText="1"/>
      <protection hidden="1"/>
    </xf>
    <xf numFmtId="0" fontId="25" fillId="10" borderId="147" xfId="0" applyFont="1" applyFill="1" applyBorder="1" applyAlignment="1" applyProtection="1">
      <alignment horizontal="center" vertical="center" wrapText="1"/>
      <protection hidden="1"/>
    </xf>
    <xf numFmtId="0" fontId="25" fillId="0" borderId="36" xfId="0" applyFont="1" applyFill="1" applyBorder="1" applyAlignment="1" applyProtection="1">
      <alignment horizontal="right" vertical="center" wrapText="1"/>
      <protection locked="0"/>
    </xf>
    <xf numFmtId="0" fontId="25" fillId="0" borderId="20" xfId="0" applyFont="1" applyFill="1" applyBorder="1" applyAlignment="1" applyProtection="1">
      <alignment horizontal="right" vertical="center" wrapText="1"/>
      <protection locked="0"/>
    </xf>
    <xf numFmtId="0" fontId="25" fillId="0" borderId="21" xfId="0" applyFont="1" applyFill="1" applyBorder="1" applyAlignment="1" applyProtection="1">
      <alignment horizontal="right" vertical="center" wrapText="1"/>
      <protection locked="0"/>
    </xf>
    <xf numFmtId="0" fontId="25" fillId="0" borderId="50" xfId="0" applyFont="1" applyFill="1" applyBorder="1" applyAlignment="1" applyProtection="1">
      <alignment horizontal="right" vertical="center" wrapText="1"/>
      <protection locked="0"/>
    </xf>
    <xf numFmtId="0" fontId="25" fillId="0" borderId="51" xfId="0" applyFont="1" applyFill="1" applyBorder="1" applyAlignment="1" applyProtection="1">
      <alignment horizontal="right" vertical="center" wrapText="1"/>
      <protection locked="0"/>
    </xf>
    <xf numFmtId="0" fontId="25" fillId="0" borderId="25" xfId="0" applyFont="1" applyFill="1" applyBorder="1" applyAlignment="1" applyProtection="1">
      <alignment horizontal="right" vertical="center" wrapText="1"/>
      <protection locked="0"/>
    </xf>
    <xf numFmtId="0" fontId="25" fillId="10" borderId="149" xfId="0" applyFont="1" applyFill="1" applyBorder="1" applyAlignment="1" applyProtection="1">
      <alignment horizontal="center" vertical="center" wrapText="1"/>
      <protection hidden="1"/>
    </xf>
    <xf numFmtId="0" fontId="25" fillId="10" borderId="144" xfId="0" applyFont="1" applyFill="1" applyBorder="1" applyAlignment="1" applyProtection="1">
      <alignment horizontal="center" vertical="center" wrapText="1"/>
      <protection hidden="1"/>
    </xf>
    <xf numFmtId="0" fontId="0" fillId="0" borderId="60" xfId="0" applyBorder="1" applyAlignment="1" applyProtection="1">
      <alignment horizontal="right"/>
      <protection locked="0"/>
    </xf>
    <xf numFmtId="0" fontId="0" fillId="0" borderId="20" xfId="0" applyBorder="1" applyAlignment="1" applyProtection="1">
      <alignment horizontal="right"/>
      <protection locked="0"/>
    </xf>
    <xf numFmtId="0" fontId="0" fillId="0" borderId="38" xfId="0" applyBorder="1" applyAlignment="1" applyProtection="1">
      <alignment horizontal="right"/>
      <protection locked="0"/>
    </xf>
    <xf numFmtId="0" fontId="0" fillId="0" borderId="146" xfId="0" applyBorder="1" applyAlignment="1" applyProtection="1">
      <alignment horizontal="right"/>
      <protection locked="0"/>
    </xf>
    <xf numFmtId="0" fontId="0" fillId="0" borderId="40" xfId="0" applyBorder="1" applyAlignment="1" applyProtection="1">
      <alignment horizontal="right"/>
      <protection locked="0"/>
    </xf>
    <xf numFmtId="0" fontId="0" fillId="0" borderId="53" xfId="0" applyBorder="1" applyAlignment="1" applyProtection="1">
      <alignment horizontal="right"/>
      <protection locked="0"/>
    </xf>
    <xf numFmtId="0" fontId="83" fillId="11" borderId="187" xfId="0" applyFont="1" applyFill="1" applyBorder="1" applyAlignment="1" applyProtection="1">
      <alignment horizontal="left" vertical="center" wrapText="1" indent="1"/>
      <protection hidden="1"/>
    </xf>
    <xf numFmtId="0" fontId="83" fillId="11" borderId="18" xfId="0" applyFont="1" applyFill="1" applyBorder="1" applyAlignment="1" applyProtection="1">
      <alignment horizontal="left" vertical="center" wrapText="1" indent="1"/>
      <protection hidden="1"/>
    </xf>
    <xf numFmtId="10" fontId="0" fillId="0" borderId="26" xfId="0" applyNumberFormat="1" applyBorder="1" applyAlignment="1" applyProtection="1">
      <alignment horizontal="right"/>
      <protection locked="0"/>
    </xf>
    <xf numFmtId="10" fontId="0" fillId="0" borderId="27" xfId="0" applyNumberFormat="1" applyBorder="1" applyAlignment="1" applyProtection="1">
      <alignment horizontal="right"/>
      <protection locked="0"/>
    </xf>
    <xf numFmtId="10" fontId="0" fillId="0" borderId="22" xfId="0" applyNumberFormat="1" applyBorder="1" applyAlignment="1" applyProtection="1">
      <alignment horizontal="right"/>
      <protection locked="0"/>
    </xf>
    <xf numFmtId="10" fontId="0" fillId="0" borderId="23" xfId="0" applyNumberFormat="1" applyBorder="1" applyAlignment="1" applyProtection="1">
      <alignment horizontal="right"/>
      <protection locked="0"/>
    </xf>
    <xf numFmtId="10" fontId="0" fillId="0" borderId="19" xfId="0" applyNumberFormat="1" applyBorder="1" applyAlignment="1" applyProtection="1">
      <alignment horizontal="right"/>
      <protection locked="0"/>
    </xf>
    <xf numFmtId="10" fontId="0" fillId="0" borderId="21" xfId="0" applyNumberFormat="1" applyBorder="1" applyAlignment="1" applyProtection="1">
      <alignment horizontal="right"/>
      <protection locked="0"/>
    </xf>
    <xf numFmtId="10" fontId="0" fillId="0" borderId="13" xfId="0" applyNumberFormat="1" applyBorder="1" applyAlignment="1" applyProtection="1">
      <alignment horizontal="right"/>
      <protection locked="0"/>
    </xf>
    <xf numFmtId="10" fontId="0" fillId="0" borderId="9" xfId="0" applyNumberFormat="1" applyBorder="1" applyAlignment="1" applyProtection="1">
      <alignment horizontal="right"/>
      <protection locked="0"/>
    </xf>
    <xf numFmtId="0" fontId="25" fillId="11" borderId="24" xfId="0" applyFont="1" applyFill="1" applyBorder="1" applyAlignment="1" applyProtection="1">
      <alignment horizontal="center" vertical="center" wrapText="1"/>
      <protection hidden="1"/>
    </xf>
    <xf numFmtId="0" fontId="25" fillId="11" borderId="51" xfId="0" applyFont="1" applyFill="1" applyBorder="1" applyAlignment="1" applyProtection="1">
      <alignment horizontal="center" vertical="center" wrapText="1"/>
      <protection hidden="1"/>
    </xf>
    <xf numFmtId="0" fontId="25" fillId="11" borderId="25" xfId="0" applyFont="1" applyFill="1" applyBorder="1" applyAlignment="1" applyProtection="1">
      <alignment horizontal="center" vertical="center" wrapText="1"/>
      <protection hidden="1"/>
    </xf>
    <xf numFmtId="0" fontId="25" fillId="11" borderId="34" xfId="0" applyFont="1" applyFill="1" applyBorder="1" applyAlignment="1" applyProtection="1">
      <alignment horizontal="center" vertical="center" wrapText="1"/>
      <protection hidden="1"/>
    </xf>
    <xf numFmtId="0" fontId="25" fillId="11" borderId="0" xfId="0" applyFont="1" applyFill="1" applyBorder="1" applyAlignment="1" applyProtection="1">
      <alignment horizontal="center" vertical="center" wrapText="1"/>
      <protection hidden="1"/>
    </xf>
    <xf numFmtId="0" fontId="28" fillId="11" borderId="20" xfId="0" applyFont="1" applyFill="1" applyBorder="1" applyAlignment="1" applyProtection="1">
      <alignment horizontal="left" vertical="center" wrapText="1"/>
      <protection hidden="1"/>
    </xf>
    <xf numFmtId="0" fontId="28" fillId="11" borderId="40" xfId="0" applyFont="1" applyFill="1" applyBorder="1" applyAlignment="1" applyProtection="1">
      <alignment horizontal="left" vertical="center" wrapText="1"/>
      <protection hidden="1"/>
    </xf>
    <xf numFmtId="3" fontId="28" fillId="16" borderId="42" xfId="0" applyNumberFormat="1" applyFont="1" applyFill="1" applyBorder="1" applyAlignment="1" applyProtection="1">
      <alignment horizontal="right" vertical="center" wrapText="1"/>
      <protection hidden="1"/>
    </xf>
    <xf numFmtId="3" fontId="28" fillId="16" borderId="41" xfId="0" applyNumberFormat="1" applyFont="1" applyFill="1" applyBorder="1" applyAlignment="1" applyProtection="1">
      <alignment horizontal="right" vertical="center" wrapText="1"/>
      <protection hidden="1"/>
    </xf>
    <xf numFmtId="0" fontId="25" fillId="10" borderId="59" xfId="0" applyFont="1" applyFill="1" applyBorder="1" applyAlignment="1" applyProtection="1">
      <alignment horizontal="center" vertical="center" wrapText="1"/>
      <protection hidden="1"/>
    </xf>
    <xf numFmtId="3" fontId="25" fillId="0" borderId="56" xfId="0" applyNumberFormat="1" applyFont="1" applyFill="1" applyBorder="1" applyAlignment="1" applyProtection="1">
      <alignment horizontal="right" vertical="center" wrapText="1"/>
      <protection locked="0"/>
    </xf>
    <xf numFmtId="3" fontId="25" fillId="0" borderId="25" xfId="0" applyNumberFormat="1" applyFont="1" applyFill="1" applyBorder="1" applyAlignment="1" applyProtection="1">
      <alignment horizontal="right" vertical="center" wrapText="1"/>
      <protection locked="0"/>
    </xf>
    <xf numFmtId="3" fontId="28" fillId="18" borderId="61" xfId="0" applyNumberFormat="1" applyFont="1" applyFill="1" applyBorder="1" applyAlignment="1" applyProtection="1">
      <alignment horizontal="center" vertical="center" wrapText="1"/>
      <protection locked="0" hidden="1"/>
    </xf>
    <xf numFmtId="3" fontId="28" fillId="18" borderId="18" xfId="0" applyNumberFormat="1" applyFont="1" applyFill="1" applyBorder="1" applyAlignment="1" applyProtection="1">
      <alignment horizontal="center" vertical="center" wrapText="1"/>
      <protection locked="0" hidden="1"/>
    </xf>
    <xf numFmtId="0" fontId="25" fillId="0" borderId="16" xfId="0" applyFont="1" applyFill="1" applyBorder="1" applyAlignment="1" applyProtection="1">
      <alignment horizontal="right" vertical="center" wrapText="1"/>
      <protection locked="0"/>
    </xf>
    <xf numFmtId="0" fontId="25" fillId="0" borderId="17" xfId="0" applyFont="1" applyFill="1" applyBorder="1" applyAlignment="1" applyProtection="1">
      <alignment horizontal="right" vertical="center" wrapText="1"/>
      <protection locked="0"/>
    </xf>
    <xf numFmtId="0" fontId="25" fillId="0" borderId="18" xfId="0" applyFont="1" applyFill="1" applyBorder="1" applyAlignment="1" applyProtection="1">
      <alignment horizontal="right" vertical="center" wrapText="1"/>
      <protection locked="0"/>
    </xf>
    <xf numFmtId="0" fontId="25" fillId="0" borderId="24" xfId="0" applyFont="1" applyBorder="1" applyAlignment="1" applyProtection="1">
      <alignment horizontal="right" vertical="center" wrapText="1"/>
      <protection locked="0"/>
    </xf>
    <xf numFmtId="0" fontId="25" fillId="0" borderId="51" xfId="0" applyFont="1" applyBorder="1" applyAlignment="1" applyProtection="1">
      <alignment horizontal="right" vertical="center" wrapText="1"/>
      <protection locked="0"/>
    </xf>
    <xf numFmtId="0" fontId="25" fillId="0" borderId="83" xfId="0" applyFont="1" applyBorder="1" applyAlignment="1" applyProtection="1">
      <alignment horizontal="right" vertical="center" wrapText="1"/>
      <protection locked="0"/>
    </xf>
    <xf numFmtId="0" fontId="25" fillId="0" borderId="19" xfId="0" applyFont="1" applyBorder="1" applyAlignment="1" applyProtection="1">
      <alignment horizontal="right" vertical="center" wrapText="1"/>
      <protection locked="0"/>
    </xf>
    <xf numFmtId="0" fontId="25" fillId="0" borderId="20" xfId="0" applyFont="1" applyBorder="1" applyAlignment="1" applyProtection="1">
      <alignment horizontal="right" vertical="center" wrapText="1"/>
      <protection locked="0"/>
    </xf>
    <xf numFmtId="0" fontId="25" fillId="0" borderId="57" xfId="0" applyFont="1" applyBorder="1" applyAlignment="1" applyProtection="1">
      <alignment horizontal="right" vertical="center" wrapText="1"/>
      <protection locked="0"/>
    </xf>
    <xf numFmtId="0" fontId="25" fillId="0" borderId="16" xfId="0" applyFont="1" applyBorder="1" applyAlignment="1" applyProtection="1">
      <alignment horizontal="right" vertical="center" wrapText="1"/>
      <protection locked="0"/>
    </xf>
    <xf numFmtId="0" fontId="25" fillId="0" borderId="17" xfId="0" applyFont="1" applyBorder="1" applyAlignment="1" applyProtection="1">
      <alignment horizontal="right" vertical="center" wrapText="1"/>
      <protection locked="0"/>
    </xf>
    <xf numFmtId="0" fontId="25" fillId="0" borderId="82" xfId="0" applyFont="1" applyBorder="1" applyAlignment="1" applyProtection="1">
      <alignment horizontal="right" vertical="center" wrapText="1"/>
      <protection locked="0"/>
    </xf>
    <xf numFmtId="3" fontId="0" fillId="0" borderId="56" xfId="0" applyNumberFormat="1" applyBorder="1" applyAlignment="1" applyProtection="1">
      <alignment horizontal="right"/>
      <protection locked="0"/>
    </xf>
    <xf numFmtId="3" fontId="0" fillId="0" borderId="51" xfId="0" applyNumberFormat="1" applyBorder="1" applyAlignment="1" applyProtection="1">
      <alignment horizontal="right"/>
      <protection locked="0"/>
    </xf>
    <xf numFmtId="3" fontId="0" fillId="0" borderId="60" xfId="0" applyNumberFormat="1" applyBorder="1" applyAlignment="1" applyProtection="1">
      <alignment horizontal="right"/>
      <protection locked="0"/>
    </xf>
    <xf numFmtId="3" fontId="0" fillId="0" borderId="20" xfId="0" applyNumberFormat="1" applyBorder="1" applyAlignment="1" applyProtection="1">
      <alignment horizontal="right"/>
      <protection locked="0"/>
    </xf>
    <xf numFmtId="3" fontId="0" fillId="0" borderId="61" xfId="0" applyNumberFormat="1" applyBorder="1" applyAlignment="1" applyProtection="1">
      <alignment horizontal="right"/>
      <protection locked="0"/>
    </xf>
    <xf numFmtId="3" fontId="0" fillId="0" borderId="17" xfId="0" applyNumberFormat="1" applyBorder="1" applyAlignment="1" applyProtection="1">
      <alignment horizontal="right"/>
      <protection locked="0"/>
    </xf>
    <xf numFmtId="3" fontId="0" fillId="0" borderId="18" xfId="0" applyNumberFormat="1" applyBorder="1" applyAlignment="1" applyProtection="1">
      <alignment horizontal="right"/>
      <protection locked="0"/>
    </xf>
    <xf numFmtId="0" fontId="25" fillId="0" borderId="19" xfId="0" applyFont="1" applyFill="1" applyBorder="1" applyAlignment="1" applyProtection="1">
      <alignment horizontal="right" vertical="center" wrapText="1"/>
      <protection locked="0"/>
    </xf>
    <xf numFmtId="0" fontId="25" fillId="0" borderId="24" xfId="0" applyFont="1" applyFill="1" applyBorder="1" applyAlignment="1" applyProtection="1">
      <alignment horizontal="right" vertical="center" wrapText="1"/>
      <protection locked="0"/>
    </xf>
    <xf numFmtId="0" fontId="25" fillId="11" borderId="84" xfId="0" applyFont="1" applyFill="1" applyBorder="1" applyAlignment="1" applyProtection="1">
      <alignment vertical="center" wrapText="1"/>
      <protection hidden="1"/>
    </xf>
    <xf numFmtId="0" fontId="25" fillId="11" borderId="85" xfId="0" applyFont="1" applyFill="1" applyBorder="1" applyAlignment="1" applyProtection="1">
      <alignment vertical="center" wrapText="1"/>
      <protection hidden="1"/>
    </xf>
    <xf numFmtId="0" fontId="25" fillId="11" borderId="86" xfId="0" applyFont="1" applyFill="1" applyBorder="1" applyAlignment="1" applyProtection="1">
      <alignment vertical="center" wrapText="1"/>
      <protection hidden="1"/>
    </xf>
    <xf numFmtId="0" fontId="25" fillId="11" borderId="84" xfId="0" applyFont="1" applyFill="1" applyBorder="1" applyAlignment="1" applyProtection="1">
      <alignment horizontal="left" vertical="center" wrapText="1"/>
      <protection hidden="1"/>
    </xf>
    <xf numFmtId="0" fontId="25" fillId="11" borderId="85" xfId="0" applyFont="1" applyFill="1" applyBorder="1" applyAlignment="1" applyProtection="1">
      <alignment horizontal="left" vertical="center" wrapText="1"/>
      <protection hidden="1"/>
    </xf>
    <xf numFmtId="0" fontId="25" fillId="11" borderId="86" xfId="0" applyFont="1" applyFill="1" applyBorder="1" applyAlignment="1" applyProtection="1">
      <alignment horizontal="left" vertical="center" wrapText="1"/>
      <protection hidden="1"/>
    </xf>
    <xf numFmtId="3" fontId="25" fillId="0" borderId="87" xfId="0" applyNumberFormat="1" applyFont="1" applyBorder="1" applyAlignment="1" applyProtection="1">
      <alignment horizontal="right" vertical="center" wrapText="1"/>
      <protection locked="0"/>
    </xf>
    <xf numFmtId="3" fontId="25" fillId="0" borderId="86" xfId="0" applyNumberFormat="1" applyFont="1" applyBorder="1" applyAlignment="1" applyProtection="1">
      <alignment horizontal="right" vertical="center" wrapText="1"/>
      <protection locked="0"/>
    </xf>
    <xf numFmtId="3" fontId="0" fillId="0" borderId="87" xfId="0" applyNumberFormat="1" applyBorder="1" applyAlignment="1" applyProtection="1">
      <alignment horizontal="right"/>
      <protection locked="0"/>
    </xf>
    <xf numFmtId="3" fontId="0" fillId="0" borderId="86" xfId="0" applyNumberFormat="1" applyBorder="1" applyAlignment="1" applyProtection="1">
      <alignment horizontal="right"/>
      <protection locked="0"/>
    </xf>
    <xf numFmtId="3" fontId="25" fillId="0" borderId="13" xfId="0" applyNumberFormat="1" applyFont="1" applyBorder="1" applyAlignment="1" applyProtection="1">
      <alignment horizontal="right" vertical="center" wrapText="1"/>
      <protection locked="0" hidden="1"/>
    </xf>
    <xf numFmtId="3" fontId="25" fillId="0" borderId="9" xfId="0" applyNumberFormat="1" applyFont="1" applyBorder="1" applyAlignment="1" applyProtection="1">
      <alignment horizontal="right" vertical="center" wrapText="1"/>
      <protection locked="0" hidden="1"/>
    </xf>
    <xf numFmtId="3" fontId="0" fillId="0" borderId="24" xfId="0" applyNumberFormat="1" applyBorder="1" applyAlignment="1" applyProtection="1">
      <alignment horizontal="right"/>
      <protection locked="0" hidden="1"/>
    </xf>
    <xf numFmtId="3" fontId="0" fillId="0" borderId="25" xfId="0" applyNumberFormat="1" applyBorder="1" applyAlignment="1" applyProtection="1">
      <alignment horizontal="right"/>
      <protection locked="0" hidden="1"/>
    </xf>
    <xf numFmtId="3" fontId="25" fillId="0" borderId="22" xfId="0" applyNumberFormat="1" applyFont="1" applyBorder="1" applyAlignment="1" applyProtection="1">
      <alignment horizontal="right" vertical="center" wrapText="1"/>
      <protection locked="0" hidden="1"/>
    </xf>
    <xf numFmtId="3" fontId="25" fillId="0" borderId="23" xfId="0" applyNumberFormat="1" applyFont="1" applyBorder="1" applyAlignment="1" applyProtection="1">
      <alignment horizontal="right" vertical="center" wrapText="1"/>
      <protection locked="0" hidden="1"/>
    </xf>
    <xf numFmtId="3" fontId="0" fillId="0" borderId="26" xfId="0" applyNumberFormat="1" applyBorder="1" applyAlignment="1" applyProtection="1">
      <alignment horizontal="right"/>
      <protection locked="0" hidden="1"/>
    </xf>
    <xf numFmtId="3" fontId="0" fillId="0" borderId="27" xfId="0" applyNumberFormat="1" applyBorder="1" applyAlignment="1" applyProtection="1">
      <alignment horizontal="right"/>
      <protection locked="0" hidden="1"/>
    </xf>
    <xf numFmtId="3" fontId="25" fillId="0" borderId="19" xfId="0" applyNumberFormat="1" applyFont="1" applyBorder="1" applyAlignment="1" applyProtection="1">
      <alignment horizontal="right" vertical="center" wrapText="1"/>
      <protection locked="0" hidden="1"/>
    </xf>
    <xf numFmtId="3" fontId="25" fillId="0" borderId="21" xfId="0" applyNumberFormat="1" applyFont="1" applyBorder="1" applyAlignment="1" applyProtection="1">
      <alignment horizontal="right" vertical="center" wrapText="1"/>
      <protection locked="0" hidden="1"/>
    </xf>
    <xf numFmtId="3" fontId="25" fillId="0" borderId="87" xfId="0" applyNumberFormat="1" applyFont="1" applyBorder="1" applyAlignment="1" applyProtection="1">
      <alignment horizontal="right" vertical="center" wrapText="1"/>
      <protection locked="0" hidden="1"/>
    </xf>
    <xf numFmtId="3" fontId="25" fillId="0" borderId="86" xfId="0" applyNumberFormat="1" applyFont="1" applyBorder="1" applyAlignment="1" applyProtection="1">
      <alignment horizontal="right" vertical="center" wrapText="1"/>
      <protection locked="0" hidden="1"/>
    </xf>
    <xf numFmtId="3" fontId="0" fillId="0" borderId="87" xfId="0" applyNumberFormat="1" applyBorder="1" applyAlignment="1" applyProtection="1">
      <alignment horizontal="right"/>
      <protection locked="0" hidden="1"/>
    </xf>
    <xf numFmtId="3" fontId="0" fillId="0" borderId="86" xfId="0" applyNumberFormat="1" applyBorder="1" applyAlignment="1" applyProtection="1">
      <alignment horizontal="right"/>
      <protection locked="0" hidden="1"/>
    </xf>
    <xf numFmtId="0" fontId="25" fillId="10" borderId="102" xfId="0" applyFont="1" applyFill="1" applyBorder="1" applyAlignment="1" applyProtection="1">
      <alignment horizontal="center" vertical="center" wrapText="1"/>
      <protection hidden="1"/>
    </xf>
    <xf numFmtId="0" fontId="25" fillId="10" borderId="102" xfId="0" applyFont="1" applyFill="1" applyBorder="1" applyAlignment="1" applyProtection="1">
      <alignment horizontal="left" vertical="center" wrapText="1"/>
      <protection hidden="1"/>
    </xf>
  </cellXfs>
  <cellStyles count="800">
    <cellStyle name="Accent5" xfId="4" builtinId="45"/>
    <cellStyle name="Accent6" xfId="5" builtinId="49"/>
    <cellStyle name="Euro" xfId="8"/>
    <cellStyle name="Excel Built-in Normal" xfId="9"/>
    <cellStyle name="Excel Built-in Normal 2" xfId="10"/>
    <cellStyle name="Excel Built-in Normal 2 2" xfId="11"/>
    <cellStyle name="Lien hypertexte" xfId="3" builtinId="8"/>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4"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Lien hypertexte visité" xfId="490" builtinId="9" hidden="1"/>
    <cellStyle name="Lien hypertexte visité" xfId="491" builtinId="9" hidden="1"/>
    <cellStyle name="Lien hypertexte visité" xfId="492" builtinId="9" hidden="1"/>
    <cellStyle name="Lien hypertexte visité" xfId="493" builtinId="9" hidden="1"/>
    <cellStyle name="Lien hypertexte visité" xfId="494" builtinId="9" hidden="1"/>
    <cellStyle name="Lien hypertexte visité" xfId="495" builtinId="9" hidden="1"/>
    <cellStyle name="Lien hypertexte visité" xfId="496" builtinId="9" hidden="1"/>
    <cellStyle name="Lien hypertexte visité" xfId="497" builtinId="9" hidden="1"/>
    <cellStyle name="Lien hypertexte visité" xfId="498" builtinId="9" hidden="1"/>
    <cellStyle name="Lien hypertexte visité" xfId="499" builtinId="9" hidden="1"/>
    <cellStyle name="Lien hypertexte visité" xfId="500" builtinId="9" hidden="1"/>
    <cellStyle name="Lien hypertexte visité" xfId="501" builtinId="9" hidden="1"/>
    <cellStyle name="Lien hypertexte visité" xfId="502" builtinId="9" hidden="1"/>
    <cellStyle name="Lien hypertexte visité" xfId="503" builtinId="9" hidden="1"/>
    <cellStyle name="Lien hypertexte visité" xfId="504" builtinId="9" hidden="1"/>
    <cellStyle name="Lien hypertexte visité" xfId="505"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Lien hypertexte visité" xfId="560" builtinId="9" hidden="1"/>
    <cellStyle name="Lien hypertexte visité" xfId="561" builtinId="9" hidden="1"/>
    <cellStyle name="Lien hypertexte visité" xfId="562" builtinId="9" hidden="1"/>
    <cellStyle name="Lien hypertexte visité" xfId="563" builtinId="9" hidden="1"/>
    <cellStyle name="Lien hypertexte visité" xfId="564" builtinId="9" hidden="1"/>
    <cellStyle name="Lien hypertexte visité" xfId="565" builtinId="9" hidden="1"/>
    <cellStyle name="Lien hypertexte visité" xfId="566" builtinId="9" hidden="1"/>
    <cellStyle name="Lien hypertexte visité" xfId="567" builtinId="9" hidden="1"/>
    <cellStyle name="Lien hypertexte visité" xfId="568" builtinId="9" hidden="1"/>
    <cellStyle name="Lien hypertexte visité" xfId="569" builtinId="9" hidden="1"/>
    <cellStyle name="Lien hypertexte visité" xfId="570" builtinId="9" hidden="1"/>
    <cellStyle name="Lien hypertexte visité" xfId="571" builtinId="9" hidden="1"/>
    <cellStyle name="Lien hypertexte visité" xfId="572" builtinId="9" hidden="1"/>
    <cellStyle name="Lien hypertexte visité" xfId="573" builtinId="9" hidden="1"/>
    <cellStyle name="Lien hypertexte visité" xfId="574" builtinId="9" hidden="1"/>
    <cellStyle name="Lien hypertexte visité" xfId="575" builtinId="9" hidden="1"/>
    <cellStyle name="Lien hypertexte visité" xfId="576" builtinId="9" hidden="1"/>
    <cellStyle name="Lien hypertexte visité" xfId="577" builtinId="9" hidden="1"/>
    <cellStyle name="Lien hypertexte visité" xfId="578" builtinId="9" hidden="1"/>
    <cellStyle name="Lien hypertexte visité" xfId="579" builtinId="9" hidden="1"/>
    <cellStyle name="Lien hypertexte visité" xfId="580" builtinId="9" hidden="1"/>
    <cellStyle name="Lien hypertexte visité" xfId="581" builtinId="9" hidden="1"/>
    <cellStyle name="Lien hypertexte visité" xfId="582" builtinId="9" hidden="1"/>
    <cellStyle name="Lien hypertexte visité" xfId="583" builtinId="9" hidden="1"/>
    <cellStyle name="Lien hypertexte visité" xfId="584" builtinId="9" hidden="1"/>
    <cellStyle name="Lien hypertexte visité" xfId="585" builtinId="9" hidden="1"/>
    <cellStyle name="Lien hypertexte visité" xfId="586" builtinId="9" hidden="1"/>
    <cellStyle name="Lien hypertexte visité" xfId="587" builtinId="9" hidden="1"/>
    <cellStyle name="Lien hypertexte visité" xfId="588" builtinId="9" hidden="1"/>
    <cellStyle name="Lien hypertexte visité" xfId="589" builtinId="9" hidden="1"/>
    <cellStyle name="Lien hypertexte visité" xfId="590" builtinId="9" hidden="1"/>
    <cellStyle name="Lien hypertexte visité" xfId="591" builtinId="9" hidden="1"/>
    <cellStyle name="Lien hypertexte visité" xfId="592" builtinId="9" hidden="1"/>
    <cellStyle name="Lien hypertexte visité" xfId="593" builtinId="9" hidden="1"/>
    <cellStyle name="Lien hypertexte visité" xfId="594" builtinId="9" hidden="1"/>
    <cellStyle name="Lien hypertexte visité" xfId="595" builtinId="9" hidden="1"/>
    <cellStyle name="Lien hypertexte visité" xfId="596" builtinId="9" hidden="1"/>
    <cellStyle name="Lien hypertexte visité" xfId="597" builtinId="9" hidden="1"/>
    <cellStyle name="Lien hypertexte visité" xfId="598" builtinId="9" hidden="1"/>
    <cellStyle name="Lien hypertexte visité" xfId="599" builtinId="9" hidden="1"/>
    <cellStyle name="Lien hypertexte visité" xfId="600" builtinId="9" hidden="1"/>
    <cellStyle name="Lien hypertexte visité" xfId="601" builtinId="9" hidden="1"/>
    <cellStyle name="Lien hypertexte visité" xfId="602" builtinId="9" hidden="1"/>
    <cellStyle name="Lien hypertexte visité" xfId="603" builtinId="9" hidden="1"/>
    <cellStyle name="Lien hypertexte visité" xfId="604" builtinId="9" hidden="1"/>
    <cellStyle name="Lien hypertexte visité" xfId="605" builtinId="9" hidden="1"/>
    <cellStyle name="Lien hypertexte visité" xfId="606" builtinId="9" hidden="1"/>
    <cellStyle name="Lien hypertexte visité" xfId="607" builtinId="9" hidden="1"/>
    <cellStyle name="Lien hypertexte visité" xfId="608" builtinId="9" hidden="1"/>
    <cellStyle name="Lien hypertexte visité" xfId="609" builtinId="9" hidden="1"/>
    <cellStyle name="Lien hypertexte visité" xfId="610" builtinId="9" hidden="1"/>
    <cellStyle name="Lien hypertexte visité" xfId="611" builtinId="9" hidden="1"/>
    <cellStyle name="Lien hypertexte visité" xfId="612" builtinId="9" hidden="1"/>
    <cellStyle name="Lien hypertexte visité" xfId="613" builtinId="9" hidden="1"/>
    <cellStyle name="Lien hypertexte visité" xfId="614" builtinId="9" hidden="1"/>
    <cellStyle name="Lien hypertexte visité" xfId="615" builtinId="9" hidden="1"/>
    <cellStyle name="Lien hypertexte visité" xfId="616" builtinId="9" hidden="1"/>
    <cellStyle name="Lien hypertexte visité" xfId="617" builtinId="9" hidden="1"/>
    <cellStyle name="Lien hypertexte visité" xfId="618" builtinId="9" hidden="1"/>
    <cellStyle name="Lien hypertexte visité" xfId="619" builtinId="9" hidden="1"/>
    <cellStyle name="Lien hypertexte visité" xfId="620" builtinId="9" hidden="1"/>
    <cellStyle name="Lien hypertexte visité" xfId="621" builtinId="9" hidden="1"/>
    <cellStyle name="Lien hypertexte visité" xfId="622" builtinId="9" hidden="1"/>
    <cellStyle name="Lien hypertexte visité" xfId="623" builtinId="9" hidden="1"/>
    <cellStyle name="Lien hypertexte visité" xfId="624" builtinId="9" hidden="1"/>
    <cellStyle name="Lien hypertexte visité" xfId="625" builtinId="9" hidden="1"/>
    <cellStyle name="Lien hypertexte visité" xfId="626" builtinId="9" hidden="1"/>
    <cellStyle name="Lien hypertexte visité" xfId="627" builtinId="9" hidden="1"/>
    <cellStyle name="Lien hypertexte visité" xfId="628" builtinId="9" hidden="1"/>
    <cellStyle name="Lien hypertexte visité" xfId="629" builtinId="9" hidden="1"/>
    <cellStyle name="Lien hypertexte visité" xfId="630" builtinId="9" hidden="1"/>
    <cellStyle name="Lien hypertexte visité" xfId="631" builtinId="9" hidden="1"/>
    <cellStyle name="Lien hypertexte visité" xfId="632" builtinId="9" hidden="1"/>
    <cellStyle name="Lien hypertexte visité" xfId="633" builtinId="9" hidden="1"/>
    <cellStyle name="Lien hypertexte visité" xfId="634" builtinId="9" hidden="1"/>
    <cellStyle name="Lien hypertexte visité" xfId="635" builtinId="9" hidden="1"/>
    <cellStyle name="Lien hypertexte visité" xfId="636" builtinId="9" hidden="1"/>
    <cellStyle name="Lien hypertexte visité" xfId="637" builtinId="9" hidden="1"/>
    <cellStyle name="Lien hypertexte visité" xfId="638" builtinId="9" hidden="1"/>
    <cellStyle name="Lien hypertexte visité" xfId="639" builtinId="9" hidden="1"/>
    <cellStyle name="Lien hypertexte visité" xfId="640" builtinId="9" hidden="1"/>
    <cellStyle name="Lien hypertexte visité" xfId="641" builtinId="9" hidden="1"/>
    <cellStyle name="Lien hypertexte visité" xfId="642" builtinId="9" hidden="1"/>
    <cellStyle name="Lien hypertexte visité" xfId="643" builtinId="9" hidden="1"/>
    <cellStyle name="Lien hypertexte visité" xfId="644" builtinId="9" hidden="1"/>
    <cellStyle name="Lien hypertexte visité" xfId="645" builtinId="9" hidden="1"/>
    <cellStyle name="Lien hypertexte visité" xfId="646" builtinId="9" hidden="1"/>
    <cellStyle name="Lien hypertexte visité" xfId="647" builtinId="9" hidden="1"/>
    <cellStyle name="Lien hypertexte visité" xfId="648" builtinId="9" hidden="1"/>
    <cellStyle name="Lien hypertexte visité" xfId="649" builtinId="9" hidden="1"/>
    <cellStyle name="Lien hypertexte visité" xfId="650" builtinId="9" hidden="1"/>
    <cellStyle name="Lien hypertexte visité" xfId="651" builtinId="9" hidden="1"/>
    <cellStyle name="Lien hypertexte visité" xfId="652" builtinId="9" hidden="1"/>
    <cellStyle name="Lien hypertexte visité" xfId="653" builtinId="9" hidden="1"/>
    <cellStyle name="Lien hypertexte visité" xfId="654" builtinId="9" hidden="1"/>
    <cellStyle name="Lien hypertexte visité" xfId="655" builtinId="9" hidden="1"/>
    <cellStyle name="Lien hypertexte visité" xfId="656" builtinId="9" hidden="1"/>
    <cellStyle name="Lien hypertexte visité" xfId="657" builtinId="9" hidden="1"/>
    <cellStyle name="Lien hypertexte visité" xfId="658" builtinId="9" hidden="1"/>
    <cellStyle name="Lien hypertexte visité" xfId="659" builtinId="9" hidden="1"/>
    <cellStyle name="Lien hypertexte visité" xfId="660" builtinId="9" hidden="1"/>
    <cellStyle name="Lien hypertexte visité" xfId="661" builtinId="9" hidden="1"/>
    <cellStyle name="Lien hypertexte visité" xfId="662" builtinId="9" hidden="1"/>
    <cellStyle name="Lien hypertexte visité" xfId="663" builtinId="9" hidden="1"/>
    <cellStyle name="Lien hypertexte visité" xfId="664" builtinId="9" hidden="1"/>
    <cellStyle name="Lien hypertexte visité" xfId="665" builtinId="9" hidden="1"/>
    <cellStyle name="Lien hypertexte visité" xfId="666" builtinId="9" hidden="1"/>
    <cellStyle name="Lien hypertexte visité" xfId="667" builtinId="9" hidden="1"/>
    <cellStyle name="Lien hypertexte visité" xfId="668" builtinId="9" hidden="1"/>
    <cellStyle name="Lien hypertexte visité" xfId="669" builtinId="9" hidden="1"/>
    <cellStyle name="Lien hypertexte visité" xfId="670" builtinId="9" hidden="1"/>
    <cellStyle name="Lien hypertexte visité" xfId="671" builtinId="9" hidden="1"/>
    <cellStyle name="Lien hypertexte visité" xfId="672" builtinId="9" hidden="1"/>
    <cellStyle name="Lien hypertexte visité" xfId="673" builtinId="9" hidden="1"/>
    <cellStyle name="Lien hypertexte visité" xfId="674" builtinId="9" hidden="1"/>
    <cellStyle name="Lien hypertexte visité" xfId="675" builtinId="9" hidden="1"/>
    <cellStyle name="Lien hypertexte visité" xfId="676" builtinId="9" hidden="1"/>
    <cellStyle name="Lien hypertexte visité" xfId="677" builtinId="9" hidden="1"/>
    <cellStyle name="Lien hypertexte visité" xfId="678" builtinId="9" hidden="1"/>
    <cellStyle name="Lien hypertexte visité" xfId="679" builtinId="9" hidden="1"/>
    <cellStyle name="Lien hypertexte visité" xfId="680" builtinId="9" hidden="1"/>
    <cellStyle name="Lien hypertexte visité" xfId="681" builtinId="9" hidden="1"/>
    <cellStyle name="Lien hypertexte visité" xfId="682" builtinId="9" hidden="1"/>
    <cellStyle name="Lien hypertexte visité" xfId="683" builtinId="9" hidden="1"/>
    <cellStyle name="Lien hypertexte visité" xfId="684" builtinId="9" hidden="1"/>
    <cellStyle name="Lien hypertexte visité" xfId="685" builtinId="9" hidden="1"/>
    <cellStyle name="Lien hypertexte visité" xfId="686" builtinId="9" hidden="1"/>
    <cellStyle name="Lien hypertexte visité" xfId="687" builtinId="9" hidden="1"/>
    <cellStyle name="Lien hypertexte visité" xfId="688" builtinId="9" hidden="1"/>
    <cellStyle name="Lien hypertexte visité" xfId="689" builtinId="9" hidden="1"/>
    <cellStyle name="Lien hypertexte visité" xfId="690" builtinId="9" hidden="1"/>
    <cellStyle name="Lien hypertexte visité" xfId="691" builtinId="9" hidden="1"/>
    <cellStyle name="Lien hypertexte visité" xfId="692" builtinId="9" hidden="1"/>
    <cellStyle name="Lien hypertexte visité" xfId="693" builtinId="9" hidden="1"/>
    <cellStyle name="Lien hypertexte visité" xfId="694" builtinId="9" hidden="1"/>
    <cellStyle name="Lien hypertexte visité" xfId="695" builtinId="9" hidden="1"/>
    <cellStyle name="Lien hypertexte visité" xfId="696" builtinId="9" hidden="1"/>
    <cellStyle name="Lien hypertexte visité" xfId="697" builtinId="9" hidden="1"/>
    <cellStyle name="Lien hypertexte visité" xfId="698" builtinId="9" hidden="1"/>
    <cellStyle name="Lien hypertexte visité" xfId="699" builtinId="9" hidden="1"/>
    <cellStyle name="Lien hypertexte visité" xfId="700" builtinId="9" hidden="1"/>
    <cellStyle name="Lien hypertexte visité" xfId="701" builtinId="9" hidden="1"/>
    <cellStyle name="Lien hypertexte visité" xfId="702" builtinId="9" hidden="1"/>
    <cellStyle name="Lien hypertexte visité" xfId="703" builtinId="9" hidden="1"/>
    <cellStyle name="Lien hypertexte visité" xfId="704" builtinId="9" hidden="1"/>
    <cellStyle name="Lien hypertexte visité" xfId="705" builtinId="9" hidden="1"/>
    <cellStyle name="Lien hypertexte visité" xfId="706" builtinId="9" hidden="1"/>
    <cellStyle name="Lien hypertexte visité" xfId="707" builtinId="9" hidden="1"/>
    <cellStyle name="Lien hypertexte visité" xfId="708" builtinId="9" hidden="1"/>
    <cellStyle name="Lien hypertexte visité" xfId="709" builtinId="9" hidden="1"/>
    <cellStyle name="Lien hypertexte visité" xfId="710" builtinId="9" hidden="1"/>
    <cellStyle name="Lien hypertexte visité" xfId="711" builtinId="9" hidden="1"/>
    <cellStyle name="Lien hypertexte visité" xfId="712" builtinId="9" hidden="1"/>
    <cellStyle name="Lien hypertexte visité" xfId="713" builtinId="9" hidden="1"/>
    <cellStyle name="Lien hypertexte visité" xfId="714" builtinId="9" hidden="1"/>
    <cellStyle name="Lien hypertexte visité" xfId="715" builtinId="9" hidden="1"/>
    <cellStyle name="Lien hypertexte visité" xfId="716" builtinId="9" hidden="1"/>
    <cellStyle name="Lien hypertexte visité" xfId="717" builtinId="9" hidden="1"/>
    <cellStyle name="Lien hypertexte visité" xfId="718" builtinId="9" hidden="1"/>
    <cellStyle name="Lien hypertexte visité" xfId="719" builtinId="9" hidden="1"/>
    <cellStyle name="Lien hypertexte visité" xfId="720" builtinId="9" hidden="1"/>
    <cellStyle name="Lien hypertexte visité" xfId="721" builtinId="9" hidden="1"/>
    <cellStyle name="Lien hypertexte visité" xfId="722" builtinId="9" hidden="1"/>
    <cellStyle name="Lien hypertexte visité" xfId="723" builtinId="9" hidden="1"/>
    <cellStyle name="Lien hypertexte visité" xfId="724" builtinId="9" hidden="1"/>
    <cellStyle name="Lien hypertexte visité" xfId="725" builtinId="9" hidden="1"/>
    <cellStyle name="Lien hypertexte visité" xfId="726" builtinId="9" hidden="1"/>
    <cellStyle name="Lien hypertexte visité" xfId="727" builtinId="9" hidden="1"/>
    <cellStyle name="Lien hypertexte visité" xfId="728" builtinId="9" hidden="1"/>
    <cellStyle name="Lien hypertexte visité" xfId="729" builtinId="9" hidden="1"/>
    <cellStyle name="Lien hypertexte visité" xfId="730" builtinId="9" hidden="1"/>
    <cellStyle name="Lien hypertexte visité" xfId="731" builtinId="9" hidden="1"/>
    <cellStyle name="Lien hypertexte visité" xfId="732" builtinId="9" hidden="1"/>
    <cellStyle name="Lien hypertexte visité" xfId="733" builtinId="9" hidden="1"/>
    <cellStyle name="Lien hypertexte visité" xfId="734" builtinId="9" hidden="1"/>
    <cellStyle name="Lien hypertexte visité" xfId="735" builtinId="9" hidden="1"/>
    <cellStyle name="Lien hypertexte visité" xfId="736" builtinId="9" hidden="1"/>
    <cellStyle name="Lien hypertexte visité" xfId="737" builtinId="9" hidden="1"/>
    <cellStyle name="Lien hypertexte visité" xfId="738" builtinId="9" hidden="1"/>
    <cellStyle name="Lien hypertexte visité" xfId="739" builtinId="9" hidden="1"/>
    <cellStyle name="Lien hypertexte visité" xfId="740" builtinId="9" hidden="1"/>
    <cellStyle name="Lien hypertexte visité" xfId="741" builtinId="9" hidden="1"/>
    <cellStyle name="Lien hypertexte visité" xfId="742" builtinId="9" hidden="1"/>
    <cellStyle name="Lien hypertexte visité" xfId="743" builtinId="9" hidden="1"/>
    <cellStyle name="Lien hypertexte visité" xfId="744" builtinId="9" hidden="1"/>
    <cellStyle name="Lien hypertexte visité" xfId="745" builtinId="9" hidden="1"/>
    <cellStyle name="Lien hypertexte visité" xfId="746" builtinId="9" hidden="1"/>
    <cellStyle name="Lien hypertexte visité" xfId="747" builtinId="9" hidden="1"/>
    <cellStyle name="Lien hypertexte visité" xfId="748" builtinId="9" hidden="1"/>
    <cellStyle name="Lien hypertexte visité" xfId="749" builtinId="9" hidden="1"/>
    <cellStyle name="Lien hypertexte visité" xfId="750" builtinId="9" hidden="1"/>
    <cellStyle name="Lien hypertexte visité" xfId="751" builtinId="9" hidden="1"/>
    <cellStyle name="Lien hypertexte visité" xfId="752" builtinId="9" hidden="1"/>
    <cellStyle name="Lien hypertexte visité" xfId="753" builtinId="9" hidden="1"/>
    <cellStyle name="Lien hypertexte visité" xfId="754" builtinId="9" hidden="1"/>
    <cellStyle name="Lien hypertexte visité" xfId="755" builtinId="9" hidden="1"/>
    <cellStyle name="Lien hypertexte visité" xfId="756" builtinId="9" hidden="1"/>
    <cellStyle name="Lien hypertexte visité" xfId="757" builtinId="9" hidden="1"/>
    <cellStyle name="Lien hypertexte visité" xfId="758" builtinId="9" hidden="1"/>
    <cellStyle name="Lien hypertexte visité" xfId="759" builtinId="9" hidden="1"/>
    <cellStyle name="Lien hypertexte visité" xfId="760" builtinId="9" hidden="1"/>
    <cellStyle name="Lien hypertexte visité" xfId="761" builtinId="9" hidden="1"/>
    <cellStyle name="Lien hypertexte visité" xfId="762" builtinId="9" hidden="1"/>
    <cellStyle name="Lien hypertexte visité" xfId="763" builtinId="9" hidden="1"/>
    <cellStyle name="Lien hypertexte visité" xfId="764" builtinId="9" hidden="1"/>
    <cellStyle name="Lien hypertexte visité" xfId="765" builtinId="9" hidden="1"/>
    <cellStyle name="Lien hypertexte visité" xfId="766" builtinId="9" hidden="1"/>
    <cellStyle name="Lien hypertexte visité" xfId="767" builtinId="9" hidden="1"/>
    <cellStyle name="Lien hypertexte visité" xfId="768" builtinId="9" hidden="1"/>
    <cellStyle name="Lien hypertexte visité" xfId="769" builtinId="9" hidden="1"/>
    <cellStyle name="Lien hypertexte visité" xfId="770" builtinId="9" hidden="1"/>
    <cellStyle name="Lien hypertexte visité" xfId="771" builtinId="9" hidden="1"/>
    <cellStyle name="Lien hypertexte visité" xfId="772" builtinId="9" hidden="1"/>
    <cellStyle name="Lien hypertexte visité" xfId="773" builtinId="9" hidden="1"/>
    <cellStyle name="Lien hypertexte visité" xfId="774" builtinId="9" hidden="1"/>
    <cellStyle name="Lien hypertexte visité" xfId="775" builtinId="9" hidden="1"/>
    <cellStyle name="Lien hypertexte visité" xfId="776" builtinId="9" hidden="1"/>
    <cellStyle name="Lien hypertexte visité" xfId="777" builtinId="9" hidden="1"/>
    <cellStyle name="Lien hypertexte visité" xfId="778" builtinId="9" hidden="1"/>
    <cellStyle name="Lien hypertexte visité" xfId="779" builtinId="9" hidden="1"/>
    <cellStyle name="Lien hypertexte visité" xfId="780" builtinId="9" hidden="1"/>
    <cellStyle name="Lien hypertexte visité" xfId="781" builtinId="9" hidden="1"/>
    <cellStyle name="Lien hypertexte visité" xfId="782" builtinId="9" hidden="1"/>
    <cellStyle name="Lien hypertexte visité" xfId="783" builtinId="9" hidden="1"/>
    <cellStyle name="Lien hypertexte visité" xfId="784" builtinId="9" hidden="1"/>
    <cellStyle name="Lien hypertexte visité" xfId="785" builtinId="9" hidden="1"/>
    <cellStyle name="Lien hypertexte visité" xfId="786" builtinId="9" hidden="1"/>
    <cellStyle name="Lien hypertexte visité" xfId="787" builtinId="9" hidden="1"/>
    <cellStyle name="Lien hypertexte visité" xfId="788" builtinId="9" hidden="1"/>
    <cellStyle name="Lien hypertexte visité" xfId="789" builtinId="9" hidden="1"/>
    <cellStyle name="Lien hypertexte visité" xfId="790" builtinId="9" hidden="1"/>
    <cellStyle name="Lien hypertexte visité" xfId="791" builtinId="9" hidden="1"/>
    <cellStyle name="Lien hypertexte visité" xfId="792" builtinId="9" hidden="1"/>
    <cellStyle name="Lien hypertexte visité" xfId="793" builtinId="9" hidden="1"/>
    <cellStyle name="Lien hypertexte visité" xfId="794" builtinId="9" hidden="1"/>
    <cellStyle name="Lien hypertexte visité" xfId="795" builtinId="9" hidden="1"/>
    <cellStyle name="Lien hypertexte visité" xfId="796" builtinId="9" hidden="1"/>
    <cellStyle name="Lien hypertexte visité" xfId="797" builtinId="9" hidden="1"/>
    <cellStyle name="Lien hypertexte visité" xfId="798" builtinId="9" hidden="1"/>
    <cellStyle name="Lien hypertexte visité" xfId="799" builtinId="9" hidden="1"/>
    <cellStyle name="Milliers" xfId="6" builtinId="3"/>
    <cellStyle name="Milliers 10" xfId="12"/>
    <cellStyle name="Milliers 2" xfId="2"/>
    <cellStyle name="Milliers 2 2" xfId="13"/>
    <cellStyle name="Milliers 2 2 2" xfId="14"/>
    <cellStyle name="Milliers 2 2 2 2" xfId="15"/>
    <cellStyle name="Milliers 2 2 3" xfId="16"/>
    <cellStyle name="Milliers 2 3" xfId="17"/>
    <cellStyle name="Milliers 2 4" xfId="18"/>
    <cellStyle name="Milliers 2 4 2" xfId="19"/>
    <cellStyle name="Milliers 2 4 3" xfId="20"/>
    <cellStyle name="Milliers 2 5" xfId="21"/>
    <cellStyle name="Milliers 2 5 2" xfId="22"/>
    <cellStyle name="Milliers 2 6" xfId="23"/>
    <cellStyle name="Milliers 2 6 2" xfId="24"/>
    <cellStyle name="Milliers 2 7" xfId="25"/>
    <cellStyle name="Milliers 2 7 2" xfId="26"/>
    <cellStyle name="Milliers 2 8" xfId="27"/>
    <cellStyle name="Milliers 2 9" xfId="28"/>
    <cellStyle name="Milliers 3" xfId="29"/>
    <cellStyle name="Milliers 3 2" xfId="30"/>
    <cellStyle name="Milliers 3 3" xfId="31"/>
    <cellStyle name="Milliers 3 4" xfId="86"/>
    <cellStyle name="Milliers 4" xfId="32"/>
    <cellStyle name="Milliers 4 2" xfId="33"/>
    <cellStyle name="Milliers 4 2 2" xfId="34"/>
    <cellStyle name="Milliers 4 3" xfId="35"/>
    <cellStyle name="Milliers 5" xfId="36"/>
    <cellStyle name="Milliers 5 2" xfId="37"/>
    <cellStyle name="Milliers 6" xfId="38"/>
    <cellStyle name="Milliers 6 2" xfId="39"/>
    <cellStyle name="Milliers 6 2 2" xfId="40"/>
    <cellStyle name="Milliers 6 3" xfId="41"/>
    <cellStyle name="Milliers 7" xfId="42"/>
    <cellStyle name="Milliers 7 2" xfId="87"/>
    <cellStyle name="Milliers 8" xfId="43"/>
    <cellStyle name="Milliers 9" xfId="44"/>
    <cellStyle name="Monétaire 2" xfId="45"/>
    <cellStyle name="Normal" xfId="0" builtinId="0"/>
    <cellStyle name="Normal 10" xfId="46"/>
    <cellStyle name="Normal 11" xfId="47"/>
    <cellStyle name="Normal 12" xfId="48"/>
    <cellStyle name="Normal 13" xfId="49"/>
    <cellStyle name="Normal 15" xfId="50"/>
    <cellStyle name="Normal 2" xfId="1"/>
    <cellStyle name="Normal 2 2" xfId="51"/>
    <cellStyle name="Normal 2 2 2" xfId="52"/>
    <cellStyle name="Normal 2 2 3" xfId="7"/>
    <cellStyle name="Normal 2 3" xfId="53"/>
    <cellStyle name="Normal 2 3 2" xfId="54"/>
    <cellStyle name="Normal 2 4" xfId="55"/>
    <cellStyle name="Normal 2 4 2" xfId="56"/>
    <cellStyle name="Normal 2 6" xfId="57"/>
    <cellStyle name="Normal 2 7" xfId="58"/>
    <cellStyle name="Normal 2 8" xfId="59"/>
    <cellStyle name="Normal 2 9" xfId="60"/>
    <cellStyle name="Normal 3" xfId="61"/>
    <cellStyle name="Normal 3 2" xfId="62"/>
    <cellStyle name="Normal 4" xfId="63"/>
    <cellStyle name="Normal 4 2" xfId="64"/>
    <cellStyle name="Normal 4 2 3" xfId="65"/>
    <cellStyle name="Normal 5" xfId="66"/>
    <cellStyle name="Normal 5 2" xfId="67"/>
    <cellStyle name="Normal 6" xfId="68"/>
    <cellStyle name="Normal 7" xfId="69"/>
    <cellStyle name="Normal 8" xfId="70"/>
    <cellStyle name="Normal 9" xfId="71"/>
    <cellStyle name="Pourcentage 2" xfId="72"/>
    <cellStyle name="Pourcentage 2 2" xfId="73"/>
    <cellStyle name="Pourcentage 2 3" xfId="74"/>
    <cellStyle name="Pourcentage 3" xfId="75"/>
    <cellStyle name="Pourcentage 3 2" xfId="76"/>
    <cellStyle name="Pourcentage 4" xfId="77"/>
    <cellStyle name="Pourcentage 4 2" xfId="78"/>
    <cellStyle name="saisie 2" xfId="79"/>
    <cellStyle name="SIGMONTANT" xfId="80"/>
    <cellStyle name="SIGNUMÉRO1" xfId="81"/>
    <cellStyle name="SIGNUMÉRO8" xfId="82"/>
    <cellStyle name="SIGTITRE1" xfId="83"/>
    <cellStyle name="SIGTITRE8" xfId="84"/>
    <cellStyle name="Vérification 2" xfId="85"/>
  </cellStyles>
  <dxfs count="6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patternType="solid">
          <fgColor auto="1"/>
          <bgColor rgb="FFFF0000"/>
        </patternFill>
      </fill>
    </dxf>
    <dxf>
      <font>
        <color rgb="FFFF0000"/>
      </font>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bgColor theme="2" tint="-0.24994659260841701"/>
        </patternFill>
      </fill>
    </dxf>
    <dxf>
      <fill>
        <patternFill patternType="solid">
          <fgColor auto="1"/>
          <bgColor rgb="FFFF0000"/>
        </patternFill>
      </fill>
    </dxf>
    <dxf>
      <font>
        <color rgb="FFFF0000"/>
      </font>
      <fill>
        <patternFill patternType="none">
          <fgColor indexed="64"/>
          <bgColor auto="1"/>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theme="6" tint="0.79998168889431442"/>
      </font>
      <fill>
        <patternFill>
          <bgColor rgb="FF92D050"/>
        </patternFill>
      </fill>
    </dxf>
    <dxf>
      <font>
        <color theme="5" tint="0.79998168889431442"/>
      </font>
      <fill>
        <patternFill>
          <bgColor rgb="FFFF0000"/>
        </patternFill>
      </fill>
    </dxf>
    <dxf>
      <font>
        <color theme="5" tint="0.79998168889431442"/>
      </font>
      <fill>
        <patternFill>
          <bgColor rgb="FFFF0000"/>
        </patternFill>
      </fill>
    </dxf>
    <dxf>
      <font>
        <color theme="5" tint="0.79998168889431442"/>
      </font>
      <fill>
        <patternFill>
          <bgColor rgb="FFFF0000"/>
        </patternFill>
      </fill>
    </dxf>
    <dxf>
      <font>
        <color theme="6" tint="0.79998168889431442"/>
      </font>
      <fill>
        <patternFill>
          <bgColor rgb="FF92D050"/>
        </patternFill>
      </fill>
    </dxf>
    <dxf>
      <font>
        <color theme="5" tint="0.79998168889431442"/>
      </font>
      <fill>
        <patternFill>
          <bgColor rgb="FFFF0000"/>
        </patternFill>
      </fill>
    </dxf>
    <dxf>
      <font>
        <color theme="5" tint="0.79998168889431442"/>
      </font>
      <fill>
        <patternFill>
          <bgColor rgb="FFFF0000"/>
        </patternFill>
      </fill>
      <border>
        <left style="thin">
          <color rgb="FFC00000"/>
        </left>
        <right style="thin">
          <color rgb="FFC00000"/>
        </right>
        <top style="thin">
          <color rgb="FFC00000"/>
        </top>
        <bottom style="thin">
          <color rgb="FFC00000"/>
        </bottom>
        <vertical/>
        <horizontal/>
      </border>
    </dxf>
    <dxf>
      <font>
        <condense val="0"/>
        <extend val="0"/>
        <color rgb="FF006100"/>
      </font>
      <fill>
        <patternFill>
          <bgColor rgb="FFC6EFCE"/>
        </patternFill>
      </fill>
      <border>
        <left style="thin">
          <color theme="6" tint="-0.499984740745262"/>
        </left>
        <right style="thin">
          <color theme="6" tint="-0.499984740745262"/>
        </right>
        <top style="thin">
          <color theme="6" tint="-0.499984740745262"/>
        </top>
        <bottom style="thin">
          <color theme="6" tint="-0.499984740745262"/>
        </bottom>
      </border>
    </dxf>
    <dxf>
      <font>
        <color theme="5" tint="0.79998168889431442"/>
      </font>
      <fill>
        <patternFill>
          <bgColor rgb="FFFF0000"/>
        </patternFill>
      </fill>
      <border>
        <left style="thin">
          <color rgb="FFC00000"/>
        </left>
        <right style="thin">
          <color rgb="FFC00000"/>
        </right>
        <top style="thin">
          <color rgb="FFC00000"/>
        </top>
        <bottom style="thin">
          <color rgb="FFC00000"/>
        </bottom>
        <vertical/>
        <horizontal/>
      </border>
    </dxf>
    <dxf>
      <font>
        <condense val="0"/>
        <extend val="0"/>
        <color rgb="FF006100"/>
      </font>
      <fill>
        <patternFill>
          <bgColor rgb="FFC6EFCE"/>
        </patternFill>
      </fill>
      <border>
        <left style="thin">
          <color theme="6" tint="-0.499984740745262"/>
        </left>
        <right style="thin">
          <color theme="6" tint="-0.499984740745262"/>
        </right>
        <top style="thin">
          <color theme="6" tint="-0.499984740745262"/>
        </top>
        <bottom style="thin">
          <color theme="6" tint="-0.499984740745262"/>
        </bottom>
      </border>
    </dxf>
    <dxf>
      <font>
        <color theme="6" tint="0.79998168889431442"/>
      </font>
      <fill>
        <patternFill>
          <bgColor rgb="FF92D050"/>
        </patternFill>
      </fill>
    </dxf>
    <dxf>
      <font>
        <color theme="5" tint="0.79998168889431442"/>
      </font>
      <fill>
        <patternFill>
          <bgColor rgb="FFFF0000"/>
        </patternFill>
      </fill>
    </dxf>
    <dxf>
      <font>
        <color theme="5" tint="0.79998168889431442"/>
      </font>
      <fill>
        <patternFill>
          <bgColor rgb="FFFF0000"/>
        </patternFill>
      </fill>
      <border>
        <left style="thin">
          <color rgb="FFC00000"/>
        </left>
        <right style="thin">
          <color rgb="FFC00000"/>
        </right>
        <top style="thin">
          <color rgb="FFC00000"/>
        </top>
        <bottom style="thin">
          <color rgb="FFC00000"/>
        </bottom>
        <vertical/>
        <horizontal/>
      </border>
    </dxf>
    <dxf>
      <font>
        <condense val="0"/>
        <extend val="0"/>
        <color rgb="FF006100"/>
      </font>
      <fill>
        <patternFill>
          <bgColor rgb="FFC6EFCE"/>
        </patternFill>
      </fill>
      <border>
        <left style="thin">
          <color theme="6" tint="-0.499984740745262"/>
        </left>
        <right style="thin">
          <color theme="6" tint="-0.499984740745262"/>
        </right>
        <top style="thin">
          <color theme="6" tint="-0.499984740745262"/>
        </top>
        <bottom style="thin">
          <color theme="6" tint="-0.499984740745262"/>
        </bottom>
      </border>
    </dxf>
    <dxf>
      <font>
        <color rgb="FFFCF6F6"/>
      </font>
      <fill>
        <patternFill>
          <bgColor rgb="FFFCF6F6"/>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ndense val="0"/>
        <extend val="0"/>
        <color rgb="FF9C0006"/>
      </font>
      <fill>
        <patternFill>
          <bgColor rgb="FFFFC7CE"/>
        </patternFill>
      </fill>
    </dxf>
    <dxf>
      <fill>
        <patternFill>
          <bgColor rgb="FFFF9999"/>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CF6F6"/>
      <color rgb="FFF6E7E6"/>
      <color rgb="FFFF0000"/>
      <color rgb="FFFF9999"/>
      <color rgb="FFFF5050"/>
      <color rgb="FFF8F8F8"/>
      <color rgb="FFF7F7F7"/>
      <color rgb="FF743806"/>
      <color rgb="FF542804"/>
      <color rgb="FFEBED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4" Type="http://schemas.openxmlformats.org/officeDocument/2006/relationships/externalLink" Target="externalLinks/externalLink4.xml"/><Relationship Id="rId15" Type="http://schemas.openxmlformats.org/officeDocument/2006/relationships/externalLink" Target="externalLinks/externalLink5.xml"/><Relationship Id="rId16" Type="http://schemas.openxmlformats.org/officeDocument/2006/relationships/externalLink" Target="externalLinks/externalLink6.xml"/><Relationship Id="rId17" Type="http://schemas.openxmlformats.org/officeDocument/2006/relationships/externalLink" Target="externalLinks/externalLink7.xml"/><Relationship Id="rId18" Type="http://schemas.openxmlformats.org/officeDocument/2006/relationships/externalLink" Target="externalLinks/externalLink8.xml"/><Relationship Id="rId19" Type="http://schemas.openxmlformats.org/officeDocument/2006/relationships/externalLink" Target="externalLinks/externalLink9.xml"/><Relationship Id="rId63" Type="http://schemas.openxmlformats.org/officeDocument/2006/relationships/externalLink" Target="externalLinks/externalLink53.xml"/><Relationship Id="rId64" Type="http://schemas.openxmlformats.org/officeDocument/2006/relationships/externalLink" Target="externalLinks/externalLink54.xml"/><Relationship Id="rId65" Type="http://schemas.openxmlformats.org/officeDocument/2006/relationships/theme" Target="theme/theme1.xml"/><Relationship Id="rId66" Type="http://schemas.openxmlformats.org/officeDocument/2006/relationships/styles" Target="styles.xml"/><Relationship Id="rId67" Type="http://schemas.openxmlformats.org/officeDocument/2006/relationships/sharedStrings" Target="sharedStrings.xml"/><Relationship Id="rId68" Type="http://schemas.openxmlformats.org/officeDocument/2006/relationships/calcChain" Target="calcChain.xml"/><Relationship Id="rId50" Type="http://schemas.openxmlformats.org/officeDocument/2006/relationships/externalLink" Target="externalLinks/externalLink40.xml"/><Relationship Id="rId51" Type="http://schemas.openxmlformats.org/officeDocument/2006/relationships/externalLink" Target="externalLinks/externalLink41.xml"/><Relationship Id="rId52" Type="http://schemas.openxmlformats.org/officeDocument/2006/relationships/externalLink" Target="externalLinks/externalLink42.xml"/><Relationship Id="rId53" Type="http://schemas.openxmlformats.org/officeDocument/2006/relationships/externalLink" Target="externalLinks/externalLink43.xml"/><Relationship Id="rId54" Type="http://schemas.openxmlformats.org/officeDocument/2006/relationships/externalLink" Target="externalLinks/externalLink44.xml"/><Relationship Id="rId55" Type="http://schemas.openxmlformats.org/officeDocument/2006/relationships/externalLink" Target="externalLinks/externalLink45.xml"/><Relationship Id="rId56" Type="http://schemas.openxmlformats.org/officeDocument/2006/relationships/externalLink" Target="externalLinks/externalLink46.xml"/><Relationship Id="rId57" Type="http://schemas.openxmlformats.org/officeDocument/2006/relationships/externalLink" Target="externalLinks/externalLink47.xml"/><Relationship Id="rId58" Type="http://schemas.openxmlformats.org/officeDocument/2006/relationships/externalLink" Target="externalLinks/externalLink48.xml"/><Relationship Id="rId59" Type="http://schemas.openxmlformats.org/officeDocument/2006/relationships/externalLink" Target="externalLinks/externalLink49.xml"/><Relationship Id="rId40" Type="http://schemas.openxmlformats.org/officeDocument/2006/relationships/externalLink" Target="externalLinks/externalLink30.xml"/><Relationship Id="rId41" Type="http://schemas.openxmlformats.org/officeDocument/2006/relationships/externalLink" Target="externalLinks/externalLink31.xml"/><Relationship Id="rId42" Type="http://schemas.openxmlformats.org/officeDocument/2006/relationships/externalLink" Target="externalLinks/externalLink32.xml"/><Relationship Id="rId43" Type="http://schemas.openxmlformats.org/officeDocument/2006/relationships/externalLink" Target="externalLinks/externalLink33.xml"/><Relationship Id="rId44" Type="http://schemas.openxmlformats.org/officeDocument/2006/relationships/externalLink" Target="externalLinks/externalLink34.xml"/><Relationship Id="rId45" Type="http://schemas.openxmlformats.org/officeDocument/2006/relationships/externalLink" Target="externalLinks/externalLink35.xml"/><Relationship Id="rId46" Type="http://schemas.openxmlformats.org/officeDocument/2006/relationships/externalLink" Target="externalLinks/externalLink36.xml"/><Relationship Id="rId47" Type="http://schemas.openxmlformats.org/officeDocument/2006/relationships/externalLink" Target="externalLinks/externalLink37.xml"/><Relationship Id="rId48" Type="http://schemas.openxmlformats.org/officeDocument/2006/relationships/externalLink" Target="externalLinks/externalLink38.xml"/><Relationship Id="rId49" Type="http://schemas.openxmlformats.org/officeDocument/2006/relationships/externalLink" Target="externalLinks/externalLink3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externalLink" Target="externalLinks/externalLink20.xml"/><Relationship Id="rId31" Type="http://schemas.openxmlformats.org/officeDocument/2006/relationships/externalLink" Target="externalLinks/externalLink21.xml"/><Relationship Id="rId32" Type="http://schemas.openxmlformats.org/officeDocument/2006/relationships/externalLink" Target="externalLinks/externalLink22.xml"/><Relationship Id="rId33" Type="http://schemas.openxmlformats.org/officeDocument/2006/relationships/externalLink" Target="externalLinks/externalLink23.xml"/><Relationship Id="rId34" Type="http://schemas.openxmlformats.org/officeDocument/2006/relationships/externalLink" Target="externalLinks/externalLink24.xml"/><Relationship Id="rId35" Type="http://schemas.openxmlformats.org/officeDocument/2006/relationships/externalLink" Target="externalLinks/externalLink25.xml"/><Relationship Id="rId36" Type="http://schemas.openxmlformats.org/officeDocument/2006/relationships/externalLink" Target="externalLinks/externalLink26.xml"/><Relationship Id="rId37" Type="http://schemas.openxmlformats.org/officeDocument/2006/relationships/externalLink" Target="externalLinks/externalLink27.xml"/><Relationship Id="rId38" Type="http://schemas.openxmlformats.org/officeDocument/2006/relationships/externalLink" Target="externalLinks/externalLink28.xml"/><Relationship Id="rId39" Type="http://schemas.openxmlformats.org/officeDocument/2006/relationships/externalLink" Target="externalLinks/externalLink29.xml"/><Relationship Id="rId20" Type="http://schemas.openxmlformats.org/officeDocument/2006/relationships/externalLink" Target="externalLinks/externalLink10.xml"/><Relationship Id="rId21" Type="http://schemas.openxmlformats.org/officeDocument/2006/relationships/externalLink" Target="externalLinks/externalLink11.xml"/><Relationship Id="rId22" Type="http://schemas.openxmlformats.org/officeDocument/2006/relationships/externalLink" Target="externalLinks/externalLink12.xml"/><Relationship Id="rId23" Type="http://schemas.openxmlformats.org/officeDocument/2006/relationships/externalLink" Target="externalLinks/externalLink13.xml"/><Relationship Id="rId24" Type="http://schemas.openxmlformats.org/officeDocument/2006/relationships/externalLink" Target="externalLinks/externalLink14.xml"/><Relationship Id="rId25" Type="http://schemas.openxmlformats.org/officeDocument/2006/relationships/externalLink" Target="externalLinks/externalLink15.xml"/><Relationship Id="rId26" Type="http://schemas.openxmlformats.org/officeDocument/2006/relationships/externalLink" Target="externalLinks/externalLink16.xml"/><Relationship Id="rId27" Type="http://schemas.openxmlformats.org/officeDocument/2006/relationships/externalLink" Target="externalLinks/externalLink17.xml"/><Relationship Id="rId28" Type="http://schemas.openxmlformats.org/officeDocument/2006/relationships/externalLink" Target="externalLinks/externalLink18.xml"/><Relationship Id="rId29" Type="http://schemas.openxmlformats.org/officeDocument/2006/relationships/externalLink" Target="externalLinks/externalLink19.xml"/><Relationship Id="rId60" Type="http://schemas.openxmlformats.org/officeDocument/2006/relationships/externalLink" Target="externalLinks/externalLink50.xml"/><Relationship Id="rId61" Type="http://schemas.openxmlformats.org/officeDocument/2006/relationships/externalLink" Target="externalLinks/externalLink51.xml"/><Relationship Id="rId62" Type="http://schemas.openxmlformats.org/officeDocument/2006/relationships/externalLink" Target="externalLinks/externalLink52.xml"/><Relationship Id="rId10" Type="http://schemas.openxmlformats.org/officeDocument/2006/relationships/worksheet" Target="worksheets/sheet10.xml"/><Relationship Id="rId11" Type="http://schemas.openxmlformats.org/officeDocument/2006/relationships/externalLink" Target="externalLinks/externalLink1.xml"/><Relationship Id="rId12"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hyperlink" Target="#'Compte R&#233;sultat et Soldes Inter'!A1"/><Relationship Id="rId4" Type="http://schemas.openxmlformats.org/officeDocument/2006/relationships/hyperlink" Target="#'Indicateurs Financiers'!A1"/><Relationship Id="rId5" Type="http://schemas.openxmlformats.org/officeDocument/2006/relationships/hyperlink" Target="#'Ratio prudentiel'!A1"/><Relationship Id="rId6" Type="http://schemas.openxmlformats.org/officeDocument/2006/relationships/hyperlink" Target="#'ETAT DES 50 PLUS GROS CLIENTS'!A1"/><Relationship Id="rId7" Type="http://schemas.openxmlformats.org/officeDocument/2006/relationships/hyperlink" Target="#'Instruction 18'!A1"/><Relationship Id="rId1" Type="http://schemas.openxmlformats.org/officeDocument/2006/relationships/hyperlink" Target="#'Annexes 4'!A1"/><Relationship Id="rId2" Type="http://schemas.openxmlformats.org/officeDocument/2006/relationships/hyperlink" Target="#'Bilan et Hors Bilan'!A1"/></Relationships>
</file>

<file path=xl/drawings/_rels/drawing2.xml.rels><?xml version="1.0" encoding="UTF-8" standalone="yes"?>
<Relationships xmlns="http://schemas.openxmlformats.org/package/2006/relationships"><Relationship Id="rId1" Type="http://schemas.openxmlformats.org/officeDocument/2006/relationships/hyperlink" Target="#SOMMAIRE!A1"/></Relationships>
</file>

<file path=xl/drawings/_rels/drawing3.xml.rels><?xml version="1.0" encoding="UTF-8" standalone="yes"?>
<Relationships xmlns="http://schemas.openxmlformats.org/package/2006/relationships"><Relationship Id="rId1" Type="http://schemas.openxmlformats.org/officeDocument/2006/relationships/hyperlink" Target="#SOMMAIRE!A1"/></Relationships>
</file>

<file path=xl/drawings/_rels/drawing4.xml.rels><?xml version="1.0" encoding="UTF-8" standalone="yes"?>
<Relationships xmlns="http://schemas.openxmlformats.org/package/2006/relationships"><Relationship Id="rId1" Type="http://schemas.openxmlformats.org/officeDocument/2006/relationships/hyperlink" Target="#SOMMAIRE!C21"/><Relationship Id="rId2" Type="http://schemas.openxmlformats.org/officeDocument/2006/relationships/hyperlink" Target="#SOMMAIRE!C27"/></Relationships>
</file>

<file path=xl/drawings/_rels/drawing5.xml.rels><?xml version="1.0" encoding="UTF-8" standalone="yes"?>
<Relationships xmlns="http://schemas.openxmlformats.org/package/2006/relationships"><Relationship Id="rId1" Type="http://schemas.openxmlformats.org/officeDocument/2006/relationships/hyperlink" Target="#SOMMAIRE!A1"/></Relationships>
</file>

<file path=xl/drawings/_rels/drawing6.xml.rels><?xml version="1.0" encoding="UTF-8" standalone="yes"?>
<Relationships xmlns="http://schemas.openxmlformats.org/package/2006/relationships"><Relationship Id="rId1" Type="http://schemas.openxmlformats.org/officeDocument/2006/relationships/hyperlink" Target="#SOMMAIRE!A1"/></Relationships>
</file>

<file path=xl/drawings/_rels/drawing7.xml.rels><?xml version="1.0" encoding="UTF-8" standalone="yes"?>
<Relationships xmlns="http://schemas.openxmlformats.org/package/2006/relationships"><Relationship Id="rId1" Type="http://schemas.openxmlformats.org/officeDocument/2006/relationships/hyperlink" Target="#SOMMAIRE!A1"/></Relationships>
</file>

<file path=xl/drawings/_rels/drawing8.xml.rels><?xml version="1.0" encoding="UTF-8" standalone="yes"?>
<Relationships xmlns="http://schemas.openxmlformats.org/package/2006/relationships"><Relationship Id="rId1" Type="http://schemas.openxmlformats.org/officeDocument/2006/relationships/hyperlink" Target="#SOMMAIRE!C32"/></Relationships>
</file>

<file path=xl/drawings/drawing1.xml><?xml version="1.0" encoding="utf-8"?>
<xdr:wsDr xmlns:xdr="http://schemas.openxmlformats.org/drawingml/2006/spreadsheetDrawing" xmlns:a="http://schemas.openxmlformats.org/drawingml/2006/main">
  <xdr:twoCellAnchor>
    <xdr:from>
      <xdr:col>3</xdr:col>
      <xdr:colOff>9526</xdr:colOff>
      <xdr:row>17</xdr:row>
      <xdr:rowOff>19051</xdr:rowOff>
    </xdr:from>
    <xdr:to>
      <xdr:col>4</xdr:col>
      <xdr:colOff>161925</xdr:colOff>
      <xdr:row>18</xdr:row>
      <xdr:rowOff>104775</xdr:rowOff>
    </xdr:to>
    <xdr:sp macro="" textlink="">
      <xdr:nvSpPr>
        <xdr:cNvPr id="3" name="Rectangle à coins arrondis 2">
          <a:hlinkClick xmlns:r="http://schemas.openxmlformats.org/officeDocument/2006/relationships" r:id="rId1"/>
        </xdr:cNvPr>
        <xdr:cNvSpPr/>
      </xdr:nvSpPr>
      <xdr:spPr>
        <a:xfrm>
          <a:off x="2105026" y="4324351"/>
          <a:ext cx="1314449" cy="276224"/>
        </a:xfrm>
        <a:prstGeom prst="roundRect">
          <a:avLst/>
        </a:prstGeom>
        <a:solidFill>
          <a:schemeClr val="accent3">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400" b="1" u="none">
              <a:solidFill>
                <a:schemeClr val="accent5">
                  <a:lumMod val="20000"/>
                  <a:lumOff val="80000"/>
                </a:schemeClr>
              </a:solidFill>
              <a:latin typeface="Times New Roman" pitchFamily="18" charset="0"/>
              <a:ea typeface="Gulim" pitchFamily="34" charset="-127"/>
              <a:cs typeface="Times New Roman" pitchFamily="18" charset="0"/>
            </a:rPr>
            <a:t>ANNEXE</a:t>
          </a:r>
          <a:r>
            <a:rPr lang="fr-FR" sz="1400" b="1" u="none" baseline="0">
              <a:solidFill>
                <a:schemeClr val="accent5">
                  <a:lumMod val="20000"/>
                  <a:lumOff val="80000"/>
                </a:schemeClr>
              </a:solidFill>
              <a:latin typeface="Times New Roman" pitchFamily="18" charset="0"/>
              <a:cs typeface="Times New Roman" pitchFamily="18" charset="0"/>
            </a:rPr>
            <a:t> 4</a:t>
          </a:r>
          <a:endParaRPr lang="fr-FR" sz="1000" b="0" u="none">
            <a:solidFill>
              <a:schemeClr val="accent5">
                <a:lumMod val="20000"/>
                <a:lumOff val="80000"/>
              </a:schemeClr>
            </a:solidFill>
            <a:latin typeface="Times New Roman" pitchFamily="18" charset="0"/>
            <a:cs typeface="Times New Roman" pitchFamily="18" charset="0"/>
          </a:endParaRPr>
        </a:p>
      </xdr:txBody>
    </xdr:sp>
    <xdr:clientData/>
  </xdr:twoCellAnchor>
  <xdr:twoCellAnchor>
    <xdr:from>
      <xdr:col>3</xdr:col>
      <xdr:colOff>0</xdr:colOff>
      <xdr:row>12</xdr:row>
      <xdr:rowOff>150031</xdr:rowOff>
    </xdr:from>
    <xdr:to>
      <xdr:col>6</xdr:col>
      <xdr:colOff>47625</xdr:colOff>
      <xdr:row>14</xdr:row>
      <xdr:rowOff>71450</xdr:rowOff>
    </xdr:to>
    <xdr:sp macro="" textlink="">
      <xdr:nvSpPr>
        <xdr:cNvPr id="30" name="Rectangle à coins arrondis 29">
          <a:hlinkClick xmlns:r="http://schemas.openxmlformats.org/officeDocument/2006/relationships" r:id="rId2"/>
        </xdr:cNvPr>
        <xdr:cNvSpPr/>
      </xdr:nvSpPr>
      <xdr:spPr>
        <a:xfrm>
          <a:off x="2095500" y="2893231"/>
          <a:ext cx="3533775" cy="31194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800" b="1"/>
            <a:t>SITUATION</a:t>
          </a:r>
          <a:r>
            <a:rPr lang="fr-FR" sz="1800" b="1" baseline="0"/>
            <a:t> PATRIMONIALE</a:t>
          </a:r>
          <a:endParaRPr lang="fr-FR" sz="1800" b="1"/>
        </a:p>
      </xdr:txBody>
    </xdr:sp>
    <xdr:clientData/>
  </xdr:twoCellAnchor>
  <xdr:twoCellAnchor>
    <xdr:from>
      <xdr:col>6</xdr:col>
      <xdr:colOff>219075</xdr:colOff>
      <xdr:row>12</xdr:row>
      <xdr:rowOff>159556</xdr:rowOff>
    </xdr:from>
    <xdr:to>
      <xdr:col>10</xdr:col>
      <xdr:colOff>714375</xdr:colOff>
      <xdr:row>14</xdr:row>
      <xdr:rowOff>80975</xdr:rowOff>
    </xdr:to>
    <xdr:sp macro="" textlink="">
      <xdr:nvSpPr>
        <xdr:cNvPr id="31" name="Rectangle à coins arrondis 30">
          <a:hlinkClick xmlns:r="http://schemas.openxmlformats.org/officeDocument/2006/relationships" r:id="rId3"/>
        </xdr:cNvPr>
        <xdr:cNvSpPr/>
      </xdr:nvSpPr>
      <xdr:spPr>
        <a:xfrm>
          <a:off x="5800725" y="2902756"/>
          <a:ext cx="4667250" cy="31194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600" b="1"/>
            <a:t>COMPTE DE RESULTAT ET SOLDES INTERMEDIARES</a:t>
          </a:r>
        </a:p>
      </xdr:txBody>
    </xdr:sp>
    <xdr:clientData/>
  </xdr:twoCellAnchor>
  <xdr:twoCellAnchor>
    <xdr:from>
      <xdr:col>3</xdr:col>
      <xdr:colOff>4740</xdr:colOff>
      <xdr:row>14</xdr:row>
      <xdr:rowOff>166689</xdr:rowOff>
    </xdr:from>
    <xdr:to>
      <xdr:col>6</xdr:col>
      <xdr:colOff>47625</xdr:colOff>
      <xdr:row>16</xdr:row>
      <xdr:rowOff>130969</xdr:rowOff>
    </xdr:to>
    <xdr:sp macro="" textlink="">
      <xdr:nvSpPr>
        <xdr:cNvPr id="32" name="Rectangle à coins arrondis 31">
          <a:hlinkClick xmlns:r="http://schemas.openxmlformats.org/officeDocument/2006/relationships" r:id="rId4"/>
        </xdr:cNvPr>
        <xdr:cNvSpPr/>
      </xdr:nvSpPr>
      <xdr:spPr>
        <a:xfrm>
          <a:off x="2100240" y="3300414"/>
          <a:ext cx="3529035" cy="345280"/>
        </a:xfrm>
        <a:prstGeom prst="roundRect">
          <a:avLst/>
        </a:prstGeom>
        <a:solidFill>
          <a:schemeClr val="accent2">
            <a:lumMod val="75000"/>
          </a:schemeClr>
        </a:solidFill>
      </xdr:spPr>
      <xdr:style>
        <a:lnRef idx="0">
          <a:schemeClr val="accent4"/>
        </a:lnRef>
        <a:fillRef idx="3">
          <a:schemeClr val="accent4"/>
        </a:fillRef>
        <a:effectRef idx="3">
          <a:schemeClr val="accent4"/>
        </a:effectRef>
        <a:fontRef idx="minor">
          <a:schemeClr val="lt1"/>
        </a:fontRef>
      </xdr:style>
      <xdr:txBody>
        <a:bodyPr vertOverflow="clip" rtlCol="0" anchor="ctr"/>
        <a:lstStyle/>
        <a:p>
          <a:pPr algn="ctr"/>
          <a:r>
            <a:rPr lang="fr-FR" sz="1600" b="1"/>
            <a:t>INDICATEURS</a:t>
          </a:r>
          <a:r>
            <a:rPr lang="fr-FR" sz="1600" b="1" baseline="0"/>
            <a:t> FINANCIERS</a:t>
          </a:r>
          <a:endParaRPr lang="fr-FR" sz="1600" b="1"/>
        </a:p>
      </xdr:txBody>
    </xdr:sp>
    <xdr:clientData/>
  </xdr:twoCellAnchor>
  <xdr:twoCellAnchor>
    <xdr:from>
      <xdr:col>6</xdr:col>
      <xdr:colOff>230992</xdr:colOff>
      <xdr:row>14</xdr:row>
      <xdr:rowOff>164306</xdr:rowOff>
    </xdr:from>
    <xdr:to>
      <xdr:col>10</xdr:col>
      <xdr:colOff>738188</xdr:colOff>
      <xdr:row>16</xdr:row>
      <xdr:rowOff>142875</xdr:rowOff>
    </xdr:to>
    <xdr:sp macro="" textlink="">
      <xdr:nvSpPr>
        <xdr:cNvPr id="33" name="Rectangle à coins arrondis 32">
          <a:hlinkClick xmlns:r="http://schemas.openxmlformats.org/officeDocument/2006/relationships" r:id="rId5"/>
        </xdr:cNvPr>
        <xdr:cNvSpPr/>
      </xdr:nvSpPr>
      <xdr:spPr>
        <a:xfrm>
          <a:off x="5812642" y="3298031"/>
          <a:ext cx="4679146" cy="359569"/>
        </a:xfrm>
        <a:prstGeom prst="roundRect">
          <a:avLst/>
        </a:prstGeom>
        <a:solidFill>
          <a:schemeClr val="accent2">
            <a:lumMod val="50000"/>
          </a:schemeClr>
        </a:solidFill>
      </xdr:spPr>
      <xdr:style>
        <a:lnRef idx="0">
          <a:schemeClr val="accent4"/>
        </a:lnRef>
        <a:fillRef idx="3">
          <a:schemeClr val="accent4"/>
        </a:fillRef>
        <a:effectRef idx="3">
          <a:schemeClr val="accent4"/>
        </a:effectRef>
        <a:fontRef idx="minor">
          <a:schemeClr val="lt1"/>
        </a:fontRef>
      </xdr:style>
      <xdr:txBody>
        <a:bodyPr vertOverflow="clip" rtlCol="0" anchor="ctr"/>
        <a:lstStyle/>
        <a:p>
          <a:pPr algn="ctr"/>
          <a:r>
            <a:rPr lang="fr-FR" sz="1600" b="1"/>
            <a:t>RATIOS</a:t>
          </a:r>
          <a:r>
            <a:rPr lang="fr-FR" sz="1600" b="1" baseline="0"/>
            <a:t> PRUDENTIELS</a:t>
          </a:r>
          <a:endParaRPr lang="fr-FR" sz="1600" b="1"/>
        </a:p>
      </xdr:txBody>
    </xdr:sp>
    <xdr:clientData/>
  </xdr:twoCellAnchor>
  <xdr:twoCellAnchor>
    <xdr:from>
      <xdr:col>7</xdr:col>
      <xdr:colOff>895349</xdr:colOff>
      <xdr:row>17</xdr:row>
      <xdr:rowOff>19050</xdr:rowOff>
    </xdr:from>
    <xdr:to>
      <xdr:col>10</xdr:col>
      <xdr:colOff>714375</xdr:colOff>
      <xdr:row>18</xdr:row>
      <xdr:rowOff>104774</xdr:rowOff>
    </xdr:to>
    <xdr:sp macro="" textlink="">
      <xdr:nvSpPr>
        <xdr:cNvPr id="54" name="Rectangle à coins arrondis 53">
          <a:hlinkClick xmlns:r="http://schemas.openxmlformats.org/officeDocument/2006/relationships" r:id="rId6"/>
        </xdr:cNvPr>
        <xdr:cNvSpPr/>
      </xdr:nvSpPr>
      <xdr:spPr>
        <a:xfrm>
          <a:off x="7639049" y="4324350"/>
          <a:ext cx="2828926" cy="276224"/>
        </a:xfrm>
        <a:prstGeom prst="roundRect">
          <a:avLst/>
        </a:prstGeom>
        <a:solidFill>
          <a:schemeClr val="accent3">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400" b="1" u="none">
              <a:solidFill>
                <a:schemeClr val="accent5">
                  <a:lumMod val="20000"/>
                  <a:lumOff val="80000"/>
                </a:schemeClr>
              </a:solidFill>
              <a:latin typeface="Times New Roman" pitchFamily="18" charset="0"/>
              <a:ea typeface="Gulim" pitchFamily="34" charset="-127"/>
              <a:cs typeface="Times New Roman" pitchFamily="18" charset="0"/>
            </a:rPr>
            <a:t>ETAT 50 PLUS GROS CLIENTS</a:t>
          </a:r>
          <a:endParaRPr lang="fr-FR" sz="1000" b="0" u="none">
            <a:solidFill>
              <a:schemeClr val="accent5">
                <a:lumMod val="20000"/>
                <a:lumOff val="80000"/>
              </a:schemeClr>
            </a:solidFill>
            <a:latin typeface="Times New Roman" pitchFamily="18" charset="0"/>
            <a:cs typeface="Times New Roman" pitchFamily="18" charset="0"/>
          </a:endParaRPr>
        </a:p>
      </xdr:txBody>
    </xdr:sp>
    <xdr:clientData/>
  </xdr:twoCellAnchor>
  <xdr:twoCellAnchor>
    <xdr:from>
      <xdr:col>5</xdr:col>
      <xdr:colOff>342900</xdr:colOff>
      <xdr:row>17</xdr:row>
      <xdr:rowOff>9525</xdr:rowOff>
    </xdr:from>
    <xdr:to>
      <xdr:col>6</xdr:col>
      <xdr:colOff>914400</xdr:colOff>
      <xdr:row>18</xdr:row>
      <xdr:rowOff>95250</xdr:rowOff>
    </xdr:to>
    <xdr:sp macro="" textlink="">
      <xdr:nvSpPr>
        <xdr:cNvPr id="9" name="Rectangle à coins arrondis 8">
          <a:hlinkClick xmlns:r="http://schemas.openxmlformats.org/officeDocument/2006/relationships" r:id="rId7"/>
        </xdr:cNvPr>
        <xdr:cNvSpPr/>
      </xdr:nvSpPr>
      <xdr:spPr>
        <a:xfrm>
          <a:off x="4762500" y="4314825"/>
          <a:ext cx="1733550" cy="276225"/>
        </a:xfrm>
        <a:prstGeom prst="roundRect">
          <a:avLst/>
        </a:prstGeom>
        <a:solidFill>
          <a:schemeClr val="accent6">
            <a:lumMod val="50000"/>
          </a:schemeClr>
        </a:solidFill>
      </xdr:spPr>
      <xdr:style>
        <a:lnRef idx="0">
          <a:schemeClr val="accent4"/>
        </a:lnRef>
        <a:fillRef idx="3">
          <a:schemeClr val="accent4"/>
        </a:fillRef>
        <a:effectRef idx="3">
          <a:schemeClr val="accent4"/>
        </a:effectRef>
        <a:fontRef idx="minor">
          <a:schemeClr val="lt1"/>
        </a:fontRef>
      </xdr:style>
      <xdr:txBody>
        <a:bodyPr vertOverflow="clip" rtlCol="0" anchor="ctr"/>
        <a:lstStyle/>
        <a:p>
          <a:pPr marL="0" indent="0" algn="l"/>
          <a:r>
            <a:rPr lang="fr-FR" sz="1400" b="1" u="none">
              <a:solidFill>
                <a:schemeClr val="accent5">
                  <a:lumMod val="20000"/>
                  <a:lumOff val="80000"/>
                </a:schemeClr>
              </a:solidFill>
              <a:latin typeface="Times New Roman" pitchFamily="18" charset="0"/>
              <a:ea typeface="Gulim" pitchFamily="34" charset="-127"/>
              <a:cs typeface="Times New Roman" pitchFamily="18" charset="0"/>
            </a:rPr>
            <a:t>INSTRUCTION 18</a:t>
          </a:r>
          <a:endParaRPr lang="fr-FR" sz="1100" b="1" u="none">
            <a:solidFill>
              <a:schemeClr val="accent5">
                <a:lumMod val="20000"/>
                <a:lumOff val="80000"/>
              </a:schemeClr>
            </a:solidFill>
            <a:latin typeface="Times New Roman" pitchFamily="18" charset="0"/>
            <a:ea typeface="Gulim" pitchFamily="34" charset="-127"/>
            <a:cs typeface="Times New Roman"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9525</xdr:rowOff>
    </xdr:from>
    <xdr:to>
      <xdr:col>1</xdr:col>
      <xdr:colOff>904875</xdr:colOff>
      <xdr:row>1</xdr:row>
      <xdr:rowOff>9525</xdr:rowOff>
    </xdr:to>
    <xdr:sp macro="" textlink="">
      <xdr:nvSpPr>
        <xdr:cNvPr id="7" name="Rectangle à coins arrondis 6">
          <a:hlinkClick xmlns:r="http://schemas.openxmlformats.org/officeDocument/2006/relationships" r:id="rId1"/>
        </xdr:cNvPr>
        <xdr:cNvSpPr/>
      </xdr:nvSpPr>
      <xdr:spPr>
        <a:xfrm>
          <a:off x="38100" y="9525"/>
          <a:ext cx="1352550" cy="4286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47626</xdr:colOff>
      <xdr:row>0</xdr:row>
      <xdr:rowOff>47632</xdr:rowOff>
    </xdr:from>
    <xdr:to>
      <xdr:col>1</xdr:col>
      <xdr:colOff>1333500</xdr:colOff>
      <xdr:row>0</xdr:row>
      <xdr:rowOff>428625</xdr:rowOff>
    </xdr:to>
    <xdr:sp macro="" textlink="">
      <xdr:nvSpPr>
        <xdr:cNvPr id="3" name="Rectangle à coins arrondis 2">
          <a:hlinkClick xmlns:r="http://schemas.openxmlformats.org/officeDocument/2006/relationships" r:id="rId1"/>
        </xdr:cNvPr>
        <xdr:cNvSpPr/>
      </xdr:nvSpPr>
      <xdr:spPr>
        <a:xfrm>
          <a:off x="47626" y="47632"/>
          <a:ext cx="1750218" cy="38099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752475</xdr:colOff>
      <xdr:row>0</xdr:row>
      <xdr:rowOff>155575</xdr:rowOff>
    </xdr:from>
    <xdr:to>
      <xdr:col>2</xdr:col>
      <xdr:colOff>200025</xdr:colOff>
      <xdr:row>1</xdr:row>
      <xdr:rowOff>228600</xdr:rowOff>
    </xdr:to>
    <xdr:sp macro="" textlink="">
      <xdr:nvSpPr>
        <xdr:cNvPr id="2" name="Rectangle à coins arrondis 1">
          <a:hlinkClick xmlns:r="http://schemas.openxmlformats.org/officeDocument/2006/relationships" r:id="rId1"/>
        </xdr:cNvPr>
        <xdr:cNvSpPr/>
      </xdr:nvSpPr>
      <xdr:spPr>
        <a:xfrm>
          <a:off x="752475" y="155575"/>
          <a:ext cx="1019175" cy="2635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200" b="1"/>
            <a:t>SOMMAIRE</a:t>
          </a:r>
        </a:p>
      </xdr:txBody>
    </xdr:sp>
    <xdr:clientData/>
  </xdr:twoCellAnchor>
  <xdr:twoCellAnchor>
    <xdr:from>
      <xdr:col>9</xdr:col>
      <xdr:colOff>653139</xdr:colOff>
      <xdr:row>71</xdr:row>
      <xdr:rowOff>137583</xdr:rowOff>
    </xdr:from>
    <xdr:to>
      <xdr:col>10</xdr:col>
      <xdr:colOff>1015090</xdr:colOff>
      <xdr:row>72</xdr:row>
      <xdr:rowOff>190500</xdr:rowOff>
    </xdr:to>
    <xdr:sp macro="" textlink="">
      <xdr:nvSpPr>
        <xdr:cNvPr id="6" name="Rectangle à coins arrondis 5">
          <a:hlinkClick xmlns:r="http://schemas.openxmlformats.org/officeDocument/2006/relationships" r:id="rId2"/>
        </xdr:cNvPr>
        <xdr:cNvSpPr/>
      </xdr:nvSpPr>
      <xdr:spPr>
        <a:xfrm>
          <a:off x="12749889" y="14072658"/>
          <a:ext cx="1428751" cy="24341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200" b="1"/>
            <a:t>SOMMAIRE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90920</xdr:colOff>
      <xdr:row>0</xdr:row>
      <xdr:rowOff>14432</xdr:rowOff>
    </xdr:from>
    <xdr:to>
      <xdr:col>1</xdr:col>
      <xdr:colOff>1315459</xdr:colOff>
      <xdr:row>0</xdr:row>
      <xdr:rowOff>502227</xdr:rowOff>
    </xdr:to>
    <xdr:sp macro="" textlink="">
      <xdr:nvSpPr>
        <xdr:cNvPr id="2" name="Rectangle à coins arrondis 1">
          <a:hlinkClick xmlns:r="http://schemas.openxmlformats.org/officeDocument/2006/relationships" r:id="rId1"/>
        </xdr:cNvPr>
        <xdr:cNvSpPr/>
      </xdr:nvSpPr>
      <xdr:spPr>
        <a:xfrm>
          <a:off x="90920" y="14432"/>
          <a:ext cx="1865312" cy="48779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536864</xdr:colOff>
      <xdr:row>0</xdr:row>
      <xdr:rowOff>0</xdr:rowOff>
    </xdr:from>
    <xdr:to>
      <xdr:col>8</xdr:col>
      <xdr:colOff>0</xdr:colOff>
      <xdr:row>0</xdr:row>
      <xdr:rowOff>0</xdr:rowOff>
    </xdr:to>
    <xdr:sp macro="" textlink="">
      <xdr:nvSpPr>
        <xdr:cNvPr id="3" name="Rectangle à coins arrondis 2">
          <a:hlinkClick xmlns:r="http://schemas.openxmlformats.org/officeDocument/2006/relationships" r:id="rId1"/>
        </xdr:cNvPr>
        <xdr:cNvSpPr/>
      </xdr:nvSpPr>
      <xdr:spPr>
        <a:xfrm>
          <a:off x="12451773" y="207818"/>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554182</xdr:colOff>
      <xdr:row>0</xdr:row>
      <xdr:rowOff>0</xdr:rowOff>
    </xdr:from>
    <xdr:to>
      <xdr:col>8</xdr:col>
      <xdr:colOff>0</xdr:colOff>
      <xdr:row>0</xdr:row>
      <xdr:rowOff>0</xdr:rowOff>
    </xdr:to>
    <xdr:sp macro="" textlink="">
      <xdr:nvSpPr>
        <xdr:cNvPr id="4" name="Rectangle à coins arrondis 3">
          <a:hlinkClick xmlns:r="http://schemas.openxmlformats.org/officeDocument/2006/relationships" r:id="rId1"/>
        </xdr:cNvPr>
        <xdr:cNvSpPr/>
      </xdr:nvSpPr>
      <xdr:spPr>
        <a:xfrm>
          <a:off x="12469091" y="9732818"/>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7" name="Rectangle à coins arrondis 6">
          <a:hlinkClick xmlns:r="http://schemas.openxmlformats.org/officeDocument/2006/relationships" r:id="rId1"/>
        </xdr:cNvPr>
        <xdr:cNvSpPr/>
      </xdr:nvSpPr>
      <xdr:spPr>
        <a:xfrm>
          <a:off x="12451773" y="21353318"/>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536863</xdr:colOff>
      <xdr:row>0</xdr:row>
      <xdr:rowOff>0</xdr:rowOff>
    </xdr:from>
    <xdr:to>
      <xdr:col>8</xdr:col>
      <xdr:colOff>0</xdr:colOff>
      <xdr:row>0</xdr:row>
      <xdr:rowOff>0</xdr:rowOff>
    </xdr:to>
    <xdr:sp macro="" textlink="">
      <xdr:nvSpPr>
        <xdr:cNvPr id="9" name="Rectangle à coins arrondis 8">
          <a:hlinkClick xmlns:r="http://schemas.openxmlformats.org/officeDocument/2006/relationships" r:id="rId1"/>
        </xdr:cNvPr>
        <xdr:cNvSpPr/>
      </xdr:nvSpPr>
      <xdr:spPr>
        <a:xfrm>
          <a:off x="12451772" y="32055954"/>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536863</xdr:colOff>
      <xdr:row>0</xdr:row>
      <xdr:rowOff>0</xdr:rowOff>
    </xdr:from>
    <xdr:to>
      <xdr:col>8</xdr:col>
      <xdr:colOff>0</xdr:colOff>
      <xdr:row>0</xdr:row>
      <xdr:rowOff>0</xdr:rowOff>
    </xdr:to>
    <xdr:sp macro="" textlink="">
      <xdr:nvSpPr>
        <xdr:cNvPr id="16" name="Rectangle à coins arrondis 15">
          <a:hlinkClick xmlns:r="http://schemas.openxmlformats.org/officeDocument/2006/relationships" r:id="rId1"/>
        </xdr:cNvPr>
        <xdr:cNvSpPr/>
      </xdr:nvSpPr>
      <xdr:spPr>
        <a:xfrm>
          <a:off x="12451772" y="54379091"/>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18" name="Rectangle à coins arrondis 17">
          <a:hlinkClick xmlns:r="http://schemas.openxmlformats.org/officeDocument/2006/relationships" r:id="rId1"/>
        </xdr:cNvPr>
        <xdr:cNvSpPr/>
      </xdr:nvSpPr>
      <xdr:spPr>
        <a:xfrm>
          <a:off x="12451773" y="59314773"/>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20" name="Rectangle à coins arrondis 19">
          <a:hlinkClick xmlns:r="http://schemas.openxmlformats.org/officeDocument/2006/relationships" r:id="rId1"/>
        </xdr:cNvPr>
        <xdr:cNvSpPr/>
      </xdr:nvSpPr>
      <xdr:spPr>
        <a:xfrm>
          <a:off x="12451773" y="66467182"/>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23" name="Rectangle à coins arrondis 22">
          <a:hlinkClick xmlns:r="http://schemas.openxmlformats.org/officeDocument/2006/relationships" r:id="rId1"/>
        </xdr:cNvPr>
        <xdr:cNvSpPr/>
      </xdr:nvSpPr>
      <xdr:spPr>
        <a:xfrm>
          <a:off x="12451773" y="76529045"/>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1030432</xdr:colOff>
      <xdr:row>46</xdr:row>
      <xdr:rowOff>169718</xdr:rowOff>
    </xdr:from>
    <xdr:to>
      <xdr:col>7</xdr:col>
      <xdr:colOff>2372735</xdr:colOff>
      <xdr:row>48</xdr:row>
      <xdr:rowOff>71438</xdr:rowOff>
    </xdr:to>
    <xdr:sp macro="" textlink="">
      <xdr:nvSpPr>
        <xdr:cNvPr id="44" name="Rectangle à coins arrondis 43">
          <a:hlinkClick xmlns:r="http://schemas.openxmlformats.org/officeDocument/2006/relationships" r:id="rId1"/>
        </xdr:cNvPr>
        <xdr:cNvSpPr/>
      </xdr:nvSpPr>
      <xdr:spPr>
        <a:xfrm>
          <a:off x="13770120" y="9813781"/>
          <a:ext cx="3116334" cy="3065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502228</xdr:colOff>
      <xdr:row>58</xdr:row>
      <xdr:rowOff>17318</xdr:rowOff>
    </xdr:from>
    <xdr:to>
      <xdr:col>7</xdr:col>
      <xdr:colOff>2367540</xdr:colOff>
      <xdr:row>59</xdr:row>
      <xdr:rowOff>83344</xdr:rowOff>
    </xdr:to>
    <xdr:sp macro="" textlink="">
      <xdr:nvSpPr>
        <xdr:cNvPr id="45" name="Rectangle à coins arrondis 44">
          <a:hlinkClick xmlns:r="http://schemas.openxmlformats.org/officeDocument/2006/relationships" r:id="rId1"/>
        </xdr:cNvPr>
        <xdr:cNvSpPr/>
      </xdr:nvSpPr>
      <xdr:spPr>
        <a:xfrm>
          <a:off x="15015947" y="12161693"/>
          <a:ext cx="1865312" cy="2684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1070264</xdr:colOff>
      <xdr:row>100</xdr:row>
      <xdr:rowOff>0</xdr:rowOff>
    </xdr:from>
    <xdr:to>
      <xdr:col>8</xdr:col>
      <xdr:colOff>0</xdr:colOff>
      <xdr:row>101</xdr:row>
      <xdr:rowOff>130968</xdr:rowOff>
    </xdr:to>
    <xdr:sp macro="" textlink="">
      <xdr:nvSpPr>
        <xdr:cNvPr id="46" name="Rectangle à coins arrondis 45">
          <a:hlinkClick xmlns:r="http://schemas.openxmlformats.org/officeDocument/2006/relationships" r:id="rId1"/>
        </xdr:cNvPr>
        <xdr:cNvSpPr/>
      </xdr:nvSpPr>
      <xdr:spPr>
        <a:xfrm>
          <a:off x="13809952" y="20443031"/>
          <a:ext cx="3109190" cy="3333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112</xdr:row>
      <xdr:rowOff>155863</xdr:rowOff>
    </xdr:from>
    <xdr:to>
      <xdr:col>7</xdr:col>
      <xdr:colOff>2384858</xdr:colOff>
      <xdr:row>114</xdr:row>
      <xdr:rowOff>83343</xdr:rowOff>
    </xdr:to>
    <xdr:sp macro="" textlink="">
      <xdr:nvSpPr>
        <xdr:cNvPr id="47" name="Rectangle à coins arrondis 46">
          <a:hlinkClick xmlns:r="http://schemas.openxmlformats.org/officeDocument/2006/relationships" r:id="rId1"/>
        </xdr:cNvPr>
        <xdr:cNvSpPr/>
      </xdr:nvSpPr>
      <xdr:spPr>
        <a:xfrm>
          <a:off x="15033265" y="23027769"/>
          <a:ext cx="1865312" cy="33229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1089313</xdr:colOff>
      <xdr:row>148</xdr:row>
      <xdr:rowOff>17317</xdr:rowOff>
    </xdr:from>
    <xdr:to>
      <xdr:col>8</xdr:col>
      <xdr:colOff>0</xdr:colOff>
      <xdr:row>149</xdr:row>
      <xdr:rowOff>130967</xdr:rowOff>
    </xdr:to>
    <xdr:sp macro="" textlink="">
      <xdr:nvSpPr>
        <xdr:cNvPr id="48" name="Rectangle à coins arrondis 47">
          <a:hlinkClick xmlns:r="http://schemas.openxmlformats.org/officeDocument/2006/relationships" r:id="rId1"/>
        </xdr:cNvPr>
        <xdr:cNvSpPr/>
      </xdr:nvSpPr>
      <xdr:spPr>
        <a:xfrm>
          <a:off x="13829001" y="30175848"/>
          <a:ext cx="3109190" cy="3160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821171</xdr:colOff>
      <xdr:row>178</xdr:row>
      <xdr:rowOff>34637</xdr:rowOff>
    </xdr:from>
    <xdr:to>
      <xdr:col>7</xdr:col>
      <xdr:colOff>2686483</xdr:colOff>
      <xdr:row>179</xdr:row>
      <xdr:rowOff>119063</xdr:rowOff>
    </xdr:to>
    <xdr:sp macro="" textlink="">
      <xdr:nvSpPr>
        <xdr:cNvPr id="49" name="Rectangle à coins arrondis 48">
          <a:hlinkClick xmlns:r="http://schemas.openxmlformats.org/officeDocument/2006/relationships" r:id="rId1"/>
        </xdr:cNvPr>
        <xdr:cNvSpPr/>
      </xdr:nvSpPr>
      <xdr:spPr>
        <a:xfrm>
          <a:off x="19859265" y="36265356"/>
          <a:ext cx="1865312" cy="2868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191</xdr:row>
      <xdr:rowOff>202405</xdr:rowOff>
    </xdr:from>
    <xdr:to>
      <xdr:col>7</xdr:col>
      <xdr:colOff>2384858</xdr:colOff>
      <xdr:row>193</xdr:row>
      <xdr:rowOff>130967</xdr:rowOff>
    </xdr:to>
    <xdr:sp macro="" textlink="">
      <xdr:nvSpPr>
        <xdr:cNvPr id="50" name="Rectangle à coins arrondis 49">
          <a:hlinkClick xmlns:r="http://schemas.openxmlformats.org/officeDocument/2006/relationships" r:id="rId1"/>
        </xdr:cNvPr>
        <xdr:cNvSpPr/>
      </xdr:nvSpPr>
      <xdr:spPr>
        <a:xfrm>
          <a:off x="15033265" y="39064405"/>
          <a:ext cx="1865312" cy="3333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736744</xdr:colOff>
      <xdr:row>208</xdr:row>
      <xdr:rowOff>5411</xdr:rowOff>
    </xdr:from>
    <xdr:to>
      <xdr:col>8</xdr:col>
      <xdr:colOff>0</xdr:colOff>
      <xdr:row>209</xdr:row>
      <xdr:rowOff>130968</xdr:rowOff>
    </xdr:to>
    <xdr:sp macro="" textlink="">
      <xdr:nvSpPr>
        <xdr:cNvPr id="51" name="Rectangle à coins arrondis 50">
          <a:hlinkClick xmlns:r="http://schemas.openxmlformats.org/officeDocument/2006/relationships" r:id="rId1"/>
        </xdr:cNvPr>
        <xdr:cNvSpPr/>
      </xdr:nvSpPr>
      <xdr:spPr>
        <a:xfrm>
          <a:off x="24299213" y="42308317"/>
          <a:ext cx="2936152" cy="327964"/>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519545</xdr:colOff>
      <xdr:row>226</xdr:row>
      <xdr:rowOff>17318</xdr:rowOff>
    </xdr:from>
    <xdr:to>
      <xdr:col>7</xdr:col>
      <xdr:colOff>2384857</xdr:colOff>
      <xdr:row>227</xdr:row>
      <xdr:rowOff>119063</xdr:rowOff>
    </xdr:to>
    <xdr:sp macro="" textlink="">
      <xdr:nvSpPr>
        <xdr:cNvPr id="52" name="Rectangle à coins arrondis 51">
          <a:hlinkClick xmlns:r="http://schemas.openxmlformats.org/officeDocument/2006/relationships" r:id="rId1"/>
        </xdr:cNvPr>
        <xdr:cNvSpPr/>
      </xdr:nvSpPr>
      <xdr:spPr>
        <a:xfrm>
          <a:off x="15033264" y="45963537"/>
          <a:ext cx="1865312" cy="30415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536863</xdr:colOff>
      <xdr:row>239</xdr:row>
      <xdr:rowOff>17317</xdr:rowOff>
    </xdr:from>
    <xdr:to>
      <xdr:col>8</xdr:col>
      <xdr:colOff>0</xdr:colOff>
      <xdr:row>240</xdr:row>
      <xdr:rowOff>130968</xdr:rowOff>
    </xdr:to>
    <xdr:sp macro="" textlink="">
      <xdr:nvSpPr>
        <xdr:cNvPr id="53" name="Rectangle à coins arrondis 52">
          <a:hlinkClick xmlns:r="http://schemas.openxmlformats.org/officeDocument/2006/relationships" r:id="rId1"/>
        </xdr:cNvPr>
        <xdr:cNvSpPr/>
      </xdr:nvSpPr>
      <xdr:spPr>
        <a:xfrm>
          <a:off x="15050582" y="48594817"/>
          <a:ext cx="1868559" cy="3160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260</xdr:row>
      <xdr:rowOff>17318</xdr:rowOff>
    </xdr:from>
    <xdr:to>
      <xdr:col>8</xdr:col>
      <xdr:colOff>0</xdr:colOff>
      <xdr:row>261</xdr:row>
      <xdr:rowOff>130968</xdr:rowOff>
    </xdr:to>
    <xdr:sp macro="" textlink="">
      <xdr:nvSpPr>
        <xdr:cNvPr id="54" name="Rectangle à coins arrondis 53">
          <a:hlinkClick xmlns:r="http://schemas.openxmlformats.org/officeDocument/2006/relationships" r:id="rId1"/>
        </xdr:cNvPr>
        <xdr:cNvSpPr/>
      </xdr:nvSpPr>
      <xdr:spPr>
        <a:xfrm>
          <a:off x="15050583" y="52845349"/>
          <a:ext cx="1868559" cy="3160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270</xdr:row>
      <xdr:rowOff>17319</xdr:rowOff>
    </xdr:from>
    <xdr:to>
      <xdr:col>7</xdr:col>
      <xdr:colOff>2384858</xdr:colOff>
      <xdr:row>271</xdr:row>
      <xdr:rowOff>130969</xdr:rowOff>
    </xdr:to>
    <xdr:sp macro="" textlink="">
      <xdr:nvSpPr>
        <xdr:cNvPr id="55" name="Rectangle à coins arrondis 54">
          <a:hlinkClick xmlns:r="http://schemas.openxmlformats.org/officeDocument/2006/relationships" r:id="rId1"/>
        </xdr:cNvPr>
        <xdr:cNvSpPr/>
      </xdr:nvSpPr>
      <xdr:spPr>
        <a:xfrm>
          <a:off x="15033265" y="54869413"/>
          <a:ext cx="1865312" cy="31605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286</xdr:row>
      <xdr:rowOff>0</xdr:rowOff>
    </xdr:from>
    <xdr:to>
      <xdr:col>8</xdr:col>
      <xdr:colOff>0</xdr:colOff>
      <xdr:row>287</xdr:row>
      <xdr:rowOff>107156</xdr:rowOff>
    </xdr:to>
    <xdr:sp macro="" textlink="">
      <xdr:nvSpPr>
        <xdr:cNvPr id="56" name="Rectangle à coins arrondis 55">
          <a:hlinkClick xmlns:r="http://schemas.openxmlformats.org/officeDocument/2006/relationships" r:id="rId1"/>
        </xdr:cNvPr>
        <xdr:cNvSpPr/>
      </xdr:nvSpPr>
      <xdr:spPr>
        <a:xfrm>
          <a:off x="15050583" y="58090594"/>
          <a:ext cx="1868559" cy="30956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308</xdr:row>
      <xdr:rowOff>0</xdr:rowOff>
    </xdr:from>
    <xdr:to>
      <xdr:col>7</xdr:col>
      <xdr:colOff>2384858</xdr:colOff>
      <xdr:row>309</xdr:row>
      <xdr:rowOff>83343</xdr:rowOff>
    </xdr:to>
    <xdr:sp macro="" textlink="">
      <xdr:nvSpPr>
        <xdr:cNvPr id="57" name="Rectangle à coins arrondis 56">
          <a:hlinkClick xmlns:r="http://schemas.openxmlformats.org/officeDocument/2006/relationships" r:id="rId1"/>
        </xdr:cNvPr>
        <xdr:cNvSpPr/>
      </xdr:nvSpPr>
      <xdr:spPr>
        <a:xfrm>
          <a:off x="15033265" y="62543531"/>
          <a:ext cx="1865312" cy="285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519545</xdr:colOff>
      <xdr:row>316</xdr:row>
      <xdr:rowOff>178594</xdr:rowOff>
    </xdr:from>
    <xdr:to>
      <xdr:col>7</xdr:col>
      <xdr:colOff>2384857</xdr:colOff>
      <xdr:row>318</xdr:row>
      <xdr:rowOff>71436</xdr:rowOff>
    </xdr:to>
    <xdr:sp macro="" textlink="">
      <xdr:nvSpPr>
        <xdr:cNvPr id="58" name="Rectangle à coins arrondis 57">
          <a:hlinkClick xmlns:r="http://schemas.openxmlformats.org/officeDocument/2006/relationships" r:id="rId1"/>
        </xdr:cNvPr>
        <xdr:cNvSpPr/>
      </xdr:nvSpPr>
      <xdr:spPr>
        <a:xfrm>
          <a:off x="15033264" y="64341375"/>
          <a:ext cx="1865312" cy="29765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325</xdr:row>
      <xdr:rowOff>0</xdr:rowOff>
    </xdr:from>
    <xdr:to>
      <xdr:col>8</xdr:col>
      <xdr:colOff>0</xdr:colOff>
      <xdr:row>326</xdr:row>
      <xdr:rowOff>95250</xdr:rowOff>
    </xdr:to>
    <xdr:sp macro="" textlink="">
      <xdr:nvSpPr>
        <xdr:cNvPr id="59" name="Rectangle à coins arrondis 58">
          <a:hlinkClick xmlns:r="http://schemas.openxmlformats.org/officeDocument/2006/relationships" r:id="rId1"/>
        </xdr:cNvPr>
        <xdr:cNvSpPr/>
      </xdr:nvSpPr>
      <xdr:spPr>
        <a:xfrm>
          <a:off x="15050583" y="65984438"/>
          <a:ext cx="1868559" cy="29765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822614</xdr:colOff>
      <xdr:row>356</xdr:row>
      <xdr:rowOff>31750</xdr:rowOff>
    </xdr:from>
    <xdr:to>
      <xdr:col>8</xdr:col>
      <xdr:colOff>0</xdr:colOff>
      <xdr:row>357</xdr:row>
      <xdr:rowOff>142875</xdr:rowOff>
    </xdr:to>
    <xdr:sp macro="" textlink="">
      <xdr:nvSpPr>
        <xdr:cNvPr id="60" name="Rectangle à coins arrondis 59">
          <a:hlinkClick xmlns:r="http://schemas.openxmlformats.org/officeDocument/2006/relationships" r:id="rId1"/>
        </xdr:cNvPr>
        <xdr:cNvSpPr/>
      </xdr:nvSpPr>
      <xdr:spPr>
        <a:xfrm>
          <a:off x="19860708" y="72290781"/>
          <a:ext cx="1872528" cy="3135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822563</xdr:colOff>
      <xdr:row>375</xdr:row>
      <xdr:rowOff>17318</xdr:rowOff>
    </xdr:from>
    <xdr:to>
      <xdr:col>8</xdr:col>
      <xdr:colOff>0</xdr:colOff>
      <xdr:row>376</xdr:row>
      <xdr:rowOff>119063</xdr:rowOff>
    </xdr:to>
    <xdr:sp macro="" textlink="">
      <xdr:nvSpPr>
        <xdr:cNvPr id="61" name="Rectangle à coins arrondis 60">
          <a:hlinkClick xmlns:r="http://schemas.openxmlformats.org/officeDocument/2006/relationships" r:id="rId1"/>
        </xdr:cNvPr>
        <xdr:cNvSpPr/>
      </xdr:nvSpPr>
      <xdr:spPr>
        <a:xfrm>
          <a:off x="19860657" y="76122068"/>
          <a:ext cx="1870260" cy="30415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0</xdr:col>
      <xdr:colOff>0</xdr:colOff>
      <xdr:row>0</xdr:row>
      <xdr:rowOff>0</xdr:rowOff>
    </xdr:from>
    <xdr:to>
      <xdr:col>1</xdr:col>
      <xdr:colOff>1272886</xdr:colOff>
      <xdr:row>1</xdr:row>
      <xdr:rowOff>0</xdr:rowOff>
    </xdr:to>
    <xdr:sp macro="" textlink="">
      <xdr:nvSpPr>
        <xdr:cNvPr id="29" name="Rectangle à coins arrondis 28">
          <a:hlinkClick xmlns:r="http://schemas.openxmlformats.org/officeDocument/2006/relationships" r:id="rId1"/>
        </xdr:cNvPr>
        <xdr:cNvSpPr/>
      </xdr:nvSpPr>
      <xdr:spPr>
        <a:xfrm>
          <a:off x="0" y="0"/>
          <a:ext cx="1857993" cy="2993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76200</xdr:colOff>
      <xdr:row>0</xdr:row>
      <xdr:rowOff>0</xdr:rowOff>
    </xdr:from>
    <xdr:to>
      <xdr:col>9</xdr:col>
      <xdr:colOff>504825</xdr:colOff>
      <xdr:row>1</xdr:row>
      <xdr:rowOff>161925</xdr:rowOff>
    </xdr:to>
    <xdr:sp macro="" textlink="">
      <xdr:nvSpPr>
        <xdr:cNvPr id="2" name="Rectangle à coins arrondis 1">
          <a:hlinkClick xmlns:r="http://schemas.openxmlformats.org/officeDocument/2006/relationships" r:id="rId1"/>
        </xdr:cNvPr>
        <xdr:cNvSpPr/>
      </xdr:nvSpPr>
      <xdr:spPr>
        <a:xfrm>
          <a:off x="7191375" y="0"/>
          <a:ext cx="1190625" cy="3524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400" b="1"/>
            <a:t>SOMMAIRE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838200</xdr:colOff>
      <xdr:row>0</xdr:row>
      <xdr:rowOff>180975</xdr:rowOff>
    </xdr:from>
    <xdr:to>
      <xdr:col>8</xdr:col>
      <xdr:colOff>0</xdr:colOff>
      <xdr:row>2</xdr:row>
      <xdr:rowOff>28575</xdr:rowOff>
    </xdr:to>
    <xdr:sp macro="" textlink="">
      <xdr:nvSpPr>
        <xdr:cNvPr id="18" name="Rectangle à coins arrondis 17">
          <a:hlinkClick xmlns:r="http://schemas.openxmlformats.org/officeDocument/2006/relationships" r:id="rId1"/>
        </xdr:cNvPr>
        <xdr:cNvSpPr/>
      </xdr:nvSpPr>
      <xdr:spPr>
        <a:xfrm>
          <a:off x="9582150" y="180975"/>
          <a:ext cx="1000125" cy="2762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200" b="1"/>
            <a:t>SOMMAIRE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ECLARATION%2031%2008%2007%20TOUBA%20TOULOK.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nottoOK.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TH1%20apinv07OK.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THIES1OK.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TOULOK.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NOTTOOK.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NDSOK.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TASSETTEOK.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NOTTOOK.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HIES1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HIES2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TTOULok.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THIES2OK.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NGOUNDIANEOK.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NGOUDIANEOK.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20AP%20INV%20TTOULO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TASSETTEO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TOUBATOULOK.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20-NOTTO%20AP%20INVOK.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TASSETTEOK.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NDSOK.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OUBATLO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NGOUDANEOK.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HIES1OK.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3-31%20-%20Donn&#233;es%20de%20gestion%20-%20Point%20de%20service%20-%20MEC-THIES%20ND%20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ndsirakhok.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ngouok.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THIES1OK.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nottook.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NGOUNDIANEOK.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ND%20SIRAKH%20AP%20INVOK.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ND%20SIRAKH%20SEPT%202007OK.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nott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NGOUNDIANEOK.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4-08-31%20-%20Donn&#233;es%20de%20gestion%20-%20Point%20de%20service%20-%20MECKAW.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tassetteok.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ok.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3-31%20-%20Donn&#233;es%20de%20gestion%20-%20Point%20de%20service%20-%20MEC-THIES2.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2ok.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NGOUNDIANE%20AP%20INVOK.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3-31%20-%20Donn&#233;es%20de%20gestion%20-%20Point%20de%20service%20-%20MEC-THIESTTOUL.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NOTTOO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THIES2O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20AV%20INV%20T%20TOU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HIES2OK.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THIES1OK.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ASSEETTEOK.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ASSETTEOK.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TASSETTE%20AP%20INVOK.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THIES2OK.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TOUBATOULO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NDSIRAKHO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ND%20SIRAKH%20-%20MEC-THIESOK.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thies2%202007-12-31%20APINVO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enu"/>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enableFormatConditionsCalculation="0">
    <tabColor theme="2" tint="-0.499984740745262"/>
  </sheetPr>
  <dimension ref="A1:W21"/>
  <sheetViews>
    <sheetView showGridLines="0" zoomScale="80" zoomScaleNormal="80" zoomScalePageLayoutView="80" workbookViewId="0">
      <selection activeCell="D10" sqref="D10"/>
    </sheetView>
  </sheetViews>
  <sheetFormatPr baseColWidth="10" defaultColWidth="10.83203125" defaultRowHeight="14" x14ac:dyDescent="0"/>
  <cols>
    <col min="1" max="1" width="17.1640625" style="4" customWidth="1"/>
    <col min="2" max="2" width="4.5" style="4" customWidth="1"/>
    <col min="3" max="3" width="9.6640625" style="4" customWidth="1"/>
    <col min="4" max="4" width="52.6640625" style="4" customWidth="1"/>
    <col min="5" max="8" width="17.5" style="4" customWidth="1"/>
    <col min="9" max="9" width="16.33203125" style="4" customWidth="1"/>
    <col min="10" max="10" width="18.6640625" style="4" customWidth="1"/>
    <col min="11" max="11" width="9.6640625" style="4" customWidth="1"/>
    <col min="12" max="12" width="0.1640625" style="4" customWidth="1"/>
    <col min="13" max="13" width="4.1640625" style="4" hidden="1" customWidth="1"/>
    <col min="14" max="14" width="5" style="680" hidden="1" customWidth="1"/>
    <col min="15" max="15" width="1.33203125" style="680" hidden="1" customWidth="1"/>
    <col min="16" max="16" width="2.5" style="680" hidden="1" customWidth="1"/>
    <col min="17" max="17" width="1.5" style="680" hidden="1" customWidth="1"/>
    <col min="18" max="20" width="0" style="680" hidden="1" customWidth="1"/>
    <col min="21" max="23" width="10.83203125" style="680"/>
    <col min="24" max="16384" width="10.83203125" style="4"/>
  </cols>
  <sheetData>
    <row r="1" spans="1:23" ht="40" customHeight="1">
      <c r="A1" s="714" t="str">
        <f>IF(D5&lt;&gt;0,D5,"")</f>
        <v>MUTUELLE ALLIANCE DE CREDIT ET D'EPARGNE POUR LA PRODUCTION DE SAINT-LOUIS</v>
      </c>
      <c r="B1" s="714"/>
      <c r="C1" s="714"/>
      <c r="D1" s="714"/>
      <c r="E1" s="714"/>
      <c r="F1" s="714"/>
      <c r="G1" s="682" t="str">
        <f ca="1">IF(OR(I2="Mensuelle",I2="Trimestrielle"),"Exercice à fin "&amp;RIGHT(I3,LEN(I3)-3)&amp;" "&amp;D2,"Exercice à fin décembre "&amp;D2)</f>
        <v>Exercice à fin décembre 2014</v>
      </c>
      <c r="H1" s="682"/>
      <c r="I1" s="683"/>
      <c r="J1" s="684"/>
      <c r="K1" s="7"/>
      <c r="L1" s="7"/>
      <c r="M1" s="7"/>
      <c r="N1" s="679"/>
      <c r="O1" s="679"/>
      <c r="P1" s="679"/>
      <c r="Q1" s="679"/>
      <c r="R1" s="679"/>
      <c r="S1" s="679"/>
    </row>
    <row r="2" spans="1:23" ht="17">
      <c r="A2" s="715" t="s">
        <v>1123</v>
      </c>
      <c r="B2" s="715"/>
      <c r="C2" s="715"/>
      <c r="D2" s="685">
        <f ca="1">IF(AND(I2="Annuelle"),YEAR(TODAY())-1,IF(AND(I2="Trimestrielle",I3="P12-Décembre",MONTH(TODAY())&lt;=3),YEAR(TODAY())-1,YEAR(TODAY())))</f>
        <v>2014</v>
      </c>
      <c r="E2" s="686"/>
      <c r="F2" s="686"/>
      <c r="G2" s="687"/>
      <c r="H2" s="688" t="s">
        <v>1879</v>
      </c>
      <c r="I2" s="689" t="s">
        <v>1883</v>
      </c>
      <c r="J2" s="690"/>
      <c r="K2" s="10"/>
      <c r="R2" s="680" t="s">
        <v>1880</v>
      </c>
      <c r="S2" s="680" t="s">
        <v>1883</v>
      </c>
      <c r="T2" s="680" t="s">
        <v>2046</v>
      </c>
    </row>
    <row r="3" spans="1:23" ht="17">
      <c r="A3" s="711" t="s">
        <v>1124</v>
      </c>
      <c r="B3" s="711"/>
      <c r="C3" s="711"/>
      <c r="D3" s="691"/>
      <c r="E3" s="692"/>
      <c r="F3" s="692"/>
      <c r="G3" s="687"/>
      <c r="H3" s="688" t="s">
        <v>1881</v>
      </c>
      <c r="I3" s="689" t="s">
        <v>1886</v>
      </c>
      <c r="J3" s="690"/>
      <c r="K3" s="10"/>
      <c r="R3" s="680" t="s">
        <v>1884</v>
      </c>
    </row>
    <row r="4" spans="1:23" ht="17">
      <c r="A4" s="711" t="s">
        <v>1125</v>
      </c>
      <c r="B4" s="711"/>
      <c r="C4" s="711"/>
      <c r="D4" s="693" t="s">
        <v>1386</v>
      </c>
      <c r="E4" s="694"/>
      <c r="F4" s="694"/>
      <c r="G4" s="687"/>
      <c r="H4" s="688" t="s">
        <v>1117</v>
      </c>
      <c r="I4" s="695" t="s">
        <v>2580</v>
      </c>
      <c r="J4" s="690"/>
      <c r="K4" s="10"/>
      <c r="R4" s="680" t="s">
        <v>1885</v>
      </c>
    </row>
    <row r="5" spans="1:23" ht="30">
      <c r="A5" s="711" t="s">
        <v>1126</v>
      </c>
      <c r="B5" s="711"/>
      <c r="C5" s="711"/>
      <c r="D5" s="696" t="str">
        <f>IF(ISBLANK(D4),"",VLOOKUP(D4,Feuil1!A2:H274,2,FALSE))</f>
        <v>MUTUELLE ALLIANCE DE CREDIT ET D'EPARGNE POUR LA PRODUCTION DE SAINT-LOUIS</v>
      </c>
      <c r="E5" s="697"/>
      <c r="F5" s="698"/>
      <c r="G5" s="699"/>
      <c r="H5" s="688" t="s">
        <v>1120</v>
      </c>
      <c r="I5" s="700"/>
      <c r="J5" s="699"/>
      <c r="K5" s="13"/>
      <c r="L5" s="14"/>
      <c r="R5" s="680" t="s">
        <v>1886</v>
      </c>
    </row>
    <row r="6" spans="1:23" ht="15">
      <c r="A6" s="711" t="s">
        <v>1127</v>
      </c>
      <c r="B6" s="711"/>
      <c r="C6" s="711"/>
      <c r="D6" s="697" t="str">
        <f>IF(ISBLANK(D4),"",VLOOKUP(D4,Feuil1!A2:H274,3,FALSE))</f>
        <v>ACEP SAINT LOUIS</v>
      </c>
      <c r="E6" s="701"/>
      <c r="F6" s="701"/>
      <c r="G6" s="699"/>
      <c r="H6" s="688" t="s">
        <v>1121</v>
      </c>
      <c r="I6" s="700"/>
      <c r="J6" s="702"/>
      <c r="K6" s="13"/>
      <c r="L6" s="14"/>
      <c r="R6" s="680" t="s">
        <v>1887</v>
      </c>
    </row>
    <row r="7" spans="1:23" ht="15">
      <c r="A7" s="711" t="s">
        <v>1128</v>
      </c>
      <c r="B7" s="711"/>
      <c r="C7" s="711"/>
      <c r="D7" s="698" t="str">
        <f>IF(ISBLANK(D4),"",VLOOKUP(D4,Feuil1!A2:H274,6,FALSE))</f>
        <v>SAINT-LOUIS</v>
      </c>
      <c r="E7" s="701"/>
      <c r="F7" s="701"/>
      <c r="G7" s="699"/>
      <c r="H7" s="699"/>
      <c r="I7" s="699"/>
      <c r="J7" s="702"/>
      <c r="K7" s="13"/>
      <c r="L7" s="14"/>
      <c r="R7" s="680" t="s">
        <v>1888</v>
      </c>
    </row>
    <row r="8" spans="1:23" ht="15">
      <c r="A8" s="711" t="s">
        <v>1877</v>
      </c>
      <c r="B8" s="711"/>
      <c r="C8" s="711"/>
      <c r="D8" s="698" t="str">
        <f>IF(ISBLANK(D4),"",VLOOKUP(D4,Feuil1!A2:H274,7,FALSE))</f>
        <v>SAINT-LOUIS</v>
      </c>
      <c r="E8" s="698"/>
      <c r="F8" s="698"/>
      <c r="G8" s="699"/>
      <c r="H8" s="699"/>
      <c r="I8" s="699"/>
      <c r="J8" s="702"/>
      <c r="K8" s="13"/>
      <c r="L8" s="14"/>
      <c r="R8" s="680" t="s">
        <v>1889</v>
      </c>
    </row>
    <row r="9" spans="1:23" ht="15.75" customHeight="1">
      <c r="A9" s="711" t="s">
        <v>1118</v>
      </c>
      <c r="B9" s="711"/>
      <c r="C9" s="711"/>
      <c r="D9" s="703">
        <v>339613461</v>
      </c>
      <c r="E9" s="698"/>
      <c r="F9" s="698"/>
      <c r="G9" s="699"/>
      <c r="H9" s="699"/>
      <c r="I9" s="699"/>
      <c r="J9" s="699"/>
      <c r="K9" s="12"/>
      <c r="L9" s="14"/>
      <c r="R9" s="680" t="s">
        <v>2049</v>
      </c>
    </row>
    <row r="10" spans="1:23" ht="15.75" customHeight="1">
      <c r="A10" s="711" t="s">
        <v>1119</v>
      </c>
      <c r="B10" s="711"/>
      <c r="C10" s="711"/>
      <c r="D10" s="703" t="s">
        <v>2581</v>
      </c>
      <c r="E10" s="698"/>
      <c r="F10" s="698"/>
      <c r="G10" s="699"/>
      <c r="H10" s="699"/>
      <c r="I10" s="699"/>
      <c r="J10" s="699"/>
      <c r="K10" s="12"/>
      <c r="L10" s="14"/>
      <c r="R10" s="680" t="s">
        <v>2050</v>
      </c>
    </row>
    <row r="11" spans="1:23" s="549" customFormat="1" ht="15.75" customHeight="1">
      <c r="A11" s="548"/>
      <c r="B11" s="548"/>
      <c r="C11" s="548"/>
      <c r="D11" s="198"/>
      <c r="E11" s="11"/>
      <c r="F11" s="11"/>
      <c r="G11" s="12"/>
      <c r="H11" s="12"/>
      <c r="I11" s="12"/>
      <c r="J11" s="12"/>
      <c r="K11" s="12"/>
      <c r="L11" s="14"/>
      <c r="N11" s="680"/>
      <c r="O11" s="680"/>
      <c r="P11" s="680"/>
      <c r="Q11" s="680"/>
      <c r="R11" s="680" t="s">
        <v>1882</v>
      </c>
      <c r="S11" s="680"/>
      <c r="T11" s="680"/>
      <c r="U11" s="680"/>
      <c r="V11" s="680"/>
      <c r="W11" s="680"/>
    </row>
    <row r="12" spans="1:23" ht="15.75" customHeight="1">
      <c r="B12" s="9"/>
      <c r="C12" s="9"/>
      <c r="D12" s="713" t="str">
        <f ca="1">IF(L13,"Erreur !!! Tous les champs en rouge doivent être renseignés","")</f>
        <v>Erreur !!! Tous les champs en rouge doivent être renseignés</v>
      </c>
      <c r="E12" s="713"/>
      <c r="F12" s="713"/>
      <c r="G12" s="713"/>
      <c r="H12" s="713"/>
      <c r="I12" s="713"/>
      <c r="J12" s="713"/>
      <c r="K12" s="713"/>
      <c r="L12" s="15"/>
      <c r="M12" s="15"/>
      <c r="N12" s="15"/>
      <c r="O12" s="15"/>
      <c r="P12" s="15"/>
      <c r="R12" s="680" t="s">
        <v>1890</v>
      </c>
    </row>
    <row r="13" spans="1:23" ht="15.75" customHeight="1">
      <c r="A13" s="9"/>
      <c r="B13" s="9"/>
      <c r="C13" s="9"/>
      <c r="D13" s="713"/>
      <c r="E13" s="713"/>
      <c r="F13" s="713"/>
      <c r="G13" s="713"/>
      <c r="H13" s="713"/>
      <c r="I13" s="713"/>
      <c r="J13" s="713"/>
      <c r="K13" s="713"/>
      <c r="L13" s="197" t="b">
        <f ca="1">OR(ISBLANK(D2),ISBLANK(D3),ISBLANK(D4),ISBLANK(D8),ISBLANK(#REF!),ISBLANK(#REF!),ISBLANK(D9),ISBLANK(D10),ISBLANK(I2),ISBLANK(I3),ISBLANK(I4),ISBLANK(I5),ISBLANK(I6))</f>
        <v>1</v>
      </c>
      <c r="R13" s="680" t="s">
        <v>2047</v>
      </c>
    </row>
    <row r="14" spans="1:23">
      <c r="A14" s="16"/>
      <c r="B14" s="16"/>
      <c r="C14" s="712"/>
      <c r="D14" s="712"/>
      <c r="E14" s="17"/>
      <c r="F14" s="17"/>
      <c r="G14" s="17"/>
      <c r="H14" s="18"/>
      <c r="I14" s="18"/>
      <c r="J14" s="18"/>
      <c r="K14" s="18"/>
      <c r="R14" s="680" t="s">
        <v>2048</v>
      </c>
    </row>
    <row r="15" spans="1:23">
      <c r="A15" s="16"/>
      <c r="B15" s="16"/>
      <c r="C15" s="712"/>
      <c r="D15" s="712"/>
      <c r="E15" s="712"/>
      <c r="F15" s="17"/>
      <c r="G15" s="17"/>
      <c r="H15" s="18"/>
      <c r="I15" s="18"/>
      <c r="J15" s="18"/>
      <c r="K15" s="18"/>
    </row>
    <row r="16" spans="1:23">
      <c r="A16" s="16"/>
      <c r="B16" s="16"/>
      <c r="C16" s="710"/>
      <c r="D16" s="710"/>
      <c r="E16" s="710"/>
      <c r="F16" s="17"/>
      <c r="G16" s="17"/>
      <c r="H16" s="18"/>
      <c r="I16" s="18"/>
      <c r="J16" s="18"/>
      <c r="K16" s="18"/>
    </row>
    <row r="17" spans="1:23">
      <c r="A17" s="16"/>
      <c r="B17" s="16"/>
      <c r="C17" s="710"/>
      <c r="D17" s="710"/>
      <c r="E17" s="710"/>
      <c r="F17" s="710"/>
      <c r="G17" s="710"/>
      <c r="H17" s="710"/>
      <c r="I17" s="18"/>
      <c r="J17" s="18"/>
      <c r="K17" s="18"/>
    </row>
    <row r="18" spans="1:23" s="564" customFormat="1">
      <c r="A18" s="16"/>
      <c r="B18" s="16"/>
      <c r="I18" s="18"/>
      <c r="J18" s="18"/>
      <c r="K18" s="18"/>
      <c r="N18" s="680"/>
      <c r="O18" s="680"/>
      <c r="P18" s="680"/>
      <c r="Q18" s="680"/>
      <c r="R18" s="680"/>
      <c r="S18" s="680"/>
      <c r="T18" s="680"/>
      <c r="U18" s="680"/>
      <c r="V18" s="680"/>
      <c r="W18" s="680"/>
    </row>
    <row r="19" spans="1:23" s="564" customFormat="1">
      <c r="A19" s="16"/>
      <c r="B19" s="16"/>
      <c r="I19" s="18"/>
      <c r="J19" s="18"/>
      <c r="K19" s="18"/>
      <c r="N19" s="680"/>
      <c r="O19" s="680"/>
      <c r="P19" s="680"/>
      <c r="Q19" s="680"/>
      <c r="R19" s="680"/>
      <c r="S19" s="680"/>
      <c r="T19" s="680"/>
      <c r="U19" s="680"/>
      <c r="V19" s="680"/>
      <c r="W19" s="680"/>
    </row>
    <row r="20" spans="1:23" s="564" customFormat="1">
      <c r="A20" s="16"/>
      <c r="B20" s="16"/>
      <c r="I20" s="18"/>
      <c r="J20" s="18"/>
      <c r="K20" s="18"/>
      <c r="N20" s="680"/>
      <c r="O20" s="680"/>
      <c r="P20" s="680"/>
      <c r="Q20" s="680"/>
      <c r="R20" s="680"/>
      <c r="S20" s="680"/>
      <c r="T20" s="680"/>
      <c r="U20" s="680"/>
      <c r="V20" s="680"/>
      <c r="W20" s="680"/>
    </row>
    <row r="21" spans="1:23" s="564" customFormat="1">
      <c r="A21" s="16"/>
      <c r="B21" s="16"/>
      <c r="I21" s="18"/>
      <c r="J21" s="18"/>
      <c r="K21" s="18"/>
      <c r="N21" s="680"/>
      <c r="O21" s="680"/>
      <c r="P21" s="680"/>
      <c r="Q21" s="680"/>
      <c r="R21" s="680"/>
      <c r="S21" s="680"/>
      <c r="T21" s="680"/>
      <c r="U21" s="680"/>
      <c r="V21" s="680"/>
      <c r="W21" s="680"/>
    </row>
  </sheetData>
  <sheetProtection password="D15A" sheet="1" objects="1" scenarios="1" selectLockedCells="1"/>
  <scenarios current="0" show="0">
    <scenario name="Num Agréement choisi" locked="1" count="2" user="lamine" comment="Créé par lamine le 10/07/2011">
      <inputCells r="D5" val=""/>
      <inputCells r="D6" val="CMS"/>
    </scenario>
  </scenarios>
  <customSheetViews>
    <customSheetView guid="{2ECB5001-E624-4860-8EDC-E7BEEAA78E29}">
      <selection activeCell="A6" sqref="A6:C6"/>
    </customSheetView>
  </customSheetViews>
  <mergeCells count="16">
    <mergeCell ref="A1:F1"/>
    <mergeCell ref="A2:C2"/>
    <mergeCell ref="A3:C3"/>
    <mergeCell ref="C15:E15"/>
    <mergeCell ref="C16:E16"/>
    <mergeCell ref="A4:C4"/>
    <mergeCell ref="A5:C5"/>
    <mergeCell ref="A6:C6"/>
    <mergeCell ref="A7:C7"/>
    <mergeCell ref="A8:C8"/>
    <mergeCell ref="C17:E17"/>
    <mergeCell ref="A9:C9"/>
    <mergeCell ref="A10:C10"/>
    <mergeCell ref="C14:D14"/>
    <mergeCell ref="D12:K13"/>
    <mergeCell ref="F17:H17"/>
  </mergeCells>
  <conditionalFormatting sqref="D12">
    <cfRule type="containsText" dxfId="66" priority="19" operator="containsText" text="Erreur">
      <formula>NOT(ISERROR(SEARCH("Erreur",D12)))</formula>
    </cfRule>
  </conditionalFormatting>
  <conditionalFormatting sqref="D12 L12:P12">
    <cfRule type="containsText" dxfId="65" priority="18" operator="containsText" text="correct">
      <formula>NOT(ISERROR(SEARCH("correct",D12)))</formula>
    </cfRule>
  </conditionalFormatting>
  <conditionalFormatting sqref="D2:D4 I2:I6 D9:D10">
    <cfRule type="containsBlanks" dxfId="64" priority="20">
      <formula>LEN(TRIM(D2))=0</formula>
    </cfRule>
  </conditionalFormatting>
  <conditionalFormatting sqref="D12:K13">
    <cfRule type="containsText" dxfId="63" priority="14" operator="containsText" text="ERREUR">
      <formula>NOT(ISERROR(SEARCH("ERREUR",D12)))</formula>
    </cfRule>
  </conditionalFormatting>
  <conditionalFormatting sqref="I3">
    <cfRule type="expression" dxfId="62" priority="1">
      <formula>AND($I$3="P11-Novembre",I2="Trimestrielle")</formula>
    </cfRule>
    <cfRule type="expression" dxfId="61" priority="2">
      <formula>AND($I$3="P10-Octobre",I2="Trimestrielle")</formula>
    </cfRule>
    <cfRule type="expression" dxfId="60" priority="3">
      <formula>AND($I$3="P8-Août",I2="Trimestrielle")</formula>
    </cfRule>
    <cfRule type="expression" dxfId="59" priority="4">
      <formula>AND($I$3="P7-Juillet",I2="Trimestrielle")</formula>
    </cfRule>
    <cfRule type="expression" dxfId="58" priority="5">
      <formula>AND($I$3="P5-Mai",I2="Trimestrielle")</formula>
    </cfRule>
    <cfRule type="expression" dxfId="57" priority="6">
      <formula>AND($I$3="P4-Avril",I2="Trimestrielle")</formula>
    </cfRule>
    <cfRule type="expression" dxfId="56" priority="7">
      <formula>AND($I$3="P2-Fevrier",I2="Trimestrielle")</formula>
    </cfRule>
    <cfRule type="expression" dxfId="55" priority="8">
      <formula>AND($I$3="P1-Janvier",I2="Trimestrielle")</formula>
    </cfRule>
    <cfRule type="expression" dxfId="54" priority="9">
      <formula>I2="Annuelle"</formula>
    </cfRule>
  </conditionalFormatting>
  <dataValidations count="4">
    <dataValidation type="list" allowBlank="1" showInputMessage="1" showErrorMessage="1" sqref="N5">
      <formula1>#REF!</formula1>
    </dataValidation>
    <dataValidation type="list" allowBlank="1" showInputMessage="1" showErrorMessage="1" sqref="D4">
      <formula1>listeAgr</formula1>
    </dataValidation>
    <dataValidation type="list" allowBlank="1" showInputMessage="1" showErrorMessage="1" sqref="I2">
      <formula1>periode1</formula1>
    </dataValidation>
    <dataValidation type="list" showErrorMessage="1" promptTitle="Valeur Période Incorrecte" prompt="La période n'a pas été saisie ou sa valeur est incorrecte." sqref="I3">
      <formula1>MNT</formula1>
    </dataValidation>
  </dataValidations>
  <pageMargins left="0.7" right="0.7" top="0.75" bottom="0.75" header="0.3" footer="0.3"/>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enableFormatConditionsCalculation="0"/>
  <dimension ref="A1:G274"/>
  <sheetViews>
    <sheetView showGridLines="0"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9.1640625" defaultRowHeight="13" x14ac:dyDescent="0"/>
  <cols>
    <col min="1" max="1" width="18" style="705" bestFit="1" customWidth="1"/>
    <col min="2" max="2" width="42.83203125" style="705" customWidth="1"/>
    <col min="3" max="3" width="50.83203125" style="705" bestFit="1" customWidth="1"/>
    <col min="4" max="4" width="9.1640625" style="705"/>
    <col min="5" max="5" width="15.33203125" style="705" bestFit="1" customWidth="1"/>
    <col min="6" max="16384" width="9.1640625" style="705"/>
  </cols>
  <sheetData>
    <row r="1" spans="1:7">
      <c r="A1" s="705" t="s">
        <v>1976</v>
      </c>
      <c r="B1" s="705" t="s">
        <v>1977</v>
      </c>
      <c r="C1" s="705" t="s">
        <v>1978</v>
      </c>
      <c r="D1" s="705" t="s">
        <v>1979</v>
      </c>
      <c r="E1" s="705" t="s">
        <v>1980</v>
      </c>
      <c r="F1" s="705" t="s">
        <v>1981</v>
      </c>
      <c r="G1" s="705" t="s">
        <v>1982</v>
      </c>
    </row>
    <row r="2" spans="1:7">
      <c r="A2" s="705" t="s">
        <v>2053</v>
      </c>
      <c r="B2" s="705" t="s">
        <v>2054</v>
      </c>
      <c r="C2" s="705" t="s">
        <v>2055</v>
      </c>
      <c r="D2" s="705" t="s">
        <v>1985</v>
      </c>
      <c r="E2" s="705" t="s">
        <v>1176</v>
      </c>
      <c r="F2" s="705" t="s">
        <v>1122</v>
      </c>
      <c r="G2" s="705" t="s">
        <v>1122</v>
      </c>
    </row>
    <row r="3" spans="1:7">
      <c r="A3" s="705" t="s">
        <v>1830</v>
      </c>
      <c r="B3" s="705" t="s">
        <v>2056</v>
      </c>
      <c r="C3" s="705" t="s">
        <v>1997</v>
      </c>
      <c r="D3" s="705" t="s">
        <v>1985</v>
      </c>
      <c r="E3" s="705" t="s">
        <v>1129</v>
      </c>
      <c r="F3" s="705" t="s">
        <v>1282</v>
      </c>
      <c r="G3" s="705" t="s">
        <v>1282</v>
      </c>
    </row>
    <row r="4" spans="1:7">
      <c r="A4" s="705" t="s">
        <v>1831</v>
      </c>
      <c r="B4" s="705" t="s">
        <v>2057</v>
      </c>
      <c r="C4" s="705" t="s">
        <v>1998</v>
      </c>
      <c r="D4" s="705" t="s">
        <v>1985</v>
      </c>
      <c r="E4" s="705" t="s">
        <v>1129</v>
      </c>
      <c r="F4" s="705" t="s">
        <v>1282</v>
      </c>
      <c r="G4" s="705" t="s">
        <v>1282</v>
      </c>
    </row>
    <row r="5" spans="1:7">
      <c r="A5" s="705" t="s">
        <v>1832</v>
      </c>
      <c r="B5" s="705" t="s">
        <v>2058</v>
      </c>
      <c r="C5" s="705" t="s">
        <v>2059</v>
      </c>
      <c r="D5" s="705" t="s">
        <v>1985</v>
      </c>
      <c r="E5" s="705" t="s">
        <v>1129</v>
      </c>
      <c r="F5" s="705" t="s">
        <v>1282</v>
      </c>
      <c r="G5" s="705" t="s">
        <v>1282</v>
      </c>
    </row>
    <row r="6" spans="1:7">
      <c r="A6" s="705" t="s">
        <v>1833</v>
      </c>
      <c r="B6" s="705" t="s">
        <v>2060</v>
      </c>
      <c r="C6" s="705" t="s">
        <v>1999</v>
      </c>
      <c r="D6" s="705" t="s">
        <v>1985</v>
      </c>
      <c r="E6" s="705" t="s">
        <v>1129</v>
      </c>
      <c r="F6" s="705" t="s">
        <v>1282</v>
      </c>
      <c r="G6" s="705" t="s">
        <v>1282</v>
      </c>
    </row>
    <row r="7" spans="1:7">
      <c r="A7" s="705" t="s">
        <v>1834</v>
      </c>
      <c r="B7" s="705" t="s">
        <v>2061</v>
      </c>
      <c r="C7" s="705" t="s">
        <v>2000</v>
      </c>
      <c r="D7" s="705" t="s">
        <v>1985</v>
      </c>
      <c r="E7" s="705" t="s">
        <v>1129</v>
      </c>
      <c r="F7" s="705" t="s">
        <v>1282</v>
      </c>
      <c r="G7" s="705" t="s">
        <v>2001</v>
      </c>
    </row>
    <row r="8" spans="1:7">
      <c r="A8" s="705" t="s">
        <v>1835</v>
      </c>
      <c r="B8" s="705" t="s">
        <v>2062</v>
      </c>
      <c r="C8" s="705" t="s">
        <v>2002</v>
      </c>
      <c r="D8" s="705" t="s">
        <v>1985</v>
      </c>
      <c r="E8" s="705" t="s">
        <v>1129</v>
      </c>
      <c r="F8" s="705" t="s">
        <v>1282</v>
      </c>
      <c r="G8" s="705" t="s">
        <v>2001</v>
      </c>
    </row>
    <row r="9" spans="1:7">
      <c r="A9" s="705" t="s">
        <v>1836</v>
      </c>
      <c r="B9" s="705" t="s">
        <v>2063</v>
      </c>
      <c r="C9" s="705" t="s">
        <v>2003</v>
      </c>
      <c r="D9" s="705" t="s">
        <v>1985</v>
      </c>
      <c r="E9" s="705" t="s">
        <v>1129</v>
      </c>
      <c r="F9" s="705" t="s">
        <v>1282</v>
      </c>
      <c r="G9" s="705" t="s">
        <v>2001</v>
      </c>
    </row>
    <row r="10" spans="1:7">
      <c r="A10" s="705" t="s">
        <v>1821</v>
      </c>
      <c r="B10" s="705" t="s">
        <v>2064</v>
      </c>
      <c r="C10" s="705" t="s">
        <v>2065</v>
      </c>
      <c r="D10" s="705" t="s">
        <v>1985</v>
      </c>
      <c r="E10" s="705" t="s">
        <v>1129</v>
      </c>
      <c r="F10" s="705" t="s">
        <v>1258</v>
      </c>
      <c r="G10" s="705" t="s">
        <v>1991</v>
      </c>
    </row>
    <row r="11" spans="1:7">
      <c r="A11" s="705" t="s">
        <v>1822</v>
      </c>
      <c r="B11" s="705" t="s">
        <v>2066</v>
      </c>
      <c r="C11" s="705" t="s">
        <v>1992</v>
      </c>
      <c r="D11" s="705" t="s">
        <v>1985</v>
      </c>
      <c r="E11" s="705" t="s">
        <v>1129</v>
      </c>
      <c r="F11" s="705" t="s">
        <v>1258</v>
      </c>
      <c r="G11" s="705" t="s">
        <v>1991</v>
      </c>
    </row>
    <row r="12" spans="1:7">
      <c r="A12" s="705" t="s">
        <v>1823</v>
      </c>
      <c r="B12" s="705" t="s">
        <v>2067</v>
      </c>
      <c r="C12" s="705" t="s">
        <v>1993</v>
      </c>
      <c r="D12" s="705" t="s">
        <v>1985</v>
      </c>
      <c r="E12" s="705" t="s">
        <v>1129</v>
      </c>
      <c r="F12" s="705" t="s">
        <v>1258</v>
      </c>
      <c r="G12" s="705" t="s">
        <v>1991</v>
      </c>
    </row>
    <row r="13" spans="1:7">
      <c r="A13" s="705" t="s">
        <v>2068</v>
      </c>
      <c r="B13" s="705" t="s">
        <v>2069</v>
      </c>
      <c r="C13" s="705" t="s">
        <v>2070</v>
      </c>
      <c r="D13" s="705" t="s">
        <v>1985</v>
      </c>
      <c r="E13" s="705" t="s">
        <v>1129</v>
      </c>
      <c r="F13" s="705" t="s">
        <v>1995</v>
      </c>
      <c r="G13" s="705" t="s">
        <v>1995</v>
      </c>
    </row>
    <row r="14" spans="1:7">
      <c r="A14" s="705" t="s">
        <v>1845</v>
      </c>
      <c r="B14" s="705" t="s">
        <v>2071</v>
      </c>
      <c r="C14" s="705" t="s">
        <v>2072</v>
      </c>
      <c r="D14" s="705" t="s">
        <v>1985</v>
      </c>
      <c r="E14" s="705" t="s">
        <v>1129</v>
      </c>
      <c r="F14" s="705" t="s">
        <v>1390</v>
      </c>
      <c r="G14" s="705" t="s">
        <v>1390</v>
      </c>
    </row>
    <row r="15" spans="1:7">
      <c r="A15" s="705" t="s">
        <v>1846</v>
      </c>
      <c r="B15" s="705" t="s">
        <v>2073</v>
      </c>
      <c r="C15" s="705" t="s">
        <v>2074</v>
      </c>
      <c r="D15" s="705" t="s">
        <v>1985</v>
      </c>
      <c r="E15" s="705" t="s">
        <v>1129</v>
      </c>
      <c r="F15" s="705" t="s">
        <v>1390</v>
      </c>
      <c r="G15" s="705" t="s">
        <v>1996</v>
      </c>
    </row>
    <row r="16" spans="1:7">
      <c r="A16" s="705" t="s">
        <v>1847</v>
      </c>
      <c r="B16" s="705" t="s">
        <v>2075</v>
      </c>
      <c r="C16" s="705" t="s">
        <v>2015</v>
      </c>
      <c r="D16" s="705" t="s">
        <v>1985</v>
      </c>
      <c r="E16" s="705" t="s">
        <v>1129</v>
      </c>
      <c r="F16" s="705" t="s">
        <v>1390</v>
      </c>
      <c r="G16" s="705" t="s">
        <v>2016</v>
      </c>
    </row>
    <row r="17" spans="1:7">
      <c r="A17" s="705" t="s">
        <v>1826</v>
      </c>
      <c r="B17" s="705" t="s">
        <v>2076</v>
      </c>
      <c r="C17" s="705" t="s">
        <v>2004</v>
      </c>
      <c r="D17" s="705" t="s">
        <v>1985</v>
      </c>
      <c r="E17" s="705" t="s">
        <v>1129</v>
      </c>
      <c r="F17" s="705" t="s">
        <v>1283</v>
      </c>
      <c r="G17" s="705" t="s">
        <v>2005</v>
      </c>
    </row>
    <row r="18" spans="1:7">
      <c r="A18" s="705" t="s">
        <v>1848</v>
      </c>
      <c r="B18" s="705" t="s">
        <v>2077</v>
      </c>
      <c r="C18" s="705" t="s">
        <v>2017</v>
      </c>
      <c r="D18" s="705" t="s">
        <v>1985</v>
      </c>
      <c r="E18" s="705" t="s">
        <v>1129</v>
      </c>
      <c r="F18" s="705" t="s">
        <v>1390</v>
      </c>
      <c r="G18" s="705" t="s">
        <v>1390</v>
      </c>
    </row>
    <row r="19" spans="1:7">
      <c r="A19" s="705" t="s">
        <v>1827</v>
      </c>
      <c r="B19" s="705" t="s">
        <v>2078</v>
      </c>
      <c r="C19" s="705" t="s">
        <v>2006</v>
      </c>
      <c r="D19" s="705" t="s">
        <v>1985</v>
      </c>
      <c r="E19" s="705" t="s">
        <v>1129</v>
      </c>
      <c r="F19" s="705" t="s">
        <v>1283</v>
      </c>
      <c r="G19" s="705" t="s">
        <v>2005</v>
      </c>
    </row>
    <row r="20" spans="1:7">
      <c r="A20" s="705" t="s">
        <v>1824</v>
      </c>
      <c r="B20" s="705" t="s">
        <v>2079</v>
      </c>
      <c r="C20" s="705" t="s">
        <v>2007</v>
      </c>
      <c r="D20" s="705" t="s">
        <v>1985</v>
      </c>
      <c r="E20" s="705" t="s">
        <v>1129</v>
      </c>
      <c r="F20" s="705" t="s">
        <v>1283</v>
      </c>
      <c r="G20" s="705" t="s">
        <v>1283</v>
      </c>
    </row>
    <row r="21" spans="1:7">
      <c r="A21" s="705" t="s">
        <v>1855</v>
      </c>
      <c r="B21" s="705" t="s">
        <v>2080</v>
      </c>
      <c r="C21" s="705" t="s">
        <v>2081</v>
      </c>
      <c r="D21" s="705" t="s">
        <v>1985</v>
      </c>
      <c r="E21" s="705" t="s">
        <v>1129</v>
      </c>
      <c r="F21" s="705" t="s">
        <v>1341</v>
      </c>
      <c r="G21" s="705" t="s">
        <v>1341</v>
      </c>
    </row>
    <row r="22" spans="1:7">
      <c r="A22" s="705" t="s">
        <v>1842</v>
      </c>
      <c r="B22" s="705" t="s">
        <v>1366</v>
      </c>
      <c r="C22" s="705" t="s">
        <v>2082</v>
      </c>
      <c r="D22" s="705" t="s">
        <v>1985</v>
      </c>
      <c r="E22" s="705" t="s">
        <v>1215</v>
      </c>
      <c r="F22" s="705" t="s">
        <v>1356</v>
      </c>
      <c r="G22" s="705" t="s">
        <v>1356</v>
      </c>
    </row>
    <row r="23" spans="1:7">
      <c r="A23" s="705" t="s">
        <v>1851</v>
      </c>
      <c r="B23" s="705" t="s">
        <v>2083</v>
      </c>
      <c r="C23" s="705" t="s">
        <v>2084</v>
      </c>
      <c r="D23" s="705" t="s">
        <v>1985</v>
      </c>
      <c r="E23" s="705" t="s">
        <v>1129</v>
      </c>
      <c r="F23" s="705" t="s">
        <v>1341</v>
      </c>
      <c r="G23" s="705" t="s">
        <v>2020</v>
      </c>
    </row>
    <row r="24" spans="1:7">
      <c r="A24" s="705" t="s">
        <v>1852</v>
      </c>
      <c r="B24" s="705" t="s">
        <v>2085</v>
      </c>
      <c r="C24" s="705" t="s">
        <v>2084</v>
      </c>
      <c r="D24" s="705" t="s">
        <v>1985</v>
      </c>
      <c r="E24" s="705" t="s">
        <v>1129</v>
      </c>
      <c r="F24" s="705" t="s">
        <v>1341</v>
      </c>
      <c r="G24" s="705" t="s">
        <v>2020</v>
      </c>
    </row>
    <row r="25" spans="1:7">
      <c r="A25" s="705" t="s">
        <v>1856</v>
      </c>
      <c r="B25" s="705" t="s">
        <v>2086</v>
      </c>
      <c r="C25" s="705" t="s">
        <v>2084</v>
      </c>
      <c r="D25" s="705" t="s">
        <v>1985</v>
      </c>
      <c r="E25" s="705" t="s">
        <v>1129</v>
      </c>
      <c r="F25" s="705" t="s">
        <v>1341</v>
      </c>
      <c r="G25" s="705" t="s">
        <v>1341</v>
      </c>
    </row>
    <row r="26" spans="1:7">
      <c r="A26" s="705" t="s">
        <v>1863</v>
      </c>
      <c r="B26" s="705" t="s">
        <v>2087</v>
      </c>
      <c r="C26" s="705" t="s">
        <v>2084</v>
      </c>
      <c r="D26" s="705" t="s">
        <v>1985</v>
      </c>
      <c r="E26" s="705" t="s">
        <v>1129</v>
      </c>
      <c r="F26" s="705" t="s">
        <v>1341</v>
      </c>
      <c r="G26" s="705" t="s">
        <v>1446</v>
      </c>
    </row>
    <row r="27" spans="1:7">
      <c r="A27" s="705" t="s">
        <v>1825</v>
      </c>
      <c r="B27" s="705" t="s">
        <v>2088</v>
      </c>
      <c r="C27" s="705" t="s">
        <v>2084</v>
      </c>
      <c r="D27" s="705" t="s">
        <v>1985</v>
      </c>
      <c r="E27" s="705" t="s">
        <v>1129</v>
      </c>
      <c r="F27" s="705" t="s">
        <v>1283</v>
      </c>
      <c r="G27" s="705" t="s">
        <v>1283</v>
      </c>
    </row>
    <row r="28" spans="1:7">
      <c r="A28" s="705" t="s">
        <v>1818</v>
      </c>
      <c r="B28" s="705" t="s">
        <v>2089</v>
      </c>
      <c r="C28" s="705" t="s">
        <v>2084</v>
      </c>
      <c r="D28" s="705" t="s">
        <v>1985</v>
      </c>
      <c r="E28" s="705" t="s">
        <v>1129</v>
      </c>
      <c r="F28" s="705" t="s">
        <v>1242</v>
      </c>
      <c r="G28" s="705" t="s">
        <v>1242</v>
      </c>
    </row>
    <row r="29" spans="1:7">
      <c r="A29" s="705" t="s">
        <v>1820</v>
      </c>
      <c r="B29" s="705" t="s">
        <v>2090</v>
      </c>
      <c r="C29" s="705" t="s">
        <v>2091</v>
      </c>
      <c r="D29" s="705" t="s">
        <v>1985</v>
      </c>
      <c r="E29" s="705" t="s">
        <v>1129</v>
      </c>
      <c r="F29" s="705" t="s">
        <v>1258</v>
      </c>
      <c r="G29" s="705" t="s">
        <v>1991</v>
      </c>
    </row>
    <row r="30" spans="1:7">
      <c r="A30" s="705" t="s">
        <v>1849</v>
      </c>
      <c r="B30" s="705" t="s">
        <v>2092</v>
      </c>
      <c r="C30" s="705" t="s">
        <v>2084</v>
      </c>
      <c r="D30" s="705" t="s">
        <v>1985</v>
      </c>
      <c r="E30" s="705" t="s">
        <v>1129</v>
      </c>
      <c r="F30" s="705" t="s">
        <v>1390</v>
      </c>
      <c r="G30" s="705" t="s">
        <v>1390</v>
      </c>
    </row>
    <row r="31" spans="1:7">
      <c r="A31" s="705" t="s">
        <v>1805</v>
      </c>
      <c r="B31" s="705" t="s">
        <v>2093</v>
      </c>
      <c r="C31" s="705" t="s">
        <v>2094</v>
      </c>
      <c r="D31" s="705" t="s">
        <v>1985</v>
      </c>
      <c r="E31" s="705" t="s">
        <v>2023</v>
      </c>
      <c r="F31" s="705" t="s">
        <v>1122</v>
      </c>
      <c r="G31" s="705" t="s">
        <v>1122</v>
      </c>
    </row>
    <row r="32" spans="1:7">
      <c r="A32" s="705" t="s">
        <v>1806</v>
      </c>
      <c r="B32" s="705" t="s">
        <v>2095</v>
      </c>
      <c r="C32" s="705" t="s">
        <v>2096</v>
      </c>
      <c r="D32" s="705" t="s">
        <v>1985</v>
      </c>
      <c r="E32" s="705" t="s">
        <v>2023</v>
      </c>
      <c r="F32" s="705" t="s">
        <v>1122</v>
      </c>
      <c r="G32" s="705" t="s">
        <v>1122</v>
      </c>
    </row>
    <row r="33" spans="1:7">
      <c r="A33" s="705" t="s">
        <v>1183</v>
      </c>
      <c r="B33" s="705" t="s">
        <v>1184</v>
      </c>
      <c r="C33" s="705" t="s">
        <v>2097</v>
      </c>
      <c r="D33" s="705" t="s">
        <v>1985</v>
      </c>
      <c r="E33" s="705" t="s">
        <v>2023</v>
      </c>
      <c r="F33" s="705" t="s">
        <v>1122</v>
      </c>
      <c r="G33" s="705" t="s">
        <v>1122</v>
      </c>
    </row>
    <row r="34" spans="1:7">
      <c r="A34" s="705" t="s">
        <v>1185</v>
      </c>
      <c r="B34" s="705" t="s">
        <v>2098</v>
      </c>
      <c r="C34" s="705" t="s">
        <v>2099</v>
      </c>
      <c r="D34" s="705" t="s">
        <v>1985</v>
      </c>
      <c r="E34" s="705" t="s">
        <v>2023</v>
      </c>
      <c r="F34" s="705" t="s">
        <v>1122</v>
      </c>
      <c r="G34" s="705" t="s">
        <v>1122</v>
      </c>
    </row>
    <row r="35" spans="1:7">
      <c r="A35" s="705" t="s">
        <v>1186</v>
      </c>
      <c r="B35" s="705" t="s">
        <v>1187</v>
      </c>
      <c r="C35" s="705" t="s">
        <v>2100</v>
      </c>
      <c r="D35" s="705" t="s">
        <v>1985</v>
      </c>
      <c r="E35" s="705" t="s">
        <v>2023</v>
      </c>
      <c r="F35" s="705" t="s">
        <v>1122</v>
      </c>
      <c r="G35" s="705" t="s">
        <v>1122</v>
      </c>
    </row>
    <row r="36" spans="1:7">
      <c r="A36" s="705" t="s">
        <v>2101</v>
      </c>
      <c r="B36" s="705" t="s">
        <v>1232</v>
      </c>
      <c r="C36" s="705" t="s">
        <v>2102</v>
      </c>
      <c r="D36" s="705" t="s">
        <v>1985</v>
      </c>
      <c r="E36" s="705" t="s">
        <v>2023</v>
      </c>
      <c r="F36" s="705" t="s">
        <v>1122</v>
      </c>
      <c r="G36" s="705" t="s">
        <v>1986</v>
      </c>
    </row>
    <row r="37" spans="1:7">
      <c r="A37" s="705" t="s">
        <v>1230</v>
      </c>
      <c r="B37" s="705" t="s">
        <v>1231</v>
      </c>
      <c r="C37" s="705" t="s">
        <v>1815</v>
      </c>
      <c r="D37" s="705" t="s">
        <v>1985</v>
      </c>
      <c r="E37" s="705" t="s">
        <v>2023</v>
      </c>
      <c r="F37" s="705" t="s">
        <v>1122</v>
      </c>
      <c r="G37" s="705" t="s">
        <v>1986</v>
      </c>
    </row>
    <row r="38" spans="1:7">
      <c r="A38" s="705" t="s">
        <v>1320</v>
      </c>
      <c r="B38" s="705" t="s">
        <v>1321</v>
      </c>
      <c r="C38" s="705" t="s">
        <v>1838</v>
      </c>
      <c r="D38" s="705" t="s">
        <v>1985</v>
      </c>
      <c r="E38" s="705" t="s">
        <v>1251</v>
      </c>
      <c r="F38" s="705" t="s">
        <v>1165</v>
      </c>
      <c r="G38" s="705" t="s">
        <v>1165</v>
      </c>
    </row>
    <row r="39" spans="1:7">
      <c r="A39" s="705" t="s">
        <v>1188</v>
      </c>
      <c r="B39" s="705" t="s">
        <v>1189</v>
      </c>
      <c r="C39" s="705" t="s">
        <v>2103</v>
      </c>
      <c r="D39" s="705" t="s">
        <v>1985</v>
      </c>
      <c r="E39" s="705" t="s">
        <v>2023</v>
      </c>
      <c r="F39" s="705" t="s">
        <v>1122</v>
      </c>
      <c r="G39" s="705" t="s">
        <v>1122</v>
      </c>
    </row>
    <row r="40" spans="1:7">
      <c r="A40" s="705" t="s">
        <v>1190</v>
      </c>
      <c r="B40" s="705" t="s">
        <v>2104</v>
      </c>
      <c r="C40" s="705" t="s">
        <v>1191</v>
      </c>
      <c r="D40" s="705" t="s">
        <v>2029</v>
      </c>
      <c r="F40" s="705" t="s">
        <v>1122</v>
      </c>
      <c r="G40" s="705" t="s">
        <v>1122</v>
      </c>
    </row>
    <row r="41" spans="1:7">
      <c r="A41" s="705" t="s">
        <v>1444</v>
      </c>
      <c r="B41" s="705" t="s">
        <v>2105</v>
      </c>
      <c r="C41" s="705" t="s">
        <v>2106</v>
      </c>
      <c r="D41" s="705" t="s">
        <v>1985</v>
      </c>
      <c r="E41" s="705" t="s">
        <v>1129</v>
      </c>
      <c r="F41" s="705" t="s">
        <v>1341</v>
      </c>
      <c r="G41" s="705" t="s">
        <v>1341</v>
      </c>
    </row>
    <row r="42" spans="1:7">
      <c r="A42" s="705" t="s">
        <v>1256</v>
      </c>
      <c r="B42" s="705" t="s">
        <v>2107</v>
      </c>
      <c r="C42" s="705" t="s">
        <v>2108</v>
      </c>
      <c r="D42" s="705" t="s">
        <v>1985</v>
      </c>
      <c r="E42" s="705" t="s">
        <v>1129</v>
      </c>
      <c r="F42" s="705" t="s">
        <v>1242</v>
      </c>
      <c r="G42" s="705" t="s">
        <v>1989</v>
      </c>
    </row>
    <row r="43" spans="1:7">
      <c r="A43" s="705" t="s">
        <v>1281</v>
      </c>
      <c r="B43" s="705" t="s">
        <v>2109</v>
      </c>
      <c r="C43" s="705" t="s">
        <v>2110</v>
      </c>
      <c r="D43" s="705" t="s">
        <v>1985</v>
      </c>
      <c r="E43" s="705" t="s">
        <v>1129</v>
      </c>
      <c r="F43" s="705" t="s">
        <v>1258</v>
      </c>
      <c r="G43" s="705" t="s">
        <v>1994</v>
      </c>
    </row>
    <row r="44" spans="1:7">
      <c r="A44" s="705" t="s">
        <v>1269</v>
      </c>
      <c r="B44" s="705" t="s">
        <v>2111</v>
      </c>
      <c r="C44" s="705" t="s">
        <v>2112</v>
      </c>
      <c r="D44" s="705" t="s">
        <v>1985</v>
      </c>
      <c r="E44" s="705" t="s">
        <v>1129</v>
      </c>
      <c r="F44" s="705" t="s">
        <v>1258</v>
      </c>
      <c r="G44" s="705" t="s">
        <v>1258</v>
      </c>
    </row>
    <row r="45" spans="1:7">
      <c r="A45" s="705" t="s">
        <v>1482</v>
      </c>
      <c r="B45" s="705" t="s">
        <v>2113</v>
      </c>
      <c r="C45" s="705" t="s">
        <v>2114</v>
      </c>
      <c r="D45" s="705" t="s">
        <v>1985</v>
      </c>
      <c r="E45" s="705" t="s">
        <v>1129</v>
      </c>
      <c r="F45" s="705" t="s">
        <v>1461</v>
      </c>
      <c r="G45" s="705" t="s">
        <v>1461</v>
      </c>
    </row>
    <row r="46" spans="1:7">
      <c r="A46" s="705" t="s">
        <v>1471</v>
      </c>
      <c r="B46" s="705" t="s">
        <v>2115</v>
      </c>
      <c r="C46" s="705" t="s">
        <v>2116</v>
      </c>
      <c r="D46" s="705" t="s">
        <v>1985</v>
      </c>
      <c r="E46" s="705" t="s">
        <v>1129</v>
      </c>
      <c r="F46" s="705" t="s">
        <v>1461</v>
      </c>
      <c r="G46" s="705" t="s">
        <v>2021</v>
      </c>
    </row>
    <row r="47" spans="1:7">
      <c r="A47" s="705" t="s">
        <v>1477</v>
      </c>
      <c r="B47" s="705" t="s">
        <v>2117</v>
      </c>
      <c r="C47" s="705" t="s">
        <v>2118</v>
      </c>
      <c r="D47" s="705" t="s">
        <v>1985</v>
      </c>
      <c r="E47" s="705" t="s">
        <v>1129</v>
      </c>
      <c r="F47" s="705" t="s">
        <v>1461</v>
      </c>
      <c r="G47" s="705" t="s">
        <v>2021</v>
      </c>
    </row>
    <row r="48" spans="1:7">
      <c r="A48" s="705" t="s">
        <v>1875</v>
      </c>
      <c r="B48" s="705" t="s">
        <v>2119</v>
      </c>
      <c r="C48" s="705" t="s">
        <v>2120</v>
      </c>
      <c r="D48" s="705" t="s">
        <v>1985</v>
      </c>
      <c r="E48" s="705" t="s">
        <v>1129</v>
      </c>
      <c r="F48" s="705" t="s">
        <v>1461</v>
      </c>
      <c r="G48" s="705" t="s">
        <v>2022</v>
      </c>
    </row>
    <row r="49" spans="1:7">
      <c r="A49" s="705" t="s">
        <v>1276</v>
      </c>
      <c r="B49" s="705" t="s">
        <v>2121</v>
      </c>
      <c r="C49" s="705" t="s">
        <v>2122</v>
      </c>
      <c r="D49" s="705" t="s">
        <v>1985</v>
      </c>
      <c r="E49" s="705" t="s">
        <v>1129</v>
      </c>
      <c r="F49" s="705" t="s">
        <v>1258</v>
      </c>
      <c r="G49" s="705" t="s">
        <v>1991</v>
      </c>
    </row>
    <row r="50" spans="1:7">
      <c r="A50" s="705" t="s">
        <v>1245</v>
      </c>
      <c r="B50" s="705" t="s">
        <v>2123</v>
      </c>
      <c r="C50" s="705" t="s">
        <v>2124</v>
      </c>
      <c r="D50" s="705" t="s">
        <v>1985</v>
      </c>
      <c r="E50" s="705" t="s">
        <v>1129</v>
      </c>
      <c r="F50" s="705" t="s">
        <v>1242</v>
      </c>
      <c r="G50" s="705" t="s">
        <v>1990</v>
      </c>
    </row>
    <row r="51" spans="1:7">
      <c r="A51" s="705" t="s">
        <v>1233</v>
      </c>
      <c r="B51" s="705" t="s">
        <v>2125</v>
      </c>
      <c r="C51" s="705" t="s">
        <v>2126</v>
      </c>
      <c r="D51" s="705" t="s">
        <v>1985</v>
      </c>
      <c r="E51" s="705" t="s">
        <v>1129</v>
      </c>
      <c r="F51" s="705" t="s">
        <v>1122</v>
      </c>
      <c r="G51" s="705" t="s">
        <v>1986</v>
      </c>
    </row>
    <row r="52" spans="1:7">
      <c r="A52" s="705" t="s">
        <v>1200</v>
      </c>
      <c r="B52" s="705" t="s">
        <v>2127</v>
      </c>
      <c r="C52" s="705" t="s">
        <v>2128</v>
      </c>
      <c r="D52" s="705" t="s">
        <v>1985</v>
      </c>
      <c r="E52" s="705" t="s">
        <v>1129</v>
      </c>
      <c r="F52" s="705" t="s">
        <v>1122</v>
      </c>
      <c r="G52" s="705" t="s">
        <v>1987</v>
      </c>
    </row>
    <row r="53" spans="1:7">
      <c r="A53" s="705" t="s">
        <v>1201</v>
      </c>
      <c r="B53" s="705" t="s">
        <v>2129</v>
      </c>
      <c r="C53" s="705" t="s">
        <v>2130</v>
      </c>
      <c r="D53" s="705" t="s">
        <v>1985</v>
      </c>
      <c r="E53" s="705" t="s">
        <v>1129</v>
      </c>
      <c r="F53" s="705" t="s">
        <v>1122</v>
      </c>
      <c r="G53" s="705" t="s">
        <v>1988</v>
      </c>
    </row>
    <row r="54" spans="1:7">
      <c r="A54" s="705" t="s">
        <v>1396</v>
      </c>
      <c r="B54" s="705" t="s">
        <v>2131</v>
      </c>
      <c r="C54" s="705" t="s">
        <v>2132</v>
      </c>
      <c r="D54" s="705" t="s">
        <v>1985</v>
      </c>
      <c r="E54" s="705" t="s">
        <v>1129</v>
      </c>
      <c r="F54" s="705" t="s">
        <v>1390</v>
      </c>
      <c r="G54" s="705" t="s">
        <v>1294</v>
      </c>
    </row>
    <row r="55" spans="1:7">
      <c r="A55" s="705" t="s">
        <v>1395</v>
      </c>
      <c r="B55" s="705" t="s">
        <v>2133</v>
      </c>
      <c r="C55" s="705" t="s">
        <v>2134</v>
      </c>
      <c r="D55" s="705" t="s">
        <v>1985</v>
      </c>
      <c r="E55" s="705" t="s">
        <v>1129</v>
      </c>
      <c r="F55" s="705" t="s">
        <v>1390</v>
      </c>
      <c r="G55" s="705" t="s">
        <v>2018</v>
      </c>
    </row>
    <row r="56" spans="1:7">
      <c r="A56" s="705" t="s">
        <v>1421</v>
      </c>
      <c r="B56" s="705" t="s">
        <v>2135</v>
      </c>
      <c r="C56" s="705" t="s">
        <v>2136</v>
      </c>
      <c r="D56" s="705" t="s">
        <v>1985</v>
      </c>
      <c r="E56" s="705" t="s">
        <v>1129</v>
      </c>
      <c r="F56" s="705" t="s">
        <v>1341</v>
      </c>
      <c r="G56" s="705" t="s">
        <v>2020</v>
      </c>
    </row>
    <row r="57" spans="1:7">
      <c r="A57" s="705" t="s">
        <v>1202</v>
      </c>
      <c r="B57" s="705" t="s">
        <v>1203</v>
      </c>
      <c r="C57" s="705" t="s">
        <v>2137</v>
      </c>
      <c r="D57" s="705" t="s">
        <v>1985</v>
      </c>
      <c r="E57" s="705" t="s">
        <v>2023</v>
      </c>
      <c r="F57" s="705" t="s">
        <v>1122</v>
      </c>
      <c r="G57" s="705" t="s">
        <v>1988</v>
      </c>
    </row>
    <row r="58" spans="1:7">
      <c r="A58" s="705" t="s">
        <v>1204</v>
      </c>
      <c r="B58" s="705" t="s">
        <v>1205</v>
      </c>
      <c r="C58" s="705" t="s">
        <v>2138</v>
      </c>
      <c r="D58" s="705" t="s">
        <v>1985</v>
      </c>
      <c r="E58" s="705" t="s">
        <v>2023</v>
      </c>
      <c r="F58" s="705" t="s">
        <v>1122</v>
      </c>
      <c r="G58" s="705" t="s">
        <v>1987</v>
      </c>
    </row>
    <row r="59" spans="1:7">
      <c r="A59" s="705" t="s">
        <v>1206</v>
      </c>
      <c r="B59" s="705" t="s">
        <v>2139</v>
      </c>
      <c r="C59" s="705" t="s">
        <v>2140</v>
      </c>
      <c r="D59" s="705" t="s">
        <v>1985</v>
      </c>
      <c r="E59" s="705" t="s">
        <v>2023</v>
      </c>
      <c r="F59" s="705" t="s">
        <v>1122</v>
      </c>
      <c r="G59" s="705" t="s">
        <v>1988</v>
      </c>
    </row>
    <row r="60" spans="1:7">
      <c r="A60" s="705" t="s">
        <v>1807</v>
      </c>
      <c r="B60" s="705" t="s">
        <v>2141</v>
      </c>
      <c r="C60" s="705" t="s">
        <v>2025</v>
      </c>
      <c r="D60" s="705" t="s">
        <v>1985</v>
      </c>
      <c r="E60" s="705" t="s">
        <v>2023</v>
      </c>
      <c r="F60" s="705" t="s">
        <v>1122</v>
      </c>
      <c r="G60" s="705" t="s">
        <v>1122</v>
      </c>
    </row>
    <row r="61" spans="1:7">
      <c r="A61" s="705" t="s">
        <v>2024</v>
      </c>
      <c r="B61" s="705" t="s">
        <v>2142</v>
      </c>
      <c r="C61" s="705" t="s">
        <v>1808</v>
      </c>
      <c r="D61" s="705" t="s">
        <v>1985</v>
      </c>
      <c r="E61" s="705" t="s">
        <v>2023</v>
      </c>
      <c r="F61" s="705" t="s">
        <v>1122</v>
      </c>
      <c r="G61" s="705" t="s">
        <v>1987</v>
      </c>
    </row>
    <row r="62" spans="1:7">
      <c r="A62" s="705" t="s">
        <v>1207</v>
      </c>
      <c r="B62" s="705" t="s">
        <v>2143</v>
      </c>
      <c r="C62" s="705" t="s">
        <v>2144</v>
      </c>
      <c r="D62" s="705" t="s">
        <v>1985</v>
      </c>
      <c r="E62" s="705" t="s">
        <v>2023</v>
      </c>
      <c r="F62" s="705" t="s">
        <v>1122</v>
      </c>
      <c r="G62" s="705" t="s">
        <v>1988</v>
      </c>
    </row>
    <row r="63" spans="1:7">
      <c r="A63" s="705" t="s">
        <v>1208</v>
      </c>
      <c r="B63" s="705" t="s">
        <v>2145</v>
      </c>
      <c r="C63" s="705" t="s">
        <v>2146</v>
      </c>
      <c r="D63" s="705" t="s">
        <v>1985</v>
      </c>
      <c r="E63" s="705" t="s">
        <v>2023</v>
      </c>
      <c r="F63" s="705" t="s">
        <v>1122</v>
      </c>
      <c r="G63" s="705" t="s">
        <v>1988</v>
      </c>
    </row>
    <row r="64" spans="1:7">
      <c r="A64" s="705" t="s">
        <v>1209</v>
      </c>
      <c r="B64" s="705" t="s">
        <v>1210</v>
      </c>
      <c r="C64" s="705" t="s">
        <v>2147</v>
      </c>
      <c r="D64" s="705" t="s">
        <v>1985</v>
      </c>
      <c r="E64" s="705" t="s">
        <v>2023</v>
      </c>
      <c r="F64" s="705" t="s">
        <v>1122</v>
      </c>
      <c r="G64" s="705" t="s">
        <v>1987</v>
      </c>
    </row>
    <row r="65" spans="1:7">
      <c r="A65" s="705" t="s">
        <v>1211</v>
      </c>
      <c r="B65" s="705" t="s">
        <v>1212</v>
      </c>
      <c r="C65" s="705" t="s">
        <v>2148</v>
      </c>
      <c r="D65" s="705" t="s">
        <v>1985</v>
      </c>
      <c r="E65" s="705" t="s">
        <v>2023</v>
      </c>
      <c r="F65" s="705" t="s">
        <v>1122</v>
      </c>
      <c r="G65" s="705" t="s">
        <v>1988</v>
      </c>
    </row>
    <row r="66" spans="1:7">
      <c r="A66" s="705" t="s">
        <v>1387</v>
      </c>
      <c r="B66" s="705" t="s">
        <v>1388</v>
      </c>
      <c r="C66" s="705" t="s">
        <v>2149</v>
      </c>
      <c r="D66" s="705" t="s">
        <v>2029</v>
      </c>
      <c r="F66" s="705" t="s">
        <v>1356</v>
      </c>
      <c r="G66" s="705" t="s">
        <v>1356</v>
      </c>
    </row>
    <row r="67" spans="1:7">
      <c r="A67" s="705" t="s">
        <v>1367</v>
      </c>
      <c r="B67" s="705" t="s">
        <v>1368</v>
      </c>
      <c r="C67" s="705" t="s">
        <v>2040</v>
      </c>
      <c r="D67" s="705" t="s">
        <v>2029</v>
      </c>
      <c r="F67" s="705" t="s">
        <v>1356</v>
      </c>
      <c r="G67" s="705" t="s">
        <v>2014</v>
      </c>
    </row>
    <row r="68" spans="1:7">
      <c r="A68" s="705" t="s">
        <v>1296</v>
      </c>
      <c r="B68" s="705" t="s">
        <v>1297</v>
      </c>
      <c r="C68" s="705" t="s">
        <v>2150</v>
      </c>
      <c r="D68" s="705" t="s">
        <v>2029</v>
      </c>
      <c r="F68" s="705" t="s">
        <v>1282</v>
      </c>
      <c r="G68" s="705" t="s">
        <v>1282</v>
      </c>
    </row>
    <row r="69" spans="1:7">
      <c r="A69" s="705" t="s">
        <v>1338</v>
      </c>
      <c r="B69" s="705" t="s">
        <v>1339</v>
      </c>
      <c r="C69" s="705" t="s">
        <v>1340</v>
      </c>
      <c r="D69" s="705" t="s">
        <v>2029</v>
      </c>
      <c r="F69" s="705" t="s">
        <v>1165</v>
      </c>
      <c r="G69" s="705" t="s">
        <v>2012</v>
      </c>
    </row>
    <row r="70" spans="1:7">
      <c r="A70" s="705" t="s">
        <v>1809</v>
      </c>
      <c r="B70" s="705" t="s">
        <v>2151</v>
      </c>
      <c r="C70" s="705" t="s">
        <v>2152</v>
      </c>
      <c r="D70" s="705" t="s">
        <v>2029</v>
      </c>
      <c r="F70" s="705" t="s">
        <v>1122</v>
      </c>
      <c r="G70" s="705" t="s">
        <v>1122</v>
      </c>
    </row>
    <row r="71" spans="1:7">
      <c r="A71" s="705" t="s">
        <v>1322</v>
      </c>
      <c r="B71" s="705" t="s">
        <v>1323</v>
      </c>
      <c r="C71" s="705" t="s">
        <v>2153</v>
      </c>
      <c r="D71" s="705" t="s">
        <v>1985</v>
      </c>
      <c r="E71" s="705" t="s">
        <v>2405</v>
      </c>
      <c r="F71" s="705" t="s">
        <v>1165</v>
      </c>
      <c r="G71" s="705" t="s">
        <v>2013</v>
      </c>
    </row>
    <row r="72" spans="1:7">
      <c r="A72" s="705" t="s">
        <v>1422</v>
      </c>
      <c r="B72" s="705" t="s">
        <v>1423</v>
      </c>
      <c r="C72" s="705" t="s">
        <v>2154</v>
      </c>
      <c r="D72" s="705" t="s">
        <v>2029</v>
      </c>
      <c r="F72" s="705" t="s">
        <v>1341</v>
      </c>
      <c r="G72" s="705" t="s">
        <v>2020</v>
      </c>
    </row>
    <row r="73" spans="1:7">
      <c r="A73" s="705" t="s">
        <v>1377</v>
      </c>
      <c r="B73" s="705" t="s">
        <v>1378</v>
      </c>
      <c r="C73" s="705" t="s">
        <v>1378</v>
      </c>
      <c r="D73" s="705" t="s">
        <v>2029</v>
      </c>
      <c r="F73" s="705" t="s">
        <v>1356</v>
      </c>
      <c r="G73" s="705" t="s">
        <v>1357</v>
      </c>
    </row>
    <row r="74" spans="1:7">
      <c r="A74" s="705" t="s">
        <v>1324</v>
      </c>
      <c r="B74" s="705" t="s">
        <v>1325</v>
      </c>
      <c r="C74" s="705" t="s">
        <v>2155</v>
      </c>
      <c r="D74" s="705" t="s">
        <v>2029</v>
      </c>
      <c r="F74" s="705" t="s">
        <v>1165</v>
      </c>
      <c r="G74" s="705" t="s">
        <v>2013</v>
      </c>
    </row>
    <row r="75" spans="1:7">
      <c r="A75" s="705" t="s">
        <v>1326</v>
      </c>
      <c r="B75" s="705" t="s">
        <v>1327</v>
      </c>
      <c r="C75" s="705" t="s">
        <v>2156</v>
      </c>
      <c r="D75" s="705" t="s">
        <v>2029</v>
      </c>
      <c r="F75" s="705" t="s">
        <v>1165</v>
      </c>
      <c r="G75" s="705" t="s">
        <v>2013</v>
      </c>
    </row>
    <row r="76" spans="1:7">
      <c r="A76" s="705" t="s">
        <v>1424</v>
      </c>
      <c r="B76" s="705" t="s">
        <v>1425</v>
      </c>
      <c r="C76" s="705" t="s">
        <v>1426</v>
      </c>
      <c r="D76" s="705" t="s">
        <v>2029</v>
      </c>
      <c r="F76" s="705" t="s">
        <v>1341</v>
      </c>
      <c r="G76" s="705" t="s">
        <v>2020</v>
      </c>
    </row>
    <row r="77" spans="1:7">
      <c r="A77" s="705" t="s">
        <v>2157</v>
      </c>
      <c r="B77" s="705" t="s">
        <v>2158</v>
      </c>
      <c r="C77" s="705" t="s">
        <v>2159</v>
      </c>
      <c r="D77" s="705" t="s">
        <v>2029</v>
      </c>
      <c r="F77" s="705" t="s">
        <v>1122</v>
      </c>
      <c r="G77" s="705" t="s">
        <v>1122</v>
      </c>
    </row>
    <row r="78" spans="1:7">
      <c r="A78" s="705" t="s">
        <v>1876</v>
      </c>
      <c r="B78" s="705" t="s">
        <v>2160</v>
      </c>
      <c r="C78" s="705" t="s">
        <v>2161</v>
      </c>
      <c r="D78" s="705" t="s">
        <v>1985</v>
      </c>
      <c r="E78" s="705" t="s">
        <v>1129</v>
      </c>
      <c r="F78" s="705" t="s">
        <v>1461</v>
      </c>
      <c r="G78" s="705" t="s">
        <v>1461</v>
      </c>
    </row>
    <row r="79" spans="1:7">
      <c r="A79" s="705" t="s">
        <v>1445</v>
      </c>
      <c r="B79" s="705" t="s">
        <v>2162</v>
      </c>
      <c r="C79" s="705" t="s">
        <v>2163</v>
      </c>
      <c r="D79" s="705" t="s">
        <v>1985</v>
      </c>
      <c r="E79" s="705" t="s">
        <v>1129</v>
      </c>
      <c r="F79" s="705" t="s">
        <v>1341</v>
      </c>
      <c r="G79" s="705" t="s">
        <v>1446</v>
      </c>
    </row>
    <row r="80" spans="1:7">
      <c r="A80" s="705" t="s">
        <v>1462</v>
      </c>
      <c r="B80" s="705" t="s">
        <v>2164</v>
      </c>
      <c r="C80" s="705" t="s">
        <v>2165</v>
      </c>
      <c r="D80" s="705" t="s">
        <v>1985</v>
      </c>
      <c r="E80" s="705" t="s">
        <v>1129</v>
      </c>
      <c r="F80" s="705" t="s">
        <v>1461</v>
      </c>
      <c r="G80" s="705" t="s">
        <v>2021</v>
      </c>
    </row>
    <row r="81" spans="1:7">
      <c r="A81" s="705" t="s">
        <v>1284</v>
      </c>
      <c r="B81" s="705" t="s">
        <v>2166</v>
      </c>
      <c r="C81" s="705" t="s">
        <v>2167</v>
      </c>
      <c r="D81" s="705" t="s">
        <v>1985</v>
      </c>
      <c r="E81" s="705" t="s">
        <v>1129</v>
      </c>
      <c r="F81" s="705" t="s">
        <v>1283</v>
      </c>
      <c r="G81" s="705" t="s">
        <v>2009</v>
      </c>
    </row>
    <row r="82" spans="1:7">
      <c r="A82" s="705" t="s">
        <v>1130</v>
      </c>
      <c r="B82" s="705" t="s">
        <v>2168</v>
      </c>
      <c r="C82" s="705" t="s">
        <v>2169</v>
      </c>
      <c r="D82" s="705" t="s">
        <v>1985</v>
      </c>
      <c r="E82" s="705" t="s">
        <v>1129</v>
      </c>
      <c r="F82" s="705" t="s">
        <v>1122</v>
      </c>
      <c r="G82" s="705" t="s">
        <v>1122</v>
      </c>
    </row>
    <row r="83" spans="1:7">
      <c r="A83" s="705" t="s">
        <v>1392</v>
      </c>
      <c r="B83" s="705" t="s">
        <v>2170</v>
      </c>
      <c r="C83" s="705" t="s">
        <v>2171</v>
      </c>
      <c r="D83" s="705" t="s">
        <v>1985</v>
      </c>
      <c r="E83" s="705" t="s">
        <v>1129</v>
      </c>
      <c r="F83" s="705" t="s">
        <v>1390</v>
      </c>
      <c r="G83" s="705" t="s">
        <v>2019</v>
      </c>
    </row>
    <row r="84" spans="1:7">
      <c r="A84" s="705" t="s">
        <v>1131</v>
      </c>
      <c r="B84" s="705" t="s">
        <v>2172</v>
      </c>
      <c r="C84" s="705" t="s">
        <v>2173</v>
      </c>
      <c r="D84" s="705" t="s">
        <v>1985</v>
      </c>
      <c r="E84" s="705" t="s">
        <v>1129</v>
      </c>
      <c r="F84" s="705" t="s">
        <v>1122</v>
      </c>
      <c r="G84" s="705" t="s">
        <v>1122</v>
      </c>
    </row>
    <row r="85" spans="1:7">
      <c r="A85" s="705" t="s">
        <v>1290</v>
      </c>
      <c r="B85" s="705" t="s">
        <v>2174</v>
      </c>
      <c r="C85" s="705" t="s">
        <v>2175</v>
      </c>
      <c r="D85" s="705" t="s">
        <v>1985</v>
      </c>
      <c r="E85" s="705" t="s">
        <v>1129</v>
      </c>
      <c r="F85" s="705" t="s">
        <v>1283</v>
      </c>
      <c r="G85" s="705" t="s">
        <v>2008</v>
      </c>
    </row>
    <row r="86" spans="1:7">
      <c r="A86" s="705" t="s">
        <v>1402</v>
      </c>
      <c r="B86" s="705" t="s">
        <v>1403</v>
      </c>
      <c r="C86" s="705" t="s">
        <v>1404</v>
      </c>
      <c r="D86" s="705" t="s">
        <v>2029</v>
      </c>
      <c r="F86" s="705" t="s">
        <v>1341</v>
      </c>
      <c r="G86" s="705" t="s">
        <v>2020</v>
      </c>
    </row>
    <row r="87" spans="1:7">
      <c r="A87" s="705" t="s">
        <v>1800</v>
      </c>
      <c r="B87" s="705" t="s">
        <v>1801</v>
      </c>
      <c r="C87" s="705" t="s">
        <v>2176</v>
      </c>
      <c r="D87" s="705" t="s">
        <v>2029</v>
      </c>
      <c r="F87" s="705" t="s">
        <v>1122</v>
      </c>
      <c r="G87" s="705" t="s">
        <v>1122</v>
      </c>
    </row>
    <row r="88" spans="1:7">
      <c r="A88" s="705" t="s">
        <v>1828</v>
      </c>
      <c r="B88" s="705" t="s">
        <v>1829</v>
      </c>
      <c r="C88" s="705" t="s">
        <v>2177</v>
      </c>
      <c r="D88" s="705" t="s">
        <v>2029</v>
      </c>
      <c r="F88" s="705" t="s">
        <v>1282</v>
      </c>
      <c r="G88" s="705" t="s">
        <v>1282</v>
      </c>
    </row>
    <row r="89" spans="1:7">
      <c r="A89" s="705" t="s">
        <v>1857</v>
      </c>
      <c r="B89" s="705" t="s">
        <v>2178</v>
      </c>
      <c r="C89" s="705" t="s">
        <v>2179</v>
      </c>
      <c r="D89" s="705" t="s">
        <v>2029</v>
      </c>
      <c r="F89" s="705" t="s">
        <v>1341</v>
      </c>
      <c r="G89" s="705" t="s">
        <v>1446</v>
      </c>
    </row>
    <row r="90" spans="1:7">
      <c r="A90" s="705" t="s">
        <v>1802</v>
      </c>
      <c r="B90" s="705" t="s">
        <v>2180</v>
      </c>
      <c r="C90" s="705" t="s">
        <v>2181</v>
      </c>
      <c r="D90" s="705" t="s">
        <v>2029</v>
      </c>
      <c r="F90" s="705" t="s">
        <v>1122</v>
      </c>
      <c r="G90" s="705" t="s">
        <v>1122</v>
      </c>
    </row>
    <row r="91" spans="1:7">
      <c r="A91" s="705" t="s">
        <v>1810</v>
      </c>
      <c r="B91" s="705" t="s">
        <v>2182</v>
      </c>
      <c r="C91" s="705" t="s">
        <v>2183</v>
      </c>
      <c r="D91" s="705" t="s">
        <v>2029</v>
      </c>
      <c r="F91" s="705" t="s">
        <v>1122</v>
      </c>
      <c r="G91" s="705" t="s">
        <v>1988</v>
      </c>
    </row>
    <row r="92" spans="1:7">
      <c r="A92" s="705" t="s">
        <v>1803</v>
      </c>
      <c r="B92" s="705" t="s">
        <v>1132</v>
      </c>
      <c r="C92" s="705" t="s">
        <v>2184</v>
      </c>
      <c r="D92" s="705" t="s">
        <v>2029</v>
      </c>
      <c r="F92" s="705" t="s">
        <v>1122</v>
      </c>
      <c r="G92" s="705" t="s">
        <v>1122</v>
      </c>
    </row>
    <row r="93" spans="1:7">
      <c r="A93" s="705" t="s">
        <v>1858</v>
      </c>
      <c r="B93" s="705" t="s">
        <v>1447</v>
      </c>
      <c r="C93" s="705" t="s">
        <v>1859</v>
      </c>
      <c r="D93" s="705" t="s">
        <v>1985</v>
      </c>
      <c r="E93" s="705" t="s">
        <v>1215</v>
      </c>
      <c r="F93" s="705" t="s">
        <v>1341</v>
      </c>
      <c r="G93" s="705" t="s">
        <v>1446</v>
      </c>
    </row>
    <row r="94" spans="1:7">
      <c r="A94" s="705" t="s">
        <v>1860</v>
      </c>
      <c r="B94" s="705" t="s">
        <v>1448</v>
      </c>
      <c r="C94" s="705" t="s">
        <v>1861</v>
      </c>
      <c r="D94" s="705" t="s">
        <v>1985</v>
      </c>
      <c r="E94" s="705" t="s">
        <v>1215</v>
      </c>
      <c r="F94" s="705" t="s">
        <v>1341</v>
      </c>
      <c r="G94" s="705" t="s">
        <v>1446</v>
      </c>
    </row>
    <row r="95" spans="1:7">
      <c r="A95" s="705" t="s">
        <v>1862</v>
      </c>
      <c r="B95" s="705" t="s">
        <v>2185</v>
      </c>
      <c r="C95" s="705" t="s">
        <v>2186</v>
      </c>
      <c r="D95" s="705" t="s">
        <v>1985</v>
      </c>
      <c r="E95" s="705" t="s">
        <v>1215</v>
      </c>
      <c r="F95" s="705" t="s">
        <v>1341</v>
      </c>
      <c r="G95" s="705" t="s">
        <v>1446</v>
      </c>
    </row>
    <row r="96" spans="1:7">
      <c r="A96" s="705" t="s">
        <v>1358</v>
      </c>
      <c r="B96" s="705" t="s">
        <v>2187</v>
      </c>
      <c r="C96" s="705" t="s">
        <v>2188</v>
      </c>
      <c r="D96" s="705" t="s">
        <v>2029</v>
      </c>
      <c r="F96" s="705" t="s">
        <v>1356</v>
      </c>
      <c r="G96" s="705" t="s">
        <v>1356</v>
      </c>
    </row>
    <row r="97" spans="1:7">
      <c r="A97" s="705" t="s">
        <v>1213</v>
      </c>
      <c r="B97" s="705" t="s">
        <v>1214</v>
      </c>
      <c r="C97" s="705" t="s">
        <v>2189</v>
      </c>
      <c r="D97" s="705" t="s">
        <v>1985</v>
      </c>
      <c r="E97" s="705" t="s">
        <v>1215</v>
      </c>
      <c r="F97" s="705" t="s">
        <v>1122</v>
      </c>
      <c r="G97" s="705" t="s">
        <v>1986</v>
      </c>
    </row>
    <row r="98" spans="1:7">
      <c r="A98" s="705" t="s">
        <v>1133</v>
      </c>
      <c r="B98" s="705" t="s">
        <v>2190</v>
      </c>
      <c r="C98" s="705" t="s">
        <v>2191</v>
      </c>
      <c r="D98" s="705" t="s">
        <v>1985</v>
      </c>
      <c r="E98" s="705" t="s">
        <v>1155</v>
      </c>
      <c r="F98" s="705" t="s">
        <v>1122</v>
      </c>
      <c r="G98" s="705" t="s">
        <v>1122</v>
      </c>
    </row>
    <row r="99" spans="1:7">
      <c r="A99" s="705" t="s">
        <v>1427</v>
      </c>
      <c r="B99" s="705" t="s">
        <v>1428</v>
      </c>
      <c r="C99" s="705" t="s">
        <v>2192</v>
      </c>
      <c r="D99" s="705" t="s">
        <v>1985</v>
      </c>
      <c r="E99" s="705" t="s">
        <v>1155</v>
      </c>
      <c r="F99" s="705" t="s">
        <v>1341</v>
      </c>
      <c r="G99" s="705" t="s">
        <v>1341</v>
      </c>
    </row>
    <row r="100" spans="1:7">
      <c r="A100" s="705" t="s">
        <v>1216</v>
      </c>
      <c r="B100" s="705" t="s">
        <v>1217</v>
      </c>
      <c r="C100" s="705" t="s">
        <v>2033</v>
      </c>
      <c r="D100" s="705" t="s">
        <v>2029</v>
      </c>
      <c r="F100" s="705" t="s">
        <v>1122</v>
      </c>
      <c r="G100" s="705" t="s">
        <v>1988</v>
      </c>
    </row>
    <row r="101" spans="1:7">
      <c r="A101" s="705" t="s">
        <v>1359</v>
      </c>
      <c r="B101" s="705" t="s">
        <v>1360</v>
      </c>
      <c r="C101" s="705" t="s">
        <v>1361</v>
      </c>
      <c r="D101" s="705" t="s">
        <v>2029</v>
      </c>
      <c r="F101" s="705" t="s">
        <v>1356</v>
      </c>
      <c r="G101" s="705" t="s">
        <v>2014</v>
      </c>
    </row>
    <row r="102" spans="1:7">
      <c r="A102" s="705" t="s">
        <v>1218</v>
      </c>
      <c r="B102" s="705" t="s">
        <v>1219</v>
      </c>
      <c r="C102" s="705" t="s">
        <v>2193</v>
      </c>
      <c r="D102" s="705" t="s">
        <v>2029</v>
      </c>
      <c r="F102" s="705" t="s">
        <v>1122</v>
      </c>
      <c r="G102" s="705" t="s">
        <v>1988</v>
      </c>
    </row>
    <row r="103" spans="1:7">
      <c r="A103" s="705" t="s">
        <v>1134</v>
      </c>
      <c r="B103" s="705" t="s">
        <v>1135</v>
      </c>
      <c r="C103" s="705" t="s">
        <v>1136</v>
      </c>
      <c r="D103" s="705" t="s">
        <v>2029</v>
      </c>
      <c r="F103" s="705" t="s">
        <v>1122</v>
      </c>
      <c r="G103" s="705" t="s">
        <v>1122</v>
      </c>
    </row>
    <row r="104" spans="1:7">
      <c r="A104" s="705" t="s">
        <v>1285</v>
      </c>
      <c r="B104" s="705" t="s">
        <v>1286</v>
      </c>
      <c r="C104" s="705" t="s">
        <v>2037</v>
      </c>
      <c r="D104" s="705" t="s">
        <v>2029</v>
      </c>
      <c r="F104" s="705" t="s">
        <v>1283</v>
      </c>
      <c r="G104" s="705" t="s">
        <v>1283</v>
      </c>
    </row>
    <row r="105" spans="1:7">
      <c r="A105" s="705" t="s">
        <v>1429</v>
      </c>
      <c r="B105" s="705" t="s">
        <v>1430</v>
      </c>
      <c r="C105" s="705" t="s">
        <v>2194</v>
      </c>
      <c r="D105" s="705" t="s">
        <v>1985</v>
      </c>
      <c r="E105" s="705" t="s">
        <v>1215</v>
      </c>
      <c r="F105" s="705" t="s">
        <v>1341</v>
      </c>
      <c r="G105" s="705" t="s">
        <v>1341</v>
      </c>
    </row>
    <row r="106" spans="1:7">
      <c r="A106" s="705" t="s">
        <v>1811</v>
      </c>
      <c r="B106" s="705" t="s">
        <v>1812</v>
      </c>
      <c r="C106" s="705" t="s">
        <v>1813</v>
      </c>
      <c r="D106" s="705" t="s">
        <v>2029</v>
      </c>
      <c r="F106" s="705" t="s">
        <v>1122</v>
      </c>
      <c r="G106" s="705" t="s">
        <v>1988</v>
      </c>
    </row>
    <row r="107" spans="1:7">
      <c r="A107" s="705" t="s">
        <v>1853</v>
      </c>
      <c r="B107" s="705" t="s">
        <v>1854</v>
      </c>
      <c r="C107" s="705" t="s">
        <v>2030</v>
      </c>
      <c r="D107" s="705" t="s">
        <v>2029</v>
      </c>
      <c r="F107" s="705" t="s">
        <v>1341</v>
      </c>
      <c r="G107" s="705" t="s">
        <v>1341</v>
      </c>
    </row>
    <row r="108" spans="1:7">
      <c r="A108" s="705" t="s">
        <v>1839</v>
      </c>
      <c r="B108" s="705" t="s">
        <v>2195</v>
      </c>
      <c r="C108" s="705" t="s">
        <v>2196</v>
      </c>
      <c r="D108" s="705" t="s">
        <v>2029</v>
      </c>
      <c r="F108" s="705" t="s">
        <v>1165</v>
      </c>
      <c r="G108" s="705" t="s">
        <v>1165</v>
      </c>
    </row>
    <row r="109" spans="1:7">
      <c r="A109" s="705" t="s">
        <v>1784</v>
      </c>
      <c r="B109" s="705" t="s">
        <v>1139</v>
      </c>
      <c r="C109" s="705" t="s">
        <v>1140</v>
      </c>
      <c r="D109" s="705" t="s">
        <v>2029</v>
      </c>
      <c r="F109" s="705" t="s">
        <v>1122</v>
      </c>
      <c r="G109" s="705" t="s">
        <v>1122</v>
      </c>
    </row>
    <row r="110" spans="1:7">
      <c r="A110" s="705" t="s">
        <v>1864</v>
      </c>
      <c r="B110" s="705" t="s">
        <v>1463</v>
      </c>
      <c r="C110" s="705" t="s">
        <v>1865</v>
      </c>
      <c r="D110" s="705" t="s">
        <v>1985</v>
      </c>
      <c r="E110" s="705" t="s">
        <v>2026</v>
      </c>
      <c r="F110" s="705" t="s">
        <v>1461</v>
      </c>
      <c r="G110" s="705" t="s">
        <v>2021</v>
      </c>
    </row>
    <row r="111" spans="1:7">
      <c r="A111" s="705" t="s">
        <v>1866</v>
      </c>
      <c r="B111" s="705" t="s">
        <v>1464</v>
      </c>
      <c r="C111" s="705" t="s">
        <v>1867</v>
      </c>
      <c r="D111" s="705" t="s">
        <v>1985</v>
      </c>
      <c r="E111" s="705" t="s">
        <v>2026</v>
      </c>
      <c r="F111" s="705" t="s">
        <v>1461</v>
      </c>
      <c r="G111" s="705" t="s">
        <v>2021</v>
      </c>
    </row>
    <row r="112" spans="1:7">
      <c r="A112" s="705" t="s">
        <v>1868</v>
      </c>
      <c r="B112" s="705" t="s">
        <v>1465</v>
      </c>
      <c r="C112" s="705" t="s">
        <v>1869</v>
      </c>
      <c r="D112" s="705" t="s">
        <v>1985</v>
      </c>
      <c r="E112" s="705" t="s">
        <v>2026</v>
      </c>
      <c r="F112" s="705" t="s">
        <v>1461</v>
      </c>
      <c r="G112" s="705" t="s">
        <v>2021</v>
      </c>
    </row>
    <row r="113" spans="1:7">
      <c r="A113" s="705" t="s">
        <v>1870</v>
      </c>
      <c r="B113" s="705" t="s">
        <v>1466</v>
      </c>
      <c r="C113" s="705" t="s">
        <v>2197</v>
      </c>
      <c r="D113" s="705" t="s">
        <v>1985</v>
      </c>
      <c r="E113" s="705" t="s">
        <v>2026</v>
      </c>
      <c r="F113" s="705" t="s">
        <v>1461</v>
      </c>
      <c r="G113" s="705" t="s">
        <v>2021</v>
      </c>
    </row>
    <row r="114" spans="1:7">
      <c r="A114" s="705" t="s">
        <v>1871</v>
      </c>
      <c r="B114" s="705" t="s">
        <v>1467</v>
      </c>
      <c r="C114" s="705" t="s">
        <v>1872</v>
      </c>
      <c r="D114" s="705" t="s">
        <v>1985</v>
      </c>
      <c r="E114" s="705" t="s">
        <v>2026</v>
      </c>
      <c r="F114" s="705" t="s">
        <v>1461</v>
      </c>
      <c r="G114" s="705" t="s">
        <v>2021</v>
      </c>
    </row>
    <row r="115" spans="1:7">
      <c r="A115" s="705" t="s">
        <v>1873</v>
      </c>
      <c r="B115" s="705" t="s">
        <v>1468</v>
      </c>
      <c r="C115" s="705" t="s">
        <v>1874</v>
      </c>
      <c r="D115" s="705" t="s">
        <v>1985</v>
      </c>
      <c r="E115" s="705" t="s">
        <v>2026</v>
      </c>
      <c r="F115" s="705" t="s">
        <v>1461</v>
      </c>
      <c r="G115" s="705" t="s">
        <v>2021</v>
      </c>
    </row>
    <row r="116" spans="1:7">
      <c r="A116" s="705" t="s">
        <v>1837</v>
      </c>
      <c r="B116" s="705" t="s">
        <v>1304</v>
      </c>
      <c r="C116" s="705" t="s">
        <v>1305</v>
      </c>
      <c r="D116" s="705" t="s">
        <v>2029</v>
      </c>
      <c r="F116" s="705" t="s">
        <v>1165</v>
      </c>
      <c r="G116" s="705" t="s">
        <v>2013</v>
      </c>
    </row>
    <row r="117" spans="1:7">
      <c r="A117" s="705" t="s">
        <v>1840</v>
      </c>
      <c r="B117" s="705" t="s">
        <v>2198</v>
      </c>
      <c r="C117" s="705" t="s">
        <v>2199</v>
      </c>
      <c r="D117" s="705" t="s">
        <v>1985</v>
      </c>
      <c r="E117" s="705" t="s">
        <v>2405</v>
      </c>
      <c r="F117" s="705" t="s">
        <v>1165</v>
      </c>
      <c r="G117" s="705" t="s">
        <v>1165</v>
      </c>
    </row>
    <row r="118" spans="1:7">
      <c r="A118" s="705" t="s">
        <v>1783</v>
      </c>
      <c r="B118" s="705" t="s">
        <v>1141</v>
      </c>
      <c r="C118" s="705" t="s">
        <v>1142</v>
      </c>
      <c r="D118" s="705" t="s">
        <v>2029</v>
      </c>
      <c r="F118" s="705" t="s">
        <v>1122</v>
      </c>
      <c r="G118" s="705" t="s">
        <v>1122</v>
      </c>
    </row>
    <row r="119" spans="1:7">
      <c r="A119" s="705" t="s">
        <v>1814</v>
      </c>
      <c r="B119" s="705" t="s">
        <v>1220</v>
      </c>
      <c r="C119" s="705" t="s">
        <v>2200</v>
      </c>
      <c r="D119" s="705" t="s">
        <v>1985</v>
      </c>
      <c r="E119" s="705" t="s">
        <v>1215</v>
      </c>
      <c r="F119" s="705" t="s">
        <v>1122</v>
      </c>
      <c r="G119" s="705" t="s">
        <v>1986</v>
      </c>
    </row>
    <row r="120" spans="1:7">
      <c r="A120" s="705" t="s">
        <v>1843</v>
      </c>
      <c r="B120" s="705" t="s">
        <v>1379</v>
      </c>
      <c r="C120" s="705" t="s">
        <v>1844</v>
      </c>
      <c r="D120" s="705" t="s">
        <v>1985</v>
      </c>
      <c r="E120" s="705" t="s">
        <v>1215</v>
      </c>
      <c r="F120" s="705" t="s">
        <v>1356</v>
      </c>
      <c r="G120" s="705" t="s">
        <v>1356</v>
      </c>
    </row>
    <row r="121" spans="1:7">
      <c r="A121" s="705" t="s">
        <v>1819</v>
      </c>
      <c r="B121" s="705" t="s">
        <v>1257</v>
      </c>
      <c r="C121" s="705" t="s">
        <v>2201</v>
      </c>
      <c r="D121" s="705" t="s">
        <v>2029</v>
      </c>
      <c r="F121" s="705" t="s">
        <v>1258</v>
      </c>
      <c r="G121" s="705" t="s">
        <v>1258</v>
      </c>
    </row>
    <row r="122" spans="1:7">
      <c r="A122" s="705" t="s">
        <v>1137</v>
      </c>
      <c r="B122" s="705" t="s">
        <v>2202</v>
      </c>
      <c r="C122" s="705" t="s">
        <v>1138</v>
      </c>
      <c r="D122" s="705" t="s">
        <v>2029</v>
      </c>
      <c r="F122" s="705" t="s">
        <v>1122</v>
      </c>
      <c r="G122" s="705" t="s">
        <v>1122</v>
      </c>
    </row>
    <row r="123" spans="1:7">
      <c r="A123" s="705" t="s">
        <v>1193</v>
      </c>
      <c r="B123" s="705" t="s">
        <v>2203</v>
      </c>
      <c r="C123" s="705" t="s">
        <v>2204</v>
      </c>
      <c r="D123" s="705" t="s">
        <v>1985</v>
      </c>
      <c r="E123" s="705" t="s">
        <v>2023</v>
      </c>
      <c r="F123" s="705" t="s">
        <v>1122</v>
      </c>
      <c r="G123" s="705" t="s">
        <v>1988</v>
      </c>
    </row>
    <row r="124" spans="1:7">
      <c r="A124" s="705" t="s">
        <v>1449</v>
      </c>
      <c r="B124" s="705" t="s">
        <v>1450</v>
      </c>
      <c r="C124" s="705" t="s">
        <v>2205</v>
      </c>
      <c r="D124" s="705" t="s">
        <v>2029</v>
      </c>
      <c r="F124" s="705" t="s">
        <v>1341</v>
      </c>
      <c r="G124" s="705" t="s">
        <v>1446</v>
      </c>
    </row>
    <row r="125" spans="1:7">
      <c r="A125" s="705" t="s">
        <v>1431</v>
      </c>
      <c r="B125" s="705" t="s">
        <v>2206</v>
      </c>
      <c r="C125" s="705" t="s">
        <v>2207</v>
      </c>
      <c r="D125" s="705" t="s">
        <v>1985</v>
      </c>
      <c r="E125" s="705" t="s">
        <v>2023</v>
      </c>
      <c r="F125" s="705" t="s">
        <v>1341</v>
      </c>
      <c r="G125" s="705" t="s">
        <v>1341</v>
      </c>
    </row>
    <row r="126" spans="1:7">
      <c r="A126" s="705" t="s">
        <v>1397</v>
      </c>
      <c r="B126" s="705" t="s">
        <v>2208</v>
      </c>
      <c r="C126" s="705" t="s">
        <v>1398</v>
      </c>
      <c r="D126" s="705" t="s">
        <v>2029</v>
      </c>
      <c r="F126" s="705" t="s">
        <v>1390</v>
      </c>
      <c r="G126" s="705" t="s">
        <v>1390</v>
      </c>
    </row>
    <row r="127" spans="1:7">
      <c r="A127" s="705" t="s">
        <v>1399</v>
      </c>
      <c r="B127" s="705" t="s">
        <v>1400</v>
      </c>
      <c r="C127" s="705" t="s">
        <v>2209</v>
      </c>
      <c r="D127" s="705" t="s">
        <v>2029</v>
      </c>
      <c r="F127" s="705" t="s">
        <v>1390</v>
      </c>
      <c r="G127" s="705" t="s">
        <v>1390</v>
      </c>
    </row>
    <row r="128" spans="1:7">
      <c r="A128" s="705" t="s">
        <v>1472</v>
      </c>
      <c r="B128" s="705" t="s">
        <v>1473</v>
      </c>
      <c r="C128" s="705" t="s">
        <v>2210</v>
      </c>
      <c r="D128" s="705" t="s">
        <v>1985</v>
      </c>
      <c r="E128" s="705" t="s">
        <v>1248</v>
      </c>
      <c r="F128" s="705" t="s">
        <v>1461</v>
      </c>
      <c r="G128" s="705" t="s">
        <v>2021</v>
      </c>
    </row>
    <row r="129" spans="1:7">
      <c r="A129" s="705" t="s">
        <v>1246</v>
      </c>
      <c r="B129" s="705" t="s">
        <v>2211</v>
      </c>
      <c r="C129" s="705" t="s">
        <v>1247</v>
      </c>
      <c r="D129" s="705" t="s">
        <v>1985</v>
      </c>
      <c r="E129" s="705" t="s">
        <v>1248</v>
      </c>
      <c r="F129" s="705" t="s">
        <v>1242</v>
      </c>
      <c r="G129" s="705" t="s">
        <v>1242</v>
      </c>
    </row>
    <row r="130" spans="1:7">
      <c r="A130" s="705" t="s">
        <v>2212</v>
      </c>
      <c r="B130" s="705" t="s">
        <v>2213</v>
      </c>
      <c r="C130" s="705" t="s">
        <v>2214</v>
      </c>
      <c r="D130" s="705" t="s">
        <v>2029</v>
      </c>
      <c r="F130" s="705" t="s">
        <v>1341</v>
      </c>
      <c r="G130" s="705" t="s">
        <v>2020</v>
      </c>
    </row>
    <row r="131" spans="1:7">
      <c r="A131" s="705" t="s">
        <v>1143</v>
      </c>
      <c r="B131" s="705" t="s">
        <v>2215</v>
      </c>
      <c r="C131" s="705" t="s">
        <v>1144</v>
      </c>
      <c r="D131" s="705" t="s">
        <v>2029</v>
      </c>
      <c r="F131" s="705" t="s">
        <v>1122</v>
      </c>
      <c r="G131" s="705" t="s">
        <v>1122</v>
      </c>
    </row>
    <row r="132" spans="1:7">
      <c r="A132" s="705" t="s">
        <v>1451</v>
      </c>
      <c r="B132" s="705" t="s">
        <v>2216</v>
      </c>
      <c r="C132" s="705" t="s">
        <v>2042</v>
      </c>
      <c r="D132" s="705" t="s">
        <v>2029</v>
      </c>
      <c r="F132" s="705" t="s">
        <v>1341</v>
      </c>
      <c r="G132" s="705" t="s">
        <v>1446</v>
      </c>
    </row>
    <row r="133" spans="1:7">
      <c r="A133" s="705" t="s">
        <v>1277</v>
      </c>
      <c r="B133" s="705" t="s">
        <v>1278</v>
      </c>
      <c r="C133" s="705" t="s">
        <v>2217</v>
      </c>
      <c r="D133" s="705" t="s">
        <v>2029</v>
      </c>
      <c r="F133" s="705" t="s">
        <v>1258</v>
      </c>
      <c r="G133" s="705" t="s">
        <v>1280</v>
      </c>
    </row>
    <row r="134" spans="1:7">
      <c r="A134" s="705" t="s">
        <v>1259</v>
      </c>
      <c r="B134" s="705" t="s">
        <v>1260</v>
      </c>
      <c r="C134" s="705" t="s">
        <v>2218</v>
      </c>
      <c r="D134" s="705" t="s">
        <v>2029</v>
      </c>
      <c r="F134" s="705" t="s">
        <v>1258</v>
      </c>
      <c r="G134" s="705" t="s">
        <v>1258</v>
      </c>
    </row>
    <row r="135" spans="1:7">
      <c r="A135" s="705" t="s">
        <v>1295</v>
      </c>
      <c r="B135" s="705" t="s">
        <v>2219</v>
      </c>
      <c r="C135" s="705" t="s">
        <v>2220</v>
      </c>
      <c r="D135" s="705" t="s">
        <v>2029</v>
      </c>
      <c r="F135" s="705" t="s">
        <v>1282</v>
      </c>
      <c r="G135" s="705" t="s">
        <v>1282</v>
      </c>
    </row>
    <row r="136" spans="1:7">
      <c r="A136" s="705" t="s">
        <v>1243</v>
      </c>
      <c r="B136" s="705" t="s">
        <v>1244</v>
      </c>
      <c r="C136" s="705" t="s">
        <v>2221</v>
      </c>
      <c r="D136" s="705" t="s">
        <v>2029</v>
      </c>
      <c r="F136" s="705" t="s">
        <v>1242</v>
      </c>
      <c r="G136" s="705" t="s">
        <v>1990</v>
      </c>
    </row>
    <row r="137" spans="1:7">
      <c r="A137" s="705" t="s">
        <v>1301</v>
      </c>
      <c r="B137" s="705" t="s">
        <v>1302</v>
      </c>
      <c r="C137" s="705" t="s">
        <v>2222</v>
      </c>
      <c r="D137" s="705" t="s">
        <v>1985</v>
      </c>
      <c r="E137" s="705" t="s">
        <v>1248</v>
      </c>
      <c r="F137" s="705" t="s">
        <v>1282</v>
      </c>
      <c r="G137" s="705" t="s">
        <v>2001</v>
      </c>
    </row>
    <row r="138" spans="1:7">
      <c r="A138" s="705" t="s">
        <v>1432</v>
      </c>
      <c r="B138" s="705" t="s">
        <v>1433</v>
      </c>
      <c r="C138" s="705" t="s">
        <v>2223</v>
      </c>
      <c r="D138" s="705" t="s">
        <v>1985</v>
      </c>
      <c r="E138" s="705" t="s">
        <v>1248</v>
      </c>
      <c r="F138" s="705" t="s">
        <v>1341</v>
      </c>
      <c r="G138" s="705" t="s">
        <v>1341</v>
      </c>
    </row>
    <row r="139" spans="1:7">
      <c r="A139" s="705" t="s">
        <v>1474</v>
      </c>
      <c r="B139" s="705" t="s">
        <v>1475</v>
      </c>
      <c r="C139" s="705" t="s">
        <v>2027</v>
      </c>
      <c r="D139" s="705" t="s">
        <v>1985</v>
      </c>
      <c r="E139" s="705" t="s">
        <v>1248</v>
      </c>
      <c r="F139" s="705" t="s">
        <v>1461</v>
      </c>
      <c r="G139" s="705" t="s">
        <v>2021</v>
      </c>
    </row>
    <row r="140" spans="1:7">
      <c r="A140" s="705" t="s">
        <v>2224</v>
      </c>
      <c r="B140" s="705" t="s">
        <v>1391</v>
      </c>
      <c r="C140" s="705" t="s">
        <v>2225</v>
      </c>
      <c r="D140" s="705" t="s">
        <v>1985</v>
      </c>
      <c r="E140" s="705" t="s">
        <v>1248</v>
      </c>
      <c r="F140" s="705" t="s">
        <v>1390</v>
      </c>
      <c r="G140" s="705" t="s">
        <v>1390</v>
      </c>
    </row>
    <row r="141" spans="1:7">
      <c r="A141" s="705" t="s">
        <v>1270</v>
      </c>
      <c r="B141" s="705" t="s">
        <v>1271</v>
      </c>
      <c r="C141" s="705" t="s">
        <v>2226</v>
      </c>
      <c r="D141" s="705" t="s">
        <v>2029</v>
      </c>
      <c r="F141" s="705" t="s">
        <v>1258</v>
      </c>
      <c r="G141" s="705" t="s">
        <v>1991</v>
      </c>
    </row>
    <row r="142" spans="1:7">
      <c r="A142" s="705" t="s">
        <v>1261</v>
      </c>
      <c r="B142" s="705" t="s">
        <v>1262</v>
      </c>
      <c r="C142" s="705" t="s">
        <v>2035</v>
      </c>
      <c r="D142" s="705" t="s">
        <v>2029</v>
      </c>
      <c r="F142" s="705" t="s">
        <v>1258</v>
      </c>
      <c r="G142" s="705" t="s">
        <v>1258</v>
      </c>
    </row>
    <row r="143" spans="1:7">
      <c r="A143" s="705" t="s">
        <v>2227</v>
      </c>
      <c r="B143" s="705" t="s">
        <v>2228</v>
      </c>
      <c r="C143" s="705" t="s">
        <v>2229</v>
      </c>
      <c r="D143" s="705" t="s">
        <v>2029</v>
      </c>
      <c r="F143" s="705" t="s">
        <v>1258</v>
      </c>
      <c r="G143" s="705" t="s">
        <v>1280</v>
      </c>
    </row>
    <row r="144" spans="1:7">
      <c r="A144" s="705" t="s">
        <v>1343</v>
      </c>
      <c r="B144" s="705" t="s">
        <v>1344</v>
      </c>
      <c r="C144" s="705" t="s">
        <v>2230</v>
      </c>
      <c r="D144" s="705" t="s">
        <v>2029</v>
      </c>
      <c r="F144" s="705" t="s">
        <v>1342</v>
      </c>
      <c r="G144" s="705" t="s">
        <v>1342</v>
      </c>
    </row>
    <row r="145" spans="1:7">
      <c r="A145" s="705" t="s">
        <v>1369</v>
      </c>
      <c r="B145" s="705" t="s">
        <v>1370</v>
      </c>
      <c r="C145" s="705" t="s">
        <v>2231</v>
      </c>
      <c r="D145" s="705" t="s">
        <v>2029</v>
      </c>
      <c r="F145" s="705" t="s">
        <v>1356</v>
      </c>
      <c r="G145" s="705" t="s">
        <v>1357</v>
      </c>
    </row>
    <row r="146" spans="1:7">
      <c r="A146" s="705" t="s">
        <v>1816</v>
      </c>
      <c r="B146" s="705" t="s">
        <v>2232</v>
      </c>
      <c r="C146" s="705" t="s">
        <v>2034</v>
      </c>
      <c r="D146" s="705" t="s">
        <v>2029</v>
      </c>
      <c r="F146" s="705" t="s">
        <v>1122</v>
      </c>
      <c r="G146" s="705" t="s">
        <v>1988</v>
      </c>
    </row>
    <row r="147" spans="1:7">
      <c r="A147" s="705" t="s">
        <v>1234</v>
      </c>
      <c r="B147" s="705" t="s">
        <v>1235</v>
      </c>
      <c r="C147" s="705" t="s">
        <v>1236</v>
      </c>
      <c r="D147" s="705" t="s">
        <v>2029</v>
      </c>
      <c r="F147" s="705" t="s">
        <v>1122</v>
      </c>
      <c r="G147" s="705" t="s">
        <v>1986</v>
      </c>
    </row>
    <row r="148" spans="1:7">
      <c r="A148" s="705" t="s">
        <v>1452</v>
      </c>
      <c r="B148" s="705" t="s">
        <v>1453</v>
      </c>
      <c r="C148" s="705" t="s">
        <v>1454</v>
      </c>
      <c r="D148" s="705" t="s">
        <v>2029</v>
      </c>
      <c r="F148" s="705" t="s">
        <v>1341</v>
      </c>
      <c r="G148" s="705" t="s">
        <v>1446</v>
      </c>
    </row>
    <row r="149" spans="1:7">
      <c r="A149" s="705" t="s">
        <v>1272</v>
      </c>
      <c r="B149" s="705" t="s">
        <v>1273</v>
      </c>
      <c r="C149" s="705" t="s">
        <v>2233</v>
      </c>
      <c r="D149" s="705" t="s">
        <v>2029</v>
      </c>
      <c r="F149" s="705" t="s">
        <v>1258</v>
      </c>
      <c r="G149" s="705" t="s">
        <v>1991</v>
      </c>
    </row>
    <row r="150" spans="1:7">
      <c r="A150" s="705" t="s">
        <v>1371</v>
      </c>
      <c r="B150" s="705" t="s">
        <v>1372</v>
      </c>
      <c r="C150" s="705" t="s">
        <v>2234</v>
      </c>
      <c r="D150" s="705" t="s">
        <v>2029</v>
      </c>
      <c r="F150" s="705" t="s">
        <v>1356</v>
      </c>
      <c r="G150" s="705" t="s">
        <v>1357</v>
      </c>
    </row>
    <row r="151" spans="1:7">
      <c r="A151" s="705" t="s">
        <v>1380</v>
      </c>
      <c r="B151" s="705" t="s">
        <v>1381</v>
      </c>
      <c r="C151" s="705" t="s">
        <v>1382</v>
      </c>
      <c r="D151" s="705" t="s">
        <v>2029</v>
      </c>
      <c r="F151" s="705" t="s">
        <v>1356</v>
      </c>
      <c r="G151" s="705" t="s">
        <v>1356</v>
      </c>
    </row>
    <row r="152" spans="1:7">
      <c r="A152" s="705" t="s">
        <v>1328</v>
      </c>
      <c r="B152" s="705" t="s">
        <v>1329</v>
      </c>
      <c r="C152" s="705" t="s">
        <v>2235</v>
      </c>
      <c r="D152" s="705" t="s">
        <v>1985</v>
      </c>
      <c r="E152" s="705" t="s">
        <v>2405</v>
      </c>
      <c r="F152" s="705" t="s">
        <v>1165</v>
      </c>
      <c r="G152" s="705" t="s">
        <v>2013</v>
      </c>
    </row>
    <row r="153" spans="1:7">
      <c r="A153" s="705" t="s">
        <v>1306</v>
      </c>
      <c r="B153" s="705" t="s">
        <v>1307</v>
      </c>
      <c r="C153" s="705" t="s">
        <v>1308</v>
      </c>
      <c r="D153" s="705" t="s">
        <v>1985</v>
      </c>
      <c r="E153" s="705" t="s">
        <v>2405</v>
      </c>
      <c r="F153" s="705" t="s">
        <v>1165</v>
      </c>
      <c r="G153" s="705" t="s">
        <v>2013</v>
      </c>
    </row>
    <row r="154" spans="1:7">
      <c r="A154" s="705" t="s">
        <v>1455</v>
      </c>
      <c r="B154" s="705" t="s">
        <v>1456</v>
      </c>
      <c r="C154" s="705" t="s">
        <v>1457</v>
      </c>
      <c r="D154" s="705" t="s">
        <v>2029</v>
      </c>
      <c r="F154" s="705" t="s">
        <v>1341</v>
      </c>
      <c r="G154" s="705" t="s">
        <v>1446</v>
      </c>
    </row>
    <row r="155" spans="1:7">
      <c r="A155" s="705" t="s">
        <v>1145</v>
      </c>
      <c r="B155" s="705" t="s">
        <v>2236</v>
      </c>
      <c r="C155" s="705" t="s">
        <v>2237</v>
      </c>
      <c r="D155" s="705" t="s">
        <v>1985</v>
      </c>
      <c r="E155" s="705" t="s">
        <v>1129</v>
      </c>
      <c r="F155" s="705" t="s">
        <v>1122</v>
      </c>
      <c r="G155" s="705" t="s">
        <v>1122</v>
      </c>
    </row>
    <row r="156" spans="1:7">
      <c r="A156" s="705" t="s">
        <v>1470</v>
      </c>
      <c r="B156" s="705" t="s">
        <v>2238</v>
      </c>
      <c r="C156" s="705" t="s">
        <v>2239</v>
      </c>
      <c r="D156" s="705" t="s">
        <v>1985</v>
      </c>
      <c r="E156" s="705" t="s">
        <v>1129</v>
      </c>
      <c r="F156" s="705" t="s">
        <v>1461</v>
      </c>
      <c r="G156" s="705" t="s">
        <v>2021</v>
      </c>
    </row>
    <row r="157" spans="1:7">
      <c r="A157" s="705" t="s">
        <v>1263</v>
      </c>
      <c r="B157" s="705" t="s">
        <v>2240</v>
      </c>
      <c r="C157" s="705" t="s">
        <v>2241</v>
      </c>
      <c r="D157" s="705" t="s">
        <v>1985</v>
      </c>
      <c r="E157" s="705" t="s">
        <v>1129</v>
      </c>
      <c r="F157" s="705" t="s">
        <v>1258</v>
      </c>
      <c r="G157" s="705" t="s">
        <v>1258</v>
      </c>
    </row>
    <row r="158" spans="1:7">
      <c r="A158" s="705" t="s">
        <v>1405</v>
      </c>
      <c r="B158" s="705" t="s">
        <v>2242</v>
      </c>
      <c r="C158" s="705" t="s">
        <v>2243</v>
      </c>
      <c r="D158" s="705" t="s">
        <v>1985</v>
      </c>
      <c r="E158" s="705" t="s">
        <v>1129</v>
      </c>
      <c r="F158" s="705" t="s">
        <v>1341</v>
      </c>
      <c r="G158" s="705" t="s">
        <v>2020</v>
      </c>
    </row>
    <row r="159" spans="1:7">
      <c r="A159" s="705" t="s">
        <v>1146</v>
      </c>
      <c r="B159" s="705" t="s">
        <v>2244</v>
      </c>
      <c r="C159" s="705" t="s">
        <v>2245</v>
      </c>
      <c r="D159" s="705" t="s">
        <v>1985</v>
      </c>
      <c r="E159" s="705" t="s">
        <v>1129</v>
      </c>
      <c r="F159" s="705" t="s">
        <v>1122</v>
      </c>
      <c r="G159" s="705" t="s">
        <v>1122</v>
      </c>
    </row>
    <row r="160" spans="1:7">
      <c r="A160" s="705" t="s">
        <v>1291</v>
      </c>
      <c r="B160" s="705" t="s">
        <v>2246</v>
      </c>
      <c r="C160" s="705" t="s">
        <v>2247</v>
      </c>
      <c r="D160" s="705" t="s">
        <v>1985</v>
      </c>
      <c r="E160" s="705" t="s">
        <v>1129</v>
      </c>
      <c r="F160" s="705" t="s">
        <v>1283</v>
      </c>
      <c r="G160" s="705" t="s">
        <v>2008</v>
      </c>
    </row>
    <row r="161" spans="1:7">
      <c r="A161" s="705" t="s">
        <v>1147</v>
      </c>
      <c r="B161" s="705" t="s">
        <v>2248</v>
      </c>
      <c r="C161" s="705" t="s">
        <v>2249</v>
      </c>
      <c r="D161" s="705" t="s">
        <v>1985</v>
      </c>
      <c r="E161" s="705" t="s">
        <v>1129</v>
      </c>
      <c r="F161" s="705" t="s">
        <v>1122</v>
      </c>
      <c r="G161" s="705" t="s">
        <v>1122</v>
      </c>
    </row>
    <row r="162" spans="1:7">
      <c r="A162" s="705" t="s">
        <v>1148</v>
      </c>
      <c r="B162" s="705" t="s">
        <v>2250</v>
      </c>
      <c r="C162" s="705" t="s">
        <v>2251</v>
      </c>
      <c r="D162" s="705" t="s">
        <v>1985</v>
      </c>
      <c r="E162" s="705" t="s">
        <v>1129</v>
      </c>
      <c r="F162" s="705" t="s">
        <v>1122</v>
      </c>
      <c r="G162" s="705" t="s">
        <v>1122</v>
      </c>
    </row>
    <row r="163" spans="1:7">
      <c r="A163" s="705" t="s">
        <v>1149</v>
      </c>
      <c r="B163" s="705" t="s">
        <v>2252</v>
      </c>
      <c r="C163" s="705" t="s">
        <v>2253</v>
      </c>
      <c r="D163" s="705" t="s">
        <v>1985</v>
      </c>
      <c r="E163" s="705" t="s">
        <v>1129</v>
      </c>
      <c r="F163" s="705" t="s">
        <v>1122</v>
      </c>
      <c r="G163" s="705" t="s">
        <v>1122</v>
      </c>
    </row>
    <row r="164" spans="1:7">
      <c r="A164" s="705" t="s">
        <v>1434</v>
      </c>
      <c r="B164" s="705" t="s">
        <v>2254</v>
      </c>
      <c r="C164" s="705" t="s">
        <v>1435</v>
      </c>
      <c r="D164" s="705" t="s">
        <v>2029</v>
      </c>
      <c r="F164" s="705" t="s">
        <v>1341</v>
      </c>
      <c r="G164" s="705" t="s">
        <v>1341</v>
      </c>
    </row>
    <row r="165" spans="1:7">
      <c r="A165" s="705" t="s">
        <v>1345</v>
      </c>
      <c r="B165" s="705" t="s">
        <v>1346</v>
      </c>
      <c r="C165" s="705" t="s">
        <v>1841</v>
      </c>
      <c r="D165" s="705" t="s">
        <v>1985</v>
      </c>
      <c r="E165" s="705" t="s">
        <v>1251</v>
      </c>
      <c r="F165" s="705" t="s">
        <v>1342</v>
      </c>
      <c r="G165" s="705" t="s">
        <v>1342</v>
      </c>
    </row>
    <row r="166" spans="1:7">
      <c r="A166" s="705" t="s">
        <v>1362</v>
      </c>
      <c r="B166" s="705" t="s">
        <v>1363</v>
      </c>
      <c r="C166" s="705" t="s">
        <v>2028</v>
      </c>
      <c r="D166" s="705" t="s">
        <v>1985</v>
      </c>
      <c r="E166" s="705" t="s">
        <v>1251</v>
      </c>
      <c r="F166" s="705" t="s">
        <v>1356</v>
      </c>
      <c r="G166" s="705" t="s">
        <v>2014</v>
      </c>
    </row>
    <row r="167" spans="1:7">
      <c r="A167" s="705" t="s">
        <v>1373</v>
      </c>
      <c r="B167" s="705" t="s">
        <v>1374</v>
      </c>
      <c r="C167" s="705" t="s">
        <v>2041</v>
      </c>
      <c r="D167" s="705" t="s">
        <v>2029</v>
      </c>
      <c r="F167" s="705" t="s">
        <v>1356</v>
      </c>
      <c r="G167" s="705" t="s">
        <v>1357</v>
      </c>
    </row>
    <row r="168" spans="1:7">
      <c r="A168" s="705" t="s">
        <v>1264</v>
      </c>
      <c r="B168" s="705" t="s">
        <v>1265</v>
      </c>
      <c r="C168" s="705" t="s">
        <v>2036</v>
      </c>
      <c r="D168" s="705" t="s">
        <v>2029</v>
      </c>
      <c r="F168" s="705" t="s">
        <v>1258</v>
      </c>
      <c r="G168" s="705" t="s">
        <v>1258</v>
      </c>
    </row>
    <row r="169" spans="1:7">
      <c r="A169" s="705" t="s">
        <v>1383</v>
      </c>
      <c r="B169" s="705" t="s">
        <v>2255</v>
      </c>
      <c r="C169" s="705" t="s">
        <v>2256</v>
      </c>
      <c r="D169" s="705" t="s">
        <v>1985</v>
      </c>
      <c r="E169" s="705" t="s">
        <v>1129</v>
      </c>
      <c r="F169" s="705" t="s">
        <v>1356</v>
      </c>
      <c r="G169" s="705" t="s">
        <v>1356</v>
      </c>
    </row>
    <row r="170" spans="1:7">
      <c r="A170" s="705" t="s">
        <v>1150</v>
      </c>
      <c r="B170" s="705" t="s">
        <v>1151</v>
      </c>
      <c r="C170" s="705" t="s">
        <v>1152</v>
      </c>
      <c r="D170" s="705" t="s">
        <v>2029</v>
      </c>
      <c r="F170" s="705" t="s">
        <v>1122</v>
      </c>
      <c r="G170" s="705" t="s">
        <v>1122</v>
      </c>
    </row>
    <row r="171" spans="1:7">
      <c r="A171" s="705" t="s">
        <v>1406</v>
      </c>
      <c r="B171" s="705" t="s">
        <v>1407</v>
      </c>
      <c r="C171" s="705" t="s">
        <v>2257</v>
      </c>
      <c r="D171" s="705" t="s">
        <v>1985</v>
      </c>
      <c r="E171" s="705" t="s">
        <v>1155</v>
      </c>
      <c r="F171" s="705" t="s">
        <v>1341</v>
      </c>
      <c r="G171" s="705" t="s">
        <v>2020</v>
      </c>
    </row>
    <row r="172" spans="1:7">
      <c r="A172" s="705" t="s">
        <v>1478</v>
      </c>
      <c r="B172" s="705" t="s">
        <v>1479</v>
      </c>
      <c r="C172" s="705" t="s">
        <v>2258</v>
      </c>
      <c r="D172" s="705" t="s">
        <v>1985</v>
      </c>
      <c r="E172" s="705" t="s">
        <v>1155</v>
      </c>
      <c r="F172" s="705" t="s">
        <v>1461</v>
      </c>
      <c r="G172" s="705" t="s">
        <v>1461</v>
      </c>
    </row>
    <row r="173" spans="1:7">
      <c r="A173" s="705" t="s">
        <v>1266</v>
      </c>
      <c r="B173" s="705" t="s">
        <v>1267</v>
      </c>
      <c r="C173" s="705" t="s">
        <v>1268</v>
      </c>
      <c r="D173" s="705" t="s">
        <v>2029</v>
      </c>
      <c r="F173" s="705" t="s">
        <v>1258</v>
      </c>
      <c r="G173" s="705" t="s">
        <v>1258</v>
      </c>
    </row>
    <row r="174" spans="1:7">
      <c r="A174" s="705" t="s">
        <v>1252</v>
      </c>
      <c r="B174" s="705" t="s">
        <v>1253</v>
      </c>
      <c r="C174" s="705" t="s">
        <v>1254</v>
      </c>
      <c r="D174" s="705" t="s">
        <v>2029</v>
      </c>
      <c r="F174" s="705" t="s">
        <v>1242</v>
      </c>
      <c r="G174" s="705" t="s">
        <v>1989</v>
      </c>
    </row>
    <row r="175" spans="1:7">
      <c r="A175" s="705" t="s">
        <v>1153</v>
      </c>
      <c r="B175" s="705" t="s">
        <v>1154</v>
      </c>
      <c r="C175" s="705" t="s">
        <v>2259</v>
      </c>
      <c r="D175" s="705" t="s">
        <v>2029</v>
      </c>
      <c r="F175" s="705" t="s">
        <v>1122</v>
      </c>
      <c r="G175" s="705" t="s">
        <v>1122</v>
      </c>
    </row>
    <row r="176" spans="1:7">
      <c r="A176" s="705" t="s">
        <v>1384</v>
      </c>
      <c r="B176" s="705" t="s">
        <v>1385</v>
      </c>
      <c r="C176" s="705" t="s">
        <v>2260</v>
      </c>
      <c r="D176" s="705" t="s">
        <v>1985</v>
      </c>
      <c r="E176" s="705" t="s">
        <v>1215</v>
      </c>
      <c r="F176" s="705" t="s">
        <v>1356</v>
      </c>
      <c r="G176" s="705" t="s">
        <v>1356</v>
      </c>
    </row>
    <row r="177" spans="1:7">
      <c r="A177" s="705" t="s">
        <v>1335</v>
      </c>
      <c r="B177" s="705" t="s">
        <v>1336</v>
      </c>
      <c r="C177" s="705" t="s">
        <v>2261</v>
      </c>
      <c r="D177" s="705" t="s">
        <v>1985</v>
      </c>
      <c r="E177" s="705" t="s">
        <v>2405</v>
      </c>
      <c r="F177" s="705" t="s">
        <v>1165</v>
      </c>
      <c r="G177" s="705" t="s">
        <v>1165</v>
      </c>
    </row>
    <row r="178" spans="1:7">
      <c r="A178" s="705" t="s">
        <v>1194</v>
      </c>
      <c r="B178" s="705" t="s">
        <v>1195</v>
      </c>
      <c r="C178" s="705" t="s">
        <v>1196</v>
      </c>
      <c r="D178" s="705" t="s">
        <v>2029</v>
      </c>
      <c r="F178" s="705" t="s">
        <v>1122</v>
      </c>
      <c r="G178" s="705" t="s">
        <v>1987</v>
      </c>
    </row>
    <row r="179" spans="1:7">
      <c r="A179" s="705" t="s">
        <v>1347</v>
      </c>
      <c r="B179" s="705" t="s">
        <v>1348</v>
      </c>
      <c r="C179" s="705" t="s">
        <v>2262</v>
      </c>
      <c r="D179" s="705" t="s">
        <v>2029</v>
      </c>
      <c r="F179" s="705" t="s">
        <v>1342</v>
      </c>
      <c r="G179" s="705" t="s">
        <v>1342</v>
      </c>
    </row>
    <row r="180" spans="1:7">
      <c r="A180" s="705" t="s">
        <v>1221</v>
      </c>
      <c r="B180" s="705" t="s">
        <v>1222</v>
      </c>
      <c r="C180" s="705" t="s">
        <v>2263</v>
      </c>
      <c r="D180" s="705" t="s">
        <v>2029</v>
      </c>
      <c r="F180" s="705" t="s">
        <v>1122</v>
      </c>
      <c r="G180" s="705" t="s">
        <v>1988</v>
      </c>
    </row>
    <row r="181" spans="1:7">
      <c r="A181" s="705" t="s">
        <v>1274</v>
      </c>
      <c r="B181" s="705" t="s">
        <v>1275</v>
      </c>
      <c r="C181" s="705" t="s">
        <v>2264</v>
      </c>
      <c r="D181" s="705" t="s">
        <v>2029</v>
      </c>
      <c r="F181" s="705" t="s">
        <v>1258</v>
      </c>
      <c r="G181" s="705" t="s">
        <v>1991</v>
      </c>
    </row>
    <row r="182" spans="1:7">
      <c r="A182" s="705" t="s">
        <v>1408</v>
      </c>
      <c r="B182" s="705" t="s">
        <v>1409</v>
      </c>
      <c r="C182" s="705" t="s">
        <v>2265</v>
      </c>
      <c r="D182" s="705" t="s">
        <v>2029</v>
      </c>
      <c r="F182" s="705" t="s">
        <v>1341</v>
      </c>
      <c r="G182" s="705" t="s">
        <v>2020</v>
      </c>
    </row>
    <row r="183" spans="1:7">
      <c r="A183" s="705" t="s">
        <v>1309</v>
      </c>
      <c r="B183" s="705" t="s">
        <v>1310</v>
      </c>
      <c r="C183" s="705" t="s">
        <v>1311</v>
      </c>
      <c r="D183" s="705" t="s">
        <v>1985</v>
      </c>
      <c r="E183" s="705" t="s">
        <v>2405</v>
      </c>
      <c r="F183" s="705" t="s">
        <v>1165</v>
      </c>
      <c r="G183" s="705" t="s">
        <v>2013</v>
      </c>
    </row>
    <row r="184" spans="1:7">
      <c r="A184" s="705" t="s">
        <v>1312</v>
      </c>
      <c r="B184" s="705" t="s">
        <v>1313</v>
      </c>
      <c r="C184" s="705" t="s">
        <v>1314</v>
      </c>
      <c r="D184" s="705" t="s">
        <v>1985</v>
      </c>
      <c r="E184" s="705" t="s">
        <v>2405</v>
      </c>
      <c r="F184" s="705" t="s">
        <v>1165</v>
      </c>
      <c r="G184" s="705" t="s">
        <v>2013</v>
      </c>
    </row>
    <row r="185" spans="1:7">
      <c r="A185" s="705" t="s">
        <v>1315</v>
      </c>
      <c r="B185" s="705" t="s">
        <v>1316</v>
      </c>
      <c r="C185" s="705" t="s">
        <v>1317</v>
      </c>
      <c r="D185" s="705" t="s">
        <v>1985</v>
      </c>
      <c r="E185" s="705" t="s">
        <v>2405</v>
      </c>
      <c r="F185" s="705" t="s">
        <v>1165</v>
      </c>
      <c r="G185" s="705" t="s">
        <v>2013</v>
      </c>
    </row>
    <row r="186" spans="1:7">
      <c r="A186" s="705" t="s">
        <v>1330</v>
      </c>
      <c r="B186" s="705" t="s">
        <v>1331</v>
      </c>
      <c r="C186" s="705" t="s">
        <v>2266</v>
      </c>
      <c r="D186" s="705" t="s">
        <v>1985</v>
      </c>
      <c r="E186" s="705" t="s">
        <v>2405</v>
      </c>
      <c r="F186" s="705" t="s">
        <v>1165</v>
      </c>
      <c r="G186" s="705" t="s">
        <v>2012</v>
      </c>
    </row>
    <row r="187" spans="1:7">
      <c r="A187" s="705" t="s">
        <v>1476</v>
      </c>
      <c r="B187" s="705" t="s">
        <v>2267</v>
      </c>
      <c r="C187" s="705" t="s">
        <v>2268</v>
      </c>
      <c r="D187" s="705" t="s">
        <v>1985</v>
      </c>
      <c r="E187" s="705" t="s">
        <v>1129</v>
      </c>
      <c r="F187" s="705" t="s">
        <v>1461</v>
      </c>
      <c r="G187" s="705" t="s">
        <v>2022</v>
      </c>
    </row>
    <row r="188" spans="1:7">
      <c r="A188" s="705" t="s">
        <v>1332</v>
      </c>
      <c r="B188" s="705" t="s">
        <v>2269</v>
      </c>
      <c r="C188" s="705" t="s">
        <v>2270</v>
      </c>
      <c r="D188" s="705" t="s">
        <v>1985</v>
      </c>
      <c r="E188" s="705" t="s">
        <v>1129</v>
      </c>
      <c r="F188" s="705" t="s">
        <v>1165</v>
      </c>
      <c r="G188" s="705" t="s">
        <v>2012</v>
      </c>
    </row>
    <row r="189" spans="1:7">
      <c r="A189" s="705" t="s">
        <v>1393</v>
      </c>
      <c r="B189" s="705" t="s">
        <v>2271</v>
      </c>
      <c r="C189" s="705" t="s">
        <v>2272</v>
      </c>
      <c r="D189" s="705" t="s">
        <v>1985</v>
      </c>
      <c r="E189" s="705" t="s">
        <v>1129</v>
      </c>
      <c r="F189" s="705" t="s">
        <v>1390</v>
      </c>
      <c r="G189" s="705" t="s">
        <v>2018</v>
      </c>
    </row>
    <row r="190" spans="1:7">
      <c r="A190" s="705" t="s">
        <v>1156</v>
      </c>
      <c r="B190" s="705" t="s">
        <v>2273</v>
      </c>
      <c r="C190" s="705" t="s">
        <v>2274</v>
      </c>
      <c r="D190" s="705" t="s">
        <v>1985</v>
      </c>
      <c r="E190" s="705" t="s">
        <v>1129</v>
      </c>
      <c r="F190" s="705" t="s">
        <v>1122</v>
      </c>
      <c r="G190" s="705" t="s">
        <v>1122</v>
      </c>
    </row>
    <row r="191" spans="1:7">
      <c r="A191" s="705" t="s">
        <v>1197</v>
      </c>
      <c r="B191" s="705" t="s">
        <v>2275</v>
      </c>
      <c r="C191" s="705" t="s">
        <v>2276</v>
      </c>
      <c r="D191" s="705" t="s">
        <v>1985</v>
      </c>
      <c r="E191" s="705" t="s">
        <v>1129</v>
      </c>
      <c r="F191" s="705" t="s">
        <v>1122</v>
      </c>
      <c r="G191" s="705" t="s">
        <v>1987</v>
      </c>
    </row>
    <row r="192" spans="1:7">
      <c r="A192" s="705" t="s">
        <v>1298</v>
      </c>
      <c r="B192" s="705" t="s">
        <v>2277</v>
      </c>
      <c r="C192" s="705" t="s">
        <v>2278</v>
      </c>
      <c r="D192" s="705" t="s">
        <v>1985</v>
      </c>
      <c r="E192" s="705" t="s">
        <v>1129</v>
      </c>
      <c r="F192" s="705" t="s">
        <v>1282</v>
      </c>
      <c r="G192" s="705" t="s">
        <v>1282</v>
      </c>
    </row>
    <row r="193" spans="1:7">
      <c r="A193" s="705" t="s">
        <v>1318</v>
      </c>
      <c r="B193" s="705" t="s">
        <v>2279</v>
      </c>
      <c r="C193" s="705" t="s">
        <v>2280</v>
      </c>
      <c r="D193" s="705" t="s">
        <v>1985</v>
      </c>
      <c r="E193" s="705" t="s">
        <v>1129</v>
      </c>
      <c r="F193" s="705" t="s">
        <v>1165</v>
      </c>
      <c r="G193" s="705" t="s">
        <v>2013</v>
      </c>
    </row>
    <row r="194" spans="1:7">
      <c r="A194" s="705" t="s">
        <v>1394</v>
      </c>
      <c r="B194" s="705" t="s">
        <v>2281</v>
      </c>
      <c r="C194" s="705" t="s">
        <v>2282</v>
      </c>
      <c r="D194" s="705" t="s">
        <v>1985</v>
      </c>
      <c r="E194" s="705" t="s">
        <v>1129</v>
      </c>
      <c r="F194" s="705" t="s">
        <v>1390</v>
      </c>
      <c r="G194" s="705" t="s">
        <v>2018</v>
      </c>
    </row>
    <row r="195" spans="1:7">
      <c r="A195" s="705" t="s">
        <v>1337</v>
      </c>
      <c r="B195" s="705" t="s">
        <v>2283</v>
      </c>
      <c r="C195" s="705" t="s">
        <v>2284</v>
      </c>
      <c r="D195" s="705" t="s">
        <v>1985</v>
      </c>
      <c r="E195" s="705" t="s">
        <v>1129</v>
      </c>
      <c r="F195" s="705" t="s">
        <v>1165</v>
      </c>
      <c r="G195" s="705" t="s">
        <v>1165</v>
      </c>
    </row>
    <row r="196" spans="1:7">
      <c r="A196" s="705" t="s">
        <v>1157</v>
      </c>
      <c r="B196" s="705" t="s">
        <v>2285</v>
      </c>
      <c r="C196" s="705" t="s">
        <v>2286</v>
      </c>
      <c r="D196" s="705" t="s">
        <v>1985</v>
      </c>
      <c r="E196" s="705" t="s">
        <v>1129</v>
      </c>
      <c r="F196" s="705" t="s">
        <v>1122</v>
      </c>
      <c r="G196" s="705" t="s">
        <v>1122</v>
      </c>
    </row>
    <row r="197" spans="1:7">
      <c r="A197" s="705" t="s">
        <v>1364</v>
      </c>
      <c r="B197" s="705" t="s">
        <v>2287</v>
      </c>
      <c r="C197" s="705" t="s">
        <v>2288</v>
      </c>
      <c r="D197" s="705" t="s">
        <v>1985</v>
      </c>
      <c r="E197" s="705" t="s">
        <v>1129</v>
      </c>
      <c r="F197" s="705" t="s">
        <v>1356</v>
      </c>
      <c r="G197" s="705" t="s">
        <v>2014</v>
      </c>
    </row>
    <row r="198" spans="1:7">
      <c r="A198" s="705" t="s">
        <v>1292</v>
      </c>
      <c r="B198" s="705" t="s">
        <v>2289</v>
      </c>
      <c r="C198" s="705" t="s">
        <v>2290</v>
      </c>
      <c r="D198" s="705" t="s">
        <v>1985</v>
      </c>
      <c r="E198" s="705" t="s">
        <v>1129</v>
      </c>
      <c r="F198" s="705" t="s">
        <v>1283</v>
      </c>
      <c r="G198" s="705" t="s">
        <v>2010</v>
      </c>
    </row>
    <row r="199" spans="1:7">
      <c r="A199" s="705" t="s">
        <v>1437</v>
      </c>
      <c r="B199" s="705" t="s">
        <v>2291</v>
      </c>
      <c r="C199" s="705" t="s">
        <v>2292</v>
      </c>
      <c r="D199" s="705" t="s">
        <v>1985</v>
      </c>
      <c r="E199" s="705" t="s">
        <v>1129</v>
      </c>
      <c r="F199" s="705" t="s">
        <v>1341</v>
      </c>
      <c r="G199" s="705" t="s">
        <v>1341</v>
      </c>
    </row>
    <row r="200" spans="1:7">
      <c r="A200" s="705" t="s">
        <v>1255</v>
      </c>
      <c r="B200" s="705" t="s">
        <v>2293</v>
      </c>
      <c r="C200" s="705" t="s">
        <v>2294</v>
      </c>
      <c r="D200" s="705" t="s">
        <v>1985</v>
      </c>
      <c r="E200" s="705" t="s">
        <v>1129</v>
      </c>
      <c r="F200" s="705" t="s">
        <v>1242</v>
      </c>
      <c r="G200" s="705" t="s">
        <v>1989</v>
      </c>
    </row>
    <row r="201" spans="1:7">
      <c r="A201" s="705" t="s">
        <v>1410</v>
      </c>
      <c r="B201" s="705" t="s">
        <v>2295</v>
      </c>
      <c r="C201" s="705" t="s">
        <v>2296</v>
      </c>
      <c r="D201" s="705" t="s">
        <v>2029</v>
      </c>
      <c r="F201" s="705" t="s">
        <v>1341</v>
      </c>
      <c r="G201" s="705" t="s">
        <v>2020</v>
      </c>
    </row>
    <row r="202" spans="1:7">
      <c r="A202" s="705" t="s">
        <v>1438</v>
      </c>
      <c r="B202" s="705" t="s">
        <v>1439</v>
      </c>
      <c r="C202" s="705" t="s">
        <v>1440</v>
      </c>
      <c r="D202" s="705" t="s">
        <v>2029</v>
      </c>
      <c r="F202" s="705" t="s">
        <v>1341</v>
      </c>
      <c r="G202" s="705" t="s">
        <v>1341</v>
      </c>
    </row>
    <row r="203" spans="1:7">
      <c r="A203" s="705" t="s">
        <v>1375</v>
      </c>
      <c r="B203" s="705" t="s">
        <v>2297</v>
      </c>
      <c r="C203" s="705" t="s">
        <v>2298</v>
      </c>
      <c r="D203" s="705" t="s">
        <v>2029</v>
      </c>
      <c r="F203" s="705" t="s">
        <v>1356</v>
      </c>
      <c r="G203" s="705" t="s">
        <v>1357</v>
      </c>
    </row>
    <row r="204" spans="1:7">
      <c r="A204" s="705" t="s">
        <v>1411</v>
      </c>
      <c r="B204" s="705" t="s">
        <v>1412</v>
      </c>
      <c r="C204" s="705" t="s">
        <v>2299</v>
      </c>
      <c r="D204" s="705" t="s">
        <v>2029</v>
      </c>
      <c r="F204" s="705" t="s">
        <v>1341</v>
      </c>
      <c r="G204" s="705" t="s">
        <v>2020</v>
      </c>
    </row>
    <row r="205" spans="1:7">
      <c r="A205" s="705" t="s">
        <v>1158</v>
      </c>
      <c r="B205" s="705" t="s">
        <v>1159</v>
      </c>
      <c r="C205" s="705" t="s">
        <v>1160</v>
      </c>
      <c r="D205" s="705" t="s">
        <v>2029</v>
      </c>
      <c r="F205" s="705" t="s">
        <v>1122</v>
      </c>
      <c r="G205" s="705" t="s">
        <v>1122</v>
      </c>
    </row>
    <row r="206" spans="1:7">
      <c r="A206" s="705" t="s">
        <v>1349</v>
      </c>
      <c r="B206" s="705" t="s">
        <v>1350</v>
      </c>
      <c r="C206" s="705" t="s">
        <v>1351</v>
      </c>
      <c r="D206" s="705" t="s">
        <v>2029</v>
      </c>
      <c r="F206" s="705" t="s">
        <v>1342</v>
      </c>
      <c r="G206" s="705" t="s">
        <v>2039</v>
      </c>
    </row>
    <row r="207" spans="1:7">
      <c r="A207" s="705" t="s">
        <v>1352</v>
      </c>
      <c r="B207" s="705" t="s">
        <v>1353</v>
      </c>
      <c r="C207" s="705" t="s">
        <v>2300</v>
      </c>
      <c r="D207" s="705" t="s">
        <v>2029</v>
      </c>
      <c r="F207" s="705" t="s">
        <v>1342</v>
      </c>
      <c r="G207" s="705" t="s">
        <v>1342</v>
      </c>
    </row>
    <row r="208" spans="1:7">
      <c r="A208" s="705" t="s">
        <v>1319</v>
      </c>
      <c r="B208" s="705" t="s">
        <v>2301</v>
      </c>
      <c r="C208" s="705" t="s">
        <v>2302</v>
      </c>
      <c r="D208" s="705" t="s">
        <v>1985</v>
      </c>
      <c r="E208" s="705" t="s">
        <v>2405</v>
      </c>
      <c r="F208" s="705" t="s">
        <v>1165</v>
      </c>
      <c r="G208" s="705" t="s">
        <v>2013</v>
      </c>
    </row>
    <row r="209" spans="1:7">
      <c r="A209" s="705" t="s">
        <v>1237</v>
      </c>
      <c r="B209" s="705" t="s">
        <v>2303</v>
      </c>
      <c r="C209" s="705" t="s">
        <v>1238</v>
      </c>
      <c r="D209" s="705" t="s">
        <v>2029</v>
      </c>
      <c r="F209" s="705" t="s">
        <v>1122</v>
      </c>
      <c r="G209" s="705" t="s">
        <v>1986</v>
      </c>
    </row>
    <row r="210" spans="1:7">
      <c r="A210" s="705" t="s">
        <v>1223</v>
      </c>
      <c r="B210" s="705" t="s">
        <v>1224</v>
      </c>
      <c r="C210" s="705" t="s">
        <v>1225</v>
      </c>
      <c r="D210" s="705" t="s">
        <v>2029</v>
      </c>
      <c r="F210" s="705" t="s">
        <v>1122</v>
      </c>
      <c r="G210" s="705" t="s">
        <v>1988</v>
      </c>
    </row>
    <row r="211" spans="1:7">
      <c r="A211" s="705" t="s">
        <v>1303</v>
      </c>
      <c r="B211" s="705" t="s">
        <v>2304</v>
      </c>
      <c r="C211" s="705" t="s">
        <v>2305</v>
      </c>
      <c r="D211" s="705" t="s">
        <v>2029</v>
      </c>
      <c r="F211" s="705" t="s">
        <v>1282</v>
      </c>
      <c r="G211" s="705" t="s">
        <v>2001</v>
      </c>
    </row>
    <row r="212" spans="1:7">
      <c r="A212" s="705" t="s">
        <v>1413</v>
      </c>
      <c r="B212" s="705" t="s">
        <v>2306</v>
      </c>
      <c r="C212" s="705" t="s">
        <v>2307</v>
      </c>
      <c r="D212" s="705" t="s">
        <v>1985</v>
      </c>
      <c r="E212" s="705" t="s">
        <v>1129</v>
      </c>
      <c r="F212" s="705" t="s">
        <v>1341</v>
      </c>
      <c r="G212" s="705" t="s">
        <v>2020</v>
      </c>
    </row>
    <row r="213" spans="1:7">
      <c r="A213" s="705" t="s">
        <v>1365</v>
      </c>
      <c r="B213" s="705" t="s">
        <v>2308</v>
      </c>
      <c r="C213" s="705" t="s">
        <v>2309</v>
      </c>
      <c r="D213" s="705" t="s">
        <v>1985</v>
      </c>
      <c r="E213" s="705" t="s">
        <v>1129</v>
      </c>
      <c r="F213" s="705" t="s">
        <v>1356</v>
      </c>
      <c r="G213" s="705" t="s">
        <v>2014</v>
      </c>
    </row>
    <row r="214" spans="1:7">
      <c r="A214" s="705" t="s">
        <v>1293</v>
      </c>
      <c r="B214" s="705" t="s">
        <v>2310</v>
      </c>
      <c r="C214" s="705" t="s">
        <v>2311</v>
      </c>
      <c r="D214" s="705" t="s">
        <v>1985</v>
      </c>
      <c r="E214" s="705" t="s">
        <v>1129</v>
      </c>
      <c r="F214" s="705" t="s">
        <v>1283</v>
      </c>
      <c r="G214" s="705" t="s">
        <v>2010</v>
      </c>
    </row>
    <row r="215" spans="1:7">
      <c r="A215" s="705" t="s">
        <v>1161</v>
      </c>
      <c r="B215" s="705" t="s">
        <v>2312</v>
      </c>
      <c r="C215" s="705" t="s">
        <v>2313</v>
      </c>
      <c r="D215" s="705" t="s">
        <v>1985</v>
      </c>
      <c r="E215" s="705" t="s">
        <v>1129</v>
      </c>
      <c r="F215" s="705" t="s">
        <v>1122</v>
      </c>
      <c r="G215" s="705" t="s">
        <v>1122</v>
      </c>
    </row>
    <row r="216" spans="1:7">
      <c r="A216" s="705" t="s">
        <v>1162</v>
      </c>
      <c r="B216" s="705" t="s">
        <v>2314</v>
      </c>
      <c r="C216" s="705" t="s">
        <v>2315</v>
      </c>
      <c r="D216" s="705" t="s">
        <v>1985</v>
      </c>
      <c r="E216" s="705" t="s">
        <v>1129</v>
      </c>
      <c r="F216" s="705" t="s">
        <v>1122</v>
      </c>
      <c r="G216" s="705" t="s">
        <v>1122</v>
      </c>
    </row>
    <row r="217" spans="1:7">
      <c r="A217" s="705" t="s">
        <v>1163</v>
      </c>
      <c r="B217" s="705" t="s">
        <v>2031</v>
      </c>
      <c r="C217" s="705" t="s">
        <v>1164</v>
      </c>
      <c r="D217" s="705" t="s">
        <v>2029</v>
      </c>
      <c r="F217" s="705" t="s">
        <v>1122</v>
      </c>
      <c r="G217" s="705" t="s">
        <v>1122</v>
      </c>
    </row>
    <row r="218" spans="1:7">
      <c r="A218" s="705" t="s">
        <v>1333</v>
      </c>
      <c r="B218" s="705" t="s">
        <v>2038</v>
      </c>
      <c r="C218" s="705" t="s">
        <v>1334</v>
      </c>
      <c r="D218" s="705" t="s">
        <v>2029</v>
      </c>
      <c r="F218" s="705" t="s">
        <v>1165</v>
      </c>
      <c r="G218" s="705" t="s">
        <v>2012</v>
      </c>
    </row>
    <row r="219" spans="1:7">
      <c r="A219" s="705" t="s">
        <v>1166</v>
      </c>
      <c r="B219" s="705" t="s">
        <v>2032</v>
      </c>
      <c r="C219" s="705" t="s">
        <v>2316</v>
      </c>
      <c r="D219" s="705" t="s">
        <v>2029</v>
      </c>
      <c r="F219" s="705" t="s">
        <v>1122</v>
      </c>
      <c r="G219" s="705" t="s">
        <v>1122</v>
      </c>
    </row>
    <row r="220" spans="1:7">
      <c r="A220" s="705" t="s">
        <v>1167</v>
      </c>
      <c r="B220" s="705" t="s">
        <v>2317</v>
      </c>
      <c r="C220" s="705" t="s">
        <v>2318</v>
      </c>
      <c r="D220" s="705" t="s">
        <v>2029</v>
      </c>
      <c r="F220" s="705" t="s">
        <v>1122</v>
      </c>
      <c r="G220" s="705" t="s">
        <v>1122</v>
      </c>
    </row>
    <row r="221" spans="1:7">
      <c r="A221" s="705" t="s">
        <v>1198</v>
      </c>
      <c r="B221" s="705" t="s">
        <v>2319</v>
      </c>
      <c r="C221" s="705" t="s">
        <v>1199</v>
      </c>
      <c r="D221" s="705" t="s">
        <v>2029</v>
      </c>
      <c r="F221" s="705" t="s">
        <v>1122</v>
      </c>
      <c r="G221" s="705" t="s">
        <v>1987</v>
      </c>
    </row>
    <row r="222" spans="1:7">
      <c r="A222" s="705" t="s">
        <v>1168</v>
      </c>
      <c r="B222" s="705" t="s">
        <v>2320</v>
      </c>
      <c r="C222" s="705" t="s">
        <v>2321</v>
      </c>
      <c r="D222" s="705" t="s">
        <v>1985</v>
      </c>
      <c r="E222" s="705" t="s">
        <v>1129</v>
      </c>
      <c r="F222" s="705" t="s">
        <v>1122</v>
      </c>
      <c r="G222" s="705" t="s">
        <v>1122</v>
      </c>
    </row>
    <row r="223" spans="1:7">
      <c r="A223" s="705" t="s">
        <v>1169</v>
      </c>
      <c r="B223" s="705" t="s">
        <v>2322</v>
      </c>
      <c r="C223" s="705" t="s">
        <v>2323</v>
      </c>
      <c r="D223" s="705" t="s">
        <v>1985</v>
      </c>
      <c r="E223" s="705" t="s">
        <v>1129</v>
      </c>
      <c r="F223" s="705" t="s">
        <v>1122</v>
      </c>
      <c r="G223" s="705" t="s">
        <v>1122</v>
      </c>
    </row>
    <row r="224" spans="1:7">
      <c r="A224" s="705" t="s">
        <v>1170</v>
      </c>
      <c r="B224" s="705" t="s">
        <v>2324</v>
      </c>
      <c r="C224" s="705" t="s">
        <v>2325</v>
      </c>
      <c r="D224" s="705" t="s">
        <v>1985</v>
      </c>
      <c r="E224" s="705" t="s">
        <v>1129</v>
      </c>
      <c r="F224" s="705" t="s">
        <v>1122</v>
      </c>
      <c r="G224" s="705" t="s">
        <v>1122</v>
      </c>
    </row>
    <row r="225" spans="1:7">
      <c r="A225" s="705" t="s">
        <v>1171</v>
      </c>
      <c r="B225" s="705" t="s">
        <v>2326</v>
      </c>
      <c r="C225" s="705" t="s">
        <v>2327</v>
      </c>
      <c r="D225" s="705" t="s">
        <v>1985</v>
      </c>
      <c r="E225" s="705" t="s">
        <v>1129</v>
      </c>
      <c r="F225" s="705" t="s">
        <v>1122</v>
      </c>
      <c r="G225" s="705" t="s">
        <v>1122</v>
      </c>
    </row>
    <row r="226" spans="1:7">
      <c r="A226" s="705" t="s">
        <v>1414</v>
      </c>
      <c r="B226" s="705" t="s">
        <v>2328</v>
      </c>
      <c r="C226" s="705" t="s">
        <v>2329</v>
      </c>
      <c r="D226" s="705" t="s">
        <v>1985</v>
      </c>
      <c r="E226" s="705" t="s">
        <v>1129</v>
      </c>
      <c r="F226" s="705" t="s">
        <v>1341</v>
      </c>
      <c r="G226" s="705" t="s">
        <v>2020</v>
      </c>
    </row>
    <row r="227" spans="1:7">
      <c r="A227" s="705" t="s">
        <v>1376</v>
      </c>
      <c r="B227" s="705" t="s">
        <v>2330</v>
      </c>
      <c r="C227" s="705" t="s">
        <v>2331</v>
      </c>
      <c r="D227" s="705" t="s">
        <v>1985</v>
      </c>
      <c r="E227" s="705" t="s">
        <v>1129</v>
      </c>
      <c r="F227" s="705" t="s">
        <v>1356</v>
      </c>
      <c r="G227" s="705" t="s">
        <v>1357</v>
      </c>
    </row>
    <row r="228" spans="1:7">
      <c r="A228" s="705" t="s">
        <v>1459</v>
      </c>
      <c r="B228" s="705" t="s">
        <v>2332</v>
      </c>
      <c r="C228" s="705" t="s">
        <v>2333</v>
      </c>
      <c r="D228" s="705" t="s">
        <v>1985</v>
      </c>
      <c r="E228" s="705" t="s">
        <v>1129</v>
      </c>
      <c r="F228" s="705" t="s">
        <v>1341</v>
      </c>
      <c r="G228" s="705" t="s">
        <v>1446</v>
      </c>
    </row>
    <row r="229" spans="1:7">
      <c r="A229" s="705" t="s">
        <v>1441</v>
      </c>
      <c r="B229" s="705" t="s">
        <v>2334</v>
      </c>
      <c r="C229" s="705" t="s">
        <v>2335</v>
      </c>
      <c r="D229" s="705" t="s">
        <v>1985</v>
      </c>
      <c r="E229" s="705" t="s">
        <v>1129</v>
      </c>
      <c r="F229" s="705" t="s">
        <v>1341</v>
      </c>
      <c r="G229" s="705" t="s">
        <v>1341</v>
      </c>
    </row>
    <row r="230" spans="1:7">
      <c r="A230" s="705" t="s">
        <v>1279</v>
      </c>
      <c r="B230" s="705" t="s">
        <v>2336</v>
      </c>
      <c r="C230" s="705" t="s">
        <v>2337</v>
      </c>
      <c r="D230" s="705" t="s">
        <v>1985</v>
      </c>
      <c r="E230" s="705" t="s">
        <v>1129</v>
      </c>
      <c r="F230" s="705" t="s">
        <v>1258</v>
      </c>
      <c r="G230" s="705" t="s">
        <v>1280</v>
      </c>
    </row>
    <row r="231" spans="1:7">
      <c r="A231" s="705" t="s">
        <v>1287</v>
      </c>
      <c r="B231" s="705" t="s">
        <v>2338</v>
      </c>
      <c r="C231" s="705" t="s">
        <v>2339</v>
      </c>
      <c r="D231" s="705" t="s">
        <v>1985</v>
      </c>
      <c r="E231" s="705" t="s">
        <v>1129</v>
      </c>
      <c r="F231" s="705" t="s">
        <v>1283</v>
      </c>
      <c r="G231" s="705" t="s">
        <v>2011</v>
      </c>
    </row>
    <row r="232" spans="1:7">
      <c r="A232" s="705" t="s">
        <v>1415</v>
      </c>
      <c r="B232" s="705" t="s">
        <v>2340</v>
      </c>
      <c r="C232" s="705" t="s">
        <v>2341</v>
      </c>
      <c r="D232" s="705" t="s">
        <v>2029</v>
      </c>
      <c r="F232" s="705" t="s">
        <v>1341</v>
      </c>
      <c r="G232" s="705" t="s">
        <v>2020</v>
      </c>
    </row>
    <row r="233" spans="1:7">
      <c r="A233" s="705" t="s">
        <v>1226</v>
      </c>
      <c r="B233" s="705" t="s">
        <v>2342</v>
      </c>
      <c r="C233" s="705" t="s">
        <v>2343</v>
      </c>
      <c r="D233" s="705" t="s">
        <v>1985</v>
      </c>
      <c r="E233" s="705" t="s">
        <v>1176</v>
      </c>
      <c r="F233" s="705" t="s">
        <v>1122</v>
      </c>
      <c r="G233" s="705" t="s">
        <v>1988</v>
      </c>
    </row>
    <row r="234" spans="1:7">
      <c r="A234" s="705" t="s">
        <v>1416</v>
      </c>
      <c r="B234" s="705" t="s">
        <v>1417</v>
      </c>
      <c r="C234" s="705" t="s">
        <v>2344</v>
      </c>
      <c r="D234" s="705" t="s">
        <v>1985</v>
      </c>
      <c r="E234" s="705" t="s">
        <v>1176</v>
      </c>
      <c r="F234" s="705" t="s">
        <v>1341</v>
      </c>
      <c r="G234" s="705" t="s">
        <v>2020</v>
      </c>
    </row>
    <row r="235" spans="1:7">
      <c r="A235" s="705" t="s">
        <v>1442</v>
      </c>
      <c r="B235" s="705" t="s">
        <v>1443</v>
      </c>
      <c r="C235" s="705" t="s">
        <v>2345</v>
      </c>
      <c r="D235" s="705" t="s">
        <v>1985</v>
      </c>
      <c r="E235" s="705" t="s">
        <v>1176</v>
      </c>
      <c r="F235" s="705" t="s">
        <v>1341</v>
      </c>
      <c r="G235" s="705" t="s">
        <v>1341</v>
      </c>
    </row>
    <row r="236" spans="1:7">
      <c r="A236" s="705" t="s">
        <v>1249</v>
      </c>
      <c r="B236" s="705" t="s">
        <v>1250</v>
      </c>
      <c r="C236" s="705" t="s">
        <v>2346</v>
      </c>
      <c r="D236" s="705" t="s">
        <v>1985</v>
      </c>
      <c r="E236" s="705" t="s">
        <v>1176</v>
      </c>
      <c r="F236" s="705" t="s">
        <v>1242</v>
      </c>
      <c r="G236" s="705" t="s">
        <v>1242</v>
      </c>
    </row>
    <row r="237" spans="1:7">
      <c r="A237" s="705" t="s">
        <v>1299</v>
      </c>
      <c r="B237" s="705" t="s">
        <v>1300</v>
      </c>
      <c r="C237" s="705" t="s">
        <v>2347</v>
      </c>
      <c r="D237" s="705" t="s">
        <v>1985</v>
      </c>
      <c r="E237" s="705" t="s">
        <v>1176</v>
      </c>
      <c r="F237" s="705" t="s">
        <v>1282</v>
      </c>
      <c r="G237" s="705" t="s">
        <v>1282</v>
      </c>
    </row>
    <row r="238" spans="1:7">
      <c r="A238" s="705" t="s">
        <v>1386</v>
      </c>
      <c r="B238" s="705" t="s">
        <v>2348</v>
      </c>
      <c r="C238" s="705" t="s">
        <v>2349</v>
      </c>
      <c r="D238" s="705" t="s">
        <v>1985</v>
      </c>
      <c r="E238" s="705" t="s">
        <v>1176</v>
      </c>
      <c r="F238" s="705" t="s">
        <v>1356</v>
      </c>
      <c r="G238" s="705" t="s">
        <v>1356</v>
      </c>
    </row>
    <row r="239" spans="1:7">
      <c r="A239" s="705" t="s">
        <v>1354</v>
      </c>
      <c r="B239" s="705" t="s">
        <v>1355</v>
      </c>
      <c r="C239" s="705" t="s">
        <v>2350</v>
      </c>
      <c r="D239" s="705" t="s">
        <v>1985</v>
      </c>
      <c r="E239" s="705" t="s">
        <v>1176</v>
      </c>
      <c r="F239" s="705" t="s">
        <v>1342</v>
      </c>
      <c r="G239" s="705" t="s">
        <v>1342</v>
      </c>
    </row>
    <row r="240" spans="1:7">
      <c r="A240" s="705" t="s">
        <v>1401</v>
      </c>
      <c r="B240" s="705" t="s">
        <v>2351</v>
      </c>
      <c r="C240" s="705" t="s">
        <v>2352</v>
      </c>
      <c r="D240" s="705" t="s">
        <v>1985</v>
      </c>
      <c r="E240" s="705" t="s">
        <v>1176</v>
      </c>
      <c r="F240" s="705" t="s">
        <v>1390</v>
      </c>
      <c r="G240" s="705" t="s">
        <v>1390</v>
      </c>
    </row>
    <row r="241" spans="1:7">
      <c r="A241" s="705" t="s">
        <v>1480</v>
      </c>
      <c r="B241" s="705" t="s">
        <v>1481</v>
      </c>
      <c r="C241" s="705" t="s">
        <v>2353</v>
      </c>
      <c r="D241" s="705" t="s">
        <v>1985</v>
      </c>
      <c r="E241" s="705" t="s">
        <v>1176</v>
      </c>
      <c r="F241" s="705" t="s">
        <v>1461</v>
      </c>
      <c r="G241" s="705" t="s">
        <v>1461</v>
      </c>
    </row>
    <row r="242" spans="1:7">
      <c r="A242" s="705" t="s">
        <v>1288</v>
      </c>
      <c r="B242" s="705" t="s">
        <v>1289</v>
      </c>
      <c r="C242" s="705" t="s">
        <v>2354</v>
      </c>
      <c r="D242" s="705" t="s">
        <v>1985</v>
      </c>
      <c r="E242" s="705" t="s">
        <v>1176</v>
      </c>
      <c r="F242" s="705" t="s">
        <v>1283</v>
      </c>
      <c r="G242" s="705" t="s">
        <v>1283</v>
      </c>
    </row>
    <row r="243" spans="1:7">
      <c r="A243" s="705" t="s">
        <v>1227</v>
      </c>
      <c r="B243" s="705" t="s">
        <v>2355</v>
      </c>
      <c r="C243" s="705" t="s">
        <v>1228</v>
      </c>
      <c r="D243" s="705" t="s">
        <v>2029</v>
      </c>
      <c r="F243" s="705" t="s">
        <v>1122</v>
      </c>
      <c r="G243" s="705" t="s">
        <v>1988</v>
      </c>
    </row>
    <row r="244" spans="1:7">
      <c r="A244" s="705" t="s">
        <v>1172</v>
      </c>
      <c r="B244" s="705" t="s">
        <v>1173</v>
      </c>
      <c r="C244" s="705" t="s">
        <v>1174</v>
      </c>
      <c r="D244" s="705" t="s">
        <v>2029</v>
      </c>
      <c r="F244" s="705" t="s">
        <v>1122</v>
      </c>
      <c r="G244" s="705" t="s">
        <v>1122</v>
      </c>
    </row>
    <row r="245" spans="1:7">
      <c r="A245" s="705" t="s">
        <v>1177</v>
      </c>
      <c r="B245" s="705" t="s">
        <v>2356</v>
      </c>
      <c r="C245" s="705" t="s">
        <v>1178</v>
      </c>
      <c r="D245" s="705" t="s">
        <v>2029</v>
      </c>
      <c r="F245" s="705" t="s">
        <v>1122</v>
      </c>
      <c r="G245" s="705" t="s">
        <v>1122</v>
      </c>
    </row>
    <row r="246" spans="1:7">
      <c r="A246" s="705" t="s">
        <v>1179</v>
      </c>
      <c r="B246" s="705" t="s">
        <v>2357</v>
      </c>
      <c r="C246" s="705" t="s">
        <v>2358</v>
      </c>
      <c r="D246" s="705" t="s">
        <v>1985</v>
      </c>
      <c r="E246" s="705" t="s">
        <v>2023</v>
      </c>
      <c r="F246" s="705" t="s">
        <v>1122</v>
      </c>
      <c r="G246" s="705" t="s">
        <v>1122</v>
      </c>
    </row>
    <row r="247" spans="1:7">
      <c r="A247" s="705" t="s">
        <v>1418</v>
      </c>
      <c r="B247" s="705" t="s">
        <v>2359</v>
      </c>
      <c r="C247" s="705" t="s">
        <v>1850</v>
      </c>
      <c r="D247" s="705" t="s">
        <v>1985</v>
      </c>
      <c r="E247" s="705" t="s">
        <v>2023</v>
      </c>
      <c r="F247" s="705" t="s">
        <v>1341</v>
      </c>
      <c r="G247" s="705" t="s">
        <v>2020</v>
      </c>
    </row>
    <row r="248" spans="1:7">
      <c r="A248" s="705" t="s">
        <v>1239</v>
      </c>
      <c r="B248" s="705" t="s">
        <v>2360</v>
      </c>
      <c r="C248" s="705" t="s">
        <v>2361</v>
      </c>
      <c r="D248" s="705" t="s">
        <v>1985</v>
      </c>
      <c r="E248" s="705" t="s">
        <v>2023</v>
      </c>
      <c r="F248" s="705" t="s">
        <v>1122</v>
      </c>
      <c r="G248" s="705" t="s">
        <v>1986</v>
      </c>
    </row>
    <row r="249" spans="1:7">
      <c r="A249" s="705" t="s">
        <v>1229</v>
      </c>
      <c r="B249" s="705" t="s">
        <v>2362</v>
      </c>
      <c r="C249" s="705" t="s">
        <v>2363</v>
      </c>
      <c r="D249" s="705" t="s">
        <v>1985</v>
      </c>
      <c r="E249" s="705" t="s">
        <v>2023</v>
      </c>
      <c r="F249" s="705" t="s">
        <v>1122</v>
      </c>
      <c r="G249" s="705" t="s">
        <v>1988</v>
      </c>
    </row>
    <row r="250" spans="1:7">
      <c r="A250" s="705" t="s">
        <v>1180</v>
      </c>
      <c r="B250" s="705" t="s">
        <v>2364</v>
      </c>
      <c r="C250" s="705" t="s">
        <v>2365</v>
      </c>
      <c r="D250" s="705" t="s">
        <v>1985</v>
      </c>
      <c r="E250" s="705" t="s">
        <v>2023</v>
      </c>
      <c r="F250" s="705" t="s">
        <v>1122</v>
      </c>
      <c r="G250" s="705" t="s">
        <v>1122</v>
      </c>
    </row>
    <row r="251" spans="1:7">
      <c r="A251" s="705" t="s">
        <v>1181</v>
      </c>
      <c r="B251" s="705" t="s">
        <v>2366</v>
      </c>
      <c r="C251" s="705" t="s">
        <v>2367</v>
      </c>
      <c r="D251" s="705" t="s">
        <v>1985</v>
      </c>
      <c r="E251" s="705" t="s">
        <v>2023</v>
      </c>
      <c r="F251" s="705" t="s">
        <v>1122</v>
      </c>
      <c r="G251" s="705" t="s">
        <v>1122</v>
      </c>
    </row>
    <row r="252" spans="1:7">
      <c r="A252" s="705" t="s">
        <v>1240</v>
      </c>
      <c r="B252" s="705" t="s">
        <v>2368</v>
      </c>
      <c r="C252" s="705" t="s">
        <v>2369</v>
      </c>
      <c r="D252" s="705" t="s">
        <v>1985</v>
      </c>
      <c r="E252" s="705" t="s">
        <v>2023</v>
      </c>
      <c r="F252" s="705" t="s">
        <v>1122</v>
      </c>
      <c r="G252" s="705" t="s">
        <v>1986</v>
      </c>
    </row>
    <row r="253" spans="1:7">
      <c r="A253" s="705" t="s">
        <v>1460</v>
      </c>
      <c r="B253" s="705" t="s">
        <v>2370</v>
      </c>
      <c r="C253" s="705" t="s">
        <v>2371</v>
      </c>
      <c r="D253" s="705" t="s">
        <v>1985</v>
      </c>
      <c r="E253" s="705" t="s">
        <v>2023</v>
      </c>
      <c r="F253" s="705" t="s">
        <v>1341</v>
      </c>
      <c r="G253" s="705" t="s">
        <v>1446</v>
      </c>
    </row>
    <row r="254" spans="1:7">
      <c r="A254" s="705" t="s">
        <v>1241</v>
      </c>
      <c r="B254" s="705" t="s">
        <v>2372</v>
      </c>
      <c r="C254" s="705" t="s">
        <v>2373</v>
      </c>
      <c r="D254" s="705" t="s">
        <v>1985</v>
      </c>
      <c r="E254" s="705" t="s">
        <v>2023</v>
      </c>
      <c r="F254" s="705" t="s">
        <v>1122</v>
      </c>
      <c r="G254" s="705" t="s">
        <v>1986</v>
      </c>
    </row>
    <row r="255" spans="1:7">
      <c r="A255" s="705" t="s">
        <v>1419</v>
      </c>
      <c r="B255" s="705" t="s">
        <v>1420</v>
      </c>
      <c r="C255" s="705" t="s">
        <v>2374</v>
      </c>
      <c r="D255" s="705" t="s">
        <v>2029</v>
      </c>
      <c r="F255" s="705" t="s">
        <v>1341</v>
      </c>
      <c r="G255" s="705" t="s">
        <v>1341</v>
      </c>
    </row>
    <row r="256" spans="1:7">
      <c r="A256" s="705" t="s">
        <v>2409</v>
      </c>
      <c r="B256" s="705" t="s">
        <v>2375</v>
      </c>
      <c r="C256" s="705" t="s">
        <v>2376</v>
      </c>
      <c r="D256" s="705" t="s">
        <v>2029</v>
      </c>
      <c r="F256" s="705" t="s">
        <v>1165</v>
      </c>
      <c r="G256" s="705" t="s">
        <v>1165</v>
      </c>
    </row>
    <row r="257" spans="1:7">
      <c r="A257" s="705" t="s">
        <v>2410</v>
      </c>
      <c r="B257" s="705" t="s">
        <v>2377</v>
      </c>
      <c r="C257" s="705" t="s">
        <v>2378</v>
      </c>
      <c r="D257" s="705" t="s">
        <v>2029</v>
      </c>
      <c r="F257" s="705" t="s">
        <v>1294</v>
      </c>
      <c r="G257" s="705" t="s">
        <v>1294</v>
      </c>
    </row>
    <row r="258" spans="1:7">
      <c r="A258" s="705" t="s">
        <v>1192</v>
      </c>
      <c r="B258" s="705" t="s">
        <v>2379</v>
      </c>
      <c r="C258" s="705" t="s">
        <v>2380</v>
      </c>
      <c r="D258" s="705" t="s">
        <v>2406</v>
      </c>
      <c r="F258" s="705" t="s">
        <v>1122</v>
      </c>
      <c r="G258" s="705" t="s">
        <v>1122</v>
      </c>
    </row>
    <row r="259" spans="1:7">
      <c r="A259" s="705" t="s">
        <v>1469</v>
      </c>
      <c r="B259" s="705" t="s">
        <v>2381</v>
      </c>
      <c r="C259" s="705" t="s">
        <v>2381</v>
      </c>
      <c r="D259" s="705" t="s">
        <v>2406</v>
      </c>
      <c r="F259" s="705" t="s">
        <v>1461</v>
      </c>
      <c r="G259" s="705" t="s">
        <v>2021</v>
      </c>
    </row>
    <row r="260" spans="1:7">
      <c r="A260" s="705" t="s">
        <v>1458</v>
      </c>
      <c r="B260" s="705" t="s">
        <v>2382</v>
      </c>
      <c r="C260" s="705" t="s">
        <v>1215</v>
      </c>
      <c r="D260" s="705" t="s">
        <v>2406</v>
      </c>
      <c r="F260" s="705" t="s">
        <v>1341</v>
      </c>
      <c r="G260" s="705" t="s">
        <v>1446</v>
      </c>
    </row>
    <row r="261" spans="1:7">
      <c r="A261" s="705" t="s">
        <v>1817</v>
      </c>
      <c r="B261" s="705" t="s">
        <v>2383</v>
      </c>
      <c r="C261" s="705" t="s">
        <v>1248</v>
      </c>
      <c r="D261" s="705" t="s">
        <v>2406</v>
      </c>
      <c r="F261" s="705" t="s">
        <v>1341</v>
      </c>
      <c r="G261" s="705" t="s">
        <v>1341</v>
      </c>
    </row>
    <row r="262" spans="1:7">
      <c r="A262" s="705" t="s">
        <v>1804</v>
      </c>
      <c r="B262" s="705" t="s">
        <v>2384</v>
      </c>
      <c r="C262" s="705" t="s">
        <v>1155</v>
      </c>
      <c r="D262" s="705" t="s">
        <v>2406</v>
      </c>
      <c r="F262" s="705" t="s">
        <v>1122</v>
      </c>
      <c r="G262" s="705" t="s">
        <v>1122</v>
      </c>
    </row>
    <row r="263" spans="1:7">
      <c r="A263" s="705" t="s">
        <v>1436</v>
      </c>
      <c r="B263" s="705" t="s">
        <v>2385</v>
      </c>
      <c r="C263" s="705" t="s">
        <v>1251</v>
      </c>
      <c r="D263" s="705" t="s">
        <v>2406</v>
      </c>
      <c r="F263" s="705" t="s">
        <v>1341</v>
      </c>
      <c r="G263" s="705" t="s">
        <v>1341</v>
      </c>
    </row>
    <row r="264" spans="1:7">
      <c r="A264" s="705" t="s">
        <v>1175</v>
      </c>
      <c r="B264" s="705" t="s">
        <v>2386</v>
      </c>
      <c r="C264" s="705" t="s">
        <v>1176</v>
      </c>
      <c r="D264" s="705" t="s">
        <v>2406</v>
      </c>
      <c r="F264" s="705" t="s">
        <v>1122</v>
      </c>
      <c r="G264" s="705" t="s">
        <v>1122</v>
      </c>
    </row>
    <row r="265" spans="1:7">
      <c r="A265" s="705" t="s">
        <v>2387</v>
      </c>
      <c r="B265" s="705" t="s">
        <v>2388</v>
      </c>
      <c r="C265" s="705" t="s">
        <v>2389</v>
      </c>
      <c r="D265" s="705" t="s">
        <v>2406</v>
      </c>
      <c r="F265" s="705" t="s">
        <v>1165</v>
      </c>
      <c r="G265" s="705" t="s">
        <v>1165</v>
      </c>
    </row>
    <row r="266" spans="1:7">
      <c r="A266" s="705" t="s">
        <v>1984</v>
      </c>
      <c r="B266" s="705" t="s">
        <v>2390</v>
      </c>
      <c r="C266" s="705" t="s">
        <v>1129</v>
      </c>
      <c r="D266" s="705" t="s">
        <v>2407</v>
      </c>
      <c r="F266" s="705" t="s">
        <v>1122</v>
      </c>
      <c r="G266" s="705" t="s">
        <v>1122</v>
      </c>
    </row>
    <row r="267" spans="1:7">
      <c r="A267" s="705" t="s">
        <v>1983</v>
      </c>
      <c r="B267" s="705" t="s">
        <v>2391</v>
      </c>
      <c r="C267" s="705" t="s">
        <v>1389</v>
      </c>
      <c r="D267" s="705" t="s">
        <v>2408</v>
      </c>
      <c r="F267" s="705" t="s">
        <v>1122</v>
      </c>
      <c r="G267" s="705" t="s">
        <v>1122</v>
      </c>
    </row>
    <row r="268" spans="1:7">
      <c r="A268" s="705" t="s">
        <v>2411</v>
      </c>
      <c r="B268" s="705" t="s">
        <v>2392</v>
      </c>
      <c r="C268" s="705" t="s">
        <v>1182</v>
      </c>
      <c r="D268" s="705" t="s">
        <v>2043</v>
      </c>
      <c r="F268" s="705" t="s">
        <v>1122</v>
      </c>
      <c r="G268" s="705" t="s">
        <v>1122</v>
      </c>
    </row>
    <row r="269" spans="1:7">
      <c r="A269" s="705" t="s">
        <v>2412</v>
      </c>
      <c r="B269" s="705" t="s">
        <v>2393</v>
      </c>
      <c r="C269" s="705" t="s">
        <v>2394</v>
      </c>
      <c r="D269" s="705" t="s">
        <v>2043</v>
      </c>
      <c r="F269" s="705" t="s">
        <v>1356</v>
      </c>
      <c r="G269" s="705" t="s">
        <v>1356</v>
      </c>
    </row>
    <row r="270" spans="1:7">
      <c r="A270" s="705" t="s">
        <v>2413</v>
      </c>
      <c r="B270" s="705" t="s">
        <v>2395</v>
      </c>
      <c r="C270" s="705" t="s">
        <v>2396</v>
      </c>
      <c r="D270" s="705" t="s">
        <v>2043</v>
      </c>
      <c r="F270" s="705" t="s">
        <v>1122</v>
      </c>
      <c r="G270" s="705" t="s">
        <v>1122</v>
      </c>
    </row>
    <row r="271" spans="1:7">
      <c r="A271" s="705" t="s">
        <v>2414</v>
      </c>
      <c r="B271" s="705" t="s">
        <v>2397</v>
      </c>
      <c r="C271" s="705" t="s">
        <v>2398</v>
      </c>
      <c r="D271" s="705" t="s">
        <v>2043</v>
      </c>
      <c r="F271" s="705" t="s">
        <v>1122</v>
      </c>
      <c r="G271" s="705" t="s">
        <v>1122</v>
      </c>
    </row>
    <row r="272" spans="1:7">
      <c r="A272" s="705" t="s">
        <v>2415</v>
      </c>
      <c r="B272" s="705" t="s">
        <v>2399</v>
      </c>
      <c r="C272" s="705" t="s">
        <v>2400</v>
      </c>
      <c r="D272" s="705" t="s">
        <v>2043</v>
      </c>
      <c r="F272" s="705" t="s">
        <v>1122</v>
      </c>
      <c r="G272" s="705" t="s">
        <v>1122</v>
      </c>
    </row>
    <row r="273" spans="1:7">
      <c r="A273" s="705" t="s">
        <v>2416</v>
      </c>
      <c r="B273" s="705" t="s">
        <v>2401</v>
      </c>
      <c r="C273" s="705" t="s">
        <v>2402</v>
      </c>
      <c r="D273" s="705" t="s">
        <v>2043</v>
      </c>
      <c r="F273" s="705" t="s">
        <v>1122</v>
      </c>
      <c r="G273" s="705" t="s">
        <v>1122</v>
      </c>
    </row>
    <row r="274" spans="1:7">
      <c r="A274" s="705" t="s">
        <v>2417</v>
      </c>
      <c r="B274" s="705" t="s">
        <v>2403</v>
      </c>
      <c r="C274" s="705" t="s">
        <v>2404</v>
      </c>
      <c r="D274" s="705" t="s">
        <v>2044</v>
      </c>
      <c r="F274" s="705" t="s">
        <v>1122</v>
      </c>
      <c r="G274" s="705" t="s">
        <v>1122</v>
      </c>
    </row>
  </sheetData>
  <sheetProtection password="D15A" sheet="1" objects="1" scenarios="1" selectLockedCells="1" selectUnlockedCells="1"/>
  <sortState ref="A2:K588">
    <sortCondition ref="A2:A588"/>
  </sortState>
  <conditionalFormatting sqref="A1:A258 A260:A1048576">
    <cfRule type="duplicateValues" dxfId="3" priority="3"/>
    <cfRule type="duplicateValues" dxfId="2" priority="4"/>
  </conditionalFormatting>
  <conditionalFormatting sqref="A259">
    <cfRule type="duplicateValues" dxfId="1" priority="1"/>
    <cfRule type="duplicateValues" dxfId="0" priority="2"/>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enableFormatConditionsCalculation="0">
    <tabColor theme="5" tint="-0.499984740745262"/>
  </sheetPr>
  <dimension ref="A1:Z183"/>
  <sheetViews>
    <sheetView showGridLines="0" zoomScale="90" zoomScaleNormal="90" zoomScalePageLayoutView="90" workbookViewId="0">
      <pane ySplit="7" topLeftCell="A8" activePane="bottomLeft" state="frozen"/>
      <selection activeCell="K3" sqref="K3"/>
      <selection pane="bottomLeft" activeCell="I37" sqref="I37:I38"/>
    </sheetView>
  </sheetViews>
  <sheetFormatPr baseColWidth="10" defaultColWidth="10.83203125" defaultRowHeight="14" x14ac:dyDescent="0"/>
  <cols>
    <col min="1" max="1" width="7.33203125" style="25" customWidth="1"/>
    <col min="2" max="2" width="52.1640625" style="25" customWidth="1"/>
    <col min="3" max="3" width="21.83203125" style="25" customWidth="1"/>
    <col min="4" max="4" width="20.1640625" style="25" customWidth="1"/>
    <col min="5" max="5" width="21.83203125" style="25" customWidth="1"/>
    <col min="6" max="6" width="26" style="25" customWidth="1"/>
    <col min="7" max="7" width="8.83203125" style="25" customWidth="1"/>
    <col min="8" max="8" width="51.1640625" style="25" customWidth="1"/>
    <col min="9" max="9" width="27.33203125" style="25" customWidth="1"/>
    <col min="10" max="10" width="29.5" style="25" customWidth="1"/>
    <col min="11" max="16384" width="10.83203125" style="25"/>
  </cols>
  <sheetData>
    <row r="1" spans="1:11" ht="33.75" customHeight="1">
      <c r="A1" s="750" t="str">
        <f>IF(ROUND(E121-I121,0)=0,"Bilan équilibré","Bilan non équilibré")</f>
        <v>Bilan équilibré</v>
      </c>
      <c r="B1" s="750"/>
      <c r="C1" s="750"/>
      <c r="D1" s="750"/>
      <c r="E1" s="750"/>
      <c r="F1" s="750"/>
      <c r="G1" s="750"/>
      <c r="H1" s="750"/>
      <c r="I1" s="750"/>
      <c r="J1" s="750"/>
    </row>
    <row r="2" spans="1:11" ht="23.25" customHeight="1">
      <c r="A2" s="716" t="s">
        <v>1780</v>
      </c>
      <c r="B2" s="716"/>
      <c r="C2" s="716"/>
      <c r="D2" s="716"/>
      <c r="E2" s="716"/>
      <c r="F2" s="716"/>
      <c r="G2" s="716"/>
      <c r="H2" s="716"/>
      <c r="I2" s="716"/>
      <c r="J2" s="717"/>
    </row>
    <row r="3" spans="1:11">
      <c r="A3" s="718" t="str">
        <f>SOMMAIRE!D5</f>
        <v>MUTUELLE ALLIANCE DE CREDIT ET D'EPARGNE POUR LA PRODUCTION DE SAINT-LOUIS</v>
      </c>
      <c r="B3" s="719"/>
      <c r="C3" s="719"/>
      <c r="D3" s="719"/>
      <c r="E3" s="719"/>
      <c r="F3" s="719"/>
      <c r="G3" s="719"/>
      <c r="H3" s="719"/>
      <c r="I3" s="719"/>
      <c r="J3" s="720"/>
    </row>
    <row r="4" spans="1:11">
      <c r="A4" s="721"/>
      <c r="B4" s="722"/>
      <c r="C4" s="722"/>
      <c r="D4" s="722"/>
      <c r="E4" s="722"/>
      <c r="F4" s="722"/>
      <c r="G4" s="722"/>
      <c r="H4" s="722"/>
      <c r="I4" s="722"/>
      <c r="J4" s="723"/>
    </row>
    <row r="5" spans="1:11">
      <c r="A5" s="724"/>
      <c r="B5" s="725"/>
      <c r="C5" s="725"/>
      <c r="D5" s="725"/>
      <c r="E5" s="725"/>
      <c r="F5" s="725"/>
      <c r="G5" s="725"/>
      <c r="H5" s="725"/>
      <c r="I5" s="725"/>
      <c r="J5" s="726"/>
    </row>
    <row r="6" spans="1:11">
      <c r="A6" s="727" t="s">
        <v>188</v>
      </c>
      <c r="B6" s="727" t="s">
        <v>215</v>
      </c>
      <c r="C6" s="729" t="str">
        <f>IF(SOMMAIRE!$I2="Mensuelle","M",IF(SOMMAIRE!$I2="Trimestrielle","T","N"))</f>
        <v>N</v>
      </c>
      <c r="D6" s="730"/>
      <c r="E6" s="731"/>
      <c r="F6" s="202" t="str">
        <f>IF(SOMMAIRE!$I2="Mensuelle","M-1",IF(SOMMAIRE!$I2="Trimestrielle","T-1","N-1"))</f>
        <v>N-1</v>
      </c>
      <c r="G6" s="727" t="s">
        <v>188</v>
      </c>
      <c r="H6" s="727" t="s">
        <v>216</v>
      </c>
      <c r="I6" s="202" t="str">
        <f>C6</f>
        <v>N</v>
      </c>
      <c r="J6" s="202" t="str">
        <f>F6</f>
        <v>N-1</v>
      </c>
    </row>
    <row r="7" spans="1:11" s="22" customFormat="1" ht="15">
      <c r="A7" s="728"/>
      <c r="B7" s="728"/>
      <c r="C7" s="21" t="s">
        <v>1674</v>
      </c>
      <c r="D7" s="21" t="s">
        <v>1675</v>
      </c>
      <c r="E7" s="21" t="s">
        <v>217</v>
      </c>
      <c r="F7" s="21" t="s">
        <v>217</v>
      </c>
      <c r="G7" s="728"/>
      <c r="H7" s="728"/>
      <c r="I7" s="21" t="s">
        <v>217</v>
      </c>
      <c r="J7" s="21" t="s">
        <v>217</v>
      </c>
    </row>
    <row r="8" spans="1:11" s="199" customFormat="1" ht="28">
      <c r="A8" s="354" t="s">
        <v>218</v>
      </c>
      <c r="B8" s="355" t="s">
        <v>219</v>
      </c>
      <c r="C8" s="356">
        <f>SUM(C9,C17,C18,C24,C27,C28)</f>
        <v>24838193</v>
      </c>
      <c r="D8" s="356">
        <f>SUM(D9,D17,D18,D24,D27,D28)</f>
        <v>0</v>
      </c>
      <c r="E8" s="356">
        <f>C8-D8</f>
        <v>24838193</v>
      </c>
      <c r="F8" s="356">
        <f>SUM(F9,F17,F18,F24,F27,F28)</f>
        <v>1543790</v>
      </c>
      <c r="G8" s="205" t="s">
        <v>1676</v>
      </c>
      <c r="H8" s="355" t="s">
        <v>219</v>
      </c>
      <c r="I8" s="356">
        <f>SUM(I9,I10,I15,I19,I20,I21)</f>
        <v>0</v>
      </c>
      <c r="J8" s="356">
        <f>SUM(J9,J10,J15,J19,J20,J21)</f>
        <v>1065251436</v>
      </c>
    </row>
    <row r="9" spans="1:11">
      <c r="A9" s="373" t="s">
        <v>102</v>
      </c>
      <c r="B9" s="528" t="s">
        <v>1617</v>
      </c>
      <c r="C9" s="357">
        <f>C10</f>
        <v>0</v>
      </c>
      <c r="D9" s="357">
        <f>D10</f>
        <v>0</v>
      </c>
      <c r="E9" s="357">
        <f>C9-D9</f>
        <v>0</v>
      </c>
      <c r="F9" s="357">
        <f>F10</f>
        <v>1543790</v>
      </c>
      <c r="G9" s="206" t="s">
        <v>22</v>
      </c>
      <c r="H9" s="374" t="s">
        <v>221</v>
      </c>
      <c r="I9" s="375"/>
      <c r="J9" s="375">
        <v>1065251436</v>
      </c>
      <c r="K9" s="90"/>
    </row>
    <row r="10" spans="1:11">
      <c r="A10" s="376" t="s">
        <v>220</v>
      </c>
      <c r="B10" s="377" t="s">
        <v>139</v>
      </c>
      <c r="C10" s="378"/>
      <c r="D10" s="379"/>
      <c r="E10" s="358">
        <f>C10-D10</f>
        <v>0</v>
      </c>
      <c r="F10" s="378">
        <v>1543790</v>
      </c>
      <c r="G10" s="207" t="s">
        <v>23</v>
      </c>
      <c r="H10" s="529" t="s">
        <v>1543</v>
      </c>
      <c r="I10" s="360">
        <f>SUM(I11:I13)</f>
        <v>0</v>
      </c>
      <c r="J10" s="360">
        <f>SUM(J11:J13)</f>
        <v>0</v>
      </c>
    </row>
    <row r="11" spans="1:11">
      <c r="A11" s="380"/>
      <c r="B11" s="732"/>
      <c r="C11" s="732"/>
      <c r="D11" s="732"/>
      <c r="E11" s="732"/>
      <c r="F11" s="733"/>
      <c r="G11" s="200" t="s">
        <v>222</v>
      </c>
      <c r="H11" s="377" t="s">
        <v>1787</v>
      </c>
      <c r="I11" s="381"/>
      <c r="J11" s="381"/>
    </row>
    <row r="12" spans="1:11">
      <c r="A12" s="382"/>
      <c r="B12" s="734"/>
      <c r="C12" s="734"/>
      <c r="D12" s="734"/>
      <c r="E12" s="734"/>
      <c r="F12" s="735"/>
      <c r="G12" s="200" t="s">
        <v>223</v>
      </c>
      <c r="H12" s="377" t="s">
        <v>144</v>
      </c>
      <c r="I12" s="381"/>
      <c r="J12" s="381"/>
    </row>
    <row r="13" spans="1:11">
      <c r="A13" s="382"/>
      <c r="B13" s="734"/>
      <c r="C13" s="734"/>
      <c r="D13" s="734"/>
      <c r="E13" s="734"/>
      <c r="F13" s="735"/>
      <c r="G13" s="200" t="s">
        <v>224</v>
      </c>
      <c r="H13" s="377" t="s">
        <v>145</v>
      </c>
      <c r="I13" s="381"/>
      <c r="J13" s="381"/>
    </row>
    <row r="14" spans="1:11">
      <c r="A14" s="382"/>
      <c r="B14" s="734"/>
      <c r="C14" s="734"/>
      <c r="D14" s="734"/>
      <c r="E14" s="734"/>
      <c r="F14" s="735"/>
      <c r="G14" s="383"/>
      <c r="H14" s="738"/>
      <c r="I14" s="739"/>
      <c r="J14" s="740"/>
    </row>
    <row r="15" spans="1:11">
      <c r="A15" s="382"/>
      <c r="B15" s="734"/>
      <c r="C15" s="734"/>
      <c r="D15" s="734"/>
      <c r="E15" s="734"/>
      <c r="F15" s="735"/>
      <c r="G15" s="207" t="s">
        <v>24</v>
      </c>
      <c r="H15" s="529" t="s">
        <v>25</v>
      </c>
      <c r="I15" s="357">
        <f>SUM(I17:I18)</f>
        <v>0</v>
      </c>
      <c r="J15" s="357">
        <f>SUM(J17:J18)</f>
        <v>0</v>
      </c>
    </row>
    <row r="16" spans="1:11">
      <c r="A16" s="384"/>
      <c r="B16" s="736"/>
      <c r="C16" s="736"/>
      <c r="D16" s="736"/>
      <c r="E16" s="736"/>
      <c r="F16" s="737"/>
      <c r="G16" s="383"/>
      <c r="H16" s="738"/>
      <c r="I16" s="739"/>
      <c r="J16" s="740"/>
    </row>
    <row r="17" spans="1:10">
      <c r="A17" s="207" t="s">
        <v>0</v>
      </c>
      <c r="B17" s="385" t="s">
        <v>225</v>
      </c>
      <c r="C17" s="386">
        <v>24838193</v>
      </c>
      <c r="D17" s="386"/>
      <c r="E17" s="357">
        <f>C17-D17</f>
        <v>24838193</v>
      </c>
      <c r="F17" s="386"/>
      <c r="G17" s="200" t="s">
        <v>118</v>
      </c>
      <c r="H17" s="387" t="s">
        <v>146</v>
      </c>
      <c r="I17" s="388"/>
      <c r="J17" s="388"/>
    </row>
    <row r="18" spans="1:10">
      <c r="A18" s="207" t="s">
        <v>1</v>
      </c>
      <c r="B18" s="359" t="s">
        <v>1532</v>
      </c>
      <c r="C18" s="357">
        <f>SUM(C19:C21)</f>
        <v>0</v>
      </c>
      <c r="D18" s="357">
        <f>SUM(D19:D21)</f>
        <v>0</v>
      </c>
      <c r="E18" s="357">
        <f>C18-D18</f>
        <v>0</v>
      </c>
      <c r="F18" s="357">
        <f>SUM(F19:F21)</f>
        <v>0</v>
      </c>
      <c r="G18" s="200" t="s">
        <v>42</v>
      </c>
      <c r="H18" s="387" t="s">
        <v>119</v>
      </c>
      <c r="I18" s="388"/>
      <c r="J18" s="388"/>
    </row>
    <row r="19" spans="1:10">
      <c r="A19" s="200" t="s">
        <v>44</v>
      </c>
      <c r="B19" s="387" t="s">
        <v>542</v>
      </c>
      <c r="C19" s="388"/>
      <c r="D19" s="388"/>
      <c r="E19" s="358">
        <f>C19-D19</f>
        <v>0</v>
      </c>
      <c r="F19" s="388"/>
      <c r="G19" s="207" t="s">
        <v>26</v>
      </c>
      <c r="H19" s="385" t="s">
        <v>147</v>
      </c>
      <c r="I19" s="375"/>
      <c r="J19" s="375"/>
    </row>
    <row r="20" spans="1:10">
      <c r="A20" s="200" t="s">
        <v>46</v>
      </c>
      <c r="B20" s="387" t="s">
        <v>543</v>
      </c>
      <c r="C20" s="388"/>
      <c r="D20" s="388"/>
      <c r="E20" s="358">
        <f>C20-D20</f>
        <v>0</v>
      </c>
      <c r="F20" s="388"/>
      <c r="G20" s="207" t="s">
        <v>226</v>
      </c>
      <c r="H20" s="385" t="s">
        <v>227</v>
      </c>
      <c r="I20" s="375"/>
      <c r="J20" s="375"/>
    </row>
    <row r="21" spans="1:10">
      <c r="A21" s="200" t="s">
        <v>47</v>
      </c>
      <c r="B21" s="387" t="s">
        <v>141</v>
      </c>
      <c r="C21" s="388"/>
      <c r="D21" s="388"/>
      <c r="E21" s="358">
        <f>C21-D21</f>
        <v>0</v>
      </c>
      <c r="F21" s="388"/>
      <c r="G21" s="207" t="s">
        <v>124</v>
      </c>
      <c r="H21" s="385" t="s">
        <v>140</v>
      </c>
      <c r="I21" s="375"/>
      <c r="J21" s="375"/>
    </row>
    <row r="22" spans="1:10">
      <c r="A22" s="389"/>
      <c r="B22" s="732"/>
      <c r="C22" s="732"/>
      <c r="D22" s="732"/>
      <c r="E22" s="732"/>
      <c r="F22" s="733"/>
      <c r="G22" s="390"/>
      <c r="H22" s="741"/>
      <c r="I22" s="741"/>
      <c r="J22" s="742"/>
    </row>
    <row r="23" spans="1:10">
      <c r="A23" s="391"/>
      <c r="B23" s="736"/>
      <c r="C23" s="736"/>
      <c r="D23" s="736"/>
      <c r="E23" s="736"/>
      <c r="F23" s="737"/>
      <c r="G23" s="392"/>
      <c r="H23" s="743"/>
      <c r="I23" s="743"/>
      <c r="J23" s="744"/>
    </row>
    <row r="24" spans="1:10">
      <c r="A24" s="207" t="s">
        <v>2</v>
      </c>
      <c r="B24" s="359" t="s">
        <v>4</v>
      </c>
      <c r="C24" s="357">
        <f>SUM(C25:C26)</f>
        <v>0</v>
      </c>
      <c r="D24" s="357">
        <f>SUM(D25:D26)</f>
        <v>0</v>
      </c>
      <c r="E24" s="357">
        <f t="shared" ref="E24:E32" si="0">C24-D24</f>
        <v>0</v>
      </c>
      <c r="F24" s="393">
        <f>SUM(F25:F26)</f>
        <v>0</v>
      </c>
      <c r="G24" s="392"/>
      <c r="H24" s="743"/>
      <c r="I24" s="743"/>
      <c r="J24" s="744"/>
    </row>
    <row r="25" spans="1:10">
      <c r="A25" s="200" t="s">
        <v>104</v>
      </c>
      <c r="B25" s="387" t="s">
        <v>228</v>
      </c>
      <c r="C25" s="388"/>
      <c r="D25" s="388"/>
      <c r="E25" s="358">
        <f t="shared" si="0"/>
        <v>0</v>
      </c>
      <c r="F25" s="388"/>
      <c r="G25" s="392"/>
      <c r="H25" s="743"/>
      <c r="I25" s="743"/>
      <c r="J25" s="744"/>
    </row>
    <row r="26" spans="1:10">
      <c r="A26" s="200" t="s">
        <v>231</v>
      </c>
      <c r="B26" s="387" t="s">
        <v>142</v>
      </c>
      <c r="C26" s="388"/>
      <c r="D26" s="388"/>
      <c r="E26" s="358">
        <f t="shared" si="0"/>
        <v>0</v>
      </c>
      <c r="F26" s="388"/>
      <c r="G26" s="392"/>
      <c r="H26" s="743"/>
      <c r="I26" s="743"/>
      <c r="J26" s="744"/>
    </row>
    <row r="27" spans="1:10">
      <c r="A27" s="207" t="s">
        <v>113</v>
      </c>
      <c r="B27" s="385" t="s">
        <v>112</v>
      </c>
      <c r="C27" s="375"/>
      <c r="D27" s="375"/>
      <c r="E27" s="357">
        <f t="shared" si="0"/>
        <v>0</v>
      </c>
      <c r="F27" s="375"/>
      <c r="G27" s="392"/>
      <c r="H27" s="743"/>
      <c r="I27" s="743"/>
      <c r="J27" s="744"/>
    </row>
    <row r="28" spans="1:10">
      <c r="A28" s="207" t="s">
        <v>3</v>
      </c>
      <c r="B28" s="359" t="s">
        <v>1785</v>
      </c>
      <c r="C28" s="357">
        <f>SUM(C29:C32)</f>
        <v>0</v>
      </c>
      <c r="D28" s="357">
        <f>SUM(D29:D32)</f>
        <v>0</v>
      </c>
      <c r="E28" s="357">
        <f t="shared" si="0"/>
        <v>0</v>
      </c>
      <c r="F28" s="393">
        <f>SUM(F29:F32)</f>
        <v>0</v>
      </c>
      <c r="G28" s="392"/>
      <c r="H28" s="743"/>
      <c r="I28" s="743"/>
      <c r="J28" s="744"/>
    </row>
    <row r="29" spans="1:10">
      <c r="A29" s="200"/>
      <c r="B29" s="387" t="s">
        <v>230</v>
      </c>
      <c r="C29" s="388"/>
      <c r="D29" s="388"/>
      <c r="E29" s="358">
        <f t="shared" si="0"/>
        <v>0</v>
      </c>
      <c r="F29" s="388"/>
      <c r="G29" s="392"/>
      <c r="H29" s="743"/>
      <c r="I29" s="743"/>
      <c r="J29" s="744"/>
    </row>
    <row r="30" spans="1:10">
      <c r="A30" s="200" t="s">
        <v>233</v>
      </c>
      <c r="B30" s="387" t="s">
        <v>232</v>
      </c>
      <c r="C30" s="388"/>
      <c r="D30" s="388"/>
      <c r="E30" s="358">
        <f t="shared" si="0"/>
        <v>0</v>
      </c>
      <c r="F30" s="388"/>
      <c r="G30" s="392"/>
      <c r="H30" s="743"/>
      <c r="I30" s="743"/>
      <c r="J30" s="744"/>
    </row>
    <row r="31" spans="1:10">
      <c r="A31" s="200" t="s">
        <v>234</v>
      </c>
      <c r="B31" s="387" t="s">
        <v>544</v>
      </c>
      <c r="C31" s="388"/>
      <c r="D31" s="388"/>
      <c r="E31" s="358">
        <f t="shared" si="0"/>
        <v>0</v>
      </c>
      <c r="F31" s="388"/>
      <c r="G31" s="392"/>
      <c r="H31" s="743"/>
      <c r="I31" s="743"/>
      <c r="J31" s="744"/>
    </row>
    <row r="32" spans="1:10">
      <c r="A32" s="200" t="s">
        <v>235</v>
      </c>
      <c r="B32" s="387" t="s">
        <v>148</v>
      </c>
      <c r="C32" s="388"/>
      <c r="D32" s="388"/>
      <c r="E32" s="358">
        <f t="shared" si="0"/>
        <v>0</v>
      </c>
      <c r="F32" s="388"/>
      <c r="G32" s="392"/>
      <c r="H32" s="743"/>
      <c r="I32" s="743"/>
      <c r="J32" s="744"/>
    </row>
    <row r="33" spans="1:26">
      <c r="A33" s="389"/>
      <c r="B33" s="732"/>
      <c r="C33" s="732"/>
      <c r="D33" s="732"/>
      <c r="E33" s="732"/>
      <c r="F33" s="733"/>
      <c r="G33" s="392"/>
      <c r="H33" s="743"/>
      <c r="I33" s="743"/>
      <c r="J33" s="744"/>
    </row>
    <row r="34" spans="1:26">
      <c r="A34" s="391"/>
      <c r="B34" s="736"/>
      <c r="C34" s="736"/>
      <c r="D34" s="736"/>
      <c r="E34" s="736"/>
      <c r="F34" s="737"/>
      <c r="G34" s="394"/>
      <c r="H34" s="745"/>
      <c r="I34" s="745"/>
      <c r="J34" s="746"/>
    </row>
    <row r="35" spans="1:26">
      <c r="A35" s="207" t="s">
        <v>236</v>
      </c>
      <c r="B35" s="359" t="s">
        <v>459</v>
      </c>
      <c r="C35" s="360">
        <f>SUM(C36,C37,C40,C41,C44,C45)</f>
        <v>3920615000</v>
      </c>
      <c r="D35" s="360">
        <f>SUM(D36,D37,D40,D41,D44,D45)</f>
        <v>292837847</v>
      </c>
      <c r="E35" s="360">
        <f>C35-D35</f>
        <v>3627777153</v>
      </c>
      <c r="F35" s="360">
        <f>SUM(F36,F37,F40,F41,F44,F45)</f>
        <v>3550324710</v>
      </c>
      <c r="G35" s="207" t="s">
        <v>1677</v>
      </c>
      <c r="H35" s="359" t="s">
        <v>459</v>
      </c>
      <c r="I35" s="360">
        <f>SUM(I36:I38,I40:I44)</f>
        <v>1060088976</v>
      </c>
      <c r="J35" s="360">
        <f>SUM(J36:J38,J40:J44)</f>
        <v>721729368</v>
      </c>
    </row>
    <row r="36" spans="1:26">
      <c r="A36" s="207" t="s">
        <v>6</v>
      </c>
      <c r="B36" s="385" t="s">
        <v>131</v>
      </c>
      <c r="C36" s="375">
        <v>1159316767</v>
      </c>
      <c r="D36" s="375"/>
      <c r="E36" s="357">
        <f>C36-D36</f>
        <v>1159316767</v>
      </c>
      <c r="F36" s="375">
        <v>275865863</v>
      </c>
      <c r="G36" s="207" t="s">
        <v>30</v>
      </c>
      <c r="H36" s="385" t="s">
        <v>221</v>
      </c>
      <c r="I36" s="375">
        <v>574911991</v>
      </c>
      <c r="J36" s="375">
        <v>433732307</v>
      </c>
    </row>
    <row r="37" spans="1:26">
      <c r="A37" s="207" t="s">
        <v>8</v>
      </c>
      <c r="B37" s="385" t="s">
        <v>1786</v>
      </c>
      <c r="C37" s="375"/>
      <c r="D37" s="375"/>
      <c r="E37" s="357">
        <f>C37-D37</f>
        <v>0</v>
      </c>
      <c r="F37" s="375"/>
      <c r="G37" s="207" t="s">
        <v>31</v>
      </c>
      <c r="H37" s="385" t="s">
        <v>143</v>
      </c>
      <c r="I37" s="375">
        <v>4790840</v>
      </c>
      <c r="J37" s="375">
        <v>8506367</v>
      </c>
    </row>
    <row r="38" spans="1:26">
      <c r="A38" s="395"/>
      <c r="B38" s="732"/>
      <c r="C38" s="732"/>
      <c r="D38" s="732"/>
      <c r="E38" s="732"/>
      <c r="F38" s="733"/>
      <c r="G38" s="207" t="s">
        <v>28</v>
      </c>
      <c r="H38" s="385" t="s">
        <v>460</v>
      </c>
      <c r="I38" s="375">
        <v>35421524</v>
      </c>
      <c r="J38" s="375">
        <v>34852232</v>
      </c>
    </row>
    <row r="39" spans="1:26">
      <c r="A39" s="384"/>
      <c r="B39" s="736"/>
      <c r="C39" s="736"/>
      <c r="D39" s="736"/>
      <c r="E39" s="736"/>
      <c r="F39" s="737"/>
      <c r="G39" s="370"/>
      <c r="H39" s="747"/>
      <c r="I39" s="747"/>
      <c r="J39" s="748"/>
    </row>
    <row r="40" spans="1:26">
      <c r="A40" s="207" t="s">
        <v>10</v>
      </c>
      <c r="B40" s="385" t="s">
        <v>105</v>
      </c>
      <c r="C40" s="375">
        <v>2252399149</v>
      </c>
      <c r="D40" s="375"/>
      <c r="E40" s="357">
        <f>C40-D40</f>
        <v>2252399149</v>
      </c>
      <c r="F40" s="375">
        <v>3126621571</v>
      </c>
      <c r="G40" s="207" t="s">
        <v>43</v>
      </c>
      <c r="H40" s="385" t="s">
        <v>237</v>
      </c>
      <c r="I40" s="375">
        <v>444964621</v>
      </c>
      <c r="J40" s="375">
        <v>244638462</v>
      </c>
    </row>
    <row r="41" spans="1:26">
      <c r="A41" s="207" t="s">
        <v>12</v>
      </c>
      <c r="B41" s="385" t="s">
        <v>474</v>
      </c>
      <c r="C41" s="375">
        <v>20619813</v>
      </c>
      <c r="D41" s="375"/>
      <c r="E41" s="357">
        <f>C41-D41</f>
        <v>20619813</v>
      </c>
      <c r="F41" s="375">
        <v>46141206</v>
      </c>
      <c r="G41" s="207" t="s">
        <v>32</v>
      </c>
      <c r="H41" s="385" t="s">
        <v>145</v>
      </c>
      <c r="I41" s="375"/>
      <c r="J41" s="375"/>
    </row>
    <row r="42" spans="1:26">
      <c r="A42" s="395"/>
      <c r="B42" s="732"/>
      <c r="C42" s="732"/>
      <c r="D42" s="732"/>
      <c r="E42" s="732"/>
      <c r="F42" s="733"/>
      <c r="G42" s="207" t="s">
        <v>33</v>
      </c>
      <c r="H42" s="385" t="s">
        <v>149</v>
      </c>
      <c r="I42" s="375"/>
      <c r="J42" s="375"/>
    </row>
    <row r="43" spans="1:26">
      <c r="A43" s="384"/>
      <c r="B43" s="736"/>
      <c r="C43" s="736"/>
      <c r="D43" s="736"/>
      <c r="E43" s="736"/>
      <c r="F43" s="737"/>
      <c r="G43" s="207" t="s">
        <v>35</v>
      </c>
      <c r="H43" s="385" t="s">
        <v>238</v>
      </c>
      <c r="I43" s="375"/>
      <c r="J43" s="375"/>
    </row>
    <row r="44" spans="1:26">
      <c r="A44" s="207" t="s">
        <v>114</v>
      </c>
      <c r="B44" s="385" t="s">
        <v>112</v>
      </c>
      <c r="C44" s="375">
        <v>100119415</v>
      </c>
      <c r="D44" s="375"/>
      <c r="E44" s="357">
        <f t="shared" ref="E44:E49" si="1">C44-D44</f>
        <v>100119415</v>
      </c>
      <c r="F44" s="375">
        <v>65175236</v>
      </c>
      <c r="G44" s="207" t="s">
        <v>125</v>
      </c>
      <c r="H44" s="385" t="s">
        <v>140</v>
      </c>
      <c r="I44" s="375"/>
      <c r="J44" s="375"/>
      <c r="U44" s="396"/>
      <c r="V44" s="396"/>
      <c r="W44" s="396"/>
      <c r="X44" s="396"/>
      <c r="Y44" s="396"/>
      <c r="Z44" s="396"/>
    </row>
    <row r="45" spans="1:26">
      <c r="A45" s="207" t="s">
        <v>49</v>
      </c>
      <c r="B45" s="359" t="s">
        <v>438</v>
      </c>
      <c r="C45" s="357">
        <f>SUM(C46:C49)</f>
        <v>388159856</v>
      </c>
      <c r="D45" s="357">
        <f>SUM(D46:D49)</f>
        <v>292837847</v>
      </c>
      <c r="E45" s="357">
        <f t="shared" si="1"/>
        <v>95322009</v>
      </c>
      <c r="F45" s="357">
        <f>SUM(F46:F49)</f>
        <v>36520834</v>
      </c>
      <c r="G45" s="389"/>
      <c r="H45" s="732"/>
      <c r="I45" s="732"/>
      <c r="J45" s="733"/>
      <c r="U45" s="396"/>
      <c r="V45" s="396"/>
      <c r="W45" s="396"/>
      <c r="X45" s="396"/>
      <c r="Y45" s="396"/>
      <c r="Z45" s="396"/>
    </row>
    <row r="46" spans="1:26">
      <c r="A46" s="200"/>
      <c r="B46" s="387" t="s">
        <v>239</v>
      </c>
      <c r="C46" s="388"/>
      <c r="D46" s="388"/>
      <c r="E46" s="358">
        <f t="shared" si="1"/>
        <v>0</v>
      </c>
      <c r="F46" s="388"/>
      <c r="G46" s="397"/>
      <c r="H46" s="734"/>
      <c r="I46" s="734"/>
      <c r="J46" s="735"/>
      <c r="U46" s="396"/>
      <c r="V46" s="396"/>
      <c r="W46" s="396"/>
      <c r="X46" s="396"/>
      <c r="Y46" s="396"/>
      <c r="Z46" s="396"/>
    </row>
    <row r="47" spans="1:26">
      <c r="A47" s="200" t="s">
        <v>240</v>
      </c>
      <c r="B47" s="387" t="s">
        <v>243</v>
      </c>
      <c r="C47" s="388">
        <v>90425359</v>
      </c>
      <c r="D47" s="388">
        <v>36105947</v>
      </c>
      <c r="E47" s="358">
        <f t="shared" si="1"/>
        <v>54319412</v>
      </c>
      <c r="F47" s="388">
        <v>22936015</v>
      </c>
      <c r="G47" s="397"/>
      <c r="H47" s="734"/>
      <c r="I47" s="734"/>
      <c r="J47" s="735"/>
      <c r="U47" s="396"/>
      <c r="V47" s="396"/>
      <c r="W47" s="396"/>
      <c r="X47" s="396"/>
      <c r="Y47" s="396"/>
      <c r="Z47" s="396"/>
    </row>
    <row r="48" spans="1:26" s="23" customFormat="1">
      <c r="A48" s="200" t="s">
        <v>241</v>
      </c>
      <c r="B48" s="387" t="s">
        <v>545</v>
      </c>
      <c r="C48" s="388">
        <v>205012985</v>
      </c>
      <c r="D48" s="388">
        <v>164010388</v>
      </c>
      <c r="E48" s="358">
        <f t="shared" si="1"/>
        <v>41002597</v>
      </c>
      <c r="F48" s="388">
        <v>13584819</v>
      </c>
      <c r="G48" s="397"/>
      <c r="H48" s="734"/>
      <c r="I48" s="734"/>
      <c r="J48" s="735"/>
    </row>
    <row r="49" spans="1:11">
      <c r="A49" s="200" t="s">
        <v>242</v>
      </c>
      <c r="B49" s="387" t="s">
        <v>151</v>
      </c>
      <c r="C49" s="388">
        <v>92721512</v>
      </c>
      <c r="D49" s="388">
        <v>92721512</v>
      </c>
      <c r="E49" s="358">
        <f t="shared" si="1"/>
        <v>0</v>
      </c>
      <c r="F49" s="388">
        <v>0</v>
      </c>
      <c r="G49" s="397"/>
      <c r="H49" s="734"/>
      <c r="I49" s="734"/>
      <c r="J49" s="735"/>
    </row>
    <row r="50" spans="1:11">
      <c r="A50" s="395"/>
      <c r="B50" s="732"/>
      <c r="C50" s="732"/>
      <c r="D50" s="732"/>
      <c r="E50" s="732"/>
      <c r="F50" s="733"/>
      <c r="G50" s="397"/>
      <c r="H50" s="734"/>
      <c r="I50" s="734"/>
      <c r="J50" s="735"/>
    </row>
    <row r="51" spans="1:11">
      <c r="A51" s="384"/>
      <c r="B51" s="736"/>
      <c r="C51" s="736"/>
      <c r="D51" s="736"/>
      <c r="E51" s="736"/>
      <c r="F51" s="737"/>
      <c r="G51" s="391"/>
      <c r="H51" s="736"/>
      <c r="I51" s="736"/>
      <c r="J51" s="737"/>
    </row>
    <row r="52" spans="1:11">
      <c r="A52" s="371" t="s">
        <v>1678</v>
      </c>
      <c r="B52" s="359" t="s">
        <v>1679</v>
      </c>
      <c r="C52" s="360">
        <f>SUM(C54,C55,C60,C61,C62,C63,C64)</f>
        <v>126521100</v>
      </c>
      <c r="D52" s="360">
        <f>SUM(D54,D55,D60,D61,D62,D63,D64)</f>
        <v>0</v>
      </c>
      <c r="E52" s="360">
        <f t="shared" ref="E52:E69" si="2">C52-D52</f>
        <v>126521100</v>
      </c>
      <c r="F52" s="360">
        <f>SUM(F54,F55,F60,F61,F62,F63,F64)</f>
        <v>964540761</v>
      </c>
      <c r="G52" s="207" t="s">
        <v>1680</v>
      </c>
      <c r="H52" s="359" t="s">
        <v>1679</v>
      </c>
      <c r="I52" s="360">
        <f>SUM(I53:I55)</f>
        <v>32153391</v>
      </c>
      <c r="J52" s="360">
        <f>SUM(J53:J55)</f>
        <v>34473674</v>
      </c>
    </row>
    <row r="53" spans="1:11">
      <c r="A53" s="749"/>
      <c r="B53" s="747"/>
      <c r="C53" s="747"/>
      <c r="D53" s="747"/>
      <c r="E53" s="747"/>
      <c r="F53" s="748"/>
      <c r="G53" s="207" t="s">
        <v>120</v>
      </c>
      <c r="H53" s="385" t="s">
        <v>152</v>
      </c>
      <c r="I53" s="375"/>
      <c r="J53" s="375"/>
    </row>
    <row r="54" spans="1:11">
      <c r="A54" s="371" t="s">
        <v>16</v>
      </c>
      <c r="B54" s="524" t="s">
        <v>17</v>
      </c>
      <c r="C54" s="375"/>
      <c r="D54" s="375"/>
      <c r="E54" s="357">
        <f t="shared" si="2"/>
        <v>0</v>
      </c>
      <c r="F54" s="375"/>
      <c r="G54" s="207" t="s">
        <v>121</v>
      </c>
      <c r="H54" s="385" t="s">
        <v>154</v>
      </c>
      <c r="I54" s="375">
        <v>7257030</v>
      </c>
      <c r="J54" s="375">
        <v>2313260</v>
      </c>
      <c r="K54" s="201"/>
    </row>
    <row r="55" spans="1:11">
      <c r="A55" s="371" t="s">
        <v>106</v>
      </c>
      <c r="B55" s="359" t="s">
        <v>107</v>
      </c>
      <c r="C55" s="357">
        <f>SUM(C56:C59)</f>
        <v>0</v>
      </c>
      <c r="D55" s="357">
        <f>SUM(D56:D59)</f>
        <v>0</v>
      </c>
      <c r="E55" s="357">
        <f t="shared" si="2"/>
        <v>0</v>
      </c>
      <c r="F55" s="357">
        <f>SUM(F56:F59)</f>
        <v>0</v>
      </c>
      <c r="G55" s="207" t="s">
        <v>1681</v>
      </c>
      <c r="H55" s="359" t="s">
        <v>1682</v>
      </c>
      <c r="I55" s="357">
        <f>SUM(I56:I60)</f>
        <v>24896361</v>
      </c>
      <c r="J55" s="357">
        <f>SUM(J56:J60)</f>
        <v>32160414</v>
      </c>
    </row>
    <row r="56" spans="1:11">
      <c r="A56" s="398" t="s">
        <v>245</v>
      </c>
      <c r="B56" s="525" t="s">
        <v>244</v>
      </c>
      <c r="C56" s="388"/>
      <c r="D56" s="388"/>
      <c r="E56" s="358">
        <f t="shared" si="2"/>
        <v>0</v>
      </c>
      <c r="F56" s="388"/>
      <c r="G56" s="200" t="s">
        <v>585</v>
      </c>
      <c r="H56" s="387" t="s">
        <v>589</v>
      </c>
      <c r="I56" s="388">
        <v>30006</v>
      </c>
      <c r="J56" s="388">
        <v>2700</v>
      </c>
    </row>
    <row r="57" spans="1:11">
      <c r="A57" s="398" t="s">
        <v>246</v>
      </c>
      <c r="B57" s="525" t="s">
        <v>546</v>
      </c>
      <c r="C57" s="388"/>
      <c r="D57" s="388"/>
      <c r="E57" s="358">
        <f t="shared" si="2"/>
        <v>0</v>
      </c>
      <c r="F57" s="388"/>
      <c r="G57" s="200" t="s">
        <v>586</v>
      </c>
      <c r="H57" s="387" t="s">
        <v>590</v>
      </c>
      <c r="I57" s="388">
        <v>24866355</v>
      </c>
      <c r="J57" s="388"/>
    </row>
    <row r="58" spans="1:11">
      <c r="A58" s="398" t="s">
        <v>247</v>
      </c>
      <c r="B58" s="525" t="s">
        <v>153</v>
      </c>
      <c r="C58" s="388"/>
      <c r="D58" s="388"/>
      <c r="E58" s="358">
        <f t="shared" si="2"/>
        <v>0</v>
      </c>
      <c r="F58" s="388"/>
      <c r="G58" s="200" t="s">
        <v>587</v>
      </c>
      <c r="H58" s="387" t="s">
        <v>591</v>
      </c>
      <c r="I58" s="388"/>
      <c r="J58" s="388">
        <v>32157714</v>
      </c>
    </row>
    <row r="59" spans="1:11">
      <c r="A59" s="398" t="s">
        <v>547</v>
      </c>
      <c r="B59" s="525" t="s">
        <v>548</v>
      </c>
      <c r="C59" s="388"/>
      <c r="D59" s="388"/>
      <c r="E59" s="358">
        <f t="shared" si="2"/>
        <v>0</v>
      </c>
      <c r="F59" s="388"/>
      <c r="G59" s="399"/>
      <c r="H59" s="400"/>
      <c r="I59" s="400"/>
      <c r="J59" s="377"/>
    </row>
    <row r="60" spans="1:11">
      <c r="A60" s="371" t="s">
        <v>108</v>
      </c>
      <c r="B60" s="524" t="s">
        <v>109</v>
      </c>
      <c r="C60" s="375">
        <v>54919999</v>
      </c>
      <c r="D60" s="375"/>
      <c r="E60" s="357">
        <f t="shared" si="2"/>
        <v>54919999</v>
      </c>
      <c r="F60" s="375">
        <v>7628045</v>
      </c>
      <c r="G60" s="200" t="s">
        <v>588</v>
      </c>
      <c r="H60" s="387" t="s">
        <v>592</v>
      </c>
      <c r="I60" s="388"/>
      <c r="J60" s="388"/>
    </row>
    <row r="61" spans="1:11">
      <c r="A61" s="401" t="s">
        <v>115</v>
      </c>
      <c r="B61" s="526" t="s">
        <v>112</v>
      </c>
      <c r="C61" s="402"/>
      <c r="D61" s="402"/>
      <c r="E61" s="361">
        <f t="shared" si="2"/>
        <v>0</v>
      </c>
      <c r="F61" s="402"/>
      <c r="G61" s="397"/>
      <c r="H61" s="732"/>
      <c r="I61" s="732"/>
      <c r="J61" s="733"/>
    </row>
    <row r="62" spans="1:11">
      <c r="A62" s="371" t="s">
        <v>110</v>
      </c>
      <c r="B62" s="524" t="s">
        <v>111</v>
      </c>
      <c r="C62" s="375"/>
      <c r="D62" s="375"/>
      <c r="E62" s="357">
        <f t="shared" si="2"/>
        <v>0</v>
      </c>
      <c r="F62" s="375"/>
      <c r="G62" s="397"/>
      <c r="H62" s="734"/>
      <c r="I62" s="734"/>
      <c r="J62" s="735"/>
    </row>
    <row r="63" spans="1:11">
      <c r="A63" s="371" t="s">
        <v>549</v>
      </c>
      <c r="B63" s="524" t="s">
        <v>550</v>
      </c>
      <c r="C63" s="375"/>
      <c r="D63" s="375"/>
      <c r="E63" s="357">
        <f t="shared" si="2"/>
        <v>0</v>
      </c>
      <c r="F63" s="375"/>
      <c r="G63" s="397"/>
      <c r="H63" s="734"/>
      <c r="I63" s="734"/>
      <c r="J63" s="735"/>
    </row>
    <row r="64" spans="1:11">
      <c r="A64" s="371" t="s">
        <v>1683</v>
      </c>
      <c r="B64" s="359" t="s">
        <v>1682</v>
      </c>
      <c r="C64" s="357">
        <f>SUM(C65:C69)</f>
        <v>71601101</v>
      </c>
      <c r="D64" s="357">
        <f>SUM(D65:D69)</f>
        <v>0</v>
      </c>
      <c r="E64" s="357">
        <f t="shared" si="2"/>
        <v>71601101</v>
      </c>
      <c r="F64" s="357">
        <f>SUM(F65:F69)</f>
        <v>956912716</v>
      </c>
      <c r="G64" s="397"/>
      <c r="H64" s="734"/>
      <c r="I64" s="734"/>
      <c r="J64" s="735"/>
    </row>
    <row r="65" spans="1:10">
      <c r="A65" s="403" t="s">
        <v>571</v>
      </c>
      <c r="B65" s="527" t="s">
        <v>576</v>
      </c>
      <c r="C65" s="388"/>
      <c r="D65" s="388"/>
      <c r="E65" s="358">
        <f t="shared" si="2"/>
        <v>0</v>
      </c>
      <c r="F65" s="388">
        <v>953976781</v>
      </c>
      <c r="G65" s="397"/>
      <c r="H65" s="734"/>
      <c r="I65" s="734"/>
      <c r="J65" s="735"/>
    </row>
    <row r="66" spans="1:10">
      <c r="A66" s="403" t="s">
        <v>572</v>
      </c>
      <c r="B66" s="527" t="s">
        <v>577</v>
      </c>
      <c r="C66" s="388"/>
      <c r="D66" s="388"/>
      <c r="E66" s="358">
        <f t="shared" si="2"/>
        <v>0</v>
      </c>
      <c r="F66" s="388"/>
      <c r="G66" s="397"/>
      <c r="H66" s="734"/>
      <c r="I66" s="734"/>
      <c r="J66" s="735"/>
    </row>
    <row r="67" spans="1:10">
      <c r="A67" s="403" t="s">
        <v>573</v>
      </c>
      <c r="B67" s="527" t="s">
        <v>578</v>
      </c>
      <c r="C67" s="388">
        <v>71601101</v>
      </c>
      <c r="D67" s="388"/>
      <c r="E67" s="358">
        <f t="shared" si="2"/>
        <v>71601101</v>
      </c>
      <c r="F67" s="388">
        <v>2935935</v>
      </c>
      <c r="G67" s="397"/>
      <c r="H67" s="734"/>
      <c r="I67" s="734"/>
      <c r="J67" s="735"/>
    </row>
    <row r="68" spans="1:10">
      <c r="A68" s="403" t="s">
        <v>574</v>
      </c>
      <c r="B68" s="527" t="s">
        <v>579</v>
      </c>
      <c r="C68" s="388"/>
      <c r="D68" s="388"/>
      <c r="E68" s="358">
        <f t="shared" si="2"/>
        <v>0</v>
      </c>
      <c r="F68" s="388"/>
      <c r="G68" s="397"/>
      <c r="H68" s="734"/>
      <c r="I68" s="734"/>
      <c r="J68" s="735"/>
    </row>
    <row r="69" spans="1:10">
      <c r="A69" s="403" t="s">
        <v>575</v>
      </c>
      <c r="B69" s="527" t="s">
        <v>580</v>
      </c>
      <c r="C69" s="388"/>
      <c r="D69" s="388"/>
      <c r="E69" s="358">
        <f t="shared" si="2"/>
        <v>0</v>
      </c>
      <c r="F69" s="388"/>
      <c r="G69" s="397"/>
      <c r="H69" s="734"/>
      <c r="I69" s="734"/>
      <c r="J69" s="735"/>
    </row>
    <row r="70" spans="1:10">
      <c r="A70" s="404"/>
      <c r="B70" s="739"/>
      <c r="C70" s="739"/>
      <c r="D70" s="739"/>
      <c r="E70" s="739"/>
      <c r="F70" s="740"/>
      <c r="G70" s="391"/>
      <c r="H70" s="736"/>
      <c r="I70" s="736"/>
      <c r="J70" s="737"/>
    </row>
    <row r="71" spans="1:10" ht="28">
      <c r="A71" s="371" t="s">
        <v>1684</v>
      </c>
      <c r="B71" s="359" t="s">
        <v>1685</v>
      </c>
      <c r="C71" s="360">
        <f>SUM(C72,C75,C76,C77,C80,C83,C86,C91,C106,C107)</f>
        <v>500000</v>
      </c>
      <c r="D71" s="360">
        <f>SUM(D72,D75,D76,D77,D80,D83,D86,D91,D106,D107)</f>
        <v>0</v>
      </c>
      <c r="E71" s="360">
        <f>C71-D71</f>
        <v>500000</v>
      </c>
      <c r="F71" s="360">
        <f>SUM(F72,F75,F76,F77,F80,F83,F86,F91,F106,F107)</f>
        <v>0</v>
      </c>
      <c r="G71" s="207" t="s">
        <v>1686</v>
      </c>
      <c r="H71" s="359" t="s">
        <v>1687</v>
      </c>
      <c r="I71" s="360">
        <f>I72</f>
        <v>0</v>
      </c>
      <c r="J71" s="360">
        <f>J72</f>
        <v>0</v>
      </c>
    </row>
    <row r="72" spans="1:10">
      <c r="A72" s="371" t="s">
        <v>249</v>
      </c>
      <c r="B72" s="359" t="s">
        <v>251</v>
      </c>
      <c r="C72" s="405">
        <f>C73+C74</f>
        <v>500000</v>
      </c>
      <c r="D72" s="405">
        <f>D73+D74</f>
        <v>0</v>
      </c>
      <c r="E72" s="357">
        <f>C72-D72</f>
        <v>500000</v>
      </c>
      <c r="F72" s="405">
        <f>F73+F74</f>
        <v>0</v>
      </c>
      <c r="G72" s="207" t="s">
        <v>248</v>
      </c>
      <c r="H72" s="385" t="s">
        <v>19</v>
      </c>
      <c r="I72" s="375"/>
      <c r="J72" s="375"/>
    </row>
    <row r="73" spans="1:10">
      <c r="A73" s="403" t="s">
        <v>18</v>
      </c>
      <c r="B73" s="527" t="s">
        <v>19</v>
      </c>
      <c r="C73" s="388">
        <v>500000</v>
      </c>
      <c r="D73" s="388"/>
      <c r="E73" s="358">
        <f>C73-D73</f>
        <v>500000</v>
      </c>
      <c r="F73" s="388"/>
      <c r="G73" s="390"/>
      <c r="H73" s="741"/>
      <c r="I73" s="741"/>
      <c r="J73" s="742"/>
    </row>
    <row r="74" spans="1:10">
      <c r="A74" s="403" t="s">
        <v>20</v>
      </c>
      <c r="B74" s="527" t="s">
        <v>21</v>
      </c>
      <c r="C74" s="388"/>
      <c r="D74" s="388"/>
      <c r="E74" s="358">
        <f>C74-D74</f>
        <v>0</v>
      </c>
      <c r="F74" s="388"/>
      <c r="G74" s="394"/>
      <c r="H74" s="745"/>
      <c r="I74" s="745"/>
      <c r="J74" s="746"/>
    </row>
    <row r="75" spans="1:10">
      <c r="A75" s="371" t="s">
        <v>50</v>
      </c>
      <c r="B75" s="524" t="s">
        <v>551</v>
      </c>
      <c r="C75" s="375"/>
      <c r="D75" s="375"/>
      <c r="E75" s="357">
        <f>C75-D75</f>
        <v>0</v>
      </c>
      <c r="F75" s="375"/>
      <c r="G75" s="207" t="s">
        <v>36</v>
      </c>
      <c r="H75" s="359" t="s">
        <v>254</v>
      </c>
      <c r="I75" s="360">
        <f>SUM(I76:I77,I83,I84,I88,I91,I93:I95,I99:I100,I103:I104,I115:I116)</f>
        <v>2687394079</v>
      </c>
      <c r="J75" s="360">
        <f>SUM(J76:J77,J83,J84,J88,J91,J93:J95,J99:J100,J103:J104,J115:J116)</f>
        <v>2694954783</v>
      </c>
    </row>
    <row r="76" spans="1:10">
      <c r="A76" s="371" t="s">
        <v>52</v>
      </c>
      <c r="B76" s="524" t="s">
        <v>53</v>
      </c>
      <c r="C76" s="375"/>
      <c r="D76" s="375"/>
      <c r="E76" s="357">
        <f t="shared" ref="E76:E87" si="3">C76-D76</f>
        <v>0</v>
      </c>
      <c r="F76" s="375"/>
      <c r="G76" s="207" t="s">
        <v>61</v>
      </c>
      <c r="H76" s="385" t="s">
        <v>62</v>
      </c>
      <c r="I76" s="375"/>
      <c r="J76" s="375"/>
    </row>
    <row r="77" spans="1:10">
      <c r="A77" s="371" t="s">
        <v>54</v>
      </c>
      <c r="B77" s="359" t="s">
        <v>468</v>
      </c>
      <c r="C77" s="357">
        <f>SUM(C78:C79)</f>
        <v>0</v>
      </c>
      <c r="D77" s="357">
        <f>SUM(D78:D79)</f>
        <v>0</v>
      </c>
      <c r="E77" s="357">
        <f t="shared" si="3"/>
        <v>0</v>
      </c>
      <c r="F77" s="357">
        <f>SUM(F78:F79)</f>
        <v>0</v>
      </c>
      <c r="G77" s="207" t="s">
        <v>63</v>
      </c>
      <c r="H77" s="359" t="s">
        <v>64</v>
      </c>
      <c r="I77" s="357">
        <f>SUM(I78:I82)</f>
        <v>0</v>
      </c>
      <c r="J77" s="357">
        <f>SUM(J78:J82)</f>
        <v>49810291</v>
      </c>
    </row>
    <row r="78" spans="1:10">
      <c r="A78" s="398" t="s">
        <v>93</v>
      </c>
      <c r="B78" s="525" t="s">
        <v>253</v>
      </c>
      <c r="C78" s="388"/>
      <c r="D78" s="388"/>
      <c r="E78" s="358">
        <f t="shared" si="3"/>
        <v>0</v>
      </c>
      <c r="F78" s="388"/>
      <c r="G78" s="406" t="s">
        <v>593</v>
      </c>
      <c r="H78" s="387" t="s">
        <v>598</v>
      </c>
      <c r="I78" s="388"/>
      <c r="J78" s="388"/>
    </row>
    <row r="79" spans="1:10">
      <c r="A79" s="398" t="s">
        <v>250</v>
      </c>
      <c r="B79" s="525" t="s">
        <v>252</v>
      </c>
      <c r="C79" s="388"/>
      <c r="D79" s="388"/>
      <c r="E79" s="358">
        <f t="shared" si="3"/>
        <v>0</v>
      </c>
      <c r="F79" s="388"/>
      <c r="G79" s="159" t="s">
        <v>594</v>
      </c>
      <c r="H79" s="387" t="s">
        <v>599</v>
      </c>
      <c r="I79" s="388"/>
      <c r="J79" s="388">
        <v>49810291</v>
      </c>
    </row>
    <row r="80" spans="1:10">
      <c r="A80" s="371" t="s">
        <v>56</v>
      </c>
      <c r="B80" s="359" t="s">
        <v>1688</v>
      </c>
      <c r="C80" s="357">
        <f>SUM(C81:C82)</f>
        <v>0</v>
      </c>
      <c r="D80" s="357">
        <f>SUM(D81:D82)</f>
        <v>0</v>
      </c>
      <c r="E80" s="357">
        <f t="shared" si="3"/>
        <v>0</v>
      </c>
      <c r="F80" s="357">
        <f>SUM(F81:F82)</f>
        <v>0</v>
      </c>
      <c r="G80" s="159" t="s">
        <v>595</v>
      </c>
      <c r="H80" s="387" t="s">
        <v>600</v>
      </c>
      <c r="I80" s="388"/>
      <c r="J80" s="388"/>
    </row>
    <row r="81" spans="1:10">
      <c r="A81" s="398" t="s">
        <v>94</v>
      </c>
      <c r="B81" s="525" t="s">
        <v>253</v>
      </c>
      <c r="C81" s="388"/>
      <c r="D81" s="388"/>
      <c r="E81" s="358">
        <f t="shared" si="3"/>
        <v>0</v>
      </c>
      <c r="F81" s="388"/>
      <c r="G81" s="159" t="s">
        <v>596</v>
      </c>
      <c r="H81" s="387" t="s">
        <v>601</v>
      </c>
      <c r="I81" s="388"/>
      <c r="J81" s="388"/>
    </row>
    <row r="82" spans="1:10">
      <c r="A82" s="398" t="s">
        <v>267</v>
      </c>
      <c r="B82" s="525" t="s">
        <v>252</v>
      </c>
      <c r="C82" s="388"/>
      <c r="D82" s="388"/>
      <c r="E82" s="358">
        <f t="shared" si="3"/>
        <v>0</v>
      </c>
      <c r="F82" s="388"/>
      <c r="G82" s="159" t="s">
        <v>597</v>
      </c>
      <c r="H82" s="387" t="s">
        <v>602</v>
      </c>
      <c r="I82" s="388"/>
      <c r="J82" s="388"/>
    </row>
    <row r="83" spans="1:10">
      <c r="A83" s="371" t="s">
        <v>58</v>
      </c>
      <c r="B83" s="359" t="s">
        <v>523</v>
      </c>
      <c r="C83" s="357">
        <f>SUM(C84:C85)</f>
        <v>0</v>
      </c>
      <c r="D83" s="357">
        <f>SUM(D84:D85)</f>
        <v>0</v>
      </c>
      <c r="E83" s="357">
        <f t="shared" si="3"/>
        <v>0</v>
      </c>
      <c r="F83" s="357">
        <f>SUM(F84:F85)</f>
        <v>0</v>
      </c>
      <c r="G83" s="207" t="s">
        <v>65</v>
      </c>
      <c r="H83" s="385" t="s">
        <v>255</v>
      </c>
      <c r="I83" s="375"/>
      <c r="J83" s="375"/>
    </row>
    <row r="84" spans="1:10">
      <c r="A84" s="398" t="s">
        <v>95</v>
      </c>
      <c r="B84" s="525" t="s">
        <v>253</v>
      </c>
      <c r="C84" s="375"/>
      <c r="D84" s="375"/>
      <c r="E84" s="358">
        <f t="shared" si="3"/>
        <v>0</v>
      </c>
      <c r="F84" s="375"/>
      <c r="G84" s="207" t="s">
        <v>67</v>
      </c>
      <c r="H84" s="359" t="s">
        <v>1689</v>
      </c>
      <c r="I84" s="357">
        <f>SUM(I85:I87)</f>
        <v>41528970</v>
      </c>
      <c r="J84" s="357">
        <f>SUM(J85:J87)</f>
        <v>39111896</v>
      </c>
    </row>
    <row r="85" spans="1:10">
      <c r="A85" s="398" t="s">
        <v>527</v>
      </c>
      <c r="B85" s="525" t="s">
        <v>252</v>
      </c>
      <c r="C85" s="388"/>
      <c r="D85" s="388"/>
      <c r="E85" s="358">
        <f t="shared" si="3"/>
        <v>0</v>
      </c>
      <c r="F85" s="388"/>
      <c r="G85" s="200" t="s">
        <v>256</v>
      </c>
      <c r="H85" s="387" t="s">
        <v>270</v>
      </c>
      <c r="I85" s="388">
        <v>41528970</v>
      </c>
      <c r="J85" s="388">
        <v>39111896</v>
      </c>
    </row>
    <row r="86" spans="1:10">
      <c r="A86" s="398"/>
      <c r="B86" s="359" t="s">
        <v>1690</v>
      </c>
      <c r="C86" s="357">
        <f>SUM(C87,C89)</f>
        <v>0</v>
      </c>
      <c r="D86" s="357">
        <f>SUM(D87,D89)</f>
        <v>0</v>
      </c>
      <c r="E86" s="357">
        <f t="shared" si="3"/>
        <v>0</v>
      </c>
      <c r="F86" s="357">
        <f>SUM(F87,F89)</f>
        <v>0</v>
      </c>
      <c r="G86" s="200" t="s">
        <v>554</v>
      </c>
      <c r="H86" s="387" t="s">
        <v>555</v>
      </c>
      <c r="I86" s="388"/>
      <c r="J86" s="388"/>
    </row>
    <row r="87" spans="1:10">
      <c r="A87" s="398" t="s">
        <v>96</v>
      </c>
      <c r="B87" s="525" t="s">
        <v>253</v>
      </c>
      <c r="C87" s="388"/>
      <c r="D87" s="388"/>
      <c r="E87" s="358">
        <f t="shared" si="3"/>
        <v>0</v>
      </c>
      <c r="F87" s="388"/>
      <c r="G87" s="200" t="s">
        <v>257</v>
      </c>
      <c r="H87" s="387" t="s">
        <v>155</v>
      </c>
      <c r="I87" s="388"/>
      <c r="J87" s="388"/>
    </row>
    <row r="88" spans="1:10">
      <c r="A88" s="408"/>
      <c r="B88" s="739"/>
      <c r="C88" s="739"/>
      <c r="D88" s="739"/>
      <c r="E88" s="739"/>
      <c r="F88" s="740"/>
      <c r="G88" s="207" t="s">
        <v>69</v>
      </c>
      <c r="H88" s="359" t="s">
        <v>70</v>
      </c>
      <c r="I88" s="357">
        <f>SUM(I89:I90)</f>
        <v>0</v>
      </c>
      <c r="J88" s="357">
        <f>SUM(J89:J90)</f>
        <v>0</v>
      </c>
    </row>
    <row r="89" spans="1:10" ht="28">
      <c r="A89" s="200" t="s">
        <v>529</v>
      </c>
      <c r="B89" s="387" t="s">
        <v>252</v>
      </c>
      <c r="C89" s="388"/>
      <c r="D89" s="388"/>
      <c r="E89" s="358">
        <f>C89-D89</f>
        <v>0</v>
      </c>
      <c r="F89" s="388"/>
      <c r="G89" s="200" t="s">
        <v>258</v>
      </c>
      <c r="H89" s="387" t="s">
        <v>271</v>
      </c>
      <c r="I89" s="388"/>
      <c r="J89" s="388"/>
    </row>
    <row r="90" spans="1:10">
      <c r="A90" s="399"/>
      <c r="B90" s="764"/>
      <c r="C90" s="764"/>
      <c r="D90" s="764"/>
      <c r="E90" s="764"/>
      <c r="F90" s="765"/>
      <c r="G90" s="200" t="s">
        <v>556</v>
      </c>
      <c r="H90" s="387" t="s">
        <v>557</v>
      </c>
      <c r="I90" s="388"/>
      <c r="J90" s="388"/>
    </row>
    <row r="91" spans="1:10">
      <c r="A91" s="207" t="s">
        <v>485</v>
      </c>
      <c r="B91" s="359" t="s">
        <v>1691</v>
      </c>
      <c r="C91" s="357">
        <f>SUM(C93:C95)</f>
        <v>0</v>
      </c>
      <c r="D91" s="357">
        <f>SUM(D93:D95)</f>
        <v>0</v>
      </c>
      <c r="E91" s="357">
        <f>C91-D91</f>
        <v>0</v>
      </c>
      <c r="F91" s="357">
        <f>SUM(F93:F95)</f>
        <v>0</v>
      </c>
      <c r="G91" s="207" t="s">
        <v>71</v>
      </c>
      <c r="H91" s="359" t="s">
        <v>1573</v>
      </c>
      <c r="I91" s="357">
        <f>I92</f>
        <v>0</v>
      </c>
      <c r="J91" s="357">
        <f>J92</f>
        <v>0</v>
      </c>
    </row>
    <row r="92" spans="1:10">
      <c r="A92" s="408"/>
      <c r="B92" s="739"/>
      <c r="C92" s="739"/>
      <c r="D92" s="739"/>
      <c r="E92" s="739"/>
      <c r="F92" s="740"/>
      <c r="G92" s="200" t="s">
        <v>259</v>
      </c>
      <c r="H92" s="387" t="s">
        <v>272</v>
      </c>
      <c r="I92" s="388"/>
      <c r="J92" s="388"/>
    </row>
    <row r="93" spans="1:10">
      <c r="A93" s="200" t="s">
        <v>483</v>
      </c>
      <c r="B93" s="387" t="s">
        <v>552</v>
      </c>
      <c r="C93" s="388"/>
      <c r="D93" s="388"/>
      <c r="E93" s="358">
        <f>C93-D93</f>
        <v>0</v>
      </c>
      <c r="F93" s="388"/>
      <c r="G93" s="207" t="s">
        <v>73</v>
      </c>
      <c r="H93" s="385" t="s">
        <v>133</v>
      </c>
      <c r="I93" s="375"/>
      <c r="J93" s="375"/>
    </row>
    <row r="94" spans="1:10">
      <c r="A94" s="200" t="s">
        <v>481</v>
      </c>
      <c r="B94" s="387" t="s">
        <v>553</v>
      </c>
      <c r="C94" s="388"/>
      <c r="D94" s="388"/>
      <c r="E94" s="358">
        <f>C94-D94</f>
        <v>0</v>
      </c>
      <c r="F94" s="388"/>
      <c r="G94" s="207" t="s">
        <v>75</v>
      </c>
      <c r="H94" s="385" t="s">
        <v>76</v>
      </c>
      <c r="I94" s="375"/>
      <c r="J94" s="375"/>
    </row>
    <row r="95" spans="1:10">
      <c r="A95" s="200" t="s">
        <v>480</v>
      </c>
      <c r="B95" s="387" t="s">
        <v>479</v>
      </c>
      <c r="C95" s="388"/>
      <c r="D95" s="388"/>
      <c r="E95" s="358">
        <f>C95-D95</f>
        <v>0</v>
      </c>
      <c r="F95" s="388"/>
      <c r="G95" s="207" t="s">
        <v>77</v>
      </c>
      <c r="H95" s="359" t="s">
        <v>78</v>
      </c>
      <c r="I95" s="357">
        <f>SUM(I96:I98)</f>
        <v>2579143571</v>
      </c>
      <c r="J95" s="357">
        <f>SUM(J96:J98)</f>
        <v>2246088573</v>
      </c>
    </row>
    <row r="96" spans="1:10">
      <c r="A96" s="395"/>
      <c r="B96" s="732"/>
      <c r="C96" s="732"/>
      <c r="D96" s="732"/>
      <c r="E96" s="732"/>
      <c r="F96" s="733"/>
      <c r="G96" s="200" t="s">
        <v>260</v>
      </c>
      <c r="H96" s="387" t="s">
        <v>156</v>
      </c>
      <c r="I96" s="388">
        <v>385285436</v>
      </c>
      <c r="J96" s="388">
        <v>335327186</v>
      </c>
    </row>
    <row r="97" spans="1:11">
      <c r="A97" s="382"/>
      <c r="B97" s="734"/>
      <c r="C97" s="734"/>
      <c r="D97" s="734"/>
      <c r="E97" s="734"/>
      <c r="F97" s="735"/>
      <c r="G97" s="200" t="s">
        <v>261</v>
      </c>
      <c r="H97" s="387" t="s">
        <v>157</v>
      </c>
      <c r="I97" s="388">
        <v>236909014</v>
      </c>
      <c r="J97" s="388">
        <v>236909014</v>
      </c>
    </row>
    <row r="98" spans="1:11">
      <c r="A98" s="382"/>
      <c r="B98" s="734"/>
      <c r="C98" s="734"/>
      <c r="D98" s="734"/>
      <c r="E98" s="734"/>
      <c r="F98" s="735"/>
      <c r="G98" s="200" t="s">
        <v>262</v>
      </c>
      <c r="H98" s="387" t="s">
        <v>158</v>
      </c>
      <c r="I98" s="388">
        <v>1956949121</v>
      </c>
      <c r="J98" s="388">
        <v>1673852373</v>
      </c>
      <c r="K98" s="86"/>
    </row>
    <row r="99" spans="1:11">
      <c r="A99" s="382"/>
      <c r="B99" s="734"/>
      <c r="C99" s="734"/>
      <c r="D99" s="734"/>
      <c r="E99" s="734"/>
      <c r="F99" s="735"/>
      <c r="G99" s="207" t="s">
        <v>79</v>
      </c>
      <c r="H99" s="385" t="s">
        <v>134</v>
      </c>
      <c r="I99" s="375"/>
      <c r="J99" s="375"/>
      <c r="K99" s="86"/>
    </row>
    <row r="100" spans="1:11">
      <c r="A100" s="382"/>
      <c r="B100" s="734"/>
      <c r="C100" s="734"/>
      <c r="D100" s="734"/>
      <c r="E100" s="734"/>
      <c r="F100" s="735"/>
      <c r="G100" s="207" t="s">
        <v>80</v>
      </c>
      <c r="H100" s="359" t="s">
        <v>81</v>
      </c>
      <c r="I100" s="357">
        <f>SUM(I101:I102)</f>
        <v>30179000</v>
      </c>
      <c r="J100" s="357">
        <f>SUM(J101:J102)</f>
        <v>26887000</v>
      </c>
      <c r="K100" s="86"/>
    </row>
    <row r="101" spans="1:11">
      <c r="A101" s="382"/>
      <c r="B101" s="734"/>
      <c r="C101" s="734"/>
      <c r="D101" s="734"/>
      <c r="E101" s="734"/>
      <c r="F101" s="735"/>
      <c r="G101" s="353" t="s">
        <v>263</v>
      </c>
      <c r="H101" s="387" t="s">
        <v>273</v>
      </c>
      <c r="I101" s="388">
        <v>30179000</v>
      </c>
      <c r="J101" s="388">
        <v>26887000</v>
      </c>
      <c r="K101" s="86"/>
    </row>
    <row r="102" spans="1:11">
      <c r="A102" s="382"/>
      <c r="B102" s="734"/>
      <c r="C102" s="734"/>
      <c r="D102" s="734"/>
      <c r="E102" s="734"/>
      <c r="F102" s="735"/>
      <c r="G102" s="353" t="s">
        <v>90</v>
      </c>
      <c r="H102" s="387" t="s">
        <v>89</v>
      </c>
      <c r="I102" s="388"/>
      <c r="J102" s="388"/>
      <c r="K102" s="86"/>
    </row>
    <row r="103" spans="1:11">
      <c r="A103" s="382"/>
      <c r="B103" s="734"/>
      <c r="C103" s="734"/>
      <c r="D103" s="734"/>
      <c r="E103" s="734"/>
      <c r="F103" s="735"/>
      <c r="G103" s="409" t="s">
        <v>82</v>
      </c>
      <c r="H103" s="385" t="s">
        <v>83</v>
      </c>
      <c r="I103" s="375"/>
      <c r="J103" s="375"/>
    </row>
    <row r="104" spans="1:11">
      <c r="A104" s="382"/>
      <c r="B104" s="734"/>
      <c r="C104" s="734"/>
      <c r="D104" s="734"/>
      <c r="E104" s="734"/>
      <c r="F104" s="735"/>
      <c r="G104" s="409" t="s">
        <v>84</v>
      </c>
      <c r="H104" s="385" t="s">
        <v>274</v>
      </c>
      <c r="I104" s="375"/>
      <c r="J104" s="375"/>
    </row>
    <row r="105" spans="1:11">
      <c r="A105" s="384"/>
      <c r="B105" s="736"/>
      <c r="C105" s="736"/>
      <c r="D105" s="736"/>
      <c r="E105" s="736"/>
      <c r="F105" s="737"/>
      <c r="G105" s="389"/>
      <c r="H105" s="732"/>
      <c r="I105" s="732"/>
      <c r="J105" s="733"/>
    </row>
    <row r="106" spans="1:11">
      <c r="A106" s="207" t="s">
        <v>265</v>
      </c>
      <c r="B106" s="385" t="s">
        <v>112</v>
      </c>
      <c r="C106" s="375"/>
      <c r="D106" s="375"/>
      <c r="E106" s="357">
        <f t="shared" ref="E106:E111" si="4">C106-D106</f>
        <v>0</v>
      </c>
      <c r="F106" s="375"/>
      <c r="G106" s="397"/>
      <c r="H106" s="734"/>
      <c r="I106" s="734"/>
      <c r="J106" s="735"/>
    </row>
    <row r="107" spans="1:11">
      <c r="A107" s="410" t="s">
        <v>478</v>
      </c>
      <c r="B107" s="530" t="s">
        <v>1692</v>
      </c>
      <c r="C107" s="367">
        <f>SUM(C109:C111)</f>
        <v>0</v>
      </c>
      <c r="D107" s="367">
        <f>SUM(D109:D111)</f>
        <v>0</v>
      </c>
      <c r="E107" s="357">
        <f t="shared" si="4"/>
        <v>0</v>
      </c>
      <c r="F107" s="367">
        <f>SUM(F109:F111)</f>
        <v>0</v>
      </c>
      <c r="G107" s="397"/>
      <c r="H107" s="734"/>
      <c r="I107" s="734"/>
      <c r="J107" s="735"/>
    </row>
    <row r="108" spans="1:11">
      <c r="A108" s="159"/>
      <c r="B108" s="411" t="s">
        <v>239</v>
      </c>
      <c r="C108" s="407"/>
      <c r="D108" s="407"/>
      <c r="E108" s="358">
        <f t="shared" si="4"/>
        <v>0</v>
      </c>
      <c r="F108" s="407"/>
      <c r="G108" s="397"/>
      <c r="H108" s="734"/>
      <c r="I108" s="734"/>
      <c r="J108" s="735"/>
    </row>
    <row r="109" spans="1:11" s="23" customFormat="1">
      <c r="A109" s="200" t="s">
        <v>558</v>
      </c>
      <c r="B109" s="387" t="s">
        <v>559</v>
      </c>
      <c r="C109" s="388"/>
      <c r="D109" s="388"/>
      <c r="E109" s="358">
        <f>C109-D109</f>
        <v>0</v>
      </c>
      <c r="F109" s="388"/>
      <c r="G109" s="397"/>
      <c r="H109" s="734"/>
      <c r="I109" s="734"/>
      <c r="J109" s="735"/>
    </row>
    <row r="110" spans="1:11" s="23" customFormat="1">
      <c r="A110" s="200" t="s">
        <v>560</v>
      </c>
      <c r="B110" s="387" t="s">
        <v>562</v>
      </c>
      <c r="C110" s="388"/>
      <c r="D110" s="388"/>
      <c r="E110" s="358">
        <f t="shared" si="4"/>
        <v>0</v>
      </c>
      <c r="F110" s="388"/>
      <c r="G110" s="397"/>
      <c r="H110" s="734"/>
      <c r="I110" s="734"/>
      <c r="J110" s="735"/>
    </row>
    <row r="111" spans="1:11">
      <c r="A111" s="200" t="s">
        <v>561</v>
      </c>
      <c r="B111" s="387" t="s">
        <v>563</v>
      </c>
      <c r="C111" s="388"/>
      <c r="D111" s="388"/>
      <c r="E111" s="358">
        <f t="shared" si="4"/>
        <v>0</v>
      </c>
      <c r="F111" s="388"/>
      <c r="G111" s="397"/>
      <c r="H111" s="734"/>
      <c r="I111" s="734"/>
      <c r="J111" s="735"/>
    </row>
    <row r="112" spans="1:11">
      <c r="A112" s="389"/>
      <c r="B112" s="732"/>
      <c r="C112" s="732"/>
      <c r="D112" s="732"/>
      <c r="E112" s="732"/>
      <c r="F112" s="733"/>
      <c r="G112" s="397"/>
      <c r="H112" s="734"/>
      <c r="I112" s="734"/>
      <c r="J112" s="735"/>
    </row>
    <row r="113" spans="1:10">
      <c r="A113" s="391"/>
      <c r="B113" s="736"/>
      <c r="C113" s="736"/>
      <c r="D113" s="736"/>
      <c r="E113" s="736"/>
      <c r="F113" s="737"/>
      <c r="G113" s="397"/>
      <c r="H113" s="734"/>
      <c r="I113" s="734"/>
      <c r="J113" s="735"/>
    </row>
    <row r="114" spans="1:10">
      <c r="A114" s="207" t="s">
        <v>1693</v>
      </c>
      <c r="B114" s="359" t="s">
        <v>1694</v>
      </c>
      <c r="C114" s="360">
        <f>C115+C116</f>
        <v>0</v>
      </c>
      <c r="D114" s="360">
        <f>D115+D116</f>
        <v>0</v>
      </c>
      <c r="E114" s="360">
        <f>C114-D114</f>
        <v>0</v>
      </c>
      <c r="F114" s="360">
        <f>F115+F116</f>
        <v>0</v>
      </c>
      <c r="G114" s="391"/>
      <c r="H114" s="736"/>
      <c r="I114" s="736"/>
      <c r="J114" s="737"/>
    </row>
    <row r="115" spans="1:10">
      <c r="A115" s="171" t="s">
        <v>581</v>
      </c>
      <c r="B115" s="412" t="s">
        <v>583</v>
      </c>
      <c r="C115" s="413"/>
      <c r="D115" s="413"/>
      <c r="E115" s="358">
        <f>C115-D115</f>
        <v>0</v>
      </c>
      <c r="F115" s="413"/>
      <c r="G115" s="207" t="s">
        <v>85</v>
      </c>
      <c r="H115" s="385" t="s">
        <v>1574</v>
      </c>
      <c r="I115" s="388"/>
      <c r="J115" s="388"/>
    </row>
    <row r="116" spans="1:10">
      <c r="A116" s="171" t="s">
        <v>582</v>
      </c>
      <c r="B116" s="412" t="s">
        <v>584</v>
      </c>
      <c r="C116" s="413"/>
      <c r="D116" s="413"/>
      <c r="E116" s="358">
        <f>C116-D116</f>
        <v>0</v>
      </c>
      <c r="F116" s="413"/>
      <c r="G116" s="207" t="s">
        <v>87</v>
      </c>
      <c r="H116" s="359" t="s">
        <v>1695</v>
      </c>
      <c r="I116" s="357">
        <f>SUM(I117:I118)</f>
        <v>36542538</v>
      </c>
      <c r="J116" s="357">
        <f>SUM(J117:J118)</f>
        <v>333057023</v>
      </c>
    </row>
    <row r="117" spans="1:10">
      <c r="A117" s="395"/>
      <c r="B117" s="732"/>
      <c r="C117" s="732"/>
      <c r="D117" s="732"/>
      <c r="E117" s="732"/>
      <c r="F117" s="733"/>
      <c r="G117" s="200" t="s">
        <v>1696</v>
      </c>
      <c r="H117" s="523" t="s">
        <v>1697</v>
      </c>
      <c r="I117" s="357"/>
      <c r="J117" s="357"/>
    </row>
    <row r="118" spans="1:10">
      <c r="A118" s="384"/>
      <c r="B118" s="736"/>
      <c r="C118" s="736"/>
      <c r="D118" s="736"/>
      <c r="E118" s="736"/>
      <c r="F118" s="737"/>
      <c r="G118" s="200" t="s">
        <v>264</v>
      </c>
      <c r="H118" s="387" t="s">
        <v>275</v>
      </c>
      <c r="I118" s="388">
        <v>36542538</v>
      </c>
      <c r="J118" s="388">
        <v>333057023</v>
      </c>
    </row>
    <row r="119" spans="1:10">
      <c r="A119" s="207" t="s">
        <v>91</v>
      </c>
      <c r="B119" s="359" t="s">
        <v>268</v>
      </c>
      <c r="C119" s="413"/>
      <c r="D119" s="413"/>
      <c r="E119" s="360">
        <f>IFERROR(C119-D119,0)</f>
        <v>0</v>
      </c>
      <c r="F119" s="413"/>
      <c r="G119" s="389"/>
      <c r="H119" s="732"/>
      <c r="I119" s="732"/>
      <c r="J119" s="733"/>
    </row>
    <row r="120" spans="1:10">
      <c r="A120" s="370"/>
      <c r="B120" s="747"/>
      <c r="C120" s="747"/>
      <c r="D120" s="747"/>
      <c r="E120" s="747"/>
      <c r="F120" s="748"/>
      <c r="G120" s="391"/>
      <c r="H120" s="736"/>
      <c r="I120" s="736"/>
      <c r="J120" s="737"/>
    </row>
    <row r="121" spans="1:10">
      <c r="A121" s="207" t="s">
        <v>266</v>
      </c>
      <c r="B121" s="362" t="s">
        <v>269</v>
      </c>
      <c r="C121" s="363">
        <f>SUM(C8,C35,C52,C71,C114,C119)</f>
        <v>4072474293</v>
      </c>
      <c r="D121" s="363">
        <f>SUM(D8,D35,D52,D71,D114,D119)</f>
        <v>292837847</v>
      </c>
      <c r="E121" s="363">
        <f>C121-D121</f>
        <v>3779636446</v>
      </c>
      <c r="F121" s="363">
        <f>SUM(F8,F35,F52,F71,F114,F119)</f>
        <v>4516409261</v>
      </c>
      <c r="G121" s="207" t="s">
        <v>1698</v>
      </c>
      <c r="H121" s="362" t="s">
        <v>1699</v>
      </c>
      <c r="I121" s="363">
        <f>SUM(I8,I35,I52,I71,I75)</f>
        <v>3779636446</v>
      </c>
      <c r="J121" s="363">
        <f>SUM(J8,J35,J52,J71,J75)</f>
        <v>4516409261</v>
      </c>
    </row>
    <row r="123" spans="1:10">
      <c r="C123" s="673"/>
    </row>
    <row r="124" spans="1:10" ht="23">
      <c r="A124" s="761" t="s">
        <v>1781</v>
      </c>
      <c r="B124" s="762"/>
      <c r="C124" s="762"/>
      <c r="D124" s="763"/>
      <c r="E124" s="414"/>
      <c r="F124" s="372"/>
      <c r="G124" s="372"/>
      <c r="H124" s="372"/>
      <c r="I124" s="372"/>
      <c r="J124" s="372"/>
    </row>
    <row r="125" spans="1:10" ht="30">
      <c r="A125" s="21" t="s">
        <v>188</v>
      </c>
      <c r="B125" s="21" t="s">
        <v>1003</v>
      </c>
      <c r="C125" s="202" t="str">
        <f>"NETS"&amp;" "&amp;C6</f>
        <v>NETS N</v>
      </c>
      <c r="D125" s="202" t="str">
        <f>"NETS"&amp;" "&amp;F6</f>
        <v>NETS N-1</v>
      </c>
    </row>
    <row r="126" spans="1:10" ht="15">
      <c r="A126" s="364"/>
      <c r="B126" s="365" t="s">
        <v>1011</v>
      </c>
      <c r="C126" s="757"/>
      <c r="D126" s="758"/>
    </row>
    <row r="127" spans="1:10">
      <c r="A127" s="364" t="s">
        <v>38</v>
      </c>
      <c r="B127" s="203" t="s">
        <v>1077</v>
      </c>
      <c r="C127" s="375"/>
      <c r="D127" s="375"/>
    </row>
    <row r="128" spans="1:10">
      <c r="A128" s="415" t="s">
        <v>126</v>
      </c>
      <c r="B128" s="203" t="s">
        <v>1012</v>
      </c>
      <c r="C128" s="375"/>
      <c r="D128" s="375"/>
    </row>
    <row r="129" spans="1:4" ht="28">
      <c r="A129" s="368" t="s">
        <v>39</v>
      </c>
      <c r="B129" s="203" t="s">
        <v>1013</v>
      </c>
      <c r="C129" s="375"/>
      <c r="D129" s="375"/>
    </row>
    <row r="130" spans="1:4" ht="28">
      <c r="A130" s="368"/>
      <c r="B130" s="26" t="s">
        <v>1014</v>
      </c>
      <c r="C130" s="366"/>
      <c r="D130" s="366"/>
    </row>
    <row r="131" spans="1:4">
      <c r="A131" s="416" t="s">
        <v>116</v>
      </c>
      <c r="B131" s="204" t="s">
        <v>1015</v>
      </c>
      <c r="C131" s="388">
        <v>858083932</v>
      </c>
      <c r="D131" s="388"/>
    </row>
    <row r="132" spans="1:4">
      <c r="A132" s="416" t="s">
        <v>128</v>
      </c>
      <c r="B132" s="204" t="s">
        <v>1016</v>
      </c>
      <c r="C132" s="388"/>
      <c r="D132" s="388"/>
    </row>
    <row r="133" spans="1:4">
      <c r="A133" s="417" t="s">
        <v>117</v>
      </c>
      <c r="B133" s="204" t="s">
        <v>1017</v>
      </c>
      <c r="C133" s="418"/>
      <c r="D133" s="418"/>
    </row>
    <row r="134" spans="1:4">
      <c r="A134" s="416" t="s">
        <v>129</v>
      </c>
      <c r="B134" s="204" t="s">
        <v>1018</v>
      </c>
      <c r="C134" s="388">
        <v>48600500</v>
      </c>
      <c r="D134" s="388">
        <v>52263200</v>
      </c>
    </row>
    <row r="135" spans="1:4">
      <c r="A135" s="419"/>
      <c r="B135" s="754"/>
      <c r="C135" s="755"/>
      <c r="D135" s="756"/>
    </row>
    <row r="136" spans="1:4" ht="15">
      <c r="A136" s="420"/>
      <c r="B136" s="365" t="s">
        <v>1019</v>
      </c>
      <c r="C136" s="757"/>
      <c r="D136" s="758"/>
    </row>
    <row r="137" spans="1:4">
      <c r="A137" s="368" t="s">
        <v>40</v>
      </c>
      <c r="B137" s="369" t="s">
        <v>1112</v>
      </c>
      <c r="C137" s="367">
        <f>SUM(C138:C140)</f>
        <v>0</v>
      </c>
      <c r="D137" s="367">
        <f>SUM(D138:D140)</f>
        <v>0</v>
      </c>
    </row>
    <row r="138" spans="1:4">
      <c r="A138" s="416" t="s">
        <v>1020</v>
      </c>
      <c r="B138" s="421" t="s">
        <v>1021</v>
      </c>
      <c r="C138" s="388"/>
      <c r="D138" s="388"/>
    </row>
    <row r="139" spans="1:4">
      <c r="A139" s="416" t="s">
        <v>1023</v>
      </c>
      <c r="B139" s="421" t="s">
        <v>1022</v>
      </c>
      <c r="C139" s="388"/>
      <c r="D139" s="388"/>
    </row>
    <row r="140" spans="1:4">
      <c r="A140" s="416" t="s">
        <v>1024</v>
      </c>
      <c r="B140" s="421" t="s">
        <v>1028</v>
      </c>
      <c r="C140" s="388"/>
      <c r="D140" s="388"/>
    </row>
    <row r="141" spans="1:4">
      <c r="A141" s="368" t="s">
        <v>1700</v>
      </c>
      <c r="B141" s="369" t="s">
        <v>1701</v>
      </c>
      <c r="C141" s="367">
        <f>SUM(C142:C144)</f>
        <v>0</v>
      </c>
      <c r="D141" s="367">
        <f>SUM(D142:D144)</f>
        <v>0</v>
      </c>
    </row>
    <row r="142" spans="1:4">
      <c r="A142" s="416" t="s">
        <v>1025</v>
      </c>
      <c r="B142" s="421" t="s">
        <v>1021</v>
      </c>
      <c r="C142" s="388"/>
      <c r="D142" s="388"/>
    </row>
    <row r="143" spans="1:4">
      <c r="A143" s="416" t="s">
        <v>1026</v>
      </c>
      <c r="B143" s="421" t="s">
        <v>1022</v>
      </c>
      <c r="C143" s="388"/>
      <c r="D143" s="388"/>
    </row>
    <row r="144" spans="1:4">
      <c r="A144" s="416" t="s">
        <v>1027</v>
      </c>
      <c r="B144" s="421" t="s">
        <v>1028</v>
      </c>
      <c r="C144" s="388"/>
      <c r="D144" s="388"/>
    </row>
    <row r="145" spans="1:4">
      <c r="A145" s="422"/>
      <c r="B145" s="423"/>
      <c r="C145" s="423"/>
      <c r="D145" s="424"/>
    </row>
    <row r="146" spans="1:4">
      <c r="A146" s="425"/>
      <c r="B146" s="426" t="s">
        <v>1029</v>
      </c>
      <c r="C146" s="759"/>
      <c r="D146" s="760"/>
    </row>
    <row r="147" spans="1:4">
      <c r="A147" s="422"/>
      <c r="B147" s="423"/>
      <c r="C147" s="423"/>
      <c r="D147" s="424"/>
    </row>
    <row r="148" spans="1:4">
      <c r="A148" s="425"/>
      <c r="B148" s="426" t="s">
        <v>1702</v>
      </c>
      <c r="C148" s="367">
        <f>SUM(C149:C152)</f>
        <v>0</v>
      </c>
      <c r="D148" s="367">
        <f>SUM(D149:D152)</f>
        <v>0</v>
      </c>
    </row>
    <row r="149" spans="1:4">
      <c r="A149" s="416" t="s">
        <v>1030</v>
      </c>
      <c r="B149" s="421" t="s">
        <v>1053</v>
      </c>
      <c r="C149" s="388"/>
      <c r="D149" s="388"/>
    </row>
    <row r="150" spans="1:4">
      <c r="A150" s="416" t="s">
        <v>1031</v>
      </c>
      <c r="B150" s="421" t="s">
        <v>1054</v>
      </c>
      <c r="C150" s="388"/>
      <c r="D150" s="388"/>
    </row>
    <row r="151" spans="1:4">
      <c r="A151" s="416" t="s">
        <v>1032</v>
      </c>
      <c r="B151" s="421" t="s">
        <v>1055</v>
      </c>
      <c r="C151" s="388"/>
      <c r="D151" s="388"/>
    </row>
    <row r="152" spans="1:4">
      <c r="A152" s="416" t="s">
        <v>1033</v>
      </c>
      <c r="B152" s="421" t="s">
        <v>1056</v>
      </c>
      <c r="C152" s="388"/>
      <c r="D152" s="388"/>
    </row>
    <row r="153" spans="1:4">
      <c r="A153" s="427"/>
      <c r="B153" s="428"/>
      <c r="C153" s="428"/>
      <c r="D153" s="429"/>
    </row>
    <row r="154" spans="1:4">
      <c r="A154" s="368"/>
      <c r="B154" s="369" t="s">
        <v>1703</v>
      </c>
      <c r="C154" s="360">
        <f>SUM(C155:C156)</f>
        <v>0</v>
      </c>
      <c r="D154" s="360">
        <f>SUM(D155:D156)</f>
        <v>0</v>
      </c>
    </row>
    <row r="155" spans="1:4">
      <c r="A155" s="416" t="s">
        <v>1034</v>
      </c>
      <c r="B155" s="421" t="s">
        <v>1057</v>
      </c>
      <c r="C155" s="388"/>
      <c r="D155" s="388"/>
    </row>
    <row r="156" spans="1:4">
      <c r="A156" s="416" t="s">
        <v>1035</v>
      </c>
      <c r="B156" s="421" t="s">
        <v>1058</v>
      </c>
      <c r="C156" s="388"/>
      <c r="D156" s="388"/>
    </row>
    <row r="157" spans="1:4">
      <c r="A157" s="751"/>
      <c r="B157" s="752"/>
      <c r="C157" s="752"/>
      <c r="D157" s="753"/>
    </row>
    <row r="158" spans="1:4">
      <c r="A158" s="368"/>
      <c r="B158" s="369" t="s">
        <v>1704</v>
      </c>
      <c r="C158" s="360">
        <f>SUM(C159:C167)</f>
        <v>0</v>
      </c>
      <c r="D158" s="360">
        <f>SUM(D159:D167)</f>
        <v>0</v>
      </c>
    </row>
    <row r="159" spans="1:4">
      <c r="A159" s="416" t="s">
        <v>1036</v>
      </c>
      <c r="B159" s="421" t="s">
        <v>1059</v>
      </c>
      <c r="C159" s="388"/>
      <c r="D159" s="388"/>
    </row>
    <row r="160" spans="1:4">
      <c r="A160" s="416" t="s">
        <v>1037</v>
      </c>
      <c r="B160" s="421" t="s">
        <v>1060</v>
      </c>
      <c r="C160" s="388"/>
      <c r="D160" s="388"/>
    </row>
    <row r="161" spans="1:4">
      <c r="A161" s="416" t="s">
        <v>1038</v>
      </c>
      <c r="B161" s="421" t="s">
        <v>1061</v>
      </c>
      <c r="C161" s="388"/>
      <c r="D161" s="388"/>
    </row>
    <row r="162" spans="1:4">
      <c r="A162" s="416" t="s">
        <v>1039</v>
      </c>
      <c r="B162" s="421" t="s">
        <v>1062</v>
      </c>
      <c r="C162" s="388"/>
      <c r="D162" s="388"/>
    </row>
    <row r="163" spans="1:4">
      <c r="A163" s="416" t="s">
        <v>1040</v>
      </c>
      <c r="B163" s="421" t="s">
        <v>1063</v>
      </c>
      <c r="C163" s="388"/>
      <c r="D163" s="388"/>
    </row>
    <row r="164" spans="1:4">
      <c r="A164" s="416" t="s">
        <v>1041</v>
      </c>
      <c r="B164" s="421" t="s">
        <v>1064</v>
      </c>
      <c r="C164" s="388"/>
      <c r="D164" s="388"/>
    </row>
    <row r="165" spans="1:4">
      <c r="A165" s="416" t="s">
        <v>1042</v>
      </c>
      <c r="B165" s="421" t="s">
        <v>1065</v>
      </c>
      <c r="C165" s="388"/>
      <c r="D165" s="388"/>
    </row>
    <row r="166" spans="1:4">
      <c r="A166" s="416" t="s">
        <v>1043</v>
      </c>
      <c r="B166" s="421" t="s">
        <v>1066</v>
      </c>
      <c r="C166" s="388"/>
      <c r="D166" s="388"/>
    </row>
    <row r="167" spans="1:4">
      <c r="A167" s="416" t="s">
        <v>1044</v>
      </c>
      <c r="B167" s="421" t="s">
        <v>1067</v>
      </c>
      <c r="C167" s="388"/>
      <c r="D167" s="388"/>
    </row>
    <row r="168" spans="1:4">
      <c r="A168" s="430"/>
      <c r="B168" s="431"/>
      <c r="C168" s="431"/>
      <c r="D168" s="432"/>
    </row>
    <row r="169" spans="1:4">
      <c r="A169" s="430"/>
      <c r="B169" s="431"/>
      <c r="C169" s="431"/>
      <c r="D169" s="432"/>
    </row>
    <row r="170" spans="1:4">
      <c r="A170" s="368"/>
      <c r="B170" s="369" t="s">
        <v>1705</v>
      </c>
      <c r="C170" s="360">
        <f>SUM(C171:C172)</f>
        <v>0</v>
      </c>
      <c r="D170" s="360">
        <f>SUM(D171:D172)</f>
        <v>0</v>
      </c>
    </row>
    <row r="171" spans="1:4">
      <c r="A171" s="415" t="s">
        <v>41</v>
      </c>
      <c r="B171" s="433" t="s">
        <v>1068</v>
      </c>
      <c r="C171" s="375"/>
      <c r="D171" s="375"/>
    </row>
    <row r="172" spans="1:4">
      <c r="A172" s="415" t="s">
        <v>1045</v>
      </c>
      <c r="B172" s="433" t="s">
        <v>1069</v>
      </c>
      <c r="C172" s="375"/>
      <c r="D172" s="375"/>
    </row>
    <row r="173" spans="1:4">
      <c r="A173" s="368"/>
      <c r="B173" s="369" t="s">
        <v>1706</v>
      </c>
      <c r="C173" s="360">
        <f>SUM(C174:C175,C177:C179,C181)</f>
        <v>0</v>
      </c>
      <c r="D173" s="360">
        <f>SUM(D174:D175,D177:D179,D181)</f>
        <v>0</v>
      </c>
    </row>
    <row r="174" spans="1:4">
      <c r="A174" s="415" t="s">
        <v>1046</v>
      </c>
      <c r="B174" s="433" t="s">
        <v>1070</v>
      </c>
      <c r="C174" s="375"/>
      <c r="D174" s="375"/>
    </row>
    <row r="175" spans="1:4">
      <c r="A175" s="415" t="s">
        <v>1047</v>
      </c>
      <c r="B175" s="433" t="s">
        <v>1071</v>
      </c>
      <c r="C175" s="375"/>
      <c r="D175" s="375"/>
    </row>
    <row r="176" spans="1:4">
      <c r="A176" s="751" t="s">
        <v>1707</v>
      </c>
      <c r="B176" s="752"/>
      <c r="C176" s="752"/>
      <c r="D176" s="753"/>
    </row>
    <row r="177" spans="1:4">
      <c r="A177" s="415" t="s">
        <v>1048</v>
      </c>
      <c r="B177" s="433" t="s">
        <v>1072</v>
      </c>
      <c r="C177" s="375"/>
      <c r="D177" s="375"/>
    </row>
    <row r="178" spans="1:4">
      <c r="A178" s="415" t="s">
        <v>1049</v>
      </c>
      <c r="B178" s="433" t="s">
        <v>1073</v>
      </c>
      <c r="C178" s="375"/>
      <c r="D178" s="375"/>
    </row>
    <row r="179" spans="1:4">
      <c r="A179" s="415" t="s">
        <v>1050</v>
      </c>
      <c r="B179" s="433" t="s">
        <v>1074</v>
      </c>
      <c r="C179" s="375"/>
      <c r="D179" s="375"/>
    </row>
    <row r="180" spans="1:4">
      <c r="A180" s="751"/>
      <c r="B180" s="752"/>
      <c r="C180" s="752"/>
      <c r="D180" s="753"/>
    </row>
    <row r="181" spans="1:4">
      <c r="A181" s="415" t="s">
        <v>1051</v>
      </c>
      <c r="B181" s="433" t="s">
        <v>1075</v>
      </c>
      <c r="C181" s="375"/>
      <c r="D181" s="375"/>
    </row>
    <row r="182" spans="1:4">
      <c r="A182" s="430"/>
      <c r="B182" s="434"/>
      <c r="C182" s="434"/>
      <c r="D182" s="435"/>
    </row>
    <row r="183" spans="1:4">
      <c r="A183" s="415" t="s">
        <v>1052</v>
      </c>
      <c r="B183" s="433" t="s">
        <v>1076</v>
      </c>
      <c r="C183" s="375"/>
      <c r="D183" s="375"/>
    </row>
  </sheetData>
  <sheetProtection password="D15A" sheet="1" objects="1" scenarios="1" selectLockedCells="1"/>
  <customSheetViews>
    <customSheetView guid="{2ECB5001-E624-4860-8EDC-E7BEEAA78E29}" scale="80" topLeftCell="A2">
      <selection activeCell="B13" sqref="B13"/>
      <pageSetup paperSize="9" orientation="portrait"/>
    </customSheetView>
  </customSheetViews>
  <mergeCells count="40">
    <mergeCell ref="A1:J1"/>
    <mergeCell ref="A180:D180"/>
    <mergeCell ref="B135:D135"/>
    <mergeCell ref="C136:D136"/>
    <mergeCell ref="C146:D146"/>
    <mergeCell ref="A157:D157"/>
    <mergeCell ref="A176:D176"/>
    <mergeCell ref="B117:F118"/>
    <mergeCell ref="H119:J120"/>
    <mergeCell ref="B120:F120"/>
    <mergeCell ref="A124:D124"/>
    <mergeCell ref="C126:D126"/>
    <mergeCell ref="H73:J74"/>
    <mergeCell ref="B88:F88"/>
    <mergeCell ref="B90:F90"/>
    <mergeCell ref="B92:F92"/>
    <mergeCell ref="B38:F39"/>
    <mergeCell ref="H39:J39"/>
    <mergeCell ref="B96:F105"/>
    <mergeCell ref="H105:J114"/>
    <mergeCell ref="B112:F113"/>
    <mergeCell ref="B42:F43"/>
    <mergeCell ref="H45:J51"/>
    <mergeCell ref="B50:F51"/>
    <mergeCell ref="A53:F53"/>
    <mergeCell ref="H61:J70"/>
    <mergeCell ref="B70:F70"/>
    <mergeCell ref="B11:F16"/>
    <mergeCell ref="H14:J14"/>
    <mergeCell ref="H16:J16"/>
    <mergeCell ref="B22:F23"/>
    <mergeCell ref="H22:J34"/>
    <mergeCell ref="B33:F34"/>
    <mergeCell ref="A2:J2"/>
    <mergeCell ref="A3:J5"/>
    <mergeCell ref="A6:A7"/>
    <mergeCell ref="B6:B7"/>
    <mergeCell ref="C6:E6"/>
    <mergeCell ref="G6:G7"/>
    <mergeCell ref="H6:H7"/>
  </mergeCells>
  <conditionalFormatting sqref="A66:B70 C66:E69 G66:G70">
    <cfRule type="cellIs" dxfId="53" priority="7" operator="equal">
      <formula>"Bilan équilibré"</formula>
    </cfRule>
    <cfRule type="cellIs" dxfId="52" priority="8" operator="equal">
      <formula>"Bilan déséquilibré !!! Veuillez vérifier les données entrées."</formula>
    </cfRule>
  </conditionalFormatting>
  <conditionalFormatting sqref="A1:J1">
    <cfRule type="containsText" dxfId="51" priority="5" operator="containsText" text="Bilan non équilibré">
      <formula>NOT(ISERROR(SEARCH("Bilan non équilibré",A1)))</formula>
    </cfRule>
    <cfRule type="containsText" dxfId="50" priority="6" operator="containsText" text="Bilan équilibré">
      <formula>NOT(ISERROR(SEARCH("Bilan équilibré",A1)))</formula>
    </cfRule>
  </conditionalFormatting>
  <conditionalFormatting sqref="F66:F69">
    <cfRule type="cellIs" dxfId="49" priority="1" operator="equal">
      <formula>"Bilan équilibré"</formula>
    </cfRule>
    <cfRule type="cellIs" dxfId="48" priority="2" operator="equal">
      <formula>"Bilan déséquilibré !!! Veuillez vérifier les données entrées."</formula>
    </cfRule>
  </conditionalFormatting>
  <dataValidations count="2">
    <dataValidation type="custom" allowBlank="1" showInputMessage="1" showErrorMessage="1" error="Saisie valable uniquement pour les états annuels" sqref="I118:J118">
      <formula1>MN&lt;&gt;"Mensuelle"</formula1>
    </dataValidation>
    <dataValidation type="custom" allowBlank="1" showInputMessage="1" showErrorMessage="1" error="Saisie valable uniquement pour les états infra annuels" sqref="D119">
      <formula1>MN&lt;&gt;"Annuelle"</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enableFormatConditionsCalculation="0">
    <tabColor theme="5" tint="0.39997558519241921"/>
  </sheetPr>
  <dimension ref="A1:AI203"/>
  <sheetViews>
    <sheetView showGridLines="0" topLeftCell="B1" zoomScale="80" zoomScaleNormal="80" zoomScalePageLayoutView="80" workbookViewId="0">
      <pane ySplit="6" topLeftCell="A157" activePane="bottomLeft" state="frozen"/>
      <selection activeCell="K3" sqref="K3"/>
      <selection pane="bottomLeft" activeCell="H190" sqref="H190"/>
    </sheetView>
  </sheetViews>
  <sheetFormatPr baseColWidth="10" defaultColWidth="10.83203125" defaultRowHeight="14" x14ac:dyDescent="0"/>
  <cols>
    <col min="1" max="1" width="7" style="1" customWidth="1"/>
    <col min="2" max="2" width="67.5" style="1" customWidth="1"/>
    <col min="3" max="3" width="24" style="2" customWidth="1"/>
    <col min="4" max="4" width="23" style="2" customWidth="1"/>
    <col min="5" max="5" width="7.1640625" style="1" customWidth="1"/>
    <col min="6" max="6" width="66.5" style="1" customWidth="1"/>
    <col min="7" max="7" width="23.6640625" style="2" customWidth="1"/>
    <col min="8" max="8" width="24" style="2" customWidth="1"/>
    <col min="9" max="9" width="12.1640625" style="1" bestFit="1" customWidth="1"/>
    <col min="10" max="10" width="12.83203125" style="1" bestFit="1" customWidth="1"/>
    <col min="11" max="16384" width="10.83203125" style="1"/>
  </cols>
  <sheetData>
    <row r="1" spans="1:35" ht="36" customHeight="1">
      <c r="A1" s="750" t="str">
        <f>IF(ROUND(C198-G198,0)&lt;&gt;0,"Compte Résultat non équilibré",IF(ROUND(C196+G196,0)=ROUND(ABS('Bilan et Hors Bilan'!I116),0),"Compte Résultat équilibré","Résultat du bilan différent de l'excédent ou déficit du compte de résultat"))</f>
        <v>Compte Résultat équilibré</v>
      </c>
      <c r="B1" s="750"/>
      <c r="C1" s="750"/>
      <c r="D1" s="750"/>
      <c r="E1" s="750"/>
      <c r="F1" s="750"/>
      <c r="G1" s="750"/>
      <c r="H1" s="750"/>
      <c r="I1" s="519"/>
      <c r="J1" s="520"/>
    </row>
    <row r="2" spans="1:35" ht="23.25" customHeight="1">
      <c r="A2" s="792" t="s">
        <v>1782</v>
      </c>
      <c r="B2" s="792"/>
      <c r="C2" s="792"/>
      <c r="D2" s="792"/>
      <c r="E2" s="792"/>
      <c r="F2" s="792"/>
      <c r="G2" s="792"/>
      <c r="H2" s="792"/>
      <c r="I2" s="20"/>
    </row>
    <row r="3" spans="1:35">
      <c r="A3" s="793" t="str">
        <f>SOMMAIRE!D5</f>
        <v>MUTUELLE ALLIANCE DE CREDIT ET D'EPARGNE POUR LA PRODUCTION DE SAINT-LOUIS</v>
      </c>
      <c r="B3" s="793"/>
      <c r="C3" s="793"/>
      <c r="D3" s="793"/>
      <c r="E3" s="793"/>
      <c r="F3" s="793"/>
      <c r="G3" s="793"/>
      <c r="H3" s="793"/>
    </row>
    <row r="4" spans="1:35">
      <c r="A4" s="793"/>
      <c r="B4" s="793"/>
      <c r="C4" s="793"/>
      <c r="D4" s="793"/>
      <c r="E4" s="793"/>
      <c r="F4" s="793"/>
      <c r="G4" s="793"/>
      <c r="H4" s="793"/>
    </row>
    <row r="5" spans="1:35">
      <c r="A5" s="793"/>
      <c r="B5" s="793"/>
      <c r="C5" s="793"/>
      <c r="D5" s="793"/>
      <c r="E5" s="793"/>
      <c r="F5" s="793"/>
      <c r="G5" s="793"/>
      <c r="H5" s="793"/>
    </row>
    <row r="6" spans="1:35" ht="30">
      <c r="A6" s="436" t="s">
        <v>188</v>
      </c>
      <c r="B6" s="436" t="s">
        <v>189</v>
      </c>
      <c r="C6" s="436" t="str">
        <f>'Bilan et Hors Bilan'!C6:E6</f>
        <v>N</v>
      </c>
      <c r="D6" s="436" t="str">
        <f>'Bilan et Hors Bilan'!F6</f>
        <v>N-1</v>
      </c>
      <c r="E6" s="436" t="s">
        <v>188</v>
      </c>
      <c r="F6" s="436" t="s">
        <v>190</v>
      </c>
      <c r="G6" s="436" t="str">
        <f>C6</f>
        <v>N</v>
      </c>
      <c r="H6" s="436" t="str">
        <f>D6</f>
        <v>N-1</v>
      </c>
    </row>
    <row r="7" spans="1:35">
      <c r="A7" s="437" t="s">
        <v>191</v>
      </c>
      <c r="B7" s="438" t="s">
        <v>276</v>
      </c>
      <c r="C7" s="439">
        <f>SUM(C8,C17,C21,C25,C27)</f>
        <v>243810803</v>
      </c>
      <c r="D7" s="439">
        <f>SUM(D8,D17,D21,D25,D27)</f>
        <v>0</v>
      </c>
      <c r="E7" s="437" t="s">
        <v>192</v>
      </c>
      <c r="F7" s="440" t="s">
        <v>541</v>
      </c>
      <c r="G7" s="441">
        <f>SUM(G8,G17,G21,G25,G27)</f>
        <v>0</v>
      </c>
      <c r="H7" s="517">
        <f>SUM(H8,H17,H21,H25,H27)</f>
        <v>0</v>
      </c>
      <c r="I7" s="518"/>
      <c r="J7" s="518"/>
      <c r="K7" s="518"/>
      <c r="L7" s="518"/>
      <c r="M7" s="518"/>
      <c r="N7" s="518"/>
      <c r="O7" s="518"/>
      <c r="P7" s="518"/>
      <c r="Q7" s="518"/>
      <c r="R7" s="518"/>
      <c r="S7" s="518"/>
      <c r="T7" s="518"/>
      <c r="U7" s="518"/>
      <c r="V7" s="518"/>
      <c r="W7" s="518"/>
      <c r="X7" s="518"/>
      <c r="Y7" s="518"/>
      <c r="Z7" s="518"/>
      <c r="AA7" s="518"/>
      <c r="AB7" s="518"/>
      <c r="AC7" s="518"/>
      <c r="AD7" s="518"/>
      <c r="AE7" s="518"/>
      <c r="AF7" s="518"/>
      <c r="AG7" s="518"/>
      <c r="AH7" s="518"/>
      <c r="AI7" s="518"/>
    </row>
    <row r="8" spans="1:35" ht="15">
      <c r="A8" s="442" t="s">
        <v>1708</v>
      </c>
      <c r="B8" s="443" t="s">
        <v>277</v>
      </c>
      <c r="C8" s="444">
        <f>SUM(C9:C16)</f>
        <v>0</v>
      </c>
      <c r="D8" s="444">
        <f>SUM(D9:D16)</f>
        <v>0</v>
      </c>
      <c r="E8" s="442" t="s">
        <v>1709</v>
      </c>
      <c r="F8" s="443" t="s">
        <v>1710</v>
      </c>
      <c r="G8" s="444">
        <f>SUM(G9:G16)</f>
        <v>0</v>
      </c>
      <c r="H8" s="444">
        <f>SUM(H9:H16)</f>
        <v>0</v>
      </c>
    </row>
    <row r="9" spans="1:35">
      <c r="A9" s="445" t="s">
        <v>603</v>
      </c>
      <c r="B9" s="446" t="s">
        <v>611</v>
      </c>
      <c r="C9" s="447"/>
      <c r="D9" s="447"/>
      <c r="E9" s="445" t="s">
        <v>699</v>
      </c>
      <c r="F9" s="446" t="s">
        <v>706</v>
      </c>
      <c r="G9" s="447"/>
      <c r="H9" s="447"/>
    </row>
    <row r="10" spans="1:35">
      <c r="A10" s="445" t="s">
        <v>604</v>
      </c>
      <c r="B10" s="446" t="s">
        <v>612</v>
      </c>
      <c r="C10" s="447"/>
      <c r="D10" s="447"/>
      <c r="E10" s="445" t="s">
        <v>700</v>
      </c>
      <c r="F10" s="446" t="s">
        <v>707</v>
      </c>
      <c r="G10" s="447"/>
      <c r="H10" s="447"/>
    </row>
    <row r="11" spans="1:35">
      <c r="A11" s="445" t="s">
        <v>605</v>
      </c>
      <c r="B11" s="446" t="s">
        <v>613</v>
      </c>
      <c r="C11" s="447"/>
      <c r="D11" s="447"/>
      <c r="E11" s="445" t="s">
        <v>701</v>
      </c>
      <c r="F11" s="446" t="s">
        <v>708</v>
      </c>
      <c r="G11" s="447"/>
      <c r="H11" s="447"/>
    </row>
    <row r="12" spans="1:35">
      <c r="A12" s="445" t="s">
        <v>606</v>
      </c>
      <c r="B12" s="446" t="s">
        <v>614</v>
      </c>
      <c r="C12" s="447"/>
      <c r="D12" s="447"/>
      <c r="E12" s="445" t="s">
        <v>702</v>
      </c>
      <c r="F12" s="446" t="s">
        <v>614</v>
      </c>
      <c r="G12" s="447"/>
      <c r="H12" s="447"/>
    </row>
    <row r="13" spans="1:35">
      <c r="A13" s="445" t="s">
        <v>607</v>
      </c>
      <c r="B13" s="446" t="s">
        <v>615</v>
      </c>
      <c r="C13" s="447"/>
      <c r="D13" s="447"/>
      <c r="E13" s="445" t="s">
        <v>703</v>
      </c>
      <c r="F13" s="446" t="s">
        <v>615</v>
      </c>
      <c r="G13" s="447"/>
      <c r="H13" s="447"/>
    </row>
    <row r="14" spans="1:35">
      <c r="A14" s="445" t="s">
        <v>608</v>
      </c>
      <c r="B14" s="446" t="s">
        <v>616</v>
      </c>
      <c r="C14" s="447"/>
      <c r="D14" s="447"/>
      <c r="E14" s="445" t="s">
        <v>704</v>
      </c>
      <c r="F14" s="446" t="s">
        <v>616</v>
      </c>
      <c r="G14" s="447"/>
      <c r="H14" s="447"/>
      <c r="J14" s="518"/>
    </row>
    <row r="15" spans="1:35">
      <c r="A15" s="445" t="s">
        <v>609</v>
      </c>
      <c r="B15" s="446" t="s">
        <v>617</v>
      </c>
      <c r="C15" s="447"/>
      <c r="D15" s="447"/>
      <c r="E15" s="445" t="s">
        <v>709</v>
      </c>
      <c r="F15" s="446" t="s">
        <v>617</v>
      </c>
      <c r="G15" s="447"/>
      <c r="H15" s="447"/>
    </row>
    <row r="16" spans="1:35">
      <c r="A16" s="445" t="s">
        <v>610</v>
      </c>
      <c r="B16" s="446" t="s">
        <v>618</v>
      </c>
      <c r="C16" s="447"/>
      <c r="D16" s="447"/>
      <c r="E16" s="445" t="s">
        <v>705</v>
      </c>
      <c r="F16" s="446" t="s">
        <v>618</v>
      </c>
      <c r="G16" s="447"/>
      <c r="H16" s="447"/>
    </row>
    <row r="17" spans="1:8" ht="15">
      <c r="A17" s="442" t="s">
        <v>1711</v>
      </c>
      <c r="B17" s="443" t="s">
        <v>1712</v>
      </c>
      <c r="C17" s="444">
        <f>SUM(C18:C20)</f>
        <v>0</v>
      </c>
      <c r="D17" s="444">
        <f>SUM(D18:D20)</f>
        <v>0</v>
      </c>
      <c r="E17" s="442" t="s">
        <v>1713</v>
      </c>
      <c r="F17" s="443" t="s">
        <v>1714</v>
      </c>
      <c r="G17" s="444">
        <f>SUM(G18:G20)</f>
        <v>0</v>
      </c>
      <c r="H17" s="444">
        <f>SUM(H18:H20)</f>
        <v>0</v>
      </c>
    </row>
    <row r="18" spans="1:8">
      <c r="A18" s="445" t="s">
        <v>619</v>
      </c>
      <c r="B18" s="446" t="s">
        <v>622</v>
      </c>
      <c r="C18" s="447"/>
      <c r="D18" s="447"/>
      <c r="E18" s="445" t="s">
        <v>710</v>
      </c>
      <c r="F18" s="446" t="s">
        <v>712</v>
      </c>
      <c r="G18" s="447"/>
      <c r="H18" s="447"/>
    </row>
    <row r="19" spans="1:8">
      <c r="A19" s="445" t="s">
        <v>620</v>
      </c>
      <c r="B19" s="446" t="s">
        <v>623</v>
      </c>
      <c r="C19" s="447"/>
      <c r="D19" s="447"/>
      <c r="E19" s="445" t="s">
        <v>1079</v>
      </c>
      <c r="F19" s="446" t="s">
        <v>713</v>
      </c>
      <c r="G19" s="447"/>
      <c r="H19" s="447"/>
    </row>
    <row r="20" spans="1:8">
      <c r="A20" s="445" t="s">
        <v>621</v>
      </c>
      <c r="B20" s="446" t="s">
        <v>624</v>
      </c>
      <c r="C20" s="447"/>
      <c r="D20" s="447"/>
      <c r="E20" s="445" t="s">
        <v>1080</v>
      </c>
      <c r="F20" s="446" t="s">
        <v>714</v>
      </c>
      <c r="G20" s="447"/>
      <c r="H20" s="447"/>
    </row>
    <row r="21" spans="1:8" ht="15">
      <c r="A21" s="442" t="s">
        <v>1715</v>
      </c>
      <c r="B21" s="443" t="s">
        <v>1716</v>
      </c>
      <c r="C21" s="444">
        <f>SUM(C22:C23)</f>
        <v>0</v>
      </c>
      <c r="D21" s="444">
        <f>SUM(D22:D23)</f>
        <v>0</v>
      </c>
      <c r="E21" s="442" t="s">
        <v>1717</v>
      </c>
      <c r="F21" s="443" t="s">
        <v>1718</v>
      </c>
      <c r="G21" s="444">
        <f>SUM(G22:G23)</f>
        <v>0</v>
      </c>
      <c r="H21" s="444">
        <f>SUM(H22:H23)</f>
        <v>0</v>
      </c>
    </row>
    <row r="22" spans="1:8">
      <c r="A22" s="445" t="s">
        <v>625</v>
      </c>
      <c r="B22" s="446" t="s">
        <v>627</v>
      </c>
      <c r="C22" s="447"/>
      <c r="D22" s="447"/>
      <c r="E22" s="445" t="s">
        <v>1081</v>
      </c>
      <c r="F22" s="446" t="s">
        <v>715</v>
      </c>
      <c r="G22" s="447"/>
      <c r="H22" s="447"/>
    </row>
    <row r="23" spans="1:8">
      <c r="A23" s="445" t="s">
        <v>626</v>
      </c>
      <c r="B23" s="446" t="s">
        <v>628</v>
      </c>
      <c r="C23" s="447"/>
      <c r="D23" s="447"/>
      <c r="E23" s="445" t="s">
        <v>711</v>
      </c>
      <c r="F23" s="446" t="s">
        <v>716</v>
      </c>
      <c r="G23" s="447"/>
      <c r="H23" s="447"/>
    </row>
    <row r="24" spans="1:8" ht="15">
      <c r="A24" s="448"/>
      <c r="B24" s="782"/>
      <c r="C24" s="782"/>
      <c r="D24" s="783"/>
      <c r="E24" s="449"/>
      <c r="F24" s="780"/>
      <c r="G24" s="780"/>
      <c r="H24" s="781"/>
    </row>
    <row r="25" spans="1:8" ht="15">
      <c r="A25" s="442" t="s">
        <v>1719</v>
      </c>
      <c r="B25" s="443" t="s">
        <v>278</v>
      </c>
      <c r="C25" s="444">
        <f>SUM(C26)</f>
        <v>0</v>
      </c>
      <c r="D25" s="444">
        <f>SUM(D26)</f>
        <v>0</v>
      </c>
      <c r="E25" s="442" t="s">
        <v>1720</v>
      </c>
      <c r="F25" s="443" t="s">
        <v>278</v>
      </c>
      <c r="G25" s="444">
        <f>SUM(G26)</f>
        <v>0</v>
      </c>
      <c r="H25" s="444">
        <f>SUM(H26)</f>
        <v>0</v>
      </c>
    </row>
    <row r="26" spans="1:8">
      <c r="A26" s="445" t="s">
        <v>629</v>
      </c>
      <c r="B26" s="446" t="s">
        <v>630</v>
      </c>
      <c r="C26" s="447"/>
      <c r="D26" s="447"/>
      <c r="E26" s="445" t="s">
        <v>717</v>
      </c>
      <c r="F26" s="446" t="s">
        <v>630</v>
      </c>
      <c r="G26" s="447"/>
      <c r="H26" s="447"/>
    </row>
    <row r="27" spans="1:8" ht="15">
      <c r="A27" s="442" t="s">
        <v>193</v>
      </c>
      <c r="B27" s="443" t="s">
        <v>159</v>
      </c>
      <c r="C27" s="450">
        <v>243810803</v>
      </c>
      <c r="D27" s="450"/>
      <c r="E27" s="451" t="s">
        <v>212</v>
      </c>
      <c r="F27" s="452" t="s">
        <v>159</v>
      </c>
      <c r="G27" s="453"/>
      <c r="H27" s="453"/>
    </row>
    <row r="28" spans="1:8" ht="15">
      <c r="A28" s="454"/>
      <c r="B28" s="794"/>
      <c r="C28" s="794"/>
      <c r="D28" s="795"/>
      <c r="E28" s="455"/>
      <c r="F28" s="766"/>
      <c r="G28" s="766"/>
      <c r="H28" s="767"/>
    </row>
    <row r="29" spans="1:8" s="2" customFormat="1" ht="15">
      <c r="A29" s="456"/>
      <c r="B29" s="796"/>
      <c r="C29" s="796"/>
      <c r="D29" s="797"/>
      <c r="E29" s="457"/>
      <c r="F29" s="768"/>
      <c r="G29" s="768"/>
      <c r="H29" s="769"/>
    </row>
    <row r="30" spans="1:8">
      <c r="A30" s="437" t="s">
        <v>194</v>
      </c>
      <c r="B30" s="440" t="s">
        <v>279</v>
      </c>
      <c r="C30" s="441">
        <f>SUM(C31,C37:C39)</f>
        <v>1815156</v>
      </c>
      <c r="D30" s="441">
        <f>SUM(D31,D37:D39)</f>
        <v>2480126</v>
      </c>
      <c r="E30" s="437" t="s">
        <v>213</v>
      </c>
      <c r="F30" s="440" t="s">
        <v>1721</v>
      </c>
      <c r="G30" s="441">
        <f>SUM(G31,G37,G39)</f>
        <v>664839097</v>
      </c>
      <c r="H30" s="441">
        <f>SUM(H31,H37,H39)</f>
        <v>659334269</v>
      </c>
    </row>
    <row r="31" spans="1:8" ht="15">
      <c r="A31" s="442" t="s">
        <v>1722</v>
      </c>
      <c r="B31" s="443" t="s">
        <v>1723</v>
      </c>
      <c r="C31" s="444">
        <f>SUM(C32:C36)</f>
        <v>1815156</v>
      </c>
      <c r="D31" s="444">
        <f>SUM(D32:D36)</f>
        <v>2480126</v>
      </c>
      <c r="E31" s="442" t="s">
        <v>1724</v>
      </c>
      <c r="F31" s="443" t="s">
        <v>1725</v>
      </c>
      <c r="G31" s="444">
        <f>SUM(G32:G34)</f>
        <v>546142413</v>
      </c>
      <c r="H31" s="444">
        <f>SUM(H32:H34)</f>
        <v>526322879</v>
      </c>
    </row>
    <row r="32" spans="1:8">
      <c r="A32" s="445" t="s">
        <v>195</v>
      </c>
      <c r="B32" s="446" t="s">
        <v>277</v>
      </c>
      <c r="C32" s="447">
        <v>11548</v>
      </c>
      <c r="D32" s="447">
        <v>10686</v>
      </c>
      <c r="E32" s="445" t="s">
        <v>718</v>
      </c>
      <c r="F32" s="446" t="s">
        <v>795</v>
      </c>
      <c r="G32" s="447">
        <v>29738082</v>
      </c>
      <c r="H32" s="447">
        <v>25219006</v>
      </c>
    </row>
    <row r="33" spans="1:8" ht="15">
      <c r="A33" s="445" t="s">
        <v>196</v>
      </c>
      <c r="B33" s="446" t="s">
        <v>281</v>
      </c>
      <c r="C33" s="447"/>
      <c r="D33" s="447">
        <v>0</v>
      </c>
      <c r="E33" s="458" t="s">
        <v>719</v>
      </c>
      <c r="F33" s="459" t="s">
        <v>721</v>
      </c>
      <c r="G33" s="447">
        <v>508818868</v>
      </c>
      <c r="H33" s="447">
        <v>490883242</v>
      </c>
    </row>
    <row r="34" spans="1:8" s="2" customFormat="1" ht="15">
      <c r="A34" s="445" t="s">
        <v>197</v>
      </c>
      <c r="B34" s="446" t="s">
        <v>160</v>
      </c>
      <c r="C34" s="447">
        <v>12959</v>
      </c>
      <c r="D34" s="447">
        <v>23252</v>
      </c>
      <c r="E34" s="458" t="s">
        <v>720</v>
      </c>
      <c r="F34" s="459" t="s">
        <v>722</v>
      </c>
      <c r="G34" s="447">
        <v>7585463</v>
      </c>
      <c r="H34" s="447">
        <v>10220631</v>
      </c>
    </row>
    <row r="35" spans="1:8" ht="15">
      <c r="A35" s="445" t="s">
        <v>198</v>
      </c>
      <c r="B35" s="446" t="s">
        <v>282</v>
      </c>
      <c r="C35" s="447">
        <v>1790649</v>
      </c>
      <c r="D35" s="447">
        <v>2446188</v>
      </c>
      <c r="E35" s="460"/>
      <c r="F35" s="774"/>
      <c r="G35" s="774"/>
      <c r="H35" s="775"/>
    </row>
    <row r="36" spans="1:8" s="2" customFormat="1" ht="15">
      <c r="A36" s="445" t="s">
        <v>199</v>
      </c>
      <c r="B36" s="446" t="s">
        <v>161</v>
      </c>
      <c r="C36" s="447"/>
      <c r="D36" s="447"/>
      <c r="E36" s="461"/>
      <c r="F36" s="776"/>
      <c r="G36" s="776"/>
      <c r="H36" s="777"/>
    </row>
    <row r="37" spans="1:8" s="2" customFormat="1" ht="15">
      <c r="A37" s="442" t="s">
        <v>200</v>
      </c>
      <c r="B37" s="443" t="s">
        <v>203</v>
      </c>
      <c r="C37" s="450"/>
      <c r="D37" s="450"/>
      <c r="E37" s="442" t="s">
        <v>1726</v>
      </c>
      <c r="F37" s="443" t="s">
        <v>278</v>
      </c>
      <c r="G37" s="444">
        <f>SUM(G38)</f>
        <v>42374893</v>
      </c>
      <c r="H37" s="444">
        <f>SUM(H38)</f>
        <v>31119861</v>
      </c>
    </row>
    <row r="38" spans="1:8" s="2" customFormat="1" ht="15">
      <c r="A38" s="442" t="s">
        <v>201</v>
      </c>
      <c r="B38" s="443" t="s">
        <v>278</v>
      </c>
      <c r="C38" s="450"/>
      <c r="D38" s="450"/>
      <c r="E38" s="458" t="s">
        <v>723</v>
      </c>
      <c r="F38" s="459" t="s">
        <v>724</v>
      </c>
      <c r="G38" s="447">
        <v>42374893</v>
      </c>
      <c r="H38" s="447">
        <v>31119861</v>
      </c>
    </row>
    <row r="39" spans="1:8" s="2" customFormat="1" ht="15">
      <c r="A39" s="442" t="s">
        <v>202</v>
      </c>
      <c r="B39" s="443" t="s">
        <v>159</v>
      </c>
      <c r="C39" s="453"/>
      <c r="D39" s="453"/>
      <c r="E39" s="442" t="s">
        <v>214</v>
      </c>
      <c r="F39" s="443" t="s">
        <v>159</v>
      </c>
      <c r="G39" s="453">
        <v>76321791</v>
      </c>
      <c r="H39" s="453">
        <v>101891529</v>
      </c>
    </row>
    <row r="40" spans="1:8" s="2" customFormat="1" ht="15">
      <c r="A40" s="460"/>
      <c r="B40" s="774"/>
      <c r="C40" s="774"/>
      <c r="D40" s="775"/>
      <c r="E40" s="460"/>
      <c r="F40" s="774"/>
      <c r="G40" s="774"/>
      <c r="H40" s="775"/>
    </row>
    <row r="41" spans="1:8" s="2" customFormat="1" ht="15">
      <c r="A41" s="461"/>
      <c r="B41" s="776"/>
      <c r="C41" s="776"/>
      <c r="D41" s="777"/>
      <c r="E41" s="461"/>
      <c r="F41" s="776"/>
      <c r="G41" s="776"/>
      <c r="H41" s="777"/>
    </row>
    <row r="42" spans="1:8" s="2" customFormat="1" ht="15">
      <c r="A42" s="458"/>
      <c r="B42" s="443" t="s">
        <v>1727</v>
      </c>
      <c r="C42" s="444">
        <f>IF(G43-C43&gt;0,G43-C43,0)</f>
        <v>419213138</v>
      </c>
      <c r="D42" s="444">
        <f>IF(H43-D43&gt;0,H43-D43,0)</f>
        <v>656854143</v>
      </c>
      <c r="E42" s="458"/>
      <c r="F42" s="443" t="s">
        <v>1728</v>
      </c>
      <c r="G42" s="444">
        <f>IF(C43-G43&gt;0,C43-G43,0)</f>
        <v>0</v>
      </c>
      <c r="H42" s="444">
        <f>IF(D43-H43&gt;0,D43-H43,0)</f>
        <v>0</v>
      </c>
    </row>
    <row r="43" spans="1:8" s="2" customFormat="1" ht="15">
      <c r="A43" s="458"/>
      <c r="B43" s="462" t="s">
        <v>1729</v>
      </c>
      <c r="C43" s="444">
        <f>SUM(C7,C30)</f>
        <v>245625959</v>
      </c>
      <c r="D43" s="444">
        <f>SUM(D7,D30)</f>
        <v>2480126</v>
      </c>
      <c r="E43" s="458"/>
      <c r="F43" s="462" t="s">
        <v>1730</v>
      </c>
      <c r="G43" s="444">
        <f>SUM(G7,G30)</f>
        <v>664839097</v>
      </c>
      <c r="H43" s="444">
        <f>SUM(H7,H30)</f>
        <v>659334269</v>
      </c>
    </row>
    <row r="44" spans="1:8" s="2" customFormat="1">
      <c r="A44" s="437" t="s">
        <v>204</v>
      </c>
      <c r="B44" s="440" t="s">
        <v>210</v>
      </c>
      <c r="C44" s="441">
        <f>SUM(C45:C47)</f>
        <v>0</v>
      </c>
      <c r="D44" s="441">
        <f>SUM(D45:D47)</f>
        <v>0</v>
      </c>
      <c r="E44" s="437" t="s">
        <v>283</v>
      </c>
      <c r="F44" s="440" t="s">
        <v>1731</v>
      </c>
      <c r="G44" s="441">
        <f>SUM(G45:G48)</f>
        <v>0</v>
      </c>
      <c r="H44" s="441">
        <f>SUM(H45:H48)</f>
        <v>0</v>
      </c>
    </row>
    <row r="45" spans="1:8" s="2" customFormat="1" ht="15">
      <c r="A45" s="442" t="s">
        <v>205</v>
      </c>
      <c r="B45" s="443" t="s">
        <v>631</v>
      </c>
      <c r="C45" s="453"/>
      <c r="D45" s="453"/>
      <c r="E45" s="463" t="s">
        <v>725</v>
      </c>
      <c r="F45" s="464" t="s">
        <v>727</v>
      </c>
      <c r="G45" s="453"/>
      <c r="H45" s="453"/>
    </row>
    <row r="46" spans="1:8" s="2" customFormat="1" ht="15">
      <c r="A46" s="442" t="s">
        <v>206</v>
      </c>
      <c r="B46" s="443" t="s">
        <v>286</v>
      </c>
      <c r="C46" s="450"/>
      <c r="D46" s="450"/>
      <c r="E46" s="442" t="s">
        <v>726</v>
      </c>
      <c r="F46" s="464" t="s">
        <v>728</v>
      </c>
      <c r="G46" s="453"/>
      <c r="H46" s="453"/>
    </row>
    <row r="47" spans="1:8" s="2" customFormat="1" ht="15">
      <c r="A47" s="442" t="s">
        <v>207</v>
      </c>
      <c r="B47" s="443" t="s">
        <v>159</v>
      </c>
      <c r="C47" s="450"/>
      <c r="D47" s="450"/>
      <c r="E47" s="442" t="s">
        <v>285</v>
      </c>
      <c r="F47" s="464" t="s">
        <v>180</v>
      </c>
      <c r="G47" s="453"/>
      <c r="H47" s="453"/>
    </row>
    <row r="48" spans="1:8" s="2" customFormat="1" ht="15">
      <c r="A48" s="460"/>
      <c r="B48" s="774"/>
      <c r="C48" s="774"/>
      <c r="D48" s="775"/>
      <c r="E48" s="442" t="s">
        <v>287</v>
      </c>
      <c r="F48" s="464" t="s">
        <v>159</v>
      </c>
      <c r="G48" s="453"/>
      <c r="H48" s="453"/>
    </row>
    <row r="49" spans="1:8" s="2" customFormat="1" ht="15">
      <c r="A49" s="461"/>
      <c r="B49" s="776"/>
      <c r="C49" s="776"/>
      <c r="D49" s="777"/>
      <c r="E49" s="437" t="s">
        <v>288</v>
      </c>
      <c r="F49" s="440" t="s">
        <v>289</v>
      </c>
      <c r="G49" s="441">
        <f>SUM(G50:G52)</f>
        <v>0</v>
      </c>
      <c r="H49" s="441">
        <f>SUM(H50:H52)</f>
        <v>0</v>
      </c>
    </row>
    <row r="50" spans="1:8" s="2" customFormat="1">
      <c r="A50" s="437" t="s">
        <v>208</v>
      </c>
      <c r="B50" s="440" t="s">
        <v>211</v>
      </c>
      <c r="C50" s="441">
        <f>SUM(C51:C52)</f>
        <v>0</v>
      </c>
      <c r="D50" s="441">
        <f>SUM(D51:D52)</f>
        <v>0</v>
      </c>
      <c r="E50" s="465" t="s">
        <v>729</v>
      </c>
      <c r="F50" s="446" t="s">
        <v>745</v>
      </c>
      <c r="G50" s="447"/>
      <c r="H50" s="447"/>
    </row>
    <row r="51" spans="1:8" s="2" customFormat="1" ht="15">
      <c r="A51" s="451" t="s">
        <v>632</v>
      </c>
      <c r="B51" s="452" t="s">
        <v>633</v>
      </c>
      <c r="C51" s="453"/>
      <c r="D51" s="453"/>
      <c r="E51" s="466" t="s">
        <v>730</v>
      </c>
      <c r="F51" s="459" t="s">
        <v>746</v>
      </c>
      <c r="G51" s="447"/>
      <c r="H51" s="447"/>
    </row>
    <row r="52" spans="1:8" ht="15">
      <c r="A52" s="451" t="s">
        <v>634</v>
      </c>
      <c r="B52" s="452" t="s">
        <v>635</v>
      </c>
      <c r="C52" s="453"/>
      <c r="D52" s="453"/>
      <c r="E52" s="458" t="s">
        <v>731</v>
      </c>
      <c r="F52" s="459" t="s">
        <v>747</v>
      </c>
      <c r="G52" s="447"/>
      <c r="H52" s="447"/>
    </row>
    <row r="53" spans="1:8" s="2" customFormat="1" ht="15">
      <c r="A53" s="455"/>
      <c r="B53" s="766"/>
      <c r="C53" s="766"/>
      <c r="D53" s="767"/>
      <c r="E53" s="467"/>
      <c r="F53" s="786"/>
      <c r="G53" s="786"/>
      <c r="H53" s="787"/>
    </row>
    <row r="54" spans="1:8" ht="15">
      <c r="A54" s="457"/>
      <c r="B54" s="768"/>
      <c r="C54" s="768"/>
      <c r="D54" s="769"/>
      <c r="E54" s="468"/>
      <c r="F54" s="788"/>
      <c r="G54" s="788"/>
      <c r="H54" s="789"/>
    </row>
    <row r="55" spans="1:8">
      <c r="A55" s="437" t="s">
        <v>564</v>
      </c>
      <c r="B55" s="440" t="s">
        <v>565</v>
      </c>
      <c r="C55" s="441">
        <f>SUM(C56,C61,C66)</f>
        <v>0</v>
      </c>
      <c r="D55" s="441">
        <f>SUM(D56,D61,D66)</f>
        <v>0</v>
      </c>
      <c r="E55" s="437" t="s">
        <v>732</v>
      </c>
      <c r="F55" s="440" t="s">
        <v>748</v>
      </c>
      <c r="G55" s="441">
        <f>SUM(G56,G61,G67)</f>
        <v>0</v>
      </c>
      <c r="H55" s="441">
        <f>SUM(H56,H61,H67)</f>
        <v>0</v>
      </c>
    </row>
    <row r="56" spans="1:8" ht="15">
      <c r="A56" s="451" t="s">
        <v>1732</v>
      </c>
      <c r="B56" s="452" t="s">
        <v>1733</v>
      </c>
      <c r="C56" s="444">
        <f>SUM(C57:C60)</f>
        <v>0</v>
      </c>
      <c r="D56" s="444">
        <f>SUM(D57:D60)</f>
        <v>0</v>
      </c>
      <c r="E56" s="442" t="s">
        <v>1734</v>
      </c>
      <c r="F56" s="443" t="s">
        <v>1735</v>
      </c>
      <c r="G56" s="444">
        <f>SUM(G57:G60)</f>
        <v>0</v>
      </c>
      <c r="H56" s="444">
        <f>SUM(H57:H60)</f>
        <v>0</v>
      </c>
    </row>
    <row r="57" spans="1:8" ht="15">
      <c r="A57" s="445" t="s">
        <v>636</v>
      </c>
      <c r="B57" s="446" t="s">
        <v>650</v>
      </c>
      <c r="C57" s="447"/>
      <c r="D57" s="447"/>
      <c r="E57" s="466" t="s">
        <v>733</v>
      </c>
      <c r="F57" s="459" t="s">
        <v>165</v>
      </c>
      <c r="G57" s="447"/>
      <c r="H57" s="447"/>
    </row>
    <row r="58" spans="1:8">
      <c r="A58" s="445" t="s">
        <v>637</v>
      </c>
      <c r="B58" s="446" t="s">
        <v>649</v>
      </c>
      <c r="C58" s="447"/>
      <c r="D58" s="447"/>
      <c r="E58" s="469" t="s">
        <v>734</v>
      </c>
      <c r="F58" s="446" t="s">
        <v>749</v>
      </c>
      <c r="G58" s="447"/>
      <c r="H58" s="447"/>
    </row>
    <row r="59" spans="1:8">
      <c r="A59" s="445" t="s">
        <v>638</v>
      </c>
      <c r="B59" s="446" t="s">
        <v>647</v>
      </c>
      <c r="C59" s="447"/>
      <c r="D59" s="447"/>
      <c r="E59" s="469" t="s">
        <v>735</v>
      </c>
      <c r="F59" s="446" t="s">
        <v>750</v>
      </c>
      <c r="G59" s="447"/>
      <c r="H59" s="447"/>
    </row>
    <row r="60" spans="1:8">
      <c r="A60" s="445" t="s">
        <v>639</v>
      </c>
      <c r="B60" s="446" t="s">
        <v>648</v>
      </c>
      <c r="C60" s="447"/>
      <c r="D60" s="447"/>
      <c r="E60" s="469" t="s">
        <v>736</v>
      </c>
      <c r="F60" s="446" t="s">
        <v>751</v>
      </c>
      <c r="G60" s="447"/>
      <c r="H60" s="447"/>
    </row>
    <row r="61" spans="1:8">
      <c r="A61" s="451" t="s">
        <v>1736</v>
      </c>
      <c r="B61" s="452" t="s">
        <v>1737</v>
      </c>
      <c r="C61" s="444">
        <f>SUM(C62:C65)</f>
        <v>0</v>
      </c>
      <c r="D61" s="444">
        <f>SUM(D62:D65)</f>
        <v>0</v>
      </c>
      <c r="E61" s="470" t="s">
        <v>1738</v>
      </c>
      <c r="F61" s="452" t="s">
        <v>1739</v>
      </c>
      <c r="G61" s="444">
        <f>SUM(G62:G66)</f>
        <v>0</v>
      </c>
      <c r="H61" s="444">
        <f>SUM(H62:H66)</f>
        <v>0</v>
      </c>
    </row>
    <row r="62" spans="1:8">
      <c r="A62" s="445" t="s">
        <v>640</v>
      </c>
      <c r="B62" s="446" t="s">
        <v>650</v>
      </c>
      <c r="C62" s="447"/>
      <c r="D62" s="447"/>
      <c r="E62" s="469" t="s">
        <v>737</v>
      </c>
      <c r="F62" s="446" t="s">
        <v>165</v>
      </c>
      <c r="G62" s="447"/>
      <c r="H62" s="447"/>
    </row>
    <row r="63" spans="1:8">
      <c r="A63" s="445" t="s">
        <v>641</v>
      </c>
      <c r="B63" s="446" t="s">
        <v>649</v>
      </c>
      <c r="C63" s="447"/>
      <c r="D63" s="447"/>
      <c r="E63" s="469" t="s">
        <v>738</v>
      </c>
      <c r="F63" s="446" t="s">
        <v>749</v>
      </c>
      <c r="G63" s="447"/>
      <c r="H63" s="447"/>
    </row>
    <row r="64" spans="1:8">
      <c r="A64" s="445" t="s">
        <v>642</v>
      </c>
      <c r="B64" s="446" t="s">
        <v>647</v>
      </c>
      <c r="C64" s="447"/>
      <c r="D64" s="447"/>
      <c r="E64" s="469" t="s">
        <v>739</v>
      </c>
      <c r="F64" s="446" t="s">
        <v>750</v>
      </c>
      <c r="G64" s="447"/>
      <c r="H64" s="447"/>
    </row>
    <row r="65" spans="1:8">
      <c r="A65" s="445" t="s">
        <v>651</v>
      </c>
      <c r="B65" s="471" t="s">
        <v>648</v>
      </c>
      <c r="C65" s="447"/>
      <c r="D65" s="447"/>
      <c r="E65" s="472"/>
      <c r="F65" s="790"/>
      <c r="G65" s="790"/>
      <c r="H65" s="791"/>
    </row>
    <row r="66" spans="1:8">
      <c r="A66" s="451" t="s">
        <v>1740</v>
      </c>
      <c r="B66" s="452" t="s">
        <v>1741</v>
      </c>
      <c r="C66" s="444">
        <f>SUM(C67:C70)</f>
        <v>0</v>
      </c>
      <c r="D66" s="444">
        <f>SUM(D67:D70)</f>
        <v>0</v>
      </c>
      <c r="E66" s="469" t="s">
        <v>740</v>
      </c>
      <c r="F66" s="446" t="s">
        <v>751</v>
      </c>
      <c r="G66" s="447"/>
      <c r="H66" s="447"/>
    </row>
    <row r="67" spans="1:8">
      <c r="A67" s="445" t="s">
        <v>643</v>
      </c>
      <c r="B67" s="446" t="s">
        <v>650</v>
      </c>
      <c r="C67" s="447"/>
      <c r="D67" s="447"/>
      <c r="E67" s="470" t="s">
        <v>1742</v>
      </c>
      <c r="F67" s="452" t="s">
        <v>1743</v>
      </c>
      <c r="G67" s="444">
        <f>SUM(G68:G71)</f>
        <v>0</v>
      </c>
      <c r="H67" s="444">
        <f>SUM(H68:H71)</f>
        <v>0</v>
      </c>
    </row>
    <row r="68" spans="1:8">
      <c r="A68" s="445" t="s">
        <v>644</v>
      </c>
      <c r="B68" s="446" t="s">
        <v>649</v>
      </c>
      <c r="C68" s="447"/>
      <c r="D68" s="447"/>
      <c r="E68" s="469" t="s">
        <v>741</v>
      </c>
      <c r="F68" s="446" t="s">
        <v>165</v>
      </c>
      <c r="G68" s="447"/>
      <c r="H68" s="447"/>
    </row>
    <row r="69" spans="1:8">
      <c r="A69" s="445" t="s">
        <v>645</v>
      </c>
      <c r="B69" s="446" t="s">
        <v>647</v>
      </c>
      <c r="C69" s="447"/>
      <c r="D69" s="447"/>
      <c r="E69" s="469" t="s">
        <v>742</v>
      </c>
      <c r="F69" s="446" t="s">
        <v>749</v>
      </c>
      <c r="G69" s="447"/>
      <c r="H69" s="447"/>
    </row>
    <row r="70" spans="1:8">
      <c r="A70" s="445" t="s">
        <v>646</v>
      </c>
      <c r="B70" s="446" t="s">
        <v>648</v>
      </c>
      <c r="C70" s="447"/>
      <c r="D70" s="447"/>
      <c r="E70" s="469" t="s">
        <v>743</v>
      </c>
      <c r="F70" s="446" t="s">
        <v>750</v>
      </c>
      <c r="G70" s="447"/>
      <c r="H70" s="447"/>
    </row>
    <row r="71" spans="1:8" ht="15">
      <c r="A71" s="437" t="s">
        <v>209</v>
      </c>
      <c r="B71" s="440" t="s">
        <v>652</v>
      </c>
      <c r="C71" s="450"/>
      <c r="D71" s="450"/>
      <c r="E71" s="469" t="s">
        <v>744</v>
      </c>
      <c r="F71" s="446" t="s">
        <v>751</v>
      </c>
      <c r="G71" s="447"/>
      <c r="H71" s="447"/>
    </row>
    <row r="72" spans="1:8">
      <c r="A72" s="448"/>
      <c r="B72" s="782"/>
      <c r="C72" s="782"/>
      <c r="D72" s="783"/>
      <c r="E72" s="473"/>
      <c r="F72" s="784"/>
      <c r="G72" s="784"/>
      <c r="H72" s="785"/>
    </row>
    <row r="73" spans="1:8">
      <c r="A73" s="437" t="s">
        <v>566</v>
      </c>
      <c r="B73" s="440" t="s">
        <v>568</v>
      </c>
      <c r="C73" s="441">
        <f>SUM(C74:C75)</f>
        <v>0</v>
      </c>
      <c r="D73" s="441">
        <f>SUM(D74:D75)</f>
        <v>0</v>
      </c>
      <c r="E73" s="437" t="s">
        <v>752</v>
      </c>
      <c r="F73" s="440" t="s">
        <v>755</v>
      </c>
      <c r="G73" s="441">
        <f>SUM(G74:G75)</f>
        <v>0</v>
      </c>
      <c r="H73" s="441">
        <f>SUM(H74:H75)</f>
        <v>0</v>
      </c>
    </row>
    <row r="74" spans="1:8">
      <c r="A74" s="451" t="s">
        <v>653</v>
      </c>
      <c r="B74" s="452" t="s">
        <v>655</v>
      </c>
      <c r="C74" s="453"/>
      <c r="D74" s="453"/>
      <c r="E74" s="451" t="s">
        <v>753</v>
      </c>
      <c r="F74" s="452" t="s">
        <v>756</v>
      </c>
      <c r="G74" s="453"/>
      <c r="H74" s="453"/>
    </row>
    <row r="75" spans="1:8">
      <c r="A75" s="451" t="s">
        <v>654</v>
      </c>
      <c r="B75" s="452" t="s">
        <v>656</v>
      </c>
      <c r="C75" s="453"/>
      <c r="D75" s="453"/>
      <c r="E75" s="451" t="s">
        <v>754</v>
      </c>
      <c r="F75" s="452" t="s">
        <v>656</v>
      </c>
      <c r="G75" s="453"/>
      <c r="H75" s="453"/>
    </row>
    <row r="76" spans="1:8" ht="15">
      <c r="A76" s="474"/>
      <c r="B76" s="778"/>
      <c r="C76" s="778"/>
      <c r="D76" s="779"/>
      <c r="E76" s="449"/>
      <c r="F76" s="780"/>
      <c r="G76" s="780"/>
      <c r="H76" s="781"/>
    </row>
    <row r="77" spans="1:8">
      <c r="A77" s="437" t="s">
        <v>567</v>
      </c>
      <c r="B77" s="440" t="s">
        <v>657</v>
      </c>
      <c r="C77" s="441">
        <f>SUM(C78:C81,C83:C84)</f>
        <v>0</v>
      </c>
      <c r="D77" s="441">
        <f>SUM(D78:D81,D83:D84)</f>
        <v>0</v>
      </c>
      <c r="E77" s="437" t="s">
        <v>757</v>
      </c>
      <c r="F77" s="440" t="s">
        <v>657</v>
      </c>
      <c r="G77" s="441">
        <f>SUM(G78:G84)</f>
        <v>0</v>
      </c>
      <c r="H77" s="441">
        <f>SUM(H78:H84)</f>
        <v>0</v>
      </c>
    </row>
    <row r="78" spans="1:8">
      <c r="A78" s="445" t="s">
        <v>758</v>
      </c>
      <c r="B78" s="475" t="s">
        <v>662</v>
      </c>
      <c r="C78" s="453"/>
      <c r="D78" s="453"/>
      <c r="E78" s="445" t="s">
        <v>761</v>
      </c>
      <c r="F78" s="446" t="s">
        <v>759</v>
      </c>
      <c r="G78" s="453"/>
      <c r="H78" s="453"/>
    </row>
    <row r="79" spans="1:8" ht="28">
      <c r="A79" s="445" t="s">
        <v>658</v>
      </c>
      <c r="B79" s="475" t="s">
        <v>663</v>
      </c>
      <c r="C79" s="453"/>
      <c r="D79" s="453"/>
      <c r="E79" s="445" t="s">
        <v>762</v>
      </c>
      <c r="F79" s="446" t="s">
        <v>760</v>
      </c>
      <c r="G79" s="453"/>
      <c r="H79" s="453"/>
    </row>
    <row r="80" spans="1:8">
      <c r="A80" s="445" t="s">
        <v>659</v>
      </c>
      <c r="B80" s="475" t="s">
        <v>664</v>
      </c>
      <c r="C80" s="453"/>
      <c r="D80" s="453"/>
      <c r="E80" s="445" t="s">
        <v>763</v>
      </c>
      <c r="F80" s="446" t="s">
        <v>765</v>
      </c>
      <c r="G80" s="453"/>
      <c r="H80" s="453"/>
    </row>
    <row r="81" spans="1:8">
      <c r="A81" s="445" t="s">
        <v>660</v>
      </c>
      <c r="B81" s="475" t="s">
        <v>665</v>
      </c>
      <c r="C81" s="453"/>
      <c r="D81" s="453"/>
      <c r="E81" s="445" t="s">
        <v>764</v>
      </c>
      <c r="F81" s="446" t="s">
        <v>766</v>
      </c>
      <c r="G81" s="453"/>
      <c r="H81" s="453"/>
    </row>
    <row r="82" spans="1:8">
      <c r="A82" s="448"/>
      <c r="B82" s="782"/>
      <c r="C82" s="782"/>
      <c r="D82" s="783"/>
      <c r="E82" s="445" t="s">
        <v>767</v>
      </c>
      <c r="F82" s="446" t="s">
        <v>770</v>
      </c>
      <c r="G82" s="453"/>
      <c r="H82" s="453"/>
    </row>
    <row r="83" spans="1:8">
      <c r="A83" s="451" t="s">
        <v>569</v>
      </c>
      <c r="B83" s="452" t="s">
        <v>666</v>
      </c>
      <c r="C83" s="453"/>
      <c r="D83" s="453"/>
      <c r="E83" s="445" t="s">
        <v>768</v>
      </c>
      <c r="F83" s="446" t="s">
        <v>771</v>
      </c>
      <c r="G83" s="453"/>
      <c r="H83" s="453"/>
    </row>
    <row r="84" spans="1:8">
      <c r="A84" s="451" t="s">
        <v>661</v>
      </c>
      <c r="B84" s="452" t="s">
        <v>667</v>
      </c>
      <c r="C84" s="453"/>
      <c r="D84" s="453"/>
      <c r="E84" s="445" t="s">
        <v>769</v>
      </c>
      <c r="F84" s="446" t="s">
        <v>772</v>
      </c>
      <c r="G84" s="453"/>
      <c r="H84" s="453"/>
    </row>
    <row r="85" spans="1:8" ht="15">
      <c r="A85" s="454"/>
      <c r="B85" s="476"/>
      <c r="C85" s="477"/>
      <c r="D85" s="478"/>
      <c r="E85" s="460"/>
      <c r="F85" s="780"/>
      <c r="G85" s="780"/>
      <c r="H85" s="781"/>
    </row>
    <row r="86" spans="1:8" ht="15.75" customHeight="1">
      <c r="A86" s="445"/>
      <c r="B86" s="462" t="s">
        <v>1744</v>
      </c>
      <c r="C86" s="444">
        <f>SUM(C77,C73,C55,C50,C43)</f>
        <v>245625959</v>
      </c>
      <c r="D86" s="444">
        <f>SUM(D77,D73,D55,D50,D43)</f>
        <v>2480126</v>
      </c>
      <c r="E86" s="458"/>
      <c r="F86" s="462" t="s">
        <v>1745</v>
      </c>
      <c r="G86" s="444">
        <f>SUM(G77,G73,G55,G50,G43)</f>
        <v>664839097</v>
      </c>
      <c r="H86" s="444">
        <f>SUM(H77,H73,H55,H50,H43)</f>
        <v>659334269</v>
      </c>
    </row>
    <row r="87" spans="1:8" ht="15.75" customHeight="1">
      <c r="A87" s="456"/>
      <c r="B87" s="479"/>
      <c r="C87" s="480"/>
      <c r="D87" s="481"/>
      <c r="E87" s="437" t="s">
        <v>292</v>
      </c>
      <c r="F87" s="440" t="s">
        <v>1746</v>
      </c>
      <c r="G87" s="441">
        <f>SUM(G88:G89)</f>
        <v>0</v>
      </c>
      <c r="H87" s="441">
        <f>SUM(H88:H89)</f>
        <v>0</v>
      </c>
    </row>
    <row r="88" spans="1:8" ht="15.75" customHeight="1">
      <c r="A88" s="437" t="s">
        <v>290</v>
      </c>
      <c r="B88" s="440" t="s">
        <v>1747</v>
      </c>
      <c r="C88" s="441">
        <f>SUM(C89:C90)</f>
        <v>0</v>
      </c>
      <c r="D88" s="441">
        <f>SUM(D89:D90)</f>
        <v>1044595</v>
      </c>
      <c r="E88" s="442" t="s">
        <v>773</v>
      </c>
      <c r="F88" s="443" t="s">
        <v>775</v>
      </c>
      <c r="G88" s="453"/>
      <c r="H88" s="453"/>
    </row>
    <row r="89" spans="1:8" ht="15.75" customHeight="1">
      <c r="A89" s="451" t="s">
        <v>668</v>
      </c>
      <c r="B89" s="452" t="s">
        <v>670</v>
      </c>
      <c r="C89" s="453"/>
      <c r="D89" s="453"/>
      <c r="E89" s="442" t="s">
        <v>774</v>
      </c>
      <c r="F89" s="443" t="s">
        <v>776</v>
      </c>
      <c r="G89" s="453"/>
      <c r="H89" s="453"/>
    </row>
    <row r="90" spans="1:8" ht="15">
      <c r="A90" s="451" t="s">
        <v>669</v>
      </c>
      <c r="B90" s="452" t="s">
        <v>671</v>
      </c>
      <c r="C90" s="453"/>
      <c r="D90" s="453">
        <v>1044595</v>
      </c>
      <c r="E90" s="460"/>
      <c r="F90" s="774"/>
      <c r="G90" s="774"/>
      <c r="H90" s="775"/>
    </row>
    <row r="91" spans="1:8" ht="15">
      <c r="A91" s="448"/>
      <c r="B91" s="782"/>
      <c r="C91" s="782"/>
      <c r="D91" s="783"/>
      <c r="E91" s="461"/>
      <c r="F91" s="776"/>
      <c r="G91" s="776"/>
      <c r="H91" s="777"/>
    </row>
    <row r="92" spans="1:8">
      <c r="A92" s="437" t="s">
        <v>294</v>
      </c>
      <c r="B92" s="440" t="s">
        <v>295</v>
      </c>
      <c r="C92" s="441">
        <f>SUM(C93:C95)</f>
        <v>0</v>
      </c>
      <c r="D92" s="441">
        <f>SUM(D93:D95)</f>
        <v>0</v>
      </c>
      <c r="E92" s="437" t="s">
        <v>296</v>
      </c>
      <c r="F92" s="440" t="s">
        <v>297</v>
      </c>
      <c r="G92" s="441">
        <f>SUM(G93:G95)</f>
        <v>0</v>
      </c>
      <c r="H92" s="441">
        <f>SUM(H93:H95)</f>
        <v>0</v>
      </c>
    </row>
    <row r="93" spans="1:8" ht="15">
      <c r="A93" s="445" t="s">
        <v>298</v>
      </c>
      <c r="B93" s="446" t="s">
        <v>672</v>
      </c>
      <c r="C93" s="447"/>
      <c r="D93" s="447"/>
      <c r="E93" s="458" t="s">
        <v>299</v>
      </c>
      <c r="F93" s="459" t="s">
        <v>300</v>
      </c>
      <c r="G93" s="447"/>
      <c r="H93" s="447"/>
    </row>
    <row r="94" spans="1:8" ht="15">
      <c r="A94" s="445" t="s">
        <v>301</v>
      </c>
      <c r="B94" s="446" t="s">
        <v>673</v>
      </c>
      <c r="C94" s="447"/>
      <c r="D94" s="447"/>
      <c r="E94" s="458" t="s">
        <v>302</v>
      </c>
      <c r="F94" s="459" t="s">
        <v>303</v>
      </c>
      <c r="G94" s="447"/>
      <c r="H94" s="447"/>
    </row>
    <row r="95" spans="1:8" ht="15">
      <c r="A95" s="445" t="s">
        <v>304</v>
      </c>
      <c r="B95" s="446" t="s">
        <v>674</v>
      </c>
      <c r="C95" s="447"/>
      <c r="D95" s="447"/>
      <c r="E95" s="458" t="s">
        <v>305</v>
      </c>
      <c r="F95" s="459" t="s">
        <v>306</v>
      </c>
      <c r="G95" s="447"/>
      <c r="H95" s="447"/>
    </row>
    <row r="96" spans="1:8" ht="15">
      <c r="A96" s="455"/>
      <c r="B96" s="766"/>
      <c r="C96" s="766"/>
      <c r="D96" s="767"/>
      <c r="E96" s="455"/>
      <c r="F96" s="766"/>
      <c r="G96" s="766"/>
      <c r="H96" s="767"/>
    </row>
    <row r="97" spans="1:10" ht="15">
      <c r="A97" s="457"/>
      <c r="B97" s="768"/>
      <c r="C97" s="768"/>
      <c r="D97" s="769"/>
      <c r="E97" s="457"/>
      <c r="F97" s="768"/>
      <c r="G97" s="768"/>
      <c r="H97" s="769"/>
    </row>
    <row r="98" spans="1:10" ht="15">
      <c r="A98" s="458"/>
      <c r="B98" s="443" t="s">
        <v>1748</v>
      </c>
      <c r="C98" s="444">
        <f>IF(SUM(G44,G49,G55,G73,G77,G87,G92)-SUM(C44,C50,C55,C71,C73,C77,C88,C92)&gt;0,SUM(G44,G49,G55,G73,G77,G87,G92)-SUM(C44,C50,C55,C71,C73,C77,C88,C92),0)</f>
        <v>0</v>
      </c>
      <c r="D98" s="444">
        <f>IF(SUM(H44,H49,H55,H73,H77,H87,H92)-SUM(D44,D50,D55,D71,D73,D77,D88,D92)&gt;0,SUM(H44,H49,H55,H73,H77,H87,H92)-SUM(D44,D50,D55,D71,D73,D77,D88,D92),0)</f>
        <v>0</v>
      </c>
      <c r="E98" s="458"/>
      <c r="F98" s="443" t="s">
        <v>1749</v>
      </c>
      <c r="G98" s="444">
        <f>IF(-SUM(G44,G49,G55,G73,G77,G87,G92)+SUM(C44,C50,C55,C71,C73,C77,C88,C92)&gt;0,-SUM(G44,G49,G55,G73,G77,G87,G92)+SUM(C44,C50,C55,C71,C73,C77,C88,C92),0)</f>
        <v>0</v>
      </c>
      <c r="H98" s="444">
        <f>IF(-SUM(H44,H49,H55,H73,H77,H87,H92)+SUM(D44,D50,D55,D71,D73,D77,D88,D92)&gt;0,-SUM(H44,H49,H55,H73,H77,H87,H92)+SUM(D44,D50,D55,D71,D73,D77,D88,D92),0)</f>
        <v>1044595</v>
      </c>
    </row>
    <row r="99" spans="1:10" ht="15">
      <c r="A99" s="458"/>
      <c r="B99" s="462" t="s">
        <v>1749</v>
      </c>
      <c r="C99" s="444">
        <f>-G98</f>
        <v>0</v>
      </c>
      <c r="D99" s="444">
        <f>-H98</f>
        <v>-1044595</v>
      </c>
      <c r="E99" s="458"/>
      <c r="F99" s="462" t="s">
        <v>1748</v>
      </c>
      <c r="G99" s="444">
        <f>-C98</f>
        <v>0</v>
      </c>
      <c r="H99" s="444">
        <f>-D98</f>
        <v>0</v>
      </c>
    </row>
    <row r="100" spans="1:10" ht="15">
      <c r="A100" s="482"/>
      <c r="B100" s="770"/>
      <c r="C100" s="770"/>
      <c r="D100" s="771"/>
      <c r="E100" s="460"/>
      <c r="F100" s="774"/>
      <c r="G100" s="774"/>
      <c r="H100" s="775"/>
    </row>
    <row r="101" spans="1:10" ht="15">
      <c r="A101" s="483"/>
      <c r="B101" s="772"/>
      <c r="C101" s="772"/>
      <c r="D101" s="773"/>
      <c r="E101" s="461"/>
      <c r="F101" s="776"/>
      <c r="G101" s="776"/>
      <c r="H101" s="777"/>
    </row>
    <row r="102" spans="1:10" ht="15">
      <c r="A102" s="466"/>
      <c r="B102" s="443" t="s">
        <v>1727</v>
      </c>
      <c r="C102" s="444">
        <f>C42</f>
        <v>419213138</v>
      </c>
      <c r="D102" s="444">
        <f>D42</f>
        <v>656854143</v>
      </c>
      <c r="E102" s="458"/>
      <c r="F102" s="443" t="s">
        <v>1750</v>
      </c>
      <c r="G102" s="444">
        <f>G42</f>
        <v>0</v>
      </c>
      <c r="H102" s="444">
        <f>H42</f>
        <v>0</v>
      </c>
    </row>
    <row r="103" spans="1:10" ht="15">
      <c r="A103" s="484"/>
      <c r="B103" s="798"/>
      <c r="C103" s="798"/>
      <c r="D103" s="799"/>
      <c r="E103" s="449"/>
      <c r="F103" s="780"/>
      <c r="G103" s="780"/>
      <c r="H103" s="781"/>
    </row>
    <row r="104" spans="1:10" ht="15">
      <c r="A104" s="466"/>
      <c r="B104" s="443" t="s">
        <v>1748</v>
      </c>
      <c r="C104" s="444">
        <f>C98</f>
        <v>0</v>
      </c>
      <c r="D104" s="444">
        <f>D98</f>
        <v>0</v>
      </c>
      <c r="E104" s="458"/>
      <c r="F104" s="443" t="s">
        <v>1749</v>
      </c>
      <c r="G104" s="444">
        <f>G98</f>
        <v>0</v>
      </c>
      <c r="H104" s="444">
        <f>H98</f>
        <v>1044595</v>
      </c>
    </row>
    <row r="105" spans="1:10" ht="15">
      <c r="A105" s="547"/>
      <c r="B105" s="770"/>
      <c r="C105" s="770"/>
      <c r="D105" s="771"/>
      <c r="E105" s="547"/>
      <c r="F105" s="770"/>
      <c r="G105" s="770"/>
      <c r="H105" s="771"/>
    </row>
    <row r="106" spans="1:10" ht="15">
      <c r="A106" s="483"/>
      <c r="B106" s="772"/>
      <c r="C106" s="772"/>
      <c r="D106" s="773"/>
      <c r="E106" s="483"/>
      <c r="F106" s="772"/>
      <c r="G106" s="772"/>
      <c r="H106" s="773"/>
    </row>
    <row r="107" spans="1:10" ht="15">
      <c r="A107" s="466"/>
      <c r="B107" s="485" t="s">
        <v>1751</v>
      </c>
      <c r="C107" s="444">
        <f>IF(SUM(C98,C99,C102)&gt;0,SUM(C98,C99,C102),0)</f>
        <v>419213138</v>
      </c>
      <c r="D107" s="444">
        <f>IF(SUM(D98,D99,D102)&gt;0,SUM(D98,D99,D102),0)</f>
        <v>655809548</v>
      </c>
      <c r="E107" s="466"/>
      <c r="F107" s="485" t="s">
        <v>1752</v>
      </c>
      <c r="G107" s="444">
        <f>IF(SUM(G98,G99,G102)&gt;0,SUM(G98,G99,G102),0)</f>
        <v>0</v>
      </c>
      <c r="H107" s="444">
        <f>IF(SUM(H98,H99,H102)&gt;0,SUM(H98,H99,H102),0)</f>
        <v>1044595</v>
      </c>
    </row>
    <row r="108" spans="1:10" ht="15">
      <c r="A108" s="484"/>
      <c r="B108" s="798"/>
      <c r="C108" s="798"/>
      <c r="D108" s="799"/>
      <c r="E108" s="484"/>
      <c r="F108" s="798"/>
      <c r="G108" s="798"/>
      <c r="H108" s="799"/>
    </row>
    <row r="109" spans="1:10">
      <c r="A109" s="437"/>
      <c r="B109" s="440" t="s">
        <v>1753</v>
      </c>
      <c r="C109" s="441">
        <f>SUM(C110:C112)</f>
        <v>0</v>
      </c>
      <c r="D109" s="441">
        <f>SUM(D110:D112)</f>
        <v>0</v>
      </c>
      <c r="E109" s="437"/>
      <c r="F109" s="440" t="s">
        <v>1754</v>
      </c>
      <c r="G109" s="441">
        <f>SUM(G110:G111)</f>
        <v>0</v>
      </c>
      <c r="H109" s="441">
        <f>SUM(H110:H111)</f>
        <v>0</v>
      </c>
      <c r="J109" s="518"/>
    </row>
    <row r="110" spans="1:10" ht="15">
      <c r="A110" s="442" t="s">
        <v>307</v>
      </c>
      <c r="B110" s="443" t="s">
        <v>163</v>
      </c>
      <c r="C110" s="453"/>
      <c r="D110" s="453"/>
      <c r="E110" s="458" t="s">
        <v>308</v>
      </c>
      <c r="F110" s="459" t="s">
        <v>794</v>
      </c>
      <c r="G110" s="447"/>
      <c r="H110" s="447"/>
    </row>
    <row r="111" spans="1:10" ht="15">
      <c r="A111" s="442" t="s">
        <v>310</v>
      </c>
      <c r="B111" s="443" t="s">
        <v>162</v>
      </c>
      <c r="C111" s="486"/>
      <c r="D111" s="486"/>
      <c r="E111" s="458" t="s">
        <v>311</v>
      </c>
      <c r="F111" s="459" t="s">
        <v>182</v>
      </c>
      <c r="G111" s="447"/>
      <c r="H111" s="447"/>
    </row>
    <row r="112" spans="1:10" ht="15">
      <c r="A112" s="442" t="s">
        <v>312</v>
      </c>
      <c r="B112" s="443" t="s">
        <v>164</v>
      </c>
      <c r="C112" s="453"/>
      <c r="D112" s="453"/>
      <c r="E112" s="482"/>
      <c r="F112" s="770"/>
      <c r="G112" s="770"/>
      <c r="H112" s="771"/>
    </row>
    <row r="113" spans="1:8" ht="15">
      <c r="A113" s="482"/>
      <c r="B113" s="770"/>
      <c r="C113" s="770"/>
      <c r="D113" s="771"/>
      <c r="E113" s="487"/>
      <c r="F113" s="802"/>
      <c r="G113" s="802"/>
      <c r="H113" s="803"/>
    </row>
    <row r="114" spans="1:8" s="2" customFormat="1" ht="15">
      <c r="A114" s="487"/>
      <c r="B114" s="802"/>
      <c r="C114" s="802"/>
      <c r="D114" s="803"/>
      <c r="E114" s="487"/>
      <c r="F114" s="802"/>
      <c r="G114" s="802"/>
      <c r="H114" s="803"/>
    </row>
    <row r="115" spans="1:8" s="2" customFormat="1" ht="15">
      <c r="A115" s="483"/>
      <c r="B115" s="772"/>
      <c r="C115" s="772"/>
      <c r="D115" s="773"/>
      <c r="E115" s="483"/>
      <c r="F115" s="772"/>
      <c r="G115" s="772"/>
      <c r="H115" s="773"/>
    </row>
    <row r="116" spans="1:8" ht="15">
      <c r="A116" s="466"/>
      <c r="B116" s="462" t="s">
        <v>1755</v>
      </c>
      <c r="C116" s="360">
        <f>SUM(C117,C122,C130,C170:C171,C179,C190,C192,C194)</f>
        <v>564125459</v>
      </c>
      <c r="D116" s="360">
        <f>SUM(D117,D122,D130,D170:D171,D179,D190,D192,D194)</f>
        <v>984082477</v>
      </c>
      <c r="E116" s="466"/>
      <c r="F116" s="462" t="s">
        <v>1756</v>
      </c>
      <c r="G116" s="360">
        <f>SUM(G118,G135,G139,G170,G171,G179,G190,G192)</f>
        <v>181454859</v>
      </c>
      <c r="H116" s="360">
        <f>SUM(H118,H135,H139,H170,H171,H179,H190,H192)</f>
        <v>661329952</v>
      </c>
    </row>
    <row r="117" spans="1:8" ht="15">
      <c r="A117" s="488" t="s">
        <v>313</v>
      </c>
      <c r="B117" s="489" t="s">
        <v>314</v>
      </c>
      <c r="C117" s="441">
        <f>SUM(C118:C120)</f>
        <v>200864603</v>
      </c>
      <c r="D117" s="441">
        <f>SUM(D118:D120)</f>
        <v>180566754</v>
      </c>
      <c r="E117" s="484"/>
      <c r="F117" s="798"/>
      <c r="G117" s="798"/>
      <c r="H117" s="799"/>
    </row>
    <row r="118" spans="1:8" ht="15">
      <c r="A118" s="458" t="s">
        <v>315</v>
      </c>
      <c r="B118" s="459" t="s">
        <v>174</v>
      </c>
      <c r="C118" s="447">
        <v>171219084</v>
      </c>
      <c r="D118" s="447">
        <v>150905003</v>
      </c>
      <c r="E118" s="437" t="s">
        <v>316</v>
      </c>
      <c r="F118" s="440" t="s">
        <v>181</v>
      </c>
      <c r="G118" s="441">
        <f>SUM(G119:G120,G122,G126,G127,G133)</f>
        <v>115067534</v>
      </c>
      <c r="H118" s="441">
        <f>SUM(H119:H120,H122,H126,H127,H133)</f>
        <v>9473180</v>
      </c>
    </row>
    <row r="119" spans="1:8" ht="15">
      <c r="A119" s="458" t="s">
        <v>317</v>
      </c>
      <c r="B119" s="459" t="s">
        <v>175</v>
      </c>
      <c r="C119" s="447">
        <v>27183019</v>
      </c>
      <c r="D119" s="447">
        <v>27286751</v>
      </c>
      <c r="E119" s="463" t="s">
        <v>777</v>
      </c>
      <c r="F119" s="443" t="s">
        <v>778</v>
      </c>
      <c r="G119" s="447"/>
      <c r="H119" s="447"/>
    </row>
    <row r="120" spans="1:8" s="2" customFormat="1" ht="15">
      <c r="A120" s="458" t="s">
        <v>1078</v>
      </c>
      <c r="B120" s="459" t="s">
        <v>1083</v>
      </c>
      <c r="C120" s="447">
        <v>2462500</v>
      </c>
      <c r="D120" s="447">
        <v>2375000</v>
      </c>
      <c r="E120" s="442" t="s">
        <v>319</v>
      </c>
      <c r="F120" s="443" t="s">
        <v>320</v>
      </c>
      <c r="G120" s="447"/>
      <c r="H120" s="447"/>
    </row>
    <row r="121" spans="1:8" ht="15">
      <c r="A121" s="461"/>
      <c r="B121" s="490"/>
      <c r="C121" s="490"/>
      <c r="D121" s="491"/>
      <c r="E121" s="484"/>
      <c r="F121" s="798"/>
      <c r="G121" s="798"/>
      <c r="H121" s="799"/>
    </row>
    <row r="122" spans="1:8" ht="15">
      <c r="A122" s="437" t="s">
        <v>675</v>
      </c>
      <c r="B122" s="440" t="s">
        <v>1757</v>
      </c>
      <c r="C122" s="441">
        <f>SUM(C123:C124,C129)</f>
        <v>5017992</v>
      </c>
      <c r="D122" s="441">
        <f>SUM(D123:D124,D129)</f>
        <v>4440799</v>
      </c>
      <c r="E122" s="463" t="s">
        <v>1758</v>
      </c>
      <c r="F122" s="492" t="s">
        <v>750</v>
      </c>
      <c r="G122" s="444">
        <f>SUM(G124:G125)</f>
        <v>0</v>
      </c>
      <c r="H122" s="444">
        <f>SUM(H124:H125)</f>
        <v>0</v>
      </c>
    </row>
    <row r="123" spans="1:8" ht="15">
      <c r="A123" s="442" t="s">
        <v>321</v>
      </c>
      <c r="B123" s="443" t="s">
        <v>322</v>
      </c>
      <c r="C123" s="453"/>
      <c r="D123" s="453"/>
      <c r="E123" s="484"/>
      <c r="F123" s="798"/>
      <c r="G123" s="798"/>
      <c r="H123" s="799"/>
    </row>
    <row r="124" spans="1:8" ht="30">
      <c r="A124" s="442" t="s">
        <v>1759</v>
      </c>
      <c r="B124" s="443" t="s">
        <v>1760</v>
      </c>
      <c r="C124" s="444">
        <f>SUM(C125:C128)</f>
        <v>5017992</v>
      </c>
      <c r="D124" s="444">
        <f>SUM(D125:D128)</f>
        <v>4440799</v>
      </c>
      <c r="E124" s="458" t="s">
        <v>323</v>
      </c>
      <c r="F124" s="459" t="s">
        <v>324</v>
      </c>
      <c r="G124" s="447"/>
      <c r="H124" s="447"/>
    </row>
    <row r="125" spans="1:8" ht="15">
      <c r="A125" s="458" t="s">
        <v>676</v>
      </c>
      <c r="B125" s="459" t="s">
        <v>680</v>
      </c>
      <c r="C125" s="447">
        <v>4137800</v>
      </c>
      <c r="D125" s="447"/>
      <c r="E125" s="458" t="s">
        <v>327</v>
      </c>
      <c r="F125" s="459" t="s">
        <v>328</v>
      </c>
      <c r="G125" s="447"/>
      <c r="H125" s="447"/>
    </row>
    <row r="126" spans="1:8" ht="15">
      <c r="A126" s="458" t="s">
        <v>677</v>
      </c>
      <c r="B126" s="459" t="s">
        <v>681</v>
      </c>
      <c r="C126" s="447"/>
      <c r="D126" s="447">
        <v>4169554</v>
      </c>
      <c r="E126" s="442" t="s">
        <v>779</v>
      </c>
      <c r="F126" s="443" t="s">
        <v>780</v>
      </c>
      <c r="G126" s="453">
        <v>1850000</v>
      </c>
      <c r="H126" s="453">
        <v>600000</v>
      </c>
    </row>
    <row r="127" spans="1:8" ht="15">
      <c r="A127" s="458" t="s">
        <v>678</v>
      </c>
      <c r="B127" s="459" t="s">
        <v>682</v>
      </c>
      <c r="C127" s="447">
        <v>138000</v>
      </c>
      <c r="D127" s="447">
        <v>187745</v>
      </c>
      <c r="E127" s="442" t="s">
        <v>1761</v>
      </c>
      <c r="F127" s="443" t="s">
        <v>1762</v>
      </c>
      <c r="G127" s="444">
        <f>SUM(G128:G130)</f>
        <v>105021784</v>
      </c>
      <c r="H127" s="444">
        <f>SUM(H128:H130)</f>
        <v>765080</v>
      </c>
    </row>
    <row r="128" spans="1:8" ht="15">
      <c r="A128" s="458" t="s">
        <v>679</v>
      </c>
      <c r="B128" s="459" t="s">
        <v>683</v>
      </c>
      <c r="C128" s="447">
        <v>742192</v>
      </c>
      <c r="D128" s="447">
        <v>83500</v>
      </c>
      <c r="E128" s="458" t="s">
        <v>329</v>
      </c>
      <c r="F128" s="459" t="s">
        <v>1763</v>
      </c>
      <c r="G128" s="447"/>
      <c r="H128" s="447">
        <v>765080</v>
      </c>
    </row>
    <row r="129" spans="1:8" ht="15">
      <c r="A129" s="442" t="s">
        <v>325</v>
      </c>
      <c r="B129" s="443" t="s">
        <v>326</v>
      </c>
      <c r="C129" s="453"/>
      <c r="D129" s="453"/>
      <c r="E129" s="458" t="s">
        <v>330</v>
      </c>
      <c r="F129" s="459" t="s">
        <v>331</v>
      </c>
      <c r="G129" s="447">
        <v>105021784</v>
      </c>
      <c r="H129" s="447"/>
    </row>
    <row r="130" spans="1:8" ht="15">
      <c r="A130" s="437" t="s">
        <v>332</v>
      </c>
      <c r="B130" s="440" t="s">
        <v>333</v>
      </c>
      <c r="C130" s="441">
        <f>SUM(C131,C142,C158)</f>
        <v>96501158</v>
      </c>
      <c r="D130" s="441">
        <f>SUM(D131,D142,D158)</f>
        <v>99936132</v>
      </c>
      <c r="E130" s="458" t="s">
        <v>334</v>
      </c>
      <c r="F130" s="459" t="s">
        <v>183</v>
      </c>
      <c r="G130" s="447"/>
      <c r="H130" s="447"/>
    </row>
    <row r="131" spans="1:8" s="2" customFormat="1" ht="15">
      <c r="A131" s="442" t="s">
        <v>1764</v>
      </c>
      <c r="B131" s="443" t="s">
        <v>1765</v>
      </c>
      <c r="C131" s="444">
        <f>SUM(C132:C140)</f>
        <v>28050499</v>
      </c>
      <c r="D131" s="444">
        <f>SUM(D132:D140)</f>
        <v>29199071</v>
      </c>
      <c r="E131" s="800"/>
      <c r="F131" s="786"/>
      <c r="G131" s="786"/>
      <c r="H131" s="787"/>
    </row>
    <row r="132" spans="1:8" s="2" customFormat="1" ht="15">
      <c r="A132" s="458" t="s">
        <v>337</v>
      </c>
      <c r="B132" s="459" t="s">
        <v>338</v>
      </c>
      <c r="C132" s="447"/>
      <c r="D132" s="447"/>
      <c r="E132" s="801"/>
      <c r="F132" s="788"/>
      <c r="G132" s="788"/>
      <c r="H132" s="789"/>
    </row>
    <row r="133" spans="1:8" s="2" customFormat="1" ht="15">
      <c r="A133" s="458" t="s">
        <v>339</v>
      </c>
      <c r="B133" s="459" t="s">
        <v>165</v>
      </c>
      <c r="C133" s="447">
        <v>20461200</v>
      </c>
      <c r="D133" s="447">
        <v>20770743</v>
      </c>
      <c r="E133" s="442" t="s">
        <v>335</v>
      </c>
      <c r="F133" s="443" t="s">
        <v>336</v>
      </c>
      <c r="G133" s="493">
        <v>8195750</v>
      </c>
      <c r="H133" s="493">
        <v>8108100</v>
      </c>
    </row>
    <row r="134" spans="1:8" s="2" customFormat="1" ht="15">
      <c r="A134" s="458" t="s">
        <v>340</v>
      </c>
      <c r="B134" s="459" t="s">
        <v>166</v>
      </c>
      <c r="C134" s="447"/>
      <c r="D134" s="447"/>
      <c r="E134" s="449"/>
      <c r="F134" s="780"/>
      <c r="G134" s="780"/>
      <c r="H134" s="781"/>
    </row>
    <row r="135" spans="1:8" s="2" customFormat="1" ht="15">
      <c r="A135" s="458" t="s">
        <v>341</v>
      </c>
      <c r="B135" s="459" t="s">
        <v>342</v>
      </c>
      <c r="C135" s="447">
        <v>6427917</v>
      </c>
      <c r="D135" s="447">
        <v>6698695</v>
      </c>
      <c r="E135" s="437" t="s">
        <v>781</v>
      </c>
      <c r="F135" s="440" t="s">
        <v>784</v>
      </c>
      <c r="G135" s="441">
        <f>SUM(G136:G137)</f>
        <v>0</v>
      </c>
      <c r="H135" s="441">
        <f>SUM(H136:H137)</f>
        <v>0</v>
      </c>
    </row>
    <row r="136" spans="1:8" s="2" customFormat="1" ht="15">
      <c r="A136" s="458" t="s">
        <v>343</v>
      </c>
      <c r="B136" s="459" t="s">
        <v>167</v>
      </c>
      <c r="C136" s="447">
        <v>373382</v>
      </c>
      <c r="D136" s="447">
        <v>227194</v>
      </c>
      <c r="E136" s="458" t="s">
        <v>782</v>
      </c>
      <c r="F136" s="459" t="s">
        <v>786</v>
      </c>
      <c r="G136" s="447"/>
      <c r="H136" s="447"/>
    </row>
    <row r="137" spans="1:8" ht="15">
      <c r="A137" s="484"/>
      <c r="B137" s="494"/>
      <c r="C137" s="495"/>
      <c r="D137" s="496"/>
      <c r="E137" s="458" t="s">
        <v>783</v>
      </c>
      <c r="F137" s="459" t="s">
        <v>785</v>
      </c>
      <c r="G137" s="447"/>
      <c r="H137" s="447"/>
    </row>
    <row r="138" spans="1:8" ht="15">
      <c r="A138" s="458" t="s">
        <v>346</v>
      </c>
      <c r="B138" s="459" t="s">
        <v>168</v>
      </c>
      <c r="C138" s="447"/>
      <c r="D138" s="447"/>
      <c r="E138" s="484"/>
      <c r="F138" s="798"/>
      <c r="G138" s="798"/>
      <c r="H138" s="799"/>
    </row>
    <row r="139" spans="1:8" ht="15">
      <c r="A139" s="458" t="s">
        <v>349</v>
      </c>
      <c r="B139" s="459" t="s">
        <v>350</v>
      </c>
      <c r="C139" s="447">
        <v>788000</v>
      </c>
      <c r="D139" s="447">
        <v>1502439</v>
      </c>
      <c r="E139" s="437" t="s">
        <v>344</v>
      </c>
      <c r="F139" s="440" t="s">
        <v>345</v>
      </c>
      <c r="G139" s="497"/>
      <c r="H139" s="497"/>
    </row>
    <row r="140" spans="1:8" ht="15">
      <c r="A140" s="458" t="s">
        <v>351</v>
      </c>
      <c r="B140" s="459" t="s">
        <v>150</v>
      </c>
      <c r="C140" s="447"/>
      <c r="D140" s="447"/>
      <c r="E140" s="482"/>
      <c r="F140" s="770"/>
      <c r="G140" s="770"/>
      <c r="H140" s="771"/>
    </row>
    <row r="141" spans="1:8" ht="15">
      <c r="A141" s="484"/>
      <c r="B141" s="798"/>
      <c r="C141" s="798"/>
      <c r="D141" s="799"/>
      <c r="E141" s="487"/>
      <c r="F141" s="802"/>
      <c r="G141" s="802"/>
      <c r="H141" s="803"/>
    </row>
    <row r="142" spans="1:8" ht="15">
      <c r="A142" s="442" t="s">
        <v>1766</v>
      </c>
      <c r="B142" s="443" t="s">
        <v>1767</v>
      </c>
      <c r="C142" s="444">
        <f>SUM(C143:C153)</f>
        <v>67735659</v>
      </c>
      <c r="D142" s="444">
        <f>SUM(D143:D153)</f>
        <v>69460987</v>
      </c>
      <c r="E142" s="487"/>
      <c r="F142" s="802"/>
      <c r="G142" s="802"/>
      <c r="H142" s="803"/>
    </row>
    <row r="143" spans="1:8" ht="15">
      <c r="A143" s="458" t="s">
        <v>355</v>
      </c>
      <c r="B143" s="459" t="s">
        <v>356</v>
      </c>
      <c r="C143" s="447"/>
      <c r="D143" s="447"/>
      <c r="E143" s="487"/>
      <c r="F143" s="802"/>
      <c r="G143" s="802"/>
      <c r="H143" s="803"/>
    </row>
    <row r="144" spans="1:8" ht="15">
      <c r="A144" s="458" t="s">
        <v>359</v>
      </c>
      <c r="B144" s="459" t="s">
        <v>169</v>
      </c>
      <c r="C144" s="447">
        <v>1627000</v>
      </c>
      <c r="D144" s="447">
        <v>4013780</v>
      </c>
      <c r="E144" s="487"/>
      <c r="F144" s="802"/>
      <c r="G144" s="802"/>
      <c r="H144" s="803"/>
    </row>
    <row r="145" spans="1:8" ht="15">
      <c r="A145" s="458" t="s">
        <v>360</v>
      </c>
      <c r="B145" s="459" t="s">
        <v>170</v>
      </c>
      <c r="C145" s="447">
        <v>726000</v>
      </c>
      <c r="D145" s="447">
        <v>771000</v>
      </c>
      <c r="E145" s="487"/>
      <c r="F145" s="802"/>
      <c r="G145" s="802"/>
      <c r="H145" s="803"/>
    </row>
    <row r="146" spans="1:8" ht="15">
      <c r="A146" s="458" t="s">
        <v>363</v>
      </c>
      <c r="B146" s="459" t="s">
        <v>171</v>
      </c>
      <c r="C146" s="447"/>
      <c r="D146" s="447"/>
      <c r="E146" s="487"/>
      <c r="F146" s="802"/>
      <c r="G146" s="802"/>
      <c r="H146" s="803"/>
    </row>
    <row r="147" spans="1:8" ht="15">
      <c r="A147" s="484"/>
      <c r="B147" s="798"/>
      <c r="C147" s="798"/>
      <c r="D147" s="799"/>
      <c r="E147" s="487"/>
      <c r="F147" s="802"/>
      <c r="G147" s="802"/>
      <c r="H147" s="803"/>
    </row>
    <row r="148" spans="1:8" ht="15">
      <c r="A148" s="458" t="s">
        <v>365</v>
      </c>
      <c r="B148" s="459" t="s">
        <v>366</v>
      </c>
      <c r="C148" s="447"/>
      <c r="D148" s="447"/>
      <c r="E148" s="487"/>
      <c r="F148" s="802"/>
      <c r="G148" s="802"/>
      <c r="H148" s="803"/>
    </row>
    <row r="149" spans="1:8" ht="15">
      <c r="A149" s="484"/>
      <c r="B149" s="798"/>
      <c r="C149" s="798"/>
      <c r="D149" s="799"/>
      <c r="E149" s="487"/>
      <c r="F149" s="802"/>
      <c r="G149" s="802"/>
      <c r="H149" s="803"/>
    </row>
    <row r="150" spans="1:8" ht="15">
      <c r="A150" s="458" t="s">
        <v>369</v>
      </c>
      <c r="B150" s="459" t="s">
        <v>172</v>
      </c>
      <c r="C150" s="447">
        <v>3595300</v>
      </c>
      <c r="D150" s="447">
        <v>5464350</v>
      </c>
      <c r="E150" s="487"/>
      <c r="F150" s="802"/>
      <c r="G150" s="802"/>
      <c r="H150" s="803"/>
    </row>
    <row r="151" spans="1:8" ht="15">
      <c r="A151" s="458" t="s">
        <v>372</v>
      </c>
      <c r="B151" s="459" t="s">
        <v>373</v>
      </c>
      <c r="C151" s="447">
        <v>22667809</v>
      </c>
      <c r="D151" s="447">
        <v>22469289</v>
      </c>
      <c r="E151" s="487"/>
      <c r="F151" s="802"/>
      <c r="G151" s="802"/>
      <c r="H151" s="803"/>
    </row>
    <row r="152" spans="1:8" ht="15">
      <c r="A152" s="458" t="s">
        <v>374</v>
      </c>
      <c r="B152" s="459" t="s">
        <v>375</v>
      </c>
      <c r="C152" s="447">
        <v>8585553</v>
      </c>
      <c r="D152" s="447">
        <v>9529509</v>
      </c>
      <c r="E152" s="487"/>
      <c r="F152" s="802"/>
      <c r="G152" s="802"/>
      <c r="H152" s="803"/>
    </row>
    <row r="153" spans="1:8" ht="15">
      <c r="A153" s="458" t="s">
        <v>376</v>
      </c>
      <c r="B153" s="459" t="s">
        <v>150</v>
      </c>
      <c r="C153" s="447">
        <f>30277455+256542</f>
        <v>30533997</v>
      </c>
      <c r="D153" s="447">
        <v>27213059</v>
      </c>
      <c r="E153" s="487"/>
      <c r="F153" s="802"/>
      <c r="G153" s="802"/>
      <c r="H153" s="803"/>
    </row>
    <row r="154" spans="1:8" ht="15">
      <c r="A154" s="498"/>
      <c r="B154" s="786"/>
      <c r="C154" s="786"/>
      <c r="D154" s="787"/>
      <c r="E154" s="487"/>
      <c r="F154" s="802"/>
      <c r="G154" s="802"/>
      <c r="H154" s="803"/>
    </row>
    <row r="155" spans="1:8" ht="15">
      <c r="A155" s="499"/>
      <c r="B155" s="818"/>
      <c r="C155" s="818"/>
      <c r="D155" s="819"/>
      <c r="E155" s="487"/>
      <c r="F155" s="802"/>
      <c r="G155" s="802"/>
      <c r="H155" s="803"/>
    </row>
    <row r="156" spans="1:8" ht="15">
      <c r="A156" s="499"/>
      <c r="B156" s="818"/>
      <c r="C156" s="818"/>
      <c r="D156" s="819"/>
      <c r="E156" s="487"/>
      <c r="F156" s="802"/>
      <c r="G156" s="802"/>
      <c r="H156" s="803"/>
    </row>
    <row r="157" spans="1:8" ht="15">
      <c r="A157" s="500"/>
      <c r="B157" s="788"/>
      <c r="C157" s="788"/>
      <c r="D157" s="789"/>
      <c r="E157" s="487"/>
      <c r="F157" s="802"/>
      <c r="G157" s="802"/>
      <c r="H157" s="803"/>
    </row>
    <row r="158" spans="1:8" ht="15">
      <c r="A158" s="442" t="s">
        <v>1768</v>
      </c>
      <c r="B158" s="443" t="s">
        <v>1769</v>
      </c>
      <c r="C158" s="444">
        <f>SUM(C159:C162,C165:C168)</f>
        <v>715000</v>
      </c>
      <c r="D158" s="444">
        <f>SUM(D159:D162,D165:D168)</f>
        <v>1276074</v>
      </c>
      <c r="E158" s="487"/>
      <c r="F158" s="802"/>
      <c r="G158" s="802"/>
      <c r="H158" s="803"/>
    </row>
    <row r="159" spans="1:8" ht="15">
      <c r="A159" s="458" t="s">
        <v>377</v>
      </c>
      <c r="B159" s="459" t="s">
        <v>378</v>
      </c>
      <c r="C159" s="447"/>
      <c r="D159" s="447"/>
      <c r="E159" s="487"/>
      <c r="F159" s="802"/>
      <c r="G159" s="802"/>
      <c r="H159" s="803"/>
    </row>
    <row r="160" spans="1:8" ht="15">
      <c r="A160" s="458" t="s">
        <v>379</v>
      </c>
      <c r="B160" s="459" t="s">
        <v>380</v>
      </c>
      <c r="C160" s="447"/>
      <c r="D160" s="447"/>
      <c r="E160" s="487"/>
      <c r="F160" s="802"/>
      <c r="G160" s="802"/>
      <c r="H160" s="803"/>
    </row>
    <row r="161" spans="1:8" ht="15">
      <c r="A161" s="458" t="s">
        <v>381</v>
      </c>
      <c r="B161" s="459" t="s">
        <v>382</v>
      </c>
      <c r="C161" s="447">
        <v>310000</v>
      </c>
      <c r="D161" s="447">
        <v>1276074</v>
      </c>
      <c r="E161" s="487"/>
      <c r="F161" s="802"/>
      <c r="G161" s="802"/>
      <c r="H161" s="803"/>
    </row>
    <row r="162" spans="1:8" ht="15">
      <c r="A162" s="458" t="s">
        <v>383</v>
      </c>
      <c r="B162" s="459" t="s">
        <v>384</v>
      </c>
      <c r="C162" s="447"/>
      <c r="D162" s="447"/>
      <c r="E162" s="487"/>
      <c r="F162" s="802"/>
      <c r="G162" s="802"/>
      <c r="H162" s="803"/>
    </row>
    <row r="163" spans="1:8" ht="15">
      <c r="A163" s="458" t="s">
        <v>684</v>
      </c>
      <c r="B163" s="459" t="s">
        <v>688</v>
      </c>
      <c r="C163" s="447"/>
      <c r="D163" s="447"/>
      <c r="E163" s="487"/>
      <c r="F163" s="802"/>
      <c r="G163" s="802"/>
      <c r="H163" s="803"/>
    </row>
    <row r="164" spans="1:8" ht="15">
      <c r="A164" s="458" t="s">
        <v>685</v>
      </c>
      <c r="B164" s="459" t="s">
        <v>689</v>
      </c>
      <c r="C164" s="447"/>
      <c r="D164" s="447"/>
      <c r="E164" s="487"/>
      <c r="F164" s="802"/>
      <c r="G164" s="802"/>
      <c r="H164" s="803"/>
    </row>
    <row r="165" spans="1:8" ht="15">
      <c r="A165" s="458" t="s">
        <v>385</v>
      </c>
      <c r="B165" s="459" t="s">
        <v>173</v>
      </c>
      <c r="C165" s="447"/>
      <c r="D165" s="447"/>
      <c r="E165" s="487"/>
      <c r="F165" s="802"/>
      <c r="G165" s="802"/>
      <c r="H165" s="803"/>
    </row>
    <row r="166" spans="1:8" ht="15">
      <c r="A166" s="458" t="s">
        <v>686</v>
      </c>
      <c r="B166" s="459" t="s">
        <v>690</v>
      </c>
      <c r="C166" s="447"/>
      <c r="D166" s="447"/>
      <c r="E166" s="487"/>
      <c r="F166" s="802"/>
      <c r="G166" s="802"/>
      <c r="H166" s="803"/>
    </row>
    <row r="167" spans="1:8" ht="15">
      <c r="A167" s="458" t="s">
        <v>687</v>
      </c>
      <c r="B167" s="459" t="s">
        <v>691</v>
      </c>
      <c r="C167" s="447"/>
      <c r="D167" s="447"/>
      <c r="E167" s="487"/>
      <c r="F167" s="802"/>
      <c r="G167" s="802"/>
      <c r="H167" s="803"/>
    </row>
    <row r="168" spans="1:8" ht="15">
      <c r="A168" s="458" t="s">
        <v>386</v>
      </c>
      <c r="B168" s="459" t="s">
        <v>387</v>
      </c>
      <c r="C168" s="447">
        <v>405000</v>
      </c>
      <c r="D168" s="447"/>
      <c r="E168" s="487"/>
      <c r="F168" s="802"/>
      <c r="G168" s="802"/>
      <c r="H168" s="803"/>
    </row>
    <row r="169" spans="1:8" ht="15">
      <c r="A169" s="449"/>
      <c r="B169" s="780"/>
      <c r="C169" s="780"/>
      <c r="D169" s="781"/>
      <c r="E169" s="483"/>
      <c r="F169" s="772"/>
      <c r="G169" s="772"/>
      <c r="H169" s="773"/>
    </row>
    <row r="170" spans="1:8">
      <c r="A170" s="437" t="s">
        <v>388</v>
      </c>
      <c r="B170" s="440" t="s">
        <v>389</v>
      </c>
      <c r="C170" s="497"/>
      <c r="D170" s="497"/>
      <c r="E170" s="437" t="s">
        <v>347</v>
      </c>
      <c r="F170" s="440" t="s">
        <v>348</v>
      </c>
      <c r="G170" s="497"/>
      <c r="H170" s="497"/>
    </row>
    <row r="171" spans="1:8">
      <c r="A171" s="437" t="s">
        <v>390</v>
      </c>
      <c r="B171" s="440" t="s">
        <v>391</v>
      </c>
      <c r="C171" s="441">
        <f>SUM(C172:C177)</f>
        <v>35007261</v>
      </c>
      <c r="D171" s="441">
        <f>SUM(D172:D177)</f>
        <v>0</v>
      </c>
      <c r="E171" s="437" t="s">
        <v>352</v>
      </c>
      <c r="F171" s="440" t="s">
        <v>353</v>
      </c>
      <c r="G171" s="441">
        <f>SUM(G173,G175)</f>
        <v>0</v>
      </c>
      <c r="H171" s="441">
        <f>SUM(H173,H175)</f>
        <v>0</v>
      </c>
    </row>
    <row r="172" spans="1:8" ht="15">
      <c r="A172" s="458" t="s">
        <v>392</v>
      </c>
      <c r="B172" s="459" t="s">
        <v>393</v>
      </c>
      <c r="C172" s="447">
        <v>35007261</v>
      </c>
      <c r="D172" s="447"/>
      <c r="E172" s="501"/>
      <c r="F172" s="806"/>
      <c r="G172" s="806"/>
      <c r="H172" s="807"/>
    </row>
    <row r="173" spans="1:8" ht="15">
      <c r="A173" s="458" t="s">
        <v>394</v>
      </c>
      <c r="B173" s="459" t="s">
        <v>395</v>
      </c>
      <c r="C173" s="447"/>
      <c r="D173" s="447"/>
      <c r="E173" s="458" t="s">
        <v>354</v>
      </c>
      <c r="F173" s="459" t="s">
        <v>184</v>
      </c>
      <c r="G173" s="447"/>
      <c r="H173" s="447"/>
    </row>
    <row r="174" spans="1:8" ht="15">
      <c r="A174" s="458" t="s">
        <v>692</v>
      </c>
      <c r="B174" s="459" t="s">
        <v>695</v>
      </c>
      <c r="C174" s="447"/>
      <c r="D174" s="447"/>
      <c r="E174" s="449"/>
      <c r="F174" s="780"/>
      <c r="G174" s="780"/>
      <c r="H174" s="781"/>
    </row>
    <row r="175" spans="1:8" ht="15">
      <c r="A175" s="458" t="s">
        <v>396</v>
      </c>
      <c r="B175" s="459" t="s">
        <v>397</v>
      </c>
      <c r="C175" s="447"/>
      <c r="D175" s="447"/>
      <c r="E175" s="458" t="s">
        <v>357</v>
      </c>
      <c r="F175" s="459" t="s">
        <v>358</v>
      </c>
      <c r="G175" s="447"/>
      <c r="H175" s="447"/>
    </row>
    <row r="176" spans="1:8" ht="15">
      <c r="A176" s="458" t="s">
        <v>693</v>
      </c>
      <c r="B176" s="459" t="s">
        <v>696</v>
      </c>
      <c r="C176" s="447"/>
      <c r="D176" s="447"/>
      <c r="E176" s="460"/>
      <c r="F176" s="774"/>
      <c r="G176" s="774"/>
      <c r="H176" s="775"/>
    </row>
    <row r="177" spans="1:8" ht="15">
      <c r="A177" s="458" t="s">
        <v>694</v>
      </c>
      <c r="B177" s="459" t="s">
        <v>793</v>
      </c>
      <c r="C177" s="447"/>
      <c r="D177" s="447"/>
      <c r="E177" s="502"/>
      <c r="F177" s="808"/>
      <c r="G177" s="808"/>
      <c r="H177" s="809"/>
    </row>
    <row r="178" spans="1:8" ht="15">
      <c r="A178" s="449"/>
      <c r="B178" s="780"/>
      <c r="C178" s="780"/>
      <c r="D178" s="781"/>
      <c r="E178" s="461"/>
      <c r="F178" s="776"/>
      <c r="G178" s="776"/>
      <c r="H178" s="777"/>
    </row>
    <row r="179" spans="1:8">
      <c r="A179" s="437" t="s">
        <v>398</v>
      </c>
      <c r="B179" s="440" t="s">
        <v>399</v>
      </c>
      <c r="C179" s="441">
        <f>SUM(C180,C184:C188)</f>
        <v>226693357</v>
      </c>
      <c r="D179" s="441">
        <f>SUM(D180,D184:D188)</f>
        <v>697452317</v>
      </c>
      <c r="E179" s="437" t="s">
        <v>361</v>
      </c>
      <c r="F179" s="440" t="s">
        <v>362</v>
      </c>
      <c r="G179" s="441">
        <f>SUM(G180,G184:G187)</f>
        <v>1131347</v>
      </c>
      <c r="H179" s="441">
        <f>SUM(H180,H184:H187)</f>
        <v>617982567</v>
      </c>
    </row>
    <row r="180" spans="1:8" ht="15">
      <c r="A180" s="503" t="s">
        <v>1770</v>
      </c>
      <c r="B180" s="443" t="s">
        <v>1771</v>
      </c>
      <c r="C180" s="504">
        <f>SUM(C181:C183)</f>
        <v>223144936</v>
      </c>
      <c r="D180" s="504">
        <f>SUM(D181:D183)</f>
        <v>583243663</v>
      </c>
      <c r="E180" s="442" t="s">
        <v>1772</v>
      </c>
      <c r="F180" s="443" t="s">
        <v>1773</v>
      </c>
      <c r="G180" s="505">
        <f>SUM(G181:G183)</f>
        <v>0</v>
      </c>
      <c r="H180" s="505">
        <f>SUM(H181:H183)</f>
        <v>617982567</v>
      </c>
    </row>
    <row r="181" spans="1:8" ht="15">
      <c r="A181" s="458" t="s">
        <v>400</v>
      </c>
      <c r="B181" s="459" t="s">
        <v>176</v>
      </c>
      <c r="C181" s="447"/>
      <c r="D181" s="447">
        <v>125303303</v>
      </c>
      <c r="E181" s="458" t="s">
        <v>787</v>
      </c>
      <c r="F181" s="506" t="s">
        <v>790</v>
      </c>
      <c r="G181" s="447"/>
      <c r="H181" s="447"/>
    </row>
    <row r="182" spans="1:8" ht="30">
      <c r="A182" s="458" t="s">
        <v>401</v>
      </c>
      <c r="B182" s="459" t="s">
        <v>402</v>
      </c>
      <c r="C182" s="447"/>
      <c r="D182" s="447">
        <v>179316527</v>
      </c>
      <c r="E182" s="458" t="s">
        <v>788</v>
      </c>
      <c r="F182" s="459" t="s">
        <v>791</v>
      </c>
      <c r="G182" s="447"/>
      <c r="H182" s="447">
        <v>617982567</v>
      </c>
    </row>
    <row r="183" spans="1:8" ht="30">
      <c r="A183" s="458" t="s">
        <v>403</v>
      </c>
      <c r="B183" s="459" t="s">
        <v>177</v>
      </c>
      <c r="C183" s="447">
        <v>223144936</v>
      </c>
      <c r="D183" s="447">
        <v>278623833</v>
      </c>
      <c r="E183" s="458" t="s">
        <v>789</v>
      </c>
      <c r="F183" s="459" t="s">
        <v>792</v>
      </c>
      <c r="G183" s="447"/>
      <c r="H183" s="447"/>
    </row>
    <row r="184" spans="1:8" ht="15">
      <c r="A184" s="442" t="s">
        <v>404</v>
      </c>
      <c r="B184" s="443" t="s">
        <v>405</v>
      </c>
      <c r="C184" s="453"/>
      <c r="D184" s="453">
        <v>0</v>
      </c>
      <c r="E184" s="458" t="s">
        <v>364</v>
      </c>
      <c r="F184" s="459" t="s">
        <v>185</v>
      </c>
      <c r="G184" s="447"/>
      <c r="H184" s="447"/>
    </row>
    <row r="185" spans="1:8" ht="15">
      <c r="A185" s="442" t="s">
        <v>406</v>
      </c>
      <c r="B185" s="443" t="s">
        <v>178</v>
      </c>
      <c r="C185" s="453">
        <v>3548421</v>
      </c>
      <c r="D185" s="453">
        <v>7165966</v>
      </c>
      <c r="E185" s="458" t="s">
        <v>367</v>
      </c>
      <c r="F185" s="459" t="s">
        <v>186</v>
      </c>
      <c r="G185" s="447">
        <v>1131347</v>
      </c>
      <c r="H185" s="447"/>
    </row>
    <row r="186" spans="1:8" ht="15">
      <c r="A186" s="442" t="s">
        <v>407</v>
      </c>
      <c r="B186" s="443" t="s">
        <v>408</v>
      </c>
      <c r="C186" s="453"/>
      <c r="D186" s="453">
        <v>0</v>
      </c>
      <c r="E186" s="458" t="s">
        <v>368</v>
      </c>
      <c r="F186" s="459" t="s">
        <v>187</v>
      </c>
      <c r="G186" s="447"/>
      <c r="H186" s="447"/>
    </row>
    <row r="187" spans="1:8" ht="15">
      <c r="A187" s="442" t="s">
        <v>409</v>
      </c>
      <c r="B187" s="443" t="s">
        <v>410</v>
      </c>
      <c r="C187" s="453"/>
      <c r="D187" s="453">
        <v>107042688</v>
      </c>
      <c r="E187" s="458" t="s">
        <v>370</v>
      </c>
      <c r="F187" s="459" t="s">
        <v>371</v>
      </c>
      <c r="G187" s="447"/>
      <c r="H187" s="447"/>
    </row>
    <row r="188" spans="1:8" ht="15">
      <c r="A188" s="442" t="s">
        <v>697</v>
      </c>
      <c r="B188" s="443" t="s">
        <v>698</v>
      </c>
      <c r="C188" s="453"/>
      <c r="D188" s="453"/>
      <c r="E188" s="460"/>
      <c r="F188" s="774"/>
      <c r="G188" s="774"/>
      <c r="H188" s="775"/>
    </row>
    <row r="189" spans="1:8" ht="15">
      <c r="A189" s="449"/>
      <c r="B189" s="780"/>
      <c r="C189" s="780"/>
      <c r="D189" s="781"/>
      <c r="E189" s="461"/>
      <c r="F189" s="776"/>
      <c r="G189" s="776"/>
      <c r="H189" s="777"/>
    </row>
    <row r="190" spans="1:8">
      <c r="A190" s="507" t="s">
        <v>411</v>
      </c>
      <c r="B190" s="441" t="s">
        <v>412</v>
      </c>
      <c r="C190" s="497">
        <v>41088</v>
      </c>
      <c r="D190" s="497">
        <v>1686475</v>
      </c>
      <c r="E190" s="437" t="s">
        <v>413</v>
      </c>
      <c r="F190" s="440" t="s">
        <v>1082</v>
      </c>
      <c r="G190" s="497">
        <v>65255978</v>
      </c>
      <c r="H190" s="497">
        <v>33874205</v>
      </c>
    </row>
    <row r="191" spans="1:8">
      <c r="A191" s="508"/>
      <c r="B191" s="810"/>
      <c r="C191" s="810"/>
      <c r="D191" s="811"/>
      <c r="E191" s="448"/>
      <c r="F191" s="509"/>
      <c r="G191" s="509"/>
      <c r="H191" s="510"/>
    </row>
    <row r="192" spans="1:8">
      <c r="A192" s="437" t="s">
        <v>414</v>
      </c>
      <c r="B192" s="440" t="s">
        <v>415</v>
      </c>
      <c r="C192" s="497"/>
      <c r="D192" s="497"/>
      <c r="E192" s="437" t="s">
        <v>416</v>
      </c>
      <c r="F192" s="440" t="s">
        <v>417</v>
      </c>
      <c r="G192" s="497"/>
      <c r="H192" s="497"/>
    </row>
    <row r="193" spans="1:8">
      <c r="A193" s="448"/>
      <c r="B193" s="782"/>
      <c r="C193" s="782"/>
      <c r="D193" s="783"/>
      <c r="E193" s="511"/>
      <c r="F193" s="812"/>
      <c r="G193" s="812"/>
      <c r="H193" s="813"/>
    </row>
    <row r="194" spans="1:8">
      <c r="A194" s="437" t="s">
        <v>418</v>
      </c>
      <c r="B194" s="440" t="s">
        <v>179</v>
      </c>
      <c r="C194" s="497"/>
      <c r="D194" s="497"/>
      <c r="E194" s="512"/>
      <c r="F194" s="814"/>
      <c r="G194" s="814"/>
      <c r="H194" s="815"/>
    </row>
    <row r="195" spans="1:8">
      <c r="A195" s="448"/>
      <c r="B195" s="782"/>
      <c r="C195" s="782"/>
      <c r="D195" s="783"/>
      <c r="E195" s="513"/>
      <c r="F195" s="816"/>
      <c r="G195" s="816"/>
      <c r="H195" s="817"/>
    </row>
    <row r="196" spans="1:8">
      <c r="A196" s="437" t="s">
        <v>87</v>
      </c>
      <c r="B196" s="440" t="s">
        <v>1774</v>
      </c>
      <c r="C196" s="497">
        <v>36542538</v>
      </c>
      <c r="D196" s="497">
        <v>333057023</v>
      </c>
      <c r="E196" s="437" t="s">
        <v>87</v>
      </c>
      <c r="F196" s="440" t="s">
        <v>1775</v>
      </c>
      <c r="G196" s="497"/>
      <c r="H196" s="497"/>
    </row>
    <row r="197" spans="1:8">
      <c r="A197" s="448"/>
      <c r="B197" s="804"/>
      <c r="C197" s="804"/>
      <c r="D197" s="805"/>
      <c r="E197" s="448"/>
      <c r="F197" s="782"/>
      <c r="G197" s="782"/>
      <c r="H197" s="783"/>
    </row>
    <row r="198" spans="1:8">
      <c r="A198" s="514" t="s">
        <v>1776</v>
      </c>
      <c r="B198" s="515" t="s">
        <v>1777</v>
      </c>
      <c r="C198" s="516">
        <f>SUM(C196,C194,C192,C190,C179,C171,C170,C130,C122,C117,C109,C92,C88,C77,C73,C71,C55,C50,C44,C30,C7)</f>
        <v>846293956</v>
      </c>
      <c r="D198" s="516">
        <f>SUM(D196,D194,D192,D190,D179,D171,D170,D130,D122,D117,D109,D92,D88,D77,D73,D71,D55,D50,D44,D30,D7)</f>
        <v>1320664221</v>
      </c>
      <c r="E198" s="514" t="s">
        <v>1778</v>
      </c>
      <c r="F198" s="515" t="s">
        <v>1779</v>
      </c>
      <c r="G198" s="516">
        <f>SUM(G196,G192,G190,G179,G171,G170,G139,G135,G118,G109,G92,G87,G77,G73,G55,G49,G44,G30,G7)</f>
        <v>846293956</v>
      </c>
      <c r="H198" s="516">
        <f>SUM(H196,H192,H190,H179,H171,H170,H139,H135,H118,H109,H92,H87,H77,H73,H55,H49,H44,H30,H7)</f>
        <v>1320664221</v>
      </c>
    </row>
    <row r="199" spans="1:8">
      <c r="A199" s="3"/>
      <c r="B199" s="3"/>
      <c r="E199" s="3"/>
      <c r="F199" s="3"/>
    </row>
    <row r="200" spans="1:8">
      <c r="A200" s="3"/>
      <c r="B200" s="3"/>
      <c r="C200" s="5"/>
      <c r="E200" s="3"/>
      <c r="F200" s="3"/>
    </row>
    <row r="201" spans="1:8">
      <c r="A201" s="3"/>
      <c r="B201" s="3"/>
      <c r="D201" s="5"/>
      <c r="E201" s="3"/>
      <c r="F201" s="3"/>
    </row>
    <row r="202" spans="1:8">
      <c r="A202" s="3"/>
      <c r="B202" s="3"/>
      <c r="C202" s="6"/>
      <c r="E202" s="3"/>
      <c r="F202" s="3"/>
    </row>
    <row r="203" spans="1:8">
      <c r="A203" s="3"/>
      <c r="B203" s="3"/>
      <c r="E203" s="3"/>
      <c r="F203" s="3"/>
    </row>
  </sheetData>
  <sheetProtection password="D15A" sheet="1" objects="1" scenarios="1" selectLockedCells="1"/>
  <customSheetViews>
    <customSheetView guid="{2ECB5001-E624-4860-8EDC-E7BEEAA78E29}" topLeftCell="A4">
      <selection sqref="A1:H1"/>
      <pageSetup paperSize="9" orientation="portrait"/>
    </customSheetView>
  </customSheetViews>
  <mergeCells count="61">
    <mergeCell ref="A1:H1"/>
    <mergeCell ref="B191:D191"/>
    <mergeCell ref="B193:D193"/>
    <mergeCell ref="F193:H195"/>
    <mergeCell ref="B195:D195"/>
    <mergeCell ref="F134:H134"/>
    <mergeCell ref="F138:H138"/>
    <mergeCell ref="F140:H169"/>
    <mergeCell ref="B141:D141"/>
    <mergeCell ref="B147:D147"/>
    <mergeCell ref="B149:D149"/>
    <mergeCell ref="B154:D157"/>
    <mergeCell ref="B169:D169"/>
    <mergeCell ref="F117:H117"/>
    <mergeCell ref="F121:H121"/>
    <mergeCell ref="F123:H123"/>
    <mergeCell ref="B197:D197"/>
    <mergeCell ref="F197:H197"/>
    <mergeCell ref="F172:H172"/>
    <mergeCell ref="F174:H174"/>
    <mergeCell ref="F176:H178"/>
    <mergeCell ref="B178:D178"/>
    <mergeCell ref="F188:H189"/>
    <mergeCell ref="B189:D189"/>
    <mergeCell ref="B103:D103"/>
    <mergeCell ref="F103:H103"/>
    <mergeCell ref="E131:E132"/>
    <mergeCell ref="F131:H132"/>
    <mergeCell ref="B106:D106"/>
    <mergeCell ref="F106:H106"/>
    <mergeCell ref="B108:D108"/>
    <mergeCell ref="F108:H108"/>
    <mergeCell ref="F112:H115"/>
    <mergeCell ref="B113:D115"/>
    <mergeCell ref="B105:D105"/>
    <mergeCell ref="F105:H105"/>
    <mergeCell ref="A2:H2"/>
    <mergeCell ref="A3:H5"/>
    <mergeCell ref="B24:D24"/>
    <mergeCell ref="F24:H24"/>
    <mergeCell ref="B28:D29"/>
    <mergeCell ref="F28:H29"/>
    <mergeCell ref="F35:H36"/>
    <mergeCell ref="B40:D41"/>
    <mergeCell ref="F40:H41"/>
    <mergeCell ref="B48:D49"/>
    <mergeCell ref="F72:H72"/>
    <mergeCell ref="B53:D54"/>
    <mergeCell ref="F53:H54"/>
    <mergeCell ref="F65:H65"/>
    <mergeCell ref="B72:D72"/>
    <mergeCell ref="B96:D97"/>
    <mergeCell ref="F96:H97"/>
    <mergeCell ref="B100:D101"/>
    <mergeCell ref="F100:H101"/>
    <mergeCell ref="B76:D76"/>
    <mergeCell ref="F76:H76"/>
    <mergeCell ref="B82:D82"/>
    <mergeCell ref="F85:H85"/>
    <mergeCell ref="F90:H91"/>
    <mergeCell ref="B91:D91"/>
  </mergeCells>
  <conditionalFormatting sqref="E86:H89">
    <cfRule type="cellIs" dxfId="47" priority="10" operator="equal">
      <formula>"Correct"</formula>
    </cfRule>
    <cfRule type="containsText" dxfId="46" priority="11" operator="containsText" text="Erreur">
      <formula>NOT(ISERROR(SEARCH("Erreur",E86)))</formula>
    </cfRule>
  </conditionalFormatting>
  <conditionalFormatting sqref="A1:J1">
    <cfRule type="containsText" dxfId="45" priority="8" operator="containsText" text="Compte Résultat non équilibré">
      <formula>NOT(ISERROR(SEARCH("Compte Résultat non équilibré",A1)))</formula>
    </cfRule>
    <cfRule type="containsText" dxfId="44" priority="9" operator="containsText" text="Compte Résultat equilibré">
      <formula>NOT(ISERROR(SEARCH("Compte Résultat equilibré",A1)))</formula>
    </cfRule>
  </conditionalFormatting>
  <conditionalFormatting sqref="B1:H1">
    <cfRule type="containsText" dxfId="43" priority="7" operator="containsText" text="Résultat du bilan différent de l'excedent ou déficit du compte de résultat">
      <formula>NOT(ISERROR(SEARCH("Résultat du bilan différent de l'excedent ou déficit du compte de résultat",B1)))</formula>
    </cfRule>
  </conditionalFormatting>
  <conditionalFormatting sqref="A1">
    <cfRule type="containsText" dxfId="42" priority="4" operator="containsText" text="Résultat du bilan différent de l'excédent ou déficit du compte de résultat">
      <formula>NOT(ISERROR(SEARCH("Résultat du bilan différent de l'excédent ou déficit du compte de résultat",A1)))</formula>
    </cfRule>
  </conditionalFormatting>
  <conditionalFormatting sqref="A1">
    <cfRule type="containsText" dxfId="41" priority="2" operator="containsText" text="Compte Résultat non équilibré">
      <formula>NOT(ISERROR(SEARCH("Compte Résultat non équilibré",A1)))</formula>
    </cfRule>
    <cfRule type="containsText" dxfId="40" priority="3" operator="containsText" text="Compte Résultat équilibré">
      <formula>NOT(ISERROR(SEARCH("Compte Résultat équilibré",A1)))</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enableFormatConditionsCalculation="0">
    <tabColor theme="6" tint="-0.499984740745262"/>
  </sheetPr>
  <dimension ref="A2:M278"/>
  <sheetViews>
    <sheetView showGridLines="0" workbookViewId="0">
      <pane ySplit="2" topLeftCell="A3" activePane="bottomLeft" state="frozen"/>
      <selection activeCell="E218" sqref="E218:F218"/>
      <selection pane="bottomLeft" activeCell="D103" sqref="D103"/>
    </sheetView>
  </sheetViews>
  <sheetFormatPr baseColWidth="10" defaultColWidth="10.83203125" defaultRowHeight="14" x14ac:dyDescent="0"/>
  <cols>
    <col min="1" max="1" width="10.83203125" style="549"/>
    <col min="2" max="2" width="12.1640625" style="549" customWidth="1"/>
    <col min="3" max="3" width="53.1640625" style="549" customWidth="1"/>
    <col min="4" max="4" width="27" style="549" customWidth="1"/>
    <col min="5" max="5" width="14" style="549" customWidth="1"/>
    <col min="6" max="7" width="13.5" style="549" customWidth="1"/>
    <col min="8" max="8" width="14" style="549" customWidth="1"/>
    <col min="9" max="9" width="22.83203125" style="549" customWidth="1"/>
    <col min="10" max="10" width="16" style="549" customWidth="1"/>
    <col min="11" max="11" width="15.33203125" style="549" customWidth="1"/>
    <col min="12" max="12" width="10.83203125" style="549"/>
    <col min="13" max="13" width="31" style="549" customWidth="1"/>
    <col min="14" max="16384" width="10.83203125" style="549"/>
  </cols>
  <sheetData>
    <row r="2" spans="2:10" ht="18">
      <c r="B2" s="919" t="s">
        <v>911</v>
      </c>
      <c r="C2" s="919"/>
      <c r="D2" s="919"/>
      <c r="E2" s="919"/>
      <c r="F2" s="919"/>
      <c r="G2" s="919"/>
      <c r="H2" s="919"/>
      <c r="I2" s="919"/>
      <c r="J2" s="919"/>
    </row>
    <row r="3" spans="2:10">
      <c r="B3" s="27"/>
      <c r="C3" s="24"/>
      <c r="D3" s="128"/>
      <c r="E3" s="128"/>
    </row>
    <row r="4" spans="2:10">
      <c r="B4" s="27"/>
      <c r="C4" s="24"/>
      <c r="D4" s="128"/>
      <c r="E4" s="128"/>
    </row>
    <row r="5" spans="2:10" ht="15">
      <c r="B5" s="131" t="s">
        <v>1099</v>
      </c>
      <c r="C5" s="827" t="s">
        <v>880</v>
      </c>
      <c r="D5" s="827"/>
      <c r="E5" s="827"/>
      <c r="F5" s="28"/>
      <c r="G5" s="28"/>
      <c r="H5" s="28"/>
      <c r="I5" s="28"/>
      <c r="J5" s="28"/>
    </row>
    <row r="6" spans="2:10">
      <c r="B6" s="129" t="s">
        <v>461</v>
      </c>
      <c r="C6" s="130" t="s">
        <v>874</v>
      </c>
      <c r="D6" s="168" t="s">
        <v>878</v>
      </c>
      <c r="E6" s="169" t="s">
        <v>877</v>
      </c>
      <c r="F6" s="29"/>
      <c r="G6" s="29"/>
      <c r="H6" s="29"/>
      <c r="I6" s="29"/>
      <c r="J6" s="29"/>
    </row>
    <row r="7" spans="2:10">
      <c r="B7" s="30"/>
      <c r="C7" s="172" t="s">
        <v>435</v>
      </c>
      <c r="D7" s="320">
        <f>D8+D13+D17</f>
        <v>292837847</v>
      </c>
      <c r="E7" s="321">
        <f>E8+E13+E17</f>
        <v>3527657738</v>
      </c>
      <c r="F7" s="31"/>
      <c r="G7" s="31"/>
      <c r="H7" s="31"/>
      <c r="I7" s="32"/>
      <c r="J7" s="32"/>
    </row>
    <row r="8" spans="2:10" ht="15" customHeight="1">
      <c r="B8" s="33" t="s">
        <v>436</v>
      </c>
      <c r="C8" s="173" t="s">
        <v>437</v>
      </c>
      <c r="D8" s="322">
        <f>SUM(D9:D12)</f>
        <v>292837847</v>
      </c>
      <c r="E8" s="323">
        <f>SUM(E9:E12)</f>
        <v>3527657738</v>
      </c>
      <c r="F8" s="34"/>
      <c r="G8" s="34"/>
      <c r="H8" s="34"/>
      <c r="I8" s="35"/>
      <c r="J8" s="35"/>
    </row>
    <row r="9" spans="2:10">
      <c r="B9" s="36" t="s">
        <v>6</v>
      </c>
      <c r="C9" s="174" t="s">
        <v>131</v>
      </c>
      <c r="D9" s="154"/>
      <c r="E9" s="154">
        <v>1159316767</v>
      </c>
      <c r="F9" s="34"/>
      <c r="G9" s="37"/>
      <c r="H9" s="37"/>
      <c r="I9" s="35"/>
      <c r="J9" s="35"/>
    </row>
    <row r="10" spans="2:10">
      <c r="B10" s="36" t="s">
        <v>10</v>
      </c>
      <c r="C10" s="174" t="s">
        <v>105</v>
      </c>
      <c r="D10" s="154"/>
      <c r="E10" s="154">
        <v>2252399149</v>
      </c>
      <c r="F10" s="34"/>
      <c r="G10" s="37"/>
      <c r="H10" s="37"/>
      <c r="I10" s="35"/>
      <c r="J10" s="35"/>
    </row>
    <row r="11" spans="2:10" ht="15" customHeight="1">
      <c r="B11" s="38" t="s">
        <v>12</v>
      </c>
      <c r="C11" s="174" t="s">
        <v>474</v>
      </c>
      <c r="D11" s="154"/>
      <c r="E11" s="154">
        <v>20619813</v>
      </c>
      <c r="F11" s="34"/>
      <c r="G11" s="37"/>
      <c r="H11" s="37"/>
      <c r="I11" s="35"/>
      <c r="J11" s="35"/>
    </row>
    <row r="12" spans="2:10" ht="15" customHeight="1">
      <c r="B12" s="36" t="s">
        <v>49</v>
      </c>
      <c r="C12" s="174" t="s">
        <v>438</v>
      </c>
      <c r="D12" s="154">
        <v>292837847</v>
      </c>
      <c r="E12" s="154">
        <v>95322009</v>
      </c>
      <c r="F12" s="34"/>
      <c r="G12" s="37"/>
      <c r="H12" s="37"/>
      <c r="I12" s="35"/>
      <c r="J12" s="35"/>
    </row>
    <row r="13" spans="2:10" ht="15" customHeight="1">
      <c r="B13" s="39" t="s">
        <v>485</v>
      </c>
      <c r="C13" s="175" t="s">
        <v>484</v>
      </c>
      <c r="D13" s="324">
        <f>SUM(D14:D16)</f>
        <v>0</v>
      </c>
      <c r="E13" s="324">
        <f>SUM(E14:E16)</f>
        <v>0</v>
      </c>
      <c r="F13" s="34"/>
      <c r="G13" s="34"/>
      <c r="H13" s="34"/>
      <c r="I13" s="35"/>
      <c r="J13" s="35"/>
    </row>
    <row r="14" spans="2:10">
      <c r="B14" s="36" t="s">
        <v>483</v>
      </c>
      <c r="C14" s="174" t="s">
        <v>482</v>
      </c>
      <c r="D14" s="154"/>
      <c r="E14" s="154"/>
      <c r="F14" s="34"/>
      <c r="G14" s="34"/>
      <c r="H14" s="34"/>
      <c r="I14" s="35"/>
      <c r="J14" s="35"/>
    </row>
    <row r="15" spans="2:10">
      <c r="B15" s="36" t="s">
        <v>481</v>
      </c>
      <c r="C15" s="174" t="s">
        <v>475</v>
      </c>
      <c r="D15" s="154"/>
      <c r="E15" s="154"/>
      <c r="F15" s="34"/>
      <c r="G15" s="37"/>
      <c r="H15" s="37"/>
      <c r="I15" s="35"/>
      <c r="J15" s="35"/>
    </row>
    <row r="16" spans="2:10">
      <c r="B16" s="36" t="s">
        <v>480</v>
      </c>
      <c r="C16" s="174" t="s">
        <v>479</v>
      </c>
      <c r="D16" s="154"/>
      <c r="E16" s="154"/>
      <c r="F16" s="34"/>
      <c r="G16" s="37"/>
      <c r="H16" s="37"/>
      <c r="I16" s="35"/>
      <c r="J16" s="35"/>
    </row>
    <row r="17" spans="2:10" ht="24" customHeight="1">
      <c r="B17" s="39" t="s">
        <v>478</v>
      </c>
      <c r="C17" s="175" t="s">
        <v>477</v>
      </c>
      <c r="D17" s="104"/>
      <c r="E17" s="104"/>
      <c r="F17" s="34"/>
      <c r="G17" s="37"/>
      <c r="H17" s="37"/>
      <c r="I17" s="35"/>
      <c r="J17" s="35"/>
    </row>
    <row r="18" spans="2:10">
      <c r="B18" s="36"/>
      <c r="C18" s="40" t="s">
        <v>216</v>
      </c>
      <c r="D18" s="325">
        <f>D19</f>
        <v>0</v>
      </c>
      <c r="E18" s="325">
        <f>E19</f>
        <v>615124355</v>
      </c>
      <c r="F18" s="34"/>
      <c r="G18" s="37"/>
      <c r="H18" s="37"/>
      <c r="I18" s="35"/>
      <c r="J18" s="35"/>
    </row>
    <row r="19" spans="2:10">
      <c r="B19" s="39" t="s">
        <v>439</v>
      </c>
      <c r="C19" s="176" t="s">
        <v>476</v>
      </c>
      <c r="D19" s="326">
        <f>SUM(D20:D24)</f>
        <v>0</v>
      </c>
      <c r="E19" s="327">
        <f>SUM(E20:E24)</f>
        <v>615124355</v>
      </c>
      <c r="F19" s="34"/>
      <c r="G19" s="34"/>
      <c r="H19" s="34"/>
      <c r="I19" s="35"/>
      <c r="J19" s="35"/>
    </row>
    <row r="20" spans="2:10">
      <c r="B20" s="38" t="s">
        <v>30</v>
      </c>
      <c r="C20" s="174" t="s">
        <v>221</v>
      </c>
      <c r="D20" s="154"/>
      <c r="E20" s="154">
        <v>574911991</v>
      </c>
      <c r="F20" s="34"/>
      <c r="G20" s="37"/>
      <c r="H20" s="37"/>
      <c r="I20" s="35"/>
      <c r="J20" s="35"/>
    </row>
    <row r="21" spans="2:10">
      <c r="B21" s="36" t="s">
        <v>31</v>
      </c>
      <c r="C21" s="174" t="s">
        <v>143</v>
      </c>
      <c r="D21" s="154"/>
      <c r="E21" s="154">
        <v>4790840</v>
      </c>
      <c r="F21" s="34"/>
      <c r="G21" s="37"/>
      <c r="H21" s="37"/>
      <c r="I21" s="41"/>
      <c r="J21" s="41"/>
    </row>
    <row r="22" spans="2:10">
      <c r="B22" s="36" t="s">
        <v>28</v>
      </c>
      <c r="C22" s="174" t="s">
        <v>440</v>
      </c>
      <c r="D22" s="154"/>
      <c r="E22" s="154">
        <v>35421524</v>
      </c>
    </row>
    <row r="23" spans="2:10">
      <c r="B23" s="36" t="s">
        <v>33</v>
      </c>
      <c r="C23" s="174" t="s">
        <v>149</v>
      </c>
      <c r="D23" s="154"/>
      <c r="E23" s="154"/>
    </row>
    <row r="24" spans="2:10">
      <c r="B24" s="42" t="s">
        <v>35</v>
      </c>
      <c r="C24" s="177" t="s">
        <v>238</v>
      </c>
      <c r="D24" s="155"/>
      <c r="E24" s="155"/>
    </row>
    <row r="27" spans="2:10" ht="15">
      <c r="B27" s="131"/>
      <c r="C27" s="827" t="s">
        <v>879</v>
      </c>
      <c r="D27" s="827"/>
      <c r="E27" s="827"/>
      <c r="F27" s="827"/>
      <c r="G27" s="827"/>
    </row>
    <row r="28" spans="2:10">
      <c r="B28" s="855" t="s">
        <v>874</v>
      </c>
      <c r="C28" s="856"/>
      <c r="D28" s="168" t="s">
        <v>487</v>
      </c>
      <c r="E28" s="169" t="s">
        <v>882</v>
      </c>
      <c r="F28" s="168" t="s">
        <v>878</v>
      </c>
      <c r="G28" s="169" t="s">
        <v>883</v>
      </c>
    </row>
    <row r="29" spans="2:10">
      <c r="B29" s="838" t="s">
        <v>488</v>
      </c>
      <c r="C29" s="839"/>
      <c r="D29" s="328"/>
      <c r="E29" s="329">
        <f>SUM(E30:E32)</f>
        <v>0</v>
      </c>
      <c r="F29" s="328">
        <f>SUM(F30:F32)</f>
        <v>0</v>
      </c>
      <c r="G29" s="321"/>
    </row>
    <row r="30" spans="2:10">
      <c r="B30" s="920" t="s">
        <v>489</v>
      </c>
      <c r="C30" s="921"/>
      <c r="D30" s="191"/>
      <c r="E30" s="192"/>
      <c r="F30" s="191"/>
      <c r="G30" s="330">
        <f t="shared" ref="G30:G36" si="0">E30-F30</f>
        <v>0</v>
      </c>
    </row>
    <row r="31" spans="2:10">
      <c r="B31" s="842" t="s">
        <v>490</v>
      </c>
      <c r="C31" s="843"/>
      <c r="D31" s="102"/>
      <c r="E31" s="102"/>
      <c r="F31" s="102"/>
      <c r="G31" s="331">
        <f t="shared" si="0"/>
        <v>0</v>
      </c>
    </row>
    <row r="32" spans="2:10">
      <c r="B32" s="842" t="s">
        <v>796</v>
      </c>
      <c r="C32" s="843"/>
      <c r="D32" s="102"/>
      <c r="E32" s="102"/>
      <c r="F32" s="102"/>
      <c r="G32" s="332">
        <f t="shared" si="0"/>
        <v>0</v>
      </c>
    </row>
    <row r="33" spans="1:8">
      <c r="B33" s="885" t="s">
        <v>491</v>
      </c>
      <c r="C33" s="845"/>
      <c r="D33" s="103"/>
      <c r="E33" s="103"/>
      <c r="F33" s="103"/>
      <c r="G33" s="332">
        <f t="shared" si="0"/>
        <v>0</v>
      </c>
    </row>
    <row r="34" spans="1:8">
      <c r="B34" s="844" t="s">
        <v>492</v>
      </c>
      <c r="C34" s="845"/>
      <c r="D34" s="103"/>
      <c r="E34" s="103"/>
      <c r="F34" s="103"/>
      <c r="G34" s="332">
        <f t="shared" si="0"/>
        <v>0</v>
      </c>
    </row>
    <row r="35" spans="1:8" ht="24" customHeight="1">
      <c r="B35" s="844" t="s">
        <v>493</v>
      </c>
      <c r="C35" s="845"/>
      <c r="D35" s="104"/>
      <c r="E35" s="104"/>
      <c r="F35" s="104"/>
      <c r="G35" s="332">
        <f t="shared" si="0"/>
        <v>0</v>
      </c>
    </row>
    <row r="36" spans="1:8">
      <c r="B36" s="846" t="s">
        <v>881</v>
      </c>
      <c r="C36" s="847"/>
      <c r="D36" s="194"/>
      <c r="E36" s="334">
        <f>SUM(E29,E33:E35)</f>
        <v>0</v>
      </c>
      <c r="F36" s="334">
        <f>SUM(F29,F33:F35)</f>
        <v>0</v>
      </c>
      <c r="G36" s="333">
        <f t="shared" si="0"/>
        <v>0</v>
      </c>
    </row>
    <row r="39" spans="1:8" ht="15">
      <c r="B39" s="131"/>
      <c r="C39" s="827" t="s">
        <v>884</v>
      </c>
      <c r="D39" s="827"/>
      <c r="E39" s="827"/>
      <c r="F39" s="827"/>
      <c r="G39" s="28"/>
      <c r="H39" s="19"/>
    </row>
    <row r="40" spans="1:8">
      <c r="B40" s="913" t="s">
        <v>885</v>
      </c>
      <c r="C40" s="915" t="s">
        <v>487</v>
      </c>
      <c r="D40" s="916" t="s">
        <v>886</v>
      </c>
      <c r="E40" s="911" t="s">
        <v>887</v>
      </c>
      <c r="F40" s="835"/>
      <c r="G40" s="29"/>
    </row>
    <row r="41" spans="1:8" ht="22">
      <c r="A41" s="19"/>
      <c r="B41" s="914"/>
      <c r="C41" s="915"/>
      <c r="D41" s="917"/>
      <c r="E41" s="156" t="s">
        <v>888</v>
      </c>
      <c r="F41" s="558" t="s">
        <v>889</v>
      </c>
      <c r="G41" s="43"/>
    </row>
    <row r="42" spans="1:8">
      <c r="B42" s="178"/>
      <c r="C42" s="521"/>
      <c r="D42" s="134"/>
      <c r="E42" s="134"/>
      <c r="F42" s="135"/>
      <c r="G42" s="44"/>
    </row>
    <row r="43" spans="1:8">
      <c r="B43" s="179"/>
      <c r="C43" s="522"/>
      <c r="D43" s="102"/>
      <c r="E43" s="102"/>
      <c r="F43" s="152"/>
      <c r="G43" s="44"/>
    </row>
    <row r="44" spans="1:8">
      <c r="B44" s="179"/>
      <c r="C44" s="522"/>
      <c r="D44" s="102"/>
      <c r="E44" s="102"/>
      <c r="F44" s="151"/>
      <c r="G44" s="44"/>
    </row>
    <row r="45" spans="1:8">
      <c r="B45" s="180"/>
      <c r="C45" s="522"/>
      <c r="D45" s="102"/>
      <c r="E45" s="102"/>
      <c r="F45" s="151"/>
      <c r="G45" s="44"/>
    </row>
    <row r="46" spans="1:8">
      <c r="B46" s="180"/>
      <c r="C46" s="522"/>
      <c r="D46" s="102"/>
      <c r="E46" s="102"/>
      <c r="F46" s="151"/>
      <c r="G46" s="44"/>
    </row>
    <row r="47" spans="1:8">
      <c r="B47" s="180"/>
      <c r="C47" s="522"/>
      <c r="D47" s="102"/>
      <c r="E47" s="102"/>
      <c r="F47" s="151"/>
      <c r="G47" s="45"/>
    </row>
    <row r="48" spans="1:8">
      <c r="B48" s="180"/>
      <c r="C48" s="522"/>
      <c r="D48" s="102"/>
      <c r="E48" s="102"/>
      <c r="F48" s="151"/>
      <c r="G48" s="44"/>
    </row>
    <row r="49" spans="2:8">
      <c r="B49" s="180"/>
      <c r="C49" s="522"/>
      <c r="D49" s="102"/>
      <c r="E49" s="102"/>
      <c r="F49" s="151"/>
      <c r="G49" s="44"/>
    </row>
    <row r="50" spans="2:8">
      <c r="B50" s="180"/>
      <c r="C50" s="522"/>
      <c r="D50" s="102"/>
      <c r="E50" s="102"/>
      <c r="F50" s="151"/>
      <c r="G50" s="44"/>
    </row>
    <row r="51" spans="2:8">
      <c r="B51" s="179"/>
      <c r="C51" s="522"/>
      <c r="D51" s="102"/>
      <c r="E51" s="102"/>
      <c r="F51" s="151"/>
      <c r="G51" s="44"/>
    </row>
    <row r="52" spans="2:8">
      <c r="B52" s="181"/>
      <c r="C52" s="556"/>
      <c r="D52" s="157"/>
      <c r="E52" s="157"/>
      <c r="F52" s="152"/>
      <c r="G52" s="44"/>
    </row>
    <row r="53" spans="2:8">
      <c r="B53" s="852" t="s">
        <v>881</v>
      </c>
      <c r="C53" s="918"/>
      <c r="D53" s="335">
        <f>SUM(D42:D52)</f>
        <v>0</v>
      </c>
      <c r="E53" s="193"/>
      <c r="F53" s="335">
        <f>SUM(F42:F52)</f>
        <v>0</v>
      </c>
      <c r="G53" s="44"/>
    </row>
    <row r="56" spans="2:8" ht="15">
      <c r="B56" s="131"/>
      <c r="C56" s="827" t="s">
        <v>890</v>
      </c>
      <c r="D56" s="827"/>
      <c r="E56" s="827"/>
      <c r="F56" s="827"/>
      <c r="G56" s="827"/>
      <c r="H56" s="827"/>
    </row>
    <row r="57" spans="2:8">
      <c r="B57" s="903" t="s">
        <v>892</v>
      </c>
      <c r="C57" s="904"/>
      <c r="D57" s="907" t="s">
        <v>494</v>
      </c>
      <c r="E57" s="909" t="s">
        <v>891</v>
      </c>
      <c r="F57" s="911" t="s">
        <v>495</v>
      </c>
      <c r="G57" s="835"/>
      <c r="H57" s="912" t="s">
        <v>496</v>
      </c>
    </row>
    <row r="58" spans="2:8">
      <c r="B58" s="905"/>
      <c r="C58" s="906"/>
      <c r="D58" s="908"/>
      <c r="E58" s="910"/>
      <c r="F58" s="142" t="s">
        <v>497</v>
      </c>
      <c r="G58" s="558" t="s">
        <v>498</v>
      </c>
      <c r="H58" s="833"/>
    </row>
    <row r="59" spans="2:8">
      <c r="B59" s="825"/>
      <c r="C59" s="826"/>
      <c r="D59" s="134"/>
      <c r="E59" s="134"/>
      <c r="F59" s="146"/>
      <c r="G59" s="182"/>
      <c r="H59" s="182"/>
    </row>
    <row r="60" spans="2:8">
      <c r="B60" s="901"/>
      <c r="C60" s="900"/>
      <c r="D60" s="154"/>
      <c r="E60" s="154"/>
      <c r="F60" s="183"/>
      <c r="G60" s="184"/>
      <c r="H60" s="184"/>
    </row>
    <row r="61" spans="2:8">
      <c r="B61" s="901"/>
      <c r="C61" s="900"/>
      <c r="D61" s="154"/>
      <c r="E61" s="154"/>
      <c r="F61" s="183"/>
      <c r="G61" s="185"/>
      <c r="H61" s="185"/>
    </row>
    <row r="62" spans="2:8">
      <c r="B62" s="899"/>
      <c r="C62" s="900"/>
      <c r="D62" s="154"/>
      <c r="E62" s="154"/>
      <c r="F62" s="183"/>
      <c r="G62" s="185"/>
      <c r="H62" s="185"/>
    </row>
    <row r="63" spans="2:8">
      <c r="B63" s="899"/>
      <c r="C63" s="900"/>
      <c r="D63" s="154"/>
      <c r="E63" s="154"/>
      <c r="F63" s="183"/>
      <c r="G63" s="185"/>
      <c r="H63" s="185"/>
    </row>
    <row r="64" spans="2:8">
      <c r="B64" s="899"/>
      <c r="C64" s="900"/>
      <c r="D64" s="154"/>
      <c r="E64" s="154"/>
      <c r="F64" s="183"/>
      <c r="G64" s="185"/>
      <c r="H64" s="185"/>
    </row>
    <row r="65" spans="2:11">
      <c r="B65" s="899"/>
      <c r="C65" s="900"/>
      <c r="D65" s="154"/>
      <c r="E65" s="154"/>
      <c r="F65" s="183"/>
      <c r="G65" s="185"/>
      <c r="H65" s="185"/>
    </row>
    <row r="66" spans="2:11">
      <c r="B66" s="899"/>
      <c r="C66" s="900"/>
      <c r="D66" s="154"/>
      <c r="E66" s="154"/>
      <c r="F66" s="183"/>
      <c r="G66" s="185"/>
      <c r="H66" s="185"/>
    </row>
    <row r="67" spans="2:11">
      <c r="B67" s="899"/>
      <c r="C67" s="900"/>
      <c r="D67" s="154"/>
      <c r="E67" s="154"/>
      <c r="F67" s="183"/>
      <c r="G67" s="185"/>
      <c r="H67" s="185"/>
    </row>
    <row r="68" spans="2:11">
      <c r="B68" s="901"/>
      <c r="C68" s="900"/>
      <c r="D68" s="154"/>
      <c r="E68" s="154"/>
      <c r="F68" s="183"/>
      <c r="G68" s="185"/>
      <c r="H68" s="185"/>
    </row>
    <row r="69" spans="2:11">
      <c r="B69" s="851"/>
      <c r="C69" s="902"/>
      <c r="D69" s="157"/>
      <c r="E69" s="157"/>
      <c r="F69" s="158"/>
      <c r="G69" s="184"/>
      <c r="H69" s="184"/>
    </row>
    <row r="70" spans="2:11">
      <c r="B70" s="852" t="s">
        <v>881</v>
      </c>
      <c r="C70" s="853"/>
      <c r="D70" s="854"/>
      <c r="E70" s="336">
        <f>SUM(E59:E69)</f>
        <v>0</v>
      </c>
      <c r="F70" s="46"/>
      <c r="G70" s="47"/>
      <c r="H70" s="47"/>
    </row>
    <row r="73" spans="2:11" ht="15">
      <c r="B73" s="131"/>
      <c r="C73" s="827" t="s">
        <v>893</v>
      </c>
      <c r="D73" s="827"/>
      <c r="E73" s="827"/>
      <c r="F73" s="827"/>
      <c r="G73" s="827"/>
      <c r="H73" s="827"/>
      <c r="I73" s="827"/>
      <c r="J73" s="827"/>
      <c r="K73" s="827"/>
    </row>
    <row r="74" spans="2:11">
      <c r="B74" s="881" t="s">
        <v>499</v>
      </c>
      <c r="C74" s="895"/>
      <c r="D74" s="897" t="s">
        <v>898</v>
      </c>
      <c r="E74" s="837"/>
      <c r="F74" s="837"/>
      <c r="G74" s="837"/>
      <c r="H74" s="837"/>
      <c r="I74" s="837"/>
      <c r="J74" s="837"/>
      <c r="K74" s="837" t="s">
        <v>500</v>
      </c>
    </row>
    <row r="75" spans="2:11" ht="22">
      <c r="B75" s="834"/>
      <c r="C75" s="896"/>
      <c r="D75" s="552" t="s">
        <v>894</v>
      </c>
      <c r="E75" s="555" t="s">
        <v>895</v>
      </c>
      <c r="F75" s="551" t="s">
        <v>501</v>
      </c>
      <c r="G75" s="559" t="s">
        <v>896</v>
      </c>
      <c r="H75" s="551" t="s">
        <v>897</v>
      </c>
      <c r="I75" s="559" t="s">
        <v>502</v>
      </c>
      <c r="J75" s="551" t="s">
        <v>881</v>
      </c>
      <c r="K75" s="898"/>
    </row>
    <row r="76" spans="2:11">
      <c r="B76" s="888" t="s">
        <v>503</v>
      </c>
      <c r="C76" s="889"/>
      <c r="D76" s="134"/>
      <c r="E76" s="134"/>
      <c r="F76" s="134"/>
      <c r="G76" s="135"/>
      <c r="H76" s="135"/>
      <c r="I76" s="135"/>
      <c r="J76" s="337">
        <f>SUM(D76:I76)</f>
        <v>0</v>
      </c>
      <c r="K76" s="135"/>
    </row>
    <row r="77" spans="2:11" ht="15" customHeight="1">
      <c r="B77" s="888" t="s">
        <v>504</v>
      </c>
      <c r="C77" s="889"/>
      <c r="D77" s="102"/>
      <c r="E77" s="102"/>
      <c r="F77" s="102"/>
      <c r="G77" s="107"/>
      <c r="H77" s="107"/>
      <c r="I77" s="107"/>
      <c r="J77" s="331">
        <f>SUM(D77:I77)</f>
        <v>0</v>
      </c>
      <c r="K77" s="107"/>
    </row>
    <row r="78" spans="2:11" ht="15" customHeight="1">
      <c r="B78" s="888" t="s">
        <v>505</v>
      </c>
      <c r="C78" s="889"/>
      <c r="D78" s="102"/>
      <c r="E78" s="102"/>
      <c r="F78" s="102"/>
      <c r="G78" s="108"/>
      <c r="H78" s="108"/>
      <c r="I78" s="108"/>
      <c r="J78" s="331">
        <f>SUM(D78:I78)</f>
        <v>0</v>
      </c>
      <c r="K78" s="108"/>
    </row>
    <row r="79" spans="2:11" ht="15" customHeight="1">
      <c r="B79" s="888" t="s">
        <v>506</v>
      </c>
      <c r="C79" s="889"/>
      <c r="D79" s="102"/>
      <c r="E79" s="102"/>
      <c r="F79" s="102"/>
      <c r="G79" s="108"/>
      <c r="H79" s="108"/>
      <c r="I79" s="108"/>
      <c r="J79" s="331">
        <f>SUM(D79:I79)</f>
        <v>0</v>
      </c>
      <c r="K79" s="108"/>
    </row>
    <row r="80" spans="2:11">
      <c r="B80" s="885" t="s">
        <v>432</v>
      </c>
      <c r="C80" s="845"/>
      <c r="D80" s="324">
        <f>SUM(D76:D79)</f>
        <v>0</v>
      </c>
      <c r="E80" s="324">
        <f t="shared" ref="E80:K80" si="1">SUM(E76:E79)</f>
        <v>0</v>
      </c>
      <c r="F80" s="324">
        <f t="shared" si="1"/>
        <v>0</v>
      </c>
      <c r="G80" s="324">
        <f t="shared" si="1"/>
        <v>0</v>
      </c>
      <c r="H80" s="324">
        <f t="shared" si="1"/>
        <v>0</v>
      </c>
      <c r="I80" s="324">
        <f t="shared" si="1"/>
        <v>0</v>
      </c>
      <c r="J80" s="324">
        <f t="shared" si="1"/>
        <v>0</v>
      </c>
      <c r="K80" s="324">
        <f t="shared" si="1"/>
        <v>0</v>
      </c>
    </row>
    <row r="81" spans="2:11">
      <c r="B81" s="890" t="s">
        <v>507</v>
      </c>
      <c r="C81" s="843"/>
      <c r="D81" s="102"/>
      <c r="E81" s="102"/>
      <c r="F81" s="102"/>
      <c r="G81" s="108"/>
      <c r="H81" s="108"/>
      <c r="I81" s="108"/>
      <c r="J81" s="331">
        <f>SUM(D81:I81)</f>
        <v>0</v>
      </c>
      <c r="K81" s="108"/>
    </row>
    <row r="82" spans="2:11">
      <c r="B82" s="891" t="s">
        <v>508</v>
      </c>
      <c r="C82" s="892"/>
      <c r="D82" s="109"/>
      <c r="E82" s="109"/>
      <c r="F82" s="109"/>
      <c r="G82" s="107"/>
      <c r="H82" s="107"/>
      <c r="I82" s="107"/>
      <c r="J82" s="331">
        <f>SUM(D82:I82)</f>
        <v>0</v>
      </c>
      <c r="K82" s="107"/>
    </row>
    <row r="83" spans="2:11">
      <c r="B83" s="893" t="s">
        <v>432</v>
      </c>
      <c r="C83" s="894"/>
      <c r="D83" s="338">
        <f>SUM(D81:D82)</f>
        <v>0</v>
      </c>
      <c r="E83" s="338">
        <f t="shared" ref="E83:K83" si="2">SUM(E81:E82)</f>
        <v>0</v>
      </c>
      <c r="F83" s="338">
        <f t="shared" si="2"/>
        <v>0</v>
      </c>
      <c r="G83" s="338">
        <f t="shared" si="2"/>
        <v>0</v>
      </c>
      <c r="H83" s="338">
        <f t="shared" si="2"/>
        <v>0</v>
      </c>
      <c r="I83" s="338">
        <f t="shared" si="2"/>
        <v>0</v>
      </c>
      <c r="J83" s="338">
        <f t="shared" si="2"/>
        <v>0</v>
      </c>
      <c r="K83" s="338">
        <f t="shared" si="2"/>
        <v>0</v>
      </c>
    </row>
    <row r="86" spans="2:11" ht="15">
      <c r="B86" s="131"/>
      <c r="C86" s="827" t="s">
        <v>899</v>
      </c>
      <c r="D86" s="827"/>
      <c r="E86" s="827"/>
      <c r="F86" s="827"/>
      <c r="G86" s="827"/>
      <c r="H86" s="827"/>
      <c r="I86" s="28"/>
      <c r="J86" s="28"/>
      <c r="K86" s="28"/>
    </row>
    <row r="87" spans="2:11">
      <c r="B87" s="881" t="s">
        <v>441</v>
      </c>
      <c r="C87" s="882"/>
      <c r="D87" s="553" t="s">
        <v>442</v>
      </c>
      <c r="E87" s="132" t="s">
        <v>443</v>
      </c>
      <c r="F87" s="132" t="s">
        <v>444</v>
      </c>
      <c r="G87" s="132" t="s">
        <v>445</v>
      </c>
      <c r="H87" s="133" t="s">
        <v>446</v>
      </c>
      <c r="I87" s="48"/>
      <c r="J87" s="29"/>
      <c r="K87" s="29"/>
    </row>
    <row r="88" spans="2:11" ht="22">
      <c r="B88" s="834"/>
      <c r="C88" s="835"/>
      <c r="D88" s="49" t="s">
        <v>509</v>
      </c>
      <c r="E88" s="50" t="s">
        <v>510</v>
      </c>
      <c r="F88" s="551" t="s">
        <v>447</v>
      </c>
      <c r="G88" s="559" t="s">
        <v>448</v>
      </c>
      <c r="H88" s="51" t="s">
        <v>449</v>
      </c>
      <c r="I88" s="52"/>
      <c r="J88" s="29"/>
      <c r="K88" s="29"/>
    </row>
    <row r="89" spans="2:11" ht="15" customHeight="1">
      <c r="B89" s="883" t="s">
        <v>450</v>
      </c>
      <c r="C89" s="884"/>
      <c r="D89" s="105"/>
      <c r="E89" s="105"/>
      <c r="F89" s="340">
        <f>D89-E89</f>
        <v>0</v>
      </c>
      <c r="G89" s="106"/>
      <c r="H89" s="342">
        <f>F89-G89</f>
        <v>0</v>
      </c>
      <c r="I89" s="53"/>
      <c r="J89" s="44"/>
      <c r="K89" s="44"/>
    </row>
    <row r="90" spans="2:11" ht="8.25" hidden="1" customHeight="1">
      <c r="B90" s="54"/>
      <c r="C90" s="55"/>
      <c r="D90" s="56"/>
      <c r="E90" s="56"/>
      <c r="F90" s="341"/>
      <c r="G90" s="57"/>
      <c r="H90" s="343"/>
      <c r="I90" s="53"/>
      <c r="J90" s="44"/>
      <c r="K90" s="44"/>
    </row>
    <row r="91" spans="2:11" ht="15" customHeight="1">
      <c r="B91" s="844" t="s">
        <v>451</v>
      </c>
      <c r="C91" s="845"/>
      <c r="D91" s="102"/>
      <c r="E91" s="102"/>
      <c r="F91" s="340">
        <f>D91-E91</f>
        <v>0</v>
      </c>
      <c r="G91" s="108"/>
      <c r="H91" s="342">
        <f>F91-G91</f>
        <v>0</v>
      </c>
      <c r="I91" s="53"/>
      <c r="J91" s="44"/>
      <c r="K91" s="44"/>
    </row>
    <row r="92" spans="2:11" ht="15" customHeight="1">
      <c r="B92" s="885" t="s">
        <v>452</v>
      </c>
      <c r="C92" s="845"/>
      <c r="D92" s="102"/>
      <c r="E92" s="102"/>
      <c r="F92" s="340">
        <f>D92-E92</f>
        <v>0</v>
      </c>
      <c r="G92" s="108"/>
      <c r="H92" s="342">
        <f>F92-G92</f>
        <v>0</v>
      </c>
      <c r="I92" s="53"/>
      <c r="J92" s="44"/>
      <c r="K92" s="44"/>
    </row>
    <row r="93" spans="2:11" ht="7.5" hidden="1" customHeight="1">
      <c r="B93" s="886"/>
      <c r="C93" s="887"/>
      <c r="D93" s="56"/>
      <c r="E93" s="56"/>
      <c r="F93" s="56"/>
      <c r="G93" s="58"/>
      <c r="H93" s="59"/>
      <c r="I93" s="53"/>
      <c r="J93" s="44"/>
      <c r="K93" s="44"/>
    </row>
    <row r="94" spans="2:11">
      <c r="B94" s="879" t="s">
        <v>881</v>
      </c>
      <c r="C94" s="880"/>
      <c r="D94" s="339">
        <f>SUM(D89:D92)</f>
        <v>0</v>
      </c>
      <c r="E94" s="339">
        <f>SUM(E89:E92)</f>
        <v>0</v>
      </c>
      <c r="F94" s="339">
        <f>D94-E94</f>
        <v>0</v>
      </c>
      <c r="G94" s="339">
        <f>SUM(G89:G92)</f>
        <v>0</v>
      </c>
      <c r="H94" s="339">
        <f>F94-G94</f>
        <v>0</v>
      </c>
      <c r="I94" s="60"/>
      <c r="J94" s="61"/>
      <c r="K94" s="61"/>
    </row>
    <row r="97" spans="2:7" ht="15">
      <c r="B97" s="131" t="s">
        <v>904</v>
      </c>
      <c r="C97" s="871" t="s">
        <v>1100</v>
      </c>
      <c r="D97" s="871"/>
      <c r="E97" s="28"/>
      <c r="G97" s="62"/>
    </row>
    <row r="98" spans="2:7">
      <c r="B98" s="855" t="s">
        <v>874</v>
      </c>
      <c r="C98" s="872"/>
      <c r="D98" s="136" t="s">
        <v>900</v>
      </c>
      <c r="E98" s="29"/>
    </row>
    <row r="99" spans="2:7" ht="15" customHeight="1">
      <c r="B99" s="873" t="s">
        <v>511</v>
      </c>
      <c r="C99" s="874"/>
      <c r="D99" s="110"/>
      <c r="E99" s="63"/>
    </row>
    <row r="100" spans="2:7" ht="15" customHeight="1">
      <c r="B100" s="875" t="s">
        <v>512</v>
      </c>
      <c r="C100" s="876"/>
      <c r="D100" s="111"/>
      <c r="E100" s="64"/>
    </row>
    <row r="101" spans="2:7" ht="24" customHeight="1">
      <c r="B101" s="877" t="s">
        <v>513</v>
      </c>
      <c r="C101" s="878"/>
      <c r="D101" s="112">
        <v>44536604</v>
      </c>
      <c r="E101" s="34"/>
    </row>
    <row r="102" spans="2:7" ht="15" customHeight="1">
      <c r="B102" s="877" t="s">
        <v>453</v>
      </c>
      <c r="C102" s="878"/>
      <c r="D102" s="112">
        <v>17319</v>
      </c>
      <c r="E102" s="34"/>
    </row>
    <row r="103" spans="2:7" ht="15" customHeight="1">
      <c r="B103" s="877" t="s">
        <v>514</v>
      </c>
      <c r="C103" s="878"/>
      <c r="D103" s="112" t="s">
        <v>2419</v>
      </c>
      <c r="E103" s="34"/>
    </row>
    <row r="104" spans="2:7" ht="15" customHeight="1">
      <c r="B104" s="877" t="s">
        <v>515</v>
      </c>
      <c r="C104" s="878"/>
      <c r="D104" s="112">
        <v>6682</v>
      </c>
      <c r="E104" s="34"/>
    </row>
    <row r="105" spans="2:7" ht="15" customHeight="1">
      <c r="B105" s="877" t="s">
        <v>454</v>
      </c>
      <c r="C105" s="878"/>
      <c r="D105" s="113">
        <v>3178</v>
      </c>
      <c r="E105" s="44"/>
    </row>
    <row r="106" spans="2:7" ht="15" customHeight="1">
      <c r="B106" s="875" t="s">
        <v>455</v>
      </c>
      <c r="C106" s="876"/>
      <c r="D106" s="112">
        <v>988</v>
      </c>
      <c r="E106" s="34"/>
    </row>
    <row r="107" spans="2:7" ht="15" customHeight="1">
      <c r="B107" s="867" t="s">
        <v>516</v>
      </c>
      <c r="C107" s="868"/>
      <c r="D107" s="112"/>
      <c r="E107" s="34"/>
    </row>
    <row r="108" spans="2:7" ht="15" customHeight="1">
      <c r="B108" s="867" t="s">
        <v>456</v>
      </c>
      <c r="C108" s="868"/>
      <c r="D108" s="112">
        <v>10848</v>
      </c>
      <c r="E108" s="34"/>
    </row>
    <row r="109" spans="2:7" ht="15" customHeight="1">
      <c r="B109" s="867" t="s">
        <v>517</v>
      </c>
      <c r="C109" s="868"/>
      <c r="D109" s="114"/>
      <c r="E109" s="44"/>
    </row>
    <row r="110" spans="2:7" ht="15" customHeight="1">
      <c r="B110" s="877" t="s">
        <v>901</v>
      </c>
      <c r="C110" s="878"/>
      <c r="D110" s="115"/>
      <c r="E110" s="63"/>
    </row>
    <row r="111" spans="2:7" ht="22.5" customHeight="1">
      <c r="B111" s="877" t="s">
        <v>902</v>
      </c>
      <c r="C111" s="878"/>
      <c r="D111" s="116">
        <v>4790840</v>
      </c>
      <c r="E111" s="65"/>
    </row>
    <row r="112" spans="2:7" ht="15" customHeight="1">
      <c r="B112" s="877" t="s">
        <v>518</v>
      </c>
      <c r="C112" s="878"/>
      <c r="D112" s="112">
        <v>35421524</v>
      </c>
      <c r="E112" s="34"/>
    </row>
    <row r="113" spans="2:10" ht="24.75" customHeight="1">
      <c r="B113" s="875" t="s">
        <v>903</v>
      </c>
      <c r="C113" s="876"/>
      <c r="D113" s="112"/>
      <c r="E113" s="34"/>
    </row>
    <row r="114" spans="2:10" ht="15" customHeight="1">
      <c r="B114" s="867" t="s">
        <v>457</v>
      </c>
      <c r="C114" s="868"/>
      <c r="D114" s="112"/>
      <c r="E114" s="34"/>
    </row>
    <row r="115" spans="2:10" ht="15" customHeight="1">
      <c r="B115" s="869" t="s">
        <v>458</v>
      </c>
      <c r="C115" s="870"/>
      <c r="D115" s="117"/>
      <c r="E115" s="34"/>
    </row>
    <row r="118" spans="2:10" ht="15">
      <c r="B118" s="131" t="s">
        <v>905</v>
      </c>
      <c r="C118" s="871" t="s">
        <v>1101</v>
      </c>
      <c r="D118" s="871"/>
    </row>
    <row r="119" spans="2:10">
      <c r="B119" s="855" t="s">
        <v>874</v>
      </c>
      <c r="C119" s="872"/>
      <c r="D119" s="136" t="s">
        <v>900</v>
      </c>
    </row>
    <row r="120" spans="2:10">
      <c r="B120" s="873" t="s">
        <v>1097</v>
      </c>
      <c r="C120" s="874"/>
      <c r="D120" s="110"/>
    </row>
    <row r="121" spans="2:10">
      <c r="B121" s="875" t="s">
        <v>519</v>
      </c>
      <c r="C121" s="876"/>
      <c r="D121" s="111"/>
    </row>
    <row r="122" spans="2:10">
      <c r="B122" s="860" t="s">
        <v>432</v>
      </c>
      <c r="C122" s="861"/>
      <c r="D122" s="344">
        <f>SUM(D120:D121)</f>
        <v>0</v>
      </c>
    </row>
    <row r="123" spans="2:10">
      <c r="D123" s="66"/>
    </row>
    <row r="125" spans="2:10" ht="15">
      <c r="B125" s="131"/>
      <c r="C125" s="862" t="s">
        <v>1891</v>
      </c>
      <c r="D125" s="862"/>
      <c r="E125" s="862"/>
      <c r="F125" s="862"/>
      <c r="G125" s="862"/>
      <c r="H125" s="28"/>
    </row>
    <row r="126" spans="2:10" ht="23.25" customHeight="1">
      <c r="B126" s="156" t="s">
        <v>1892</v>
      </c>
      <c r="C126" s="49" t="s">
        <v>520</v>
      </c>
      <c r="D126" s="568" t="s">
        <v>1893</v>
      </c>
      <c r="E126" s="551" t="s">
        <v>1894</v>
      </c>
      <c r="F126" s="551" t="s">
        <v>1895</v>
      </c>
      <c r="G126" s="551" t="s">
        <v>1896</v>
      </c>
      <c r="H126" s="551" t="s">
        <v>521</v>
      </c>
      <c r="I126" s="29"/>
      <c r="J126" s="29"/>
    </row>
    <row r="127" spans="2:10">
      <c r="B127" s="569"/>
      <c r="C127" s="565" t="s">
        <v>2420</v>
      </c>
      <c r="D127" s="571"/>
      <c r="E127" s="574">
        <v>38095889</v>
      </c>
      <c r="F127" s="140"/>
      <c r="G127" s="140"/>
      <c r="H127" s="141"/>
      <c r="I127" s="44"/>
      <c r="J127" s="44"/>
    </row>
    <row r="128" spans="2:10">
      <c r="B128" s="179"/>
      <c r="C128" s="566" t="s">
        <v>2421</v>
      </c>
      <c r="D128" s="572"/>
      <c r="E128" s="574">
        <v>30086282</v>
      </c>
      <c r="F128" s="118"/>
      <c r="G128" s="118"/>
      <c r="H128" s="118"/>
      <c r="I128" s="44"/>
      <c r="J128" s="44"/>
    </row>
    <row r="129" spans="2:10">
      <c r="B129" s="179"/>
      <c r="C129" s="566" t="s">
        <v>2422</v>
      </c>
      <c r="D129" s="572"/>
      <c r="E129" s="574">
        <v>28032188</v>
      </c>
      <c r="F129" s="118"/>
      <c r="G129" s="118"/>
      <c r="H129" s="118"/>
      <c r="I129" s="44"/>
      <c r="J129" s="44"/>
    </row>
    <row r="130" spans="2:10">
      <c r="B130" s="180"/>
      <c r="C130" s="566" t="s">
        <v>2423</v>
      </c>
      <c r="D130" s="572"/>
      <c r="E130" s="574">
        <v>20619813</v>
      </c>
      <c r="F130" s="118"/>
      <c r="G130" s="118"/>
      <c r="H130" s="118"/>
      <c r="I130" s="44"/>
      <c r="J130" s="44"/>
    </row>
    <row r="131" spans="2:10">
      <c r="B131" s="180"/>
      <c r="C131" s="566" t="s">
        <v>2424</v>
      </c>
      <c r="D131" s="572"/>
      <c r="E131" s="574">
        <v>18483632</v>
      </c>
      <c r="F131" s="118"/>
      <c r="G131" s="118"/>
      <c r="H131" s="118"/>
      <c r="I131" s="44"/>
      <c r="J131" s="44"/>
    </row>
    <row r="132" spans="2:10">
      <c r="B132" s="180"/>
      <c r="C132" s="566" t="s">
        <v>2425</v>
      </c>
      <c r="D132" s="572"/>
      <c r="E132" s="574">
        <v>14500000</v>
      </c>
      <c r="F132" s="118"/>
      <c r="G132" s="118"/>
      <c r="H132" s="118"/>
      <c r="I132" s="44"/>
      <c r="J132" s="44"/>
    </row>
    <row r="133" spans="2:10">
      <c r="B133" s="180"/>
      <c r="C133" s="566" t="s">
        <v>2426</v>
      </c>
      <c r="D133" s="572"/>
      <c r="E133" s="574">
        <v>14000000</v>
      </c>
      <c r="F133" s="118"/>
      <c r="G133" s="118"/>
      <c r="H133" s="118"/>
      <c r="I133" s="44"/>
      <c r="J133" s="44"/>
    </row>
    <row r="134" spans="2:10">
      <c r="B134" s="180"/>
      <c r="C134" s="566" t="s">
        <v>2427</v>
      </c>
      <c r="D134" s="572"/>
      <c r="E134" s="574">
        <v>13741004</v>
      </c>
      <c r="F134" s="118"/>
      <c r="G134" s="118"/>
      <c r="H134" s="118"/>
      <c r="I134" s="44"/>
      <c r="J134" s="44"/>
    </row>
    <row r="135" spans="2:10">
      <c r="B135" s="180"/>
      <c r="C135" s="566" t="s">
        <v>2428</v>
      </c>
      <c r="D135" s="572"/>
      <c r="E135" s="574">
        <v>13500000</v>
      </c>
      <c r="F135" s="119"/>
      <c r="G135" s="119"/>
      <c r="H135" s="119"/>
      <c r="I135" s="44"/>
      <c r="J135" s="44"/>
    </row>
    <row r="136" spans="2:10">
      <c r="B136" s="179"/>
      <c r="C136" s="566" t="s">
        <v>2429</v>
      </c>
      <c r="D136" s="572"/>
      <c r="E136" s="574">
        <v>13396712</v>
      </c>
      <c r="F136" s="119"/>
      <c r="G136" s="119"/>
      <c r="H136" s="119"/>
      <c r="I136" s="44"/>
      <c r="J136" s="44"/>
    </row>
    <row r="137" spans="2:10">
      <c r="B137" s="179"/>
      <c r="C137" s="566" t="s">
        <v>2430</v>
      </c>
      <c r="D137" s="572"/>
      <c r="E137" s="574">
        <v>13396431</v>
      </c>
      <c r="F137" s="119"/>
      <c r="G137" s="119"/>
      <c r="H137" s="119"/>
      <c r="I137" s="44"/>
      <c r="J137" s="44"/>
    </row>
    <row r="138" spans="2:10">
      <c r="B138" s="179"/>
      <c r="C138" s="566" t="s">
        <v>2431</v>
      </c>
      <c r="D138" s="572"/>
      <c r="E138" s="574">
        <v>13000000</v>
      </c>
      <c r="F138" s="119"/>
      <c r="G138" s="119"/>
      <c r="H138" s="119"/>
      <c r="I138" s="44"/>
      <c r="J138" s="44"/>
    </row>
    <row r="139" spans="2:10">
      <c r="B139" s="179"/>
      <c r="C139" s="566" t="s">
        <v>2432</v>
      </c>
      <c r="D139" s="572"/>
      <c r="E139" s="574">
        <v>12935027</v>
      </c>
      <c r="F139" s="119"/>
      <c r="G139" s="119"/>
      <c r="H139" s="119"/>
      <c r="I139" s="44"/>
      <c r="J139" s="44"/>
    </row>
    <row r="140" spans="2:10">
      <c r="B140" s="179"/>
      <c r="C140" s="566" t="s">
        <v>2433</v>
      </c>
      <c r="D140" s="572"/>
      <c r="E140" s="574">
        <v>12000000</v>
      </c>
      <c r="F140" s="119"/>
      <c r="G140" s="119"/>
      <c r="H140" s="119"/>
      <c r="I140" s="44"/>
      <c r="J140" s="44"/>
    </row>
    <row r="141" spans="2:10">
      <c r="B141" s="179"/>
      <c r="C141" s="566" t="s">
        <v>2434</v>
      </c>
      <c r="D141" s="572"/>
      <c r="E141" s="574">
        <v>11142463</v>
      </c>
      <c r="F141" s="119"/>
      <c r="G141" s="119"/>
      <c r="H141" s="119"/>
      <c r="I141" s="44"/>
      <c r="J141" s="44"/>
    </row>
    <row r="142" spans="2:10">
      <c r="B142" s="179"/>
      <c r="C142" s="566" t="s">
        <v>2435</v>
      </c>
      <c r="D142" s="572"/>
      <c r="E142" s="574">
        <v>11142463</v>
      </c>
      <c r="F142" s="119"/>
      <c r="G142" s="119"/>
      <c r="H142" s="119"/>
      <c r="I142" s="44"/>
      <c r="J142" s="44"/>
    </row>
    <row r="143" spans="2:10">
      <c r="B143" s="179"/>
      <c r="C143" s="566" t="s">
        <v>2436</v>
      </c>
      <c r="D143" s="572"/>
      <c r="E143" s="574">
        <v>11090179</v>
      </c>
      <c r="F143" s="119"/>
      <c r="G143" s="119"/>
      <c r="H143" s="119"/>
      <c r="I143" s="44"/>
      <c r="J143" s="44"/>
    </row>
    <row r="144" spans="2:10">
      <c r="B144" s="179"/>
      <c r="C144" s="566" t="s">
        <v>2437</v>
      </c>
      <c r="D144" s="572"/>
      <c r="E144" s="574">
        <v>11015525</v>
      </c>
      <c r="F144" s="119"/>
      <c r="G144" s="119"/>
      <c r="H144" s="119"/>
      <c r="I144" s="44"/>
      <c r="J144" s="44"/>
    </row>
    <row r="145" spans="2:10">
      <c r="B145" s="179"/>
      <c r="C145" s="566" t="s">
        <v>2438</v>
      </c>
      <c r="D145" s="572"/>
      <c r="E145" s="574">
        <v>10748946</v>
      </c>
      <c r="F145" s="119"/>
      <c r="G145" s="119"/>
      <c r="H145" s="119"/>
      <c r="I145" s="44"/>
      <c r="J145" s="44"/>
    </row>
    <row r="146" spans="2:10">
      <c r="B146" s="179"/>
      <c r="C146" s="566" t="s">
        <v>2439</v>
      </c>
      <c r="D146" s="572"/>
      <c r="E146" s="574">
        <v>10602794</v>
      </c>
      <c r="F146" s="119"/>
      <c r="G146" s="119"/>
      <c r="H146" s="119"/>
      <c r="I146" s="44"/>
      <c r="J146" s="44"/>
    </row>
    <row r="147" spans="2:10">
      <c r="B147" s="179"/>
      <c r="C147" s="566" t="s">
        <v>2440</v>
      </c>
      <c r="D147" s="572"/>
      <c r="E147" s="574">
        <v>10167756</v>
      </c>
      <c r="F147" s="119"/>
      <c r="G147" s="119"/>
      <c r="H147" s="119"/>
      <c r="I147" s="44"/>
      <c r="J147" s="44"/>
    </row>
    <row r="148" spans="2:10">
      <c r="B148" s="179"/>
      <c r="C148" s="566" t="s">
        <v>2441</v>
      </c>
      <c r="D148" s="572"/>
      <c r="E148" s="574">
        <v>9626808</v>
      </c>
      <c r="F148" s="119"/>
      <c r="G148" s="119"/>
      <c r="H148" s="119"/>
      <c r="I148" s="44"/>
      <c r="J148" s="44"/>
    </row>
    <row r="149" spans="2:10">
      <c r="B149" s="179"/>
      <c r="C149" s="566" t="s">
        <v>2442</v>
      </c>
      <c r="D149" s="572"/>
      <c r="E149" s="574">
        <v>9500000</v>
      </c>
      <c r="F149" s="119"/>
      <c r="G149" s="119"/>
      <c r="H149" s="119"/>
      <c r="I149" s="44"/>
      <c r="J149" s="44"/>
    </row>
    <row r="150" spans="2:10">
      <c r="B150" s="179"/>
      <c r="C150" s="566" t="s">
        <v>2443</v>
      </c>
      <c r="D150" s="572"/>
      <c r="E150" s="574">
        <v>9500000</v>
      </c>
      <c r="F150" s="119"/>
      <c r="G150" s="119"/>
      <c r="H150" s="119"/>
      <c r="I150" s="44"/>
      <c r="J150" s="44"/>
    </row>
    <row r="151" spans="2:10">
      <c r="B151" s="179"/>
      <c r="C151" s="566" t="s">
        <v>2444</v>
      </c>
      <c r="D151" s="572"/>
      <c r="E151" s="574">
        <v>9500000</v>
      </c>
      <c r="F151" s="119"/>
      <c r="G151" s="119"/>
      <c r="H151" s="119"/>
      <c r="I151" s="44"/>
      <c r="J151" s="44"/>
    </row>
    <row r="152" spans="2:10">
      <c r="B152" s="179"/>
      <c r="C152" s="566" t="s">
        <v>2445</v>
      </c>
      <c r="D152" s="572"/>
      <c r="E152" s="574">
        <v>9240270</v>
      </c>
      <c r="F152" s="119"/>
      <c r="G152" s="119"/>
      <c r="H152" s="119"/>
      <c r="I152" s="44"/>
      <c r="J152" s="44"/>
    </row>
    <row r="153" spans="2:10">
      <c r="B153" s="179"/>
      <c r="C153" s="566" t="s">
        <v>2423</v>
      </c>
      <c r="D153" s="572"/>
      <c r="E153" s="574">
        <v>9152420</v>
      </c>
      <c r="F153" s="119"/>
      <c r="G153" s="119"/>
      <c r="H153" s="119"/>
      <c r="I153" s="44"/>
      <c r="J153" s="44"/>
    </row>
    <row r="154" spans="2:10">
      <c r="B154" s="179"/>
      <c r="C154" s="566" t="s">
        <v>2446</v>
      </c>
      <c r="D154" s="572"/>
      <c r="E154" s="574">
        <v>8802370</v>
      </c>
      <c r="F154" s="119"/>
      <c r="G154" s="119"/>
      <c r="H154" s="119"/>
      <c r="I154" s="44"/>
      <c r="J154" s="44"/>
    </row>
    <row r="155" spans="2:10">
      <c r="B155" s="179"/>
      <c r="C155" s="566" t="s">
        <v>2447</v>
      </c>
      <c r="D155" s="572"/>
      <c r="E155" s="574">
        <v>8799696</v>
      </c>
      <c r="F155" s="119"/>
      <c r="G155" s="119"/>
      <c r="H155" s="119"/>
      <c r="I155" s="44"/>
      <c r="J155" s="44"/>
    </row>
    <row r="156" spans="2:10">
      <c r="B156" s="179"/>
      <c r="C156" s="566" t="s">
        <v>2448</v>
      </c>
      <c r="D156" s="572"/>
      <c r="E156" s="574">
        <v>8783836</v>
      </c>
      <c r="F156" s="119"/>
      <c r="G156" s="119"/>
      <c r="H156" s="119"/>
      <c r="I156" s="44"/>
      <c r="J156" s="44"/>
    </row>
    <row r="157" spans="2:10">
      <c r="B157" s="179"/>
      <c r="C157" s="566" t="s">
        <v>2449</v>
      </c>
      <c r="D157" s="572"/>
      <c r="E157" s="574">
        <v>8475787</v>
      </c>
      <c r="F157" s="119"/>
      <c r="G157" s="119"/>
      <c r="H157" s="119"/>
      <c r="I157" s="44"/>
      <c r="J157" s="44"/>
    </row>
    <row r="158" spans="2:10">
      <c r="B158" s="179"/>
      <c r="C158" s="566" t="s">
        <v>2450</v>
      </c>
      <c r="D158" s="572"/>
      <c r="E158" s="574">
        <v>8260992</v>
      </c>
      <c r="F158" s="119"/>
      <c r="G158" s="119"/>
      <c r="H158" s="119"/>
      <c r="I158" s="44"/>
      <c r="J158" s="44"/>
    </row>
    <row r="159" spans="2:10">
      <c r="B159" s="179"/>
      <c r="C159" s="566" t="s">
        <v>2451</v>
      </c>
      <c r="D159" s="572"/>
      <c r="E159" s="574">
        <v>8054797</v>
      </c>
      <c r="F159" s="119"/>
      <c r="G159" s="119"/>
      <c r="H159" s="119"/>
      <c r="I159" s="44"/>
      <c r="J159" s="44"/>
    </row>
    <row r="160" spans="2:10">
      <c r="B160" s="179"/>
      <c r="C160" s="566" t="s">
        <v>2452</v>
      </c>
      <c r="D160" s="572"/>
      <c r="E160" s="574">
        <v>8000000</v>
      </c>
      <c r="F160" s="119"/>
      <c r="G160" s="119"/>
      <c r="H160" s="119"/>
      <c r="I160" s="44"/>
      <c r="J160" s="44"/>
    </row>
    <row r="161" spans="2:10">
      <c r="B161" s="179"/>
      <c r="C161" s="566" t="s">
        <v>2453</v>
      </c>
      <c r="D161" s="572"/>
      <c r="E161" s="574">
        <v>8000000</v>
      </c>
      <c r="F161" s="119"/>
      <c r="G161" s="119"/>
      <c r="H161" s="119"/>
      <c r="I161" s="44"/>
      <c r="J161" s="44"/>
    </row>
    <row r="162" spans="2:10">
      <c r="B162" s="179"/>
      <c r="C162" s="566" t="s">
        <v>2454</v>
      </c>
      <c r="D162" s="572"/>
      <c r="E162" s="574">
        <v>8000000</v>
      </c>
      <c r="F162" s="119"/>
      <c r="G162" s="119"/>
      <c r="H162" s="119"/>
      <c r="I162" s="44"/>
      <c r="J162" s="44"/>
    </row>
    <row r="163" spans="2:10">
      <c r="B163" s="179"/>
      <c r="C163" s="566" t="s">
        <v>2455</v>
      </c>
      <c r="D163" s="572"/>
      <c r="E163" s="574">
        <v>8000000</v>
      </c>
      <c r="F163" s="119"/>
      <c r="G163" s="119"/>
      <c r="H163" s="119"/>
      <c r="I163" s="44"/>
      <c r="J163" s="44"/>
    </row>
    <row r="164" spans="2:10">
      <c r="B164" s="179"/>
      <c r="C164" s="566" t="s">
        <v>2456</v>
      </c>
      <c r="D164" s="572"/>
      <c r="E164" s="574">
        <v>7632140</v>
      </c>
      <c r="F164" s="119"/>
      <c r="G164" s="119"/>
      <c r="H164" s="119"/>
      <c r="I164" s="44"/>
      <c r="J164" s="44"/>
    </row>
    <row r="165" spans="2:10">
      <c r="B165" s="179"/>
      <c r="C165" s="566" t="s">
        <v>2457</v>
      </c>
      <c r="D165" s="572"/>
      <c r="E165" s="574">
        <v>7311317</v>
      </c>
      <c r="F165" s="119"/>
      <c r="G165" s="119"/>
      <c r="H165" s="119"/>
      <c r="I165" s="44"/>
      <c r="J165" s="44"/>
    </row>
    <row r="166" spans="2:10">
      <c r="B166" s="179"/>
      <c r="C166" s="566" t="s">
        <v>2458</v>
      </c>
      <c r="D166" s="572"/>
      <c r="E166" s="574">
        <v>7311317</v>
      </c>
      <c r="F166" s="119"/>
      <c r="G166" s="119"/>
      <c r="H166" s="119"/>
      <c r="I166" s="44"/>
      <c r="J166" s="44"/>
    </row>
    <row r="167" spans="2:10">
      <c r="B167" s="179"/>
      <c r="C167" s="566" t="s">
        <v>2459</v>
      </c>
      <c r="D167" s="572"/>
      <c r="E167" s="574">
        <v>7000000</v>
      </c>
      <c r="F167" s="119"/>
      <c r="G167" s="119"/>
      <c r="H167" s="119"/>
      <c r="I167" s="44"/>
      <c r="J167" s="44"/>
    </row>
    <row r="168" spans="2:10">
      <c r="B168" s="179"/>
      <c r="C168" s="566" t="s">
        <v>2460</v>
      </c>
      <c r="D168" s="572"/>
      <c r="E168" s="574">
        <v>7000000</v>
      </c>
      <c r="F168" s="119"/>
      <c r="G168" s="119"/>
      <c r="H168" s="119"/>
      <c r="I168" s="44"/>
      <c r="J168" s="44"/>
    </row>
    <row r="169" spans="2:10">
      <c r="B169" s="179"/>
      <c r="C169" s="566" t="s">
        <v>2461</v>
      </c>
      <c r="D169" s="572"/>
      <c r="E169" s="574">
        <v>6934608</v>
      </c>
      <c r="F169" s="119"/>
      <c r="G169" s="119"/>
      <c r="H169" s="119"/>
      <c r="I169" s="44"/>
      <c r="J169" s="44"/>
    </row>
    <row r="170" spans="2:10">
      <c r="B170" s="179"/>
      <c r="C170" s="566" t="s">
        <v>2462</v>
      </c>
      <c r="D170" s="572"/>
      <c r="E170" s="574">
        <v>6926040</v>
      </c>
      <c r="F170" s="119"/>
      <c r="G170" s="119"/>
      <c r="H170" s="119"/>
      <c r="I170" s="44"/>
      <c r="J170" s="44"/>
    </row>
    <row r="171" spans="2:10">
      <c r="B171" s="179"/>
      <c r="C171" s="566" t="s">
        <v>2463</v>
      </c>
      <c r="D171" s="572"/>
      <c r="E171" s="574">
        <v>6880226</v>
      </c>
      <c r="F171" s="119"/>
      <c r="G171" s="119"/>
      <c r="H171" s="119"/>
      <c r="I171" s="44"/>
      <c r="J171" s="44"/>
    </row>
    <row r="172" spans="2:10">
      <c r="B172" s="179"/>
      <c r="C172" s="566" t="s">
        <v>2464</v>
      </c>
      <c r="D172" s="572"/>
      <c r="E172" s="574">
        <v>6784123</v>
      </c>
      <c r="F172" s="119"/>
      <c r="G172" s="119"/>
      <c r="H172" s="119"/>
      <c r="I172" s="44"/>
      <c r="J172" s="44"/>
    </row>
    <row r="173" spans="2:10">
      <c r="B173" s="179"/>
      <c r="C173" s="566" t="s">
        <v>2465</v>
      </c>
      <c r="D173" s="572"/>
      <c r="E173" s="574">
        <v>6784123</v>
      </c>
      <c r="F173" s="119"/>
      <c r="G173" s="119"/>
      <c r="H173" s="119"/>
      <c r="I173" s="44"/>
      <c r="J173" s="44"/>
    </row>
    <row r="174" spans="2:10">
      <c r="B174" s="179"/>
      <c r="C174" s="566" t="s">
        <v>2466</v>
      </c>
      <c r="D174" s="572"/>
      <c r="E174" s="574">
        <v>6701660</v>
      </c>
      <c r="F174" s="119"/>
      <c r="G174" s="119"/>
      <c r="H174" s="119"/>
      <c r="I174" s="44"/>
      <c r="J174" s="44"/>
    </row>
    <row r="175" spans="2:10">
      <c r="B175" s="179"/>
      <c r="C175" s="566" t="s">
        <v>2467</v>
      </c>
      <c r="D175" s="572"/>
      <c r="E175" s="574">
        <v>6557090</v>
      </c>
      <c r="F175" s="119"/>
      <c r="G175" s="119"/>
      <c r="H175" s="119"/>
      <c r="I175" s="44"/>
      <c r="J175" s="44"/>
    </row>
    <row r="176" spans="2:10">
      <c r="B176" s="570"/>
      <c r="C176" s="567" t="s">
        <v>2468</v>
      </c>
      <c r="D176" s="573"/>
      <c r="E176" s="574">
        <v>6500000</v>
      </c>
      <c r="F176" s="119"/>
      <c r="G176" s="119"/>
      <c r="H176" s="119"/>
      <c r="I176" s="44"/>
      <c r="J176" s="44"/>
    </row>
    <row r="177" spans="2:13">
      <c r="B177" s="852" t="s">
        <v>881</v>
      </c>
      <c r="C177" s="853"/>
      <c r="D177" s="854"/>
      <c r="E177" s="550">
        <f>SUM(E127:E176)</f>
        <v>561716724</v>
      </c>
      <c r="F177" s="195">
        <f>SUM(F127:F176)</f>
        <v>0</v>
      </c>
      <c r="G177" s="196">
        <f>SUM(G127:G176)</f>
        <v>0</v>
      </c>
      <c r="H177" s="345">
        <f>SUM(H127:H176)</f>
        <v>0</v>
      </c>
      <c r="I177" s="67"/>
      <c r="J177" s="67"/>
    </row>
    <row r="180" spans="2:13" ht="15">
      <c r="B180" s="131"/>
      <c r="C180" s="863" t="s">
        <v>1102</v>
      </c>
      <c r="D180" s="863"/>
      <c r="E180" s="863"/>
      <c r="F180" s="863"/>
      <c r="G180" s="863"/>
      <c r="H180" s="863"/>
      <c r="I180" s="863"/>
      <c r="J180" s="863"/>
      <c r="K180" s="863"/>
      <c r="L180" s="863"/>
      <c r="M180" s="863"/>
    </row>
    <row r="181" spans="2:13" ht="23.25" customHeight="1">
      <c r="B181" s="864" t="s">
        <v>520</v>
      </c>
      <c r="C181" s="865"/>
      <c r="D181" s="866"/>
      <c r="E181" s="142" t="s">
        <v>906</v>
      </c>
      <c r="F181" s="864" t="s">
        <v>520</v>
      </c>
      <c r="G181" s="865"/>
      <c r="H181" s="866"/>
      <c r="I181" s="142" t="s">
        <v>906</v>
      </c>
      <c r="J181" s="864" t="s">
        <v>520</v>
      </c>
      <c r="K181" s="865"/>
      <c r="L181" s="866"/>
      <c r="M181" s="142" t="s">
        <v>906</v>
      </c>
    </row>
    <row r="182" spans="2:13">
      <c r="B182" s="858" t="s">
        <v>2469</v>
      </c>
      <c r="C182" s="859"/>
      <c r="D182" s="826"/>
      <c r="E182" s="143">
        <v>1248236</v>
      </c>
      <c r="F182" s="825"/>
      <c r="G182" s="859"/>
      <c r="H182" s="826"/>
      <c r="I182" s="143"/>
      <c r="J182" s="825"/>
      <c r="K182" s="859"/>
      <c r="L182" s="826"/>
      <c r="M182" s="143"/>
    </row>
    <row r="183" spans="2:13">
      <c r="B183" s="858" t="s">
        <v>2470</v>
      </c>
      <c r="C183" s="859"/>
      <c r="D183" s="826"/>
      <c r="E183" s="143">
        <v>913542</v>
      </c>
      <c r="F183" s="823"/>
      <c r="G183" s="857"/>
      <c r="H183" s="824"/>
      <c r="I183" s="144"/>
      <c r="J183" s="823"/>
      <c r="K183" s="857"/>
      <c r="L183" s="824"/>
      <c r="M183" s="144"/>
    </row>
    <row r="184" spans="2:13">
      <c r="B184" s="858" t="s">
        <v>2470</v>
      </c>
      <c r="C184" s="859"/>
      <c r="D184" s="826"/>
      <c r="E184" s="143">
        <v>913542</v>
      </c>
      <c r="F184" s="823"/>
      <c r="G184" s="857"/>
      <c r="H184" s="824"/>
      <c r="I184" s="144"/>
      <c r="J184" s="823"/>
      <c r="K184" s="857"/>
      <c r="L184" s="824"/>
      <c r="M184" s="144"/>
    </row>
    <row r="185" spans="2:13">
      <c r="B185" s="858" t="s">
        <v>2471</v>
      </c>
      <c r="C185" s="859"/>
      <c r="D185" s="826"/>
      <c r="E185" s="143">
        <v>3000000</v>
      </c>
      <c r="F185" s="823"/>
      <c r="G185" s="857"/>
      <c r="H185" s="824"/>
      <c r="I185" s="144"/>
      <c r="J185" s="823"/>
      <c r="K185" s="857"/>
      <c r="L185" s="824"/>
      <c r="M185" s="144"/>
    </row>
    <row r="186" spans="2:13">
      <c r="B186" s="858" t="s">
        <v>2472</v>
      </c>
      <c r="C186" s="859"/>
      <c r="D186" s="826"/>
      <c r="E186" s="143">
        <v>1723231</v>
      </c>
      <c r="F186" s="823"/>
      <c r="G186" s="857"/>
      <c r="H186" s="824"/>
      <c r="I186" s="144"/>
      <c r="J186" s="823"/>
      <c r="K186" s="857"/>
      <c r="L186" s="824"/>
      <c r="M186" s="144"/>
    </row>
    <row r="187" spans="2:13">
      <c r="B187" s="858" t="s">
        <v>2473</v>
      </c>
      <c r="C187" s="859"/>
      <c r="D187" s="826"/>
      <c r="E187" s="143">
        <v>2070475</v>
      </c>
      <c r="F187" s="823"/>
      <c r="G187" s="857"/>
      <c r="H187" s="824"/>
      <c r="I187" s="144"/>
      <c r="J187" s="823"/>
      <c r="K187" s="857"/>
      <c r="L187" s="824"/>
      <c r="M187" s="144"/>
    </row>
    <row r="188" spans="2:13" ht="15" customHeight="1">
      <c r="B188" s="858" t="s">
        <v>2474</v>
      </c>
      <c r="C188" s="859"/>
      <c r="D188" s="826"/>
      <c r="E188" s="143">
        <v>6073528</v>
      </c>
      <c r="F188" s="823"/>
      <c r="G188" s="857"/>
      <c r="H188" s="824"/>
      <c r="I188" s="144"/>
      <c r="J188" s="823"/>
      <c r="K188" s="857"/>
      <c r="L188" s="824"/>
      <c r="M188" s="144"/>
    </row>
    <row r="189" spans="2:13">
      <c r="B189" s="858" t="s">
        <v>2475</v>
      </c>
      <c r="C189" s="859"/>
      <c r="D189" s="826"/>
      <c r="E189" s="143">
        <v>2232775</v>
      </c>
      <c r="F189" s="823"/>
      <c r="G189" s="857"/>
      <c r="H189" s="824"/>
      <c r="I189" s="144"/>
      <c r="J189" s="823"/>
      <c r="K189" s="857"/>
      <c r="L189" s="824"/>
      <c r="M189" s="144"/>
    </row>
    <row r="190" spans="2:13">
      <c r="B190" s="858" t="s">
        <v>2476</v>
      </c>
      <c r="C190" s="859"/>
      <c r="D190" s="826"/>
      <c r="E190" s="143">
        <v>3239635</v>
      </c>
      <c r="F190" s="823"/>
      <c r="G190" s="857"/>
      <c r="H190" s="824"/>
      <c r="I190" s="144"/>
      <c r="J190" s="823"/>
      <c r="K190" s="857"/>
      <c r="L190" s="824"/>
      <c r="M190" s="144"/>
    </row>
    <row r="191" spans="2:13">
      <c r="B191" s="858" t="s">
        <v>2477</v>
      </c>
      <c r="C191" s="859"/>
      <c r="D191" s="826"/>
      <c r="E191" s="143">
        <v>3873017</v>
      </c>
      <c r="F191" s="823"/>
      <c r="G191" s="857"/>
      <c r="H191" s="824"/>
      <c r="I191" s="144"/>
      <c r="J191" s="823"/>
      <c r="K191" s="857"/>
      <c r="L191" s="824"/>
      <c r="M191" s="144"/>
    </row>
    <row r="192" spans="2:13" ht="15" customHeight="1">
      <c r="B192" s="858" t="s">
        <v>2478</v>
      </c>
      <c r="C192" s="859"/>
      <c r="D192" s="826"/>
      <c r="E192" s="143">
        <v>809774</v>
      </c>
      <c r="F192" s="823"/>
      <c r="G192" s="857"/>
      <c r="H192" s="824"/>
      <c r="I192" s="144"/>
      <c r="J192" s="823"/>
      <c r="K192" s="857"/>
      <c r="L192" s="824"/>
      <c r="M192" s="144"/>
    </row>
    <row r="193" spans="2:13" ht="15" customHeight="1">
      <c r="B193" s="858" t="s">
        <v>2422</v>
      </c>
      <c r="C193" s="859"/>
      <c r="D193" s="826"/>
      <c r="E193" s="143">
        <v>28032188</v>
      </c>
      <c r="F193" s="823"/>
      <c r="G193" s="857"/>
      <c r="H193" s="824"/>
      <c r="I193" s="144"/>
      <c r="J193" s="823"/>
      <c r="K193" s="857"/>
      <c r="L193" s="824"/>
      <c r="M193" s="144"/>
    </row>
    <row r="194" spans="2:13">
      <c r="B194" s="823"/>
      <c r="C194" s="857"/>
      <c r="D194" s="824"/>
      <c r="E194" s="102"/>
      <c r="F194" s="823"/>
      <c r="G194" s="857"/>
      <c r="H194" s="824"/>
      <c r="I194" s="102"/>
      <c r="J194" s="823"/>
      <c r="K194" s="857"/>
      <c r="L194" s="824"/>
      <c r="M194" s="102"/>
    </row>
    <row r="195" spans="2:13">
      <c r="B195" s="823"/>
      <c r="C195" s="857"/>
      <c r="D195" s="824"/>
      <c r="E195" s="102"/>
      <c r="F195" s="823"/>
      <c r="G195" s="857"/>
      <c r="H195" s="824"/>
      <c r="I195" s="102"/>
      <c r="J195" s="823"/>
      <c r="K195" s="857"/>
      <c r="L195" s="824"/>
      <c r="M195" s="102"/>
    </row>
    <row r="196" spans="2:13">
      <c r="B196" s="823"/>
      <c r="C196" s="857"/>
      <c r="D196" s="824"/>
      <c r="E196" s="102"/>
      <c r="F196" s="823"/>
      <c r="G196" s="857"/>
      <c r="H196" s="824"/>
      <c r="I196" s="102"/>
      <c r="J196" s="823"/>
      <c r="K196" s="857"/>
      <c r="L196" s="824"/>
      <c r="M196" s="102"/>
    </row>
    <row r="197" spans="2:13">
      <c r="B197" s="823"/>
      <c r="C197" s="857"/>
      <c r="D197" s="824"/>
      <c r="E197" s="102"/>
      <c r="F197" s="823"/>
      <c r="G197" s="857"/>
      <c r="H197" s="824"/>
      <c r="I197" s="102"/>
      <c r="J197" s="823"/>
      <c r="K197" s="857"/>
      <c r="L197" s="824"/>
      <c r="M197" s="102"/>
    </row>
    <row r="198" spans="2:13">
      <c r="B198" s="823"/>
      <c r="C198" s="857"/>
      <c r="D198" s="824"/>
      <c r="E198" s="102"/>
      <c r="F198" s="823"/>
      <c r="G198" s="857"/>
      <c r="H198" s="824"/>
      <c r="I198" s="102"/>
      <c r="J198" s="823"/>
      <c r="K198" s="857"/>
      <c r="L198" s="824"/>
      <c r="M198" s="102"/>
    </row>
    <row r="199" spans="2:13">
      <c r="B199" s="823"/>
      <c r="C199" s="857"/>
      <c r="D199" s="824"/>
      <c r="E199" s="102"/>
      <c r="F199" s="823"/>
      <c r="G199" s="857"/>
      <c r="H199" s="824"/>
      <c r="I199" s="102"/>
      <c r="J199" s="823"/>
      <c r="K199" s="857"/>
      <c r="L199" s="824"/>
      <c r="M199" s="102"/>
    </row>
    <row r="200" spans="2:13">
      <c r="B200" s="823"/>
      <c r="C200" s="857"/>
      <c r="D200" s="824"/>
      <c r="E200" s="102"/>
      <c r="F200" s="823"/>
      <c r="G200" s="857"/>
      <c r="H200" s="824"/>
      <c r="I200" s="102"/>
      <c r="J200" s="823"/>
      <c r="K200" s="857"/>
      <c r="L200" s="824"/>
      <c r="M200" s="102"/>
    </row>
    <row r="201" spans="2:13">
      <c r="B201" s="823"/>
      <c r="C201" s="857"/>
      <c r="D201" s="824"/>
      <c r="E201" s="102"/>
      <c r="F201" s="823"/>
      <c r="G201" s="857"/>
      <c r="H201" s="824"/>
      <c r="I201" s="102"/>
      <c r="J201" s="823"/>
      <c r="K201" s="857"/>
      <c r="L201" s="824"/>
      <c r="M201" s="102"/>
    </row>
    <row r="202" spans="2:13">
      <c r="B202" s="848"/>
      <c r="C202" s="849"/>
      <c r="D202" s="850"/>
      <c r="E202" s="145"/>
      <c r="F202" s="851"/>
      <c r="G202" s="849"/>
      <c r="H202" s="850"/>
      <c r="I202" s="145"/>
      <c r="J202" s="848"/>
      <c r="K202" s="849"/>
      <c r="L202" s="850"/>
      <c r="M202" s="145"/>
    </row>
    <row r="203" spans="2:13">
      <c r="B203" s="852" t="s">
        <v>881</v>
      </c>
      <c r="C203" s="853"/>
      <c r="D203" s="854"/>
      <c r="E203" s="339">
        <f>SUM(E182:E202,I182:I202,M182:M202)</f>
        <v>54129943</v>
      </c>
      <c r="F203" s="138"/>
    </row>
    <row r="206" spans="2:13" ht="15">
      <c r="B206" s="131"/>
      <c r="C206" s="827" t="s">
        <v>907</v>
      </c>
      <c r="D206" s="827"/>
      <c r="E206" s="827"/>
      <c r="F206" s="827"/>
      <c r="G206" s="827"/>
    </row>
    <row r="207" spans="2:13">
      <c r="B207" s="855" t="s">
        <v>874</v>
      </c>
      <c r="C207" s="856"/>
      <c r="D207" s="554" t="s">
        <v>1093</v>
      </c>
      <c r="E207" s="129" t="s">
        <v>1094</v>
      </c>
      <c r="F207" s="554" t="s">
        <v>1095</v>
      </c>
      <c r="G207" s="129" t="s">
        <v>1096</v>
      </c>
    </row>
    <row r="208" spans="2:13">
      <c r="B208" s="838" t="s">
        <v>433</v>
      </c>
      <c r="C208" s="839"/>
      <c r="D208" s="120"/>
      <c r="E208" s="121"/>
      <c r="F208" s="120"/>
      <c r="G208" s="346">
        <f>SUM(D208:F208)</f>
        <v>0</v>
      </c>
    </row>
    <row r="209" spans="2:7" ht="7.5" hidden="1" customHeight="1">
      <c r="B209" s="840"/>
      <c r="C209" s="841"/>
      <c r="D209" s="163"/>
      <c r="E209" s="164"/>
      <c r="F209" s="163"/>
      <c r="G209" s="347"/>
    </row>
    <row r="210" spans="2:7">
      <c r="B210" s="842" t="s">
        <v>434</v>
      </c>
      <c r="C210" s="843"/>
      <c r="D210" s="118"/>
      <c r="E210" s="118"/>
      <c r="F210" s="118"/>
      <c r="G210" s="331">
        <f>SUM(D210:F210)</f>
        <v>0</v>
      </c>
    </row>
    <row r="211" spans="2:7">
      <c r="B211" s="842" t="s">
        <v>522</v>
      </c>
      <c r="C211" s="843"/>
      <c r="D211" s="118"/>
      <c r="E211" s="118"/>
      <c r="F211" s="118"/>
      <c r="G211" s="331">
        <f>SUM(D211:F211)</f>
        <v>0</v>
      </c>
    </row>
    <row r="212" spans="2:7" ht="6" hidden="1" customHeight="1">
      <c r="B212" s="844"/>
      <c r="C212" s="845"/>
      <c r="D212" s="122"/>
      <c r="E212" s="122"/>
      <c r="F212" s="122"/>
      <c r="G212" s="348"/>
    </row>
    <row r="213" spans="2:7">
      <c r="B213" s="846" t="s">
        <v>881</v>
      </c>
      <c r="C213" s="847"/>
      <c r="D213" s="334">
        <f>D210</f>
        <v>0</v>
      </c>
      <c r="E213" s="334">
        <f>E210</f>
        <v>0</v>
      </c>
      <c r="F213" s="334">
        <f>F210</f>
        <v>0</v>
      </c>
      <c r="G213" s="334">
        <f>G210</f>
        <v>0</v>
      </c>
    </row>
    <row r="216" spans="2:7" ht="15">
      <c r="B216" s="131"/>
      <c r="C216" s="827" t="s">
        <v>908</v>
      </c>
      <c r="D216" s="827"/>
      <c r="E216" s="827"/>
      <c r="F216" s="827"/>
      <c r="G216" s="28"/>
    </row>
    <row r="217" spans="2:7">
      <c r="B217" s="551" t="s">
        <v>461</v>
      </c>
      <c r="C217" s="554" t="s">
        <v>137</v>
      </c>
      <c r="D217" s="554" t="s">
        <v>462</v>
      </c>
      <c r="E217" s="554" t="s">
        <v>570</v>
      </c>
      <c r="F217" s="554" t="s">
        <v>486</v>
      </c>
    </row>
    <row r="218" spans="2:7">
      <c r="B218" s="68" t="s">
        <v>249</v>
      </c>
      <c r="C218" s="173" t="s">
        <v>251</v>
      </c>
      <c r="D218" s="323">
        <f>D219+D220</f>
        <v>0</v>
      </c>
      <c r="E218" s="323">
        <f>E219+E220</f>
        <v>0</v>
      </c>
      <c r="F218" s="323">
        <f>D218-E218</f>
        <v>0</v>
      </c>
    </row>
    <row r="219" spans="2:7">
      <c r="B219" s="36" t="s">
        <v>18</v>
      </c>
      <c r="C219" s="174" t="s">
        <v>19</v>
      </c>
      <c r="D219" s="104"/>
      <c r="E219" s="104"/>
      <c r="F219" s="323">
        <f t="shared" ref="F219:F241" si="3">D219-E219</f>
        <v>0</v>
      </c>
    </row>
    <row r="220" spans="2:7">
      <c r="B220" s="36" t="s">
        <v>20</v>
      </c>
      <c r="C220" s="174" t="s">
        <v>21</v>
      </c>
      <c r="D220" s="104"/>
      <c r="E220" s="104"/>
      <c r="F220" s="323">
        <f t="shared" si="3"/>
        <v>0</v>
      </c>
    </row>
    <row r="221" spans="2:7">
      <c r="B221" s="33" t="s">
        <v>52</v>
      </c>
      <c r="C221" s="173" t="s">
        <v>467</v>
      </c>
      <c r="D221" s="104"/>
      <c r="E221" s="104"/>
      <c r="F221" s="323">
        <f t="shared" si="3"/>
        <v>0</v>
      </c>
    </row>
    <row r="222" spans="2:7">
      <c r="B222" s="33" t="s">
        <v>54</v>
      </c>
      <c r="C222" s="173" t="s">
        <v>468</v>
      </c>
      <c r="D222" s="323">
        <f>SUM(D223:D224)</f>
        <v>0</v>
      </c>
      <c r="E222" s="323">
        <f>SUM(E223:E224)</f>
        <v>0</v>
      </c>
      <c r="F222" s="323">
        <f t="shared" si="3"/>
        <v>0</v>
      </c>
    </row>
    <row r="223" spans="2:7">
      <c r="B223" s="36" t="s">
        <v>93</v>
      </c>
      <c r="C223" s="174" t="s">
        <v>253</v>
      </c>
      <c r="D223" s="104"/>
      <c r="E223" s="104"/>
      <c r="F223" s="324">
        <f t="shared" si="3"/>
        <v>0</v>
      </c>
    </row>
    <row r="224" spans="2:7">
      <c r="B224" s="36" t="s">
        <v>250</v>
      </c>
      <c r="C224" s="174" t="s">
        <v>252</v>
      </c>
      <c r="D224" s="104"/>
      <c r="E224" s="104"/>
      <c r="F224" s="324">
        <f t="shared" si="3"/>
        <v>0</v>
      </c>
    </row>
    <row r="225" spans="2:6">
      <c r="B225" s="33" t="s">
        <v>56</v>
      </c>
      <c r="C225" s="173" t="s">
        <v>469</v>
      </c>
      <c r="D225" s="323">
        <f>SUM(D226:D231)</f>
        <v>0</v>
      </c>
      <c r="E225" s="323">
        <f>SUM(E226:E231)</f>
        <v>0</v>
      </c>
      <c r="F225" s="323">
        <f t="shared" si="3"/>
        <v>0</v>
      </c>
    </row>
    <row r="226" spans="2:6">
      <c r="B226" s="36" t="s">
        <v>94</v>
      </c>
      <c r="C226" s="174" t="s">
        <v>253</v>
      </c>
      <c r="D226" s="103"/>
      <c r="E226" s="103"/>
      <c r="F226" s="324">
        <f t="shared" si="3"/>
        <v>0</v>
      </c>
    </row>
    <row r="227" spans="2:6">
      <c r="B227" s="36" t="s">
        <v>463</v>
      </c>
      <c r="C227" s="174" t="s">
        <v>470</v>
      </c>
      <c r="D227" s="103"/>
      <c r="E227" s="103"/>
      <c r="F227" s="324">
        <f t="shared" si="3"/>
        <v>0</v>
      </c>
    </row>
    <row r="228" spans="2:6">
      <c r="B228" s="36" t="s">
        <v>464</v>
      </c>
      <c r="C228" s="174" t="s">
        <v>471</v>
      </c>
      <c r="D228" s="103"/>
      <c r="E228" s="103"/>
      <c r="F228" s="324">
        <f t="shared" si="3"/>
        <v>0</v>
      </c>
    </row>
    <row r="229" spans="2:6">
      <c r="B229" s="36" t="s">
        <v>465</v>
      </c>
      <c r="C229" s="174" t="s">
        <v>472</v>
      </c>
      <c r="D229" s="103"/>
      <c r="E229" s="103"/>
      <c r="F229" s="324">
        <f t="shared" si="3"/>
        <v>0</v>
      </c>
    </row>
    <row r="230" spans="2:6">
      <c r="B230" s="36" t="s">
        <v>466</v>
      </c>
      <c r="C230" s="174" t="s">
        <v>473</v>
      </c>
      <c r="D230" s="103"/>
      <c r="E230" s="103"/>
      <c r="F230" s="324">
        <f t="shared" si="3"/>
        <v>0</v>
      </c>
    </row>
    <row r="231" spans="2:6">
      <c r="B231" s="36" t="s">
        <v>267</v>
      </c>
      <c r="C231" s="174" t="s">
        <v>252</v>
      </c>
      <c r="D231" s="103"/>
      <c r="E231" s="103"/>
      <c r="F231" s="324">
        <f t="shared" si="3"/>
        <v>0</v>
      </c>
    </row>
    <row r="232" spans="2:6">
      <c r="B232" s="33" t="s">
        <v>58</v>
      </c>
      <c r="C232" s="173" t="s">
        <v>523</v>
      </c>
      <c r="D232" s="323">
        <f>SUM(D233:D240)</f>
        <v>0</v>
      </c>
      <c r="E232" s="323">
        <f>SUM(E233:E240)</f>
        <v>0</v>
      </c>
      <c r="F232" s="323">
        <f t="shared" si="3"/>
        <v>0</v>
      </c>
    </row>
    <row r="233" spans="2:6">
      <c r="B233" s="36" t="s">
        <v>95</v>
      </c>
      <c r="C233" s="174" t="s">
        <v>253</v>
      </c>
      <c r="D233" s="103"/>
      <c r="E233" s="103"/>
      <c r="F233" s="324">
        <f t="shared" si="3"/>
        <v>0</v>
      </c>
    </row>
    <row r="234" spans="2:6">
      <c r="B234" s="36" t="s">
        <v>524</v>
      </c>
      <c r="C234" s="174" t="s">
        <v>470</v>
      </c>
      <c r="D234" s="103"/>
      <c r="E234" s="103"/>
      <c r="F234" s="324">
        <f t="shared" si="3"/>
        <v>0</v>
      </c>
    </row>
    <row r="235" spans="2:6">
      <c r="B235" s="36" t="s">
        <v>525</v>
      </c>
      <c r="C235" s="174" t="s">
        <v>471</v>
      </c>
      <c r="D235" s="103"/>
      <c r="E235" s="103"/>
      <c r="F235" s="324">
        <f t="shared" si="3"/>
        <v>0</v>
      </c>
    </row>
    <row r="236" spans="2:6">
      <c r="B236" s="36" t="s">
        <v>526</v>
      </c>
      <c r="C236" s="174" t="s">
        <v>473</v>
      </c>
      <c r="D236" s="103"/>
      <c r="E236" s="103"/>
      <c r="F236" s="324">
        <f t="shared" si="3"/>
        <v>0</v>
      </c>
    </row>
    <row r="237" spans="2:6">
      <c r="B237" s="36" t="s">
        <v>527</v>
      </c>
      <c r="C237" s="174" t="s">
        <v>252</v>
      </c>
      <c r="D237" s="103"/>
      <c r="E237" s="103"/>
      <c r="F237" s="324">
        <f t="shared" si="3"/>
        <v>0</v>
      </c>
    </row>
    <row r="238" spans="2:6">
      <c r="B238" s="36"/>
      <c r="C238" s="174" t="s">
        <v>528</v>
      </c>
      <c r="D238" s="103"/>
      <c r="E238" s="103"/>
      <c r="F238" s="324">
        <f t="shared" si="3"/>
        <v>0</v>
      </c>
    </row>
    <row r="239" spans="2:6">
      <c r="B239" s="36" t="s">
        <v>96</v>
      </c>
      <c r="C239" s="174" t="s">
        <v>253</v>
      </c>
      <c r="D239" s="103"/>
      <c r="E239" s="103"/>
      <c r="F239" s="324">
        <f t="shared" si="3"/>
        <v>0</v>
      </c>
    </row>
    <row r="240" spans="2:6">
      <c r="B240" s="69" t="s">
        <v>529</v>
      </c>
      <c r="C240" s="177" t="s">
        <v>252</v>
      </c>
      <c r="D240" s="103"/>
      <c r="E240" s="103"/>
      <c r="F240" s="324">
        <f t="shared" si="3"/>
        <v>0</v>
      </c>
    </row>
    <row r="241" spans="2:6">
      <c r="D241" s="349">
        <f>D218+D222+D225+D232</f>
        <v>0</v>
      </c>
      <c r="E241" s="349">
        <f>E218+E222+E225+E232</f>
        <v>0</v>
      </c>
      <c r="F241" s="349">
        <f t="shared" si="3"/>
        <v>0</v>
      </c>
    </row>
    <row r="245" spans="2:6" ht="15">
      <c r="B245" s="131"/>
      <c r="C245" s="827" t="s">
        <v>909</v>
      </c>
      <c r="D245" s="827"/>
      <c r="E245" s="827"/>
      <c r="F245" s="28"/>
    </row>
    <row r="246" spans="2:6">
      <c r="B246" s="551" t="s">
        <v>461</v>
      </c>
      <c r="C246" s="554" t="s">
        <v>137</v>
      </c>
      <c r="D246" s="70" t="s">
        <v>419</v>
      </c>
      <c r="E246" s="71" t="s">
        <v>420</v>
      </c>
      <c r="F246" s="43"/>
    </row>
    <row r="247" spans="2:6">
      <c r="B247" s="72"/>
      <c r="C247" s="186" t="s">
        <v>421</v>
      </c>
      <c r="D247" s="73"/>
      <c r="E247" s="73"/>
      <c r="F247" s="64"/>
    </row>
    <row r="248" spans="2:6">
      <c r="B248" s="74" t="s">
        <v>87</v>
      </c>
      <c r="C248" s="187" t="s">
        <v>422</v>
      </c>
      <c r="D248" s="123">
        <v>36542538</v>
      </c>
      <c r="E248" s="123"/>
      <c r="F248" s="44"/>
    </row>
    <row r="249" spans="2:6">
      <c r="B249" s="36" t="s">
        <v>84</v>
      </c>
      <c r="C249" s="174" t="s">
        <v>423</v>
      </c>
      <c r="D249" s="123"/>
      <c r="E249" s="103"/>
      <c r="F249" s="44"/>
    </row>
    <row r="250" spans="2:6">
      <c r="B250" s="75">
        <v>770</v>
      </c>
      <c r="C250" s="188" t="s">
        <v>424</v>
      </c>
      <c r="D250" s="124"/>
      <c r="E250" s="124"/>
      <c r="F250" s="64"/>
    </row>
    <row r="251" spans="2:6">
      <c r="B251" s="76"/>
      <c r="C251" s="189" t="s">
        <v>425</v>
      </c>
      <c r="D251" s="77"/>
      <c r="E251" s="77"/>
      <c r="F251" s="44"/>
    </row>
    <row r="252" spans="2:6">
      <c r="B252" s="68">
        <v>772</v>
      </c>
      <c r="C252" s="190" t="s">
        <v>138</v>
      </c>
      <c r="D252" s="125"/>
      <c r="E252" s="125"/>
      <c r="F252" s="64"/>
    </row>
    <row r="253" spans="2:6">
      <c r="B253" s="36">
        <v>773</v>
      </c>
      <c r="C253" s="174" t="s">
        <v>530</v>
      </c>
      <c r="D253" s="103"/>
      <c r="E253" s="103"/>
      <c r="F253" s="44"/>
    </row>
    <row r="254" spans="2:6">
      <c r="B254" s="36">
        <v>774</v>
      </c>
      <c r="C254" s="174" t="s">
        <v>158</v>
      </c>
      <c r="D254" s="103"/>
      <c r="E254" s="103"/>
      <c r="F254" s="44"/>
    </row>
    <row r="255" spans="2:6">
      <c r="B255" s="36">
        <v>776</v>
      </c>
      <c r="C255" s="174" t="s">
        <v>426</v>
      </c>
      <c r="D255" s="103"/>
      <c r="E255" s="103"/>
      <c r="F255" s="44"/>
    </row>
    <row r="256" spans="2:6">
      <c r="B256" s="69">
        <v>777</v>
      </c>
      <c r="C256" s="177" t="s">
        <v>427</v>
      </c>
      <c r="D256" s="126"/>
      <c r="E256" s="126"/>
      <c r="F256" s="44"/>
    </row>
    <row r="257" spans="2:11">
      <c r="B257" s="76"/>
      <c r="C257" s="189" t="s">
        <v>428</v>
      </c>
      <c r="D257" s="77"/>
      <c r="E257" s="77"/>
      <c r="F257" s="44"/>
    </row>
    <row r="258" spans="2:11">
      <c r="B258" s="74">
        <v>776</v>
      </c>
      <c r="C258" s="187" t="s">
        <v>429</v>
      </c>
      <c r="D258" s="123"/>
      <c r="E258" s="123"/>
      <c r="F258" s="53"/>
    </row>
    <row r="259" spans="2:11">
      <c r="B259" s="33">
        <v>778</v>
      </c>
      <c r="C259" s="173" t="s">
        <v>430</v>
      </c>
      <c r="D259" s="127"/>
      <c r="E259" s="127"/>
      <c r="F259" s="139"/>
      <c r="G259" s="19"/>
    </row>
    <row r="260" spans="2:11">
      <c r="B260" s="69">
        <v>779</v>
      </c>
      <c r="C260" s="177" t="s">
        <v>431</v>
      </c>
      <c r="D260" s="126"/>
      <c r="E260" s="126"/>
      <c r="F260" s="44"/>
    </row>
    <row r="263" spans="2:11" ht="15">
      <c r="B263" s="131"/>
      <c r="C263" s="827" t="s">
        <v>910</v>
      </c>
      <c r="D263" s="827"/>
      <c r="E263" s="827"/>
      <c r="F263" s="827"/>
      <c r="G263" s="827"/>
      <c r="H263" s="827"/>
      <c r="I263" s="827"/>
      <c r="J263" s="827"/>
      <c r="K263" s="827"/>
    </row>
    <row r="264" spans="2:11">
      <c r="B264" s="828" t="s">
        <v>531</v>
      </c>
      <c r="C264" s="829"/>
      <c r="D264" s="832" t="s">
        <v>532</v>
      </c>
      <c r="E264" s="834" t="s">
        <v>533</v>
      </c>
      <c r="F264" s="835"/>
      <c r="G264" s="834" t="s">
        <v>534</v>
      </c>
      <c r="H264" s="835"/>
      <c r="I264" s="836" t="s">
        <v>535</v>
      </c>
      <c r="J264" s="836" t="s">
        <v>1110</v>
      </c>
      <c r="K264" s="836" t="s">
        <v>536</v>
      </c>
    </row>
    <row r="265" spans="2:11" ht="19.5" customHeight="1">
      <c r="B265" s="830"/>
      <c r="C265" s="831"/>
      <c r="D265" s="833"/>
      <c r="E265" s="153" t="s">
        <v>537</v>
      </c>
      <c r="F265" s="557" t="s">
        <v>538</v>
      </c>
      <c r="G265" s="142" t="s">
        <v>539</v>
      </c>
      <c r="H265" s="142" t="s">
        <v>540</v>
      </c>
      <c r="I265" s="837"/>
      <c r="J265" s="837"/>
      <c r="K265" s="837"/>
    </row>
    <row r="266" spans="2:11">
      <c r="B266" s="825"/>
      <c r="C266" s="826"/>
      <c r="D266" s="149"/>
      <c r="E266" s="150"/>
      <c r="F266" s="148"/>
      <c r="G266" s="150"/>
      <c r="H266" s="150"/>
      <c r="I266" s="147"/>
      <c r="J266" s="147"/>
      <c r="K266" s="350">
        <f>J266-I266</f>
        <v>0</v>
      </c>
    </row>
    <row r="267" spans="2:11">
      <c r="B267" s="823"/>
      <c r="C267" s="824"/>
      <c r="D267" s="149"/>
      <c r="E267" s="150"/>
      <c r="F267" s="148"/>
      <c r="G267" s="150"/>
      <c r="H267" s="150"/>
      <c r="I267" s="147"/>
      <c r="J267" s="147"/>
      <c r="K267" s="351">
        <f t="shared" ref="K267:K278" si="4">J267-I267</f>
        <v>0</v>
      </c>
    </row>
    <row r="268" spans="2:11">
      <c r="B268" s="823"/>
      <c r="C268" s="824"/>
      <c r="D268" s="149"/>
      <c r="E268" s="150"/>
      <c r="F268" s="148"/>
      <c r="G268" s="150"/>
      <c r="H268" s="150"/>
      <c r="I268" s="147"/>
      <c r="J268" s="147"/>
      <c r="K268" s="350">
        <f t="shared" si="4"/>
        <v>0</v>
      </c>
    </row>
    <row r="269" spans="2:11">
      <c r="B269" s="823"/>
      <c r="C269" s="824"/>
      <c r="D269" s="149"/>
      <c r="E269" s="150"/>
      <c r="F269" s="148"/>
      <c r="G269" s="150"/>
      <c r="H269" s="150"/>
      <c r="I269" s="147"/>
      <c r="J269" s="147"/>
      <c r="K269" s="350">
        <f t="shared" si="4"/>
        <v>0</v>
      </c>
    </row>
    <row r="270" spans="2:11">
      <c r="B270" s="823"/>
      <c r="C270" s="824"/>
      <c r="D270" s="149"/>
      <c r="E270" s="150"/>
      <c r="F270" s="148"/>
      <c r="G270" s="150"/>
      <c r="H270" s="150"/>
      <c r="I270" s="147"/>
      <c r="J270" s="147"/>
      <c r="K270" s="350">
        <f t="shared" si="4"/>
        <v>0</v>
      </c>
    </row>
    <row r="271" spans="2:11">
      <c r="B271" s="823"/>
      <c r="C271" s="824"/>
      <c r="D271" s="149"/>
      <c r="E271" s="150"/>
      <c r="F271" s="148"/>
      <c r="G271" s="150"/>
      <c r="H271" s="150"/>
      <c r="I271" s="147"/>
      <c r="J271" s="147"/>
      <c r="K271" s="350">
        <f t="shared" si="4"/>
        <v>0</v>
      </c>
    </row>
    <row r="272" spans="2:11">
      <c r="B272" s="823"/>
      <c r="C272" s="824"/>
      <c r="D272" s="149"/>
      <c r="E272" s="150"/>
      <c r="F272" s="148"/>
      <c r="G272" s="150"/>
      <c r="H272" s="150"/>
      <c r="I272" s="147"/>
      <c r="J272" s="147"/>
      <c r="K272" s="350">
        <f t="shared" si="4"/>
        <v>0</v>
      </c>
    </row>
    <row r="273" spans="2:11">
      <c r="B273" s="823"/>
      <c r="C273" s="824"/>
      <c r="D273" s="149"/>
      <c r="E273" s="150"/>
      <c r="F273" s="148"/>
      <c r="G273" s="150"/>
      <c r="H273" s="150"/>
      <c r="I273" s="147"/>
      <c r="J273" s="147"/>
      <c r="K273" s="350">
        <f t="shared" si="4"/>
        <v>0</v>
      </c>
    </row>
    <row r="274" spans="2:11">
      <c r="B274" s="823"/>
      <c r="C274" s="824"/>
      <c r="D274" s="149"/>
      <c r="E274" s="150"/>
      <c r="F274" s="148"/>
      <c r="G274" s="150"/>
      <c r="H274" s="150"/>
      <c r="I274" s="147"/>
      <c r="J274" s="147"/>
      <c r="K274" s="350">
        <f t="shared" si="4"/>
        <v>0</v>
      </c>
    </row>
    <row r="275" spans="2:11">
      <c r="B275" s="823"/>
      <c r="C275" s="824"/>
      <c r="D275" s="149"/>
      <c r="E275" s="150"/>
      <c r="F275" s="148"/>
      <c r="G275" s="150"/>
      <c r="H275" s="150"/>
      <c r="I275" s="147"/>
      <c r="J275" s="147"/>
      <c r="K275" s="350">
        <f t="shared" si="4"/>
        <v>0</v>
      </c>
    </row>
    <row r="276" spans="2:11">
      <c r="B276" s="823"/>
      <c r="C276" s="824"/>
      <c r="D276" s="149"/>
      <c r="E276" s="150"/>
      <c r="F276" s="148"/>
      <c r="G276" s="150"/>
      <c r="H276" s="150"/>
      <c r="I276" s="147"/>
      <c r="J276" s="147"/>
      <c r="K276" s="350">
        <f t="shared" si="4"/>
        <v>0</v>
      </c>
    </row>
    <row r="277" spans="2:11">
      <c r="B277" s="823"/>
      <c r="C277" s="824"/>
      <c r="D277" s="149"/>
      <c r="E277" s="150"/>
      <c r="F277" s="148"/>
      <c r="G277" s="150"/>
      <c r="H277" s="150"/>
      <c r="I277" s="147"/>
      <c r="J277" s="147"/>
      <c r="K277" s="350">
        <f t="shared" si="4"/>
        <v>0</v>
      </c>
    </row>
    <row r="278" spans="2:11">
      <c r="B278" s="820" t="s">
        <v>881</v>
      </c>
      <c r="C278" s="821"/>
      <c r="D278" s="821"/>
      <c r="E278" s="821"/>
      <c r="F278" s="821"/>
      <c r="G278" s="821"/>
      <c r="H278" s="822"/>
      <c r="I278" s="349">
        <f>SUM(I266:I277)</f>
        <v>0</v>
      </c>
      <c r="J278" s="349">
        <f>SUM(J266:J277)</f>
        <v>0</v>
      </c>
      <c r="K278" s="352">
        <f t="shared" si="4"/>
        <v>0</v>
      </c>
    </row>
  </sheetData>
  <sheetProtection password="D15A" sheet="1" objects="1" scenarios="1" selectLockedCells="1"/>
  <mergeCells count="180">
    <mergeCell ref="B31:C31"/>
    <mergeCell ref="B32:C32"/>
    <mergeCell ref="B33:C33"/>
    <mergeCell ref="B34:C34"/>
    <mergeCell ref="B35:C35"/>
    <mergeCell ref="B36:C36"/>
    <mergeCell ref="B2:J2"/>
    <mergeCell ref="C5:E5"/>
    <mergeCell ref="C27:G27"/>
    <mergeCell ref="B28:C28"/>
    <mergeCell ref="B29:C29"/>
    <mergeCell ref="B30:C30"/>
    <mergeCell ref="C56:H56"/>
    <mergeCell ref="B57:C58"/>
    <mergeCell ref="D57:D58"/>
    <mergeCell ref="E57:E58"/>
    <mergeCell ref="F57:G57"/>
    <mergeCell ref="H57:H58"/>
    <mergeCell ref="C39:F39"/>
    <mergeCell ref="B40:B41"/>
    <mergeCell ref="C40:C41"/>
    <mergeCell ref="D40:D41"/>
    <mergeCell ref="E40:F40"/>
    <mergeCell ref="B53:C53"/>
    <mergeCell ref="B65:C65"/>
    <mergeCell ref="B66:C66"/>
    <mergeCell ref="B67:C67"/>
    <mergeCell ref="B68:C68"/>
    <mergeCell ref="B69:C69"/>
    <mergeCell ref="B70:D70"/>
    <mergeCell ref="B59:C59"/>
    <mergeCell ref="B60:C60"/>
    <mergeCell ref="B61:C61"/>
    <mergeCell ref="B62:C62"/>
    <mergeCell ref="B63:C63"/>
    <mergeCell ref="B64:C64"/>
    <mergeCell ref="B78:C78"/>
    <mergeCell ref="B79:C79"/>
    <mergeCell ref="B80:C80"/>
    <mergeCell ref="B81:C81"/>
    <mergeCell ref="B82:C82"/>
    <mergeCell ref="B83:C83"/>
    <mergeCell ref="C73:K73"/>
    <mergeCell ref="B74:C75"/>
    <mergeCell ref="D74:J74"/>
    <mergeCell ref="K74:K75"/>
    <mergeCell ref="B76:C76"/>
    <mergeCell ref="B77:C77"/>
    <mergeCell ref="B94:C94"/>
    <mergeCell ref="C97:D97"/>
    <mergeCell ref="B98:C98"/>
    <mergeCell ref="B99:C99"/>
    <mergeCell ref="B100:C100"/>
    <mergeCell ref="B101:C101"/>
    <mergeCell ref="C86:H86"/>
    <mergeCell ref="B87:C88"/>
    <mergeCell ref="B89:C89"/>
    <mergeCell ref="B91:C91"/>
    <mergeCell ref="B92:C92"/>
    <mergeCell ref="B93:C93"/>
    <mergeCell ref="B108:C108"/>
    <mergeCell ref="B109:C109"/>
    <mergeCell ref="B110:C110"/>
    <mergeCell ref="B111:C111"/>
    <mergeCell ref="B112:C112"/>
    <mergeCell ref="B113:C113"/>
    <mergeCell ref="B102:C102"/>
    <mergeCell ref="B103:C103"/>
    <mergeCell ref="B104:C104"/>
    <mergeCell ref="B105:C105"/>
    <mergeCell ref="B106:C106"/>
    <mergeCell ref="B107:C107"/>
    <mergeCell ref="B122:C122"/>
    <mergeCell ref="C125:G125"/>
    <mergeCell ref="B177:D177"/>
    <mergeCell ref="C180:M180"/>
    <mergeCell ref="B181:D181"/>
    <mergeCell ref="F181:H181"/>
    <mergeCell ref="J181:L181"/>
    <mergeCell ref="B114:C114"/>
    <mergeCell ref="B115:C115"/>
    <mergeCell ref="C118:D118"/>
    <mergeCell ref="B119:C119"/>
    <mergeCell ref="B120:C120"/>
    <mergeCell ref="B121:C121"/>
    <mergeCell ref="B184:D184"/>
    <mergeCell ref="F184:H184"/>
    <mergeCell ref="J184:L184"/>
    <mergeCell ref="B185:D185"/>
    <mergeCell ref="F185:H185"/>
    <mergeCell ref="J185:L185"/>
    <mergeCell ref="B182:D182"/>
    <mergeCell ref="F182:H182"/>
    <mergeCell ref="J182:L182"/>
    <mergeCell ref="B183:D183"/>
    <mergeCell ref="F183:H183"/>
    <mergeCell ref="J183:L183"/>
    <mergeCell ref="B188:D188"/>
    <mergeCell ref="F188:H188"/>
    <mergeCell ref="J188:L188"/>
    <mergeCell ref="B189:D189"/>
    <mergeCell ref="F189:H189"/>
    <mergeCell ref="J189:L189"/>
    <mergeCell ref="B186:D186"/>
    <mergeCell ref="F186:H186"/>
    <mergeCell ref="J186:L186"/>
    <mergeCell ref="B187:D187"/>
    <mergeCell ref="F187:H187"/>
    <mergeCell ref="J187:L187"/>
    <mergeCell ref="B192:D192"/>
    <mergeCell ref="F192:H192"/>
    <mergeCell ref="J192:L192"/>
    <mergeCell ref="B193:D193"/>
    <mergeCell ref="F193:H193"/>
    <mergeCell ref="J193:L193"/>
    <mergeCell ref="B190:D190"/>
    <mergeCell ref="F190:H190"/>
    <mergeCell ref="J190:L190"/>
    <mergeCell ref="B191:D191"/>
    <mergeCell ref="F191:H191"/>
    <mergeCell ref="J191:L191"/>
    <mergeCell ref="B196:D196"/>
    <mergeCell ref="F196:H196"/>
    <mergeCell ref="J196:L196"/>
    <mergeCell ref="B197:D197"/>
    <mergeCell ref="F197:H197"/>
    <mergeCell ref="J197:L197"/>
    <mergeCell ref="B194:D194"/>
    <mergeCell ref="F194:H194"/>
    <mergeCell ref="J194:L194"/>
    <mergeCell ref="B195:D195"/>
    <mergeCell ref="F195:H195"/>
    <mergeCell ref="J195:L195"/>
    <mergeCell ref="B200:D200"/>
    <mergeCell ref="F200:H200"/>
    <mergeCell ref="J200:L200"/>
    <mergeCell ref="B201:D201"/>
    <mergeCell ref="F201:H201"/>
    <mergeCell ref="J201:L201"/>
    <mergeCell ref="B198:D198"/>
    <mergeCell ref="F198:H198"/>
    <mergeCell ref="J198:L198"/>
    <mergeCell ref="B199:D199"/>
    <mergeCell ref="F199:H199"/>
    <mergeCell ref="J199:L199"/>
    <mergeCell ref="B208:C208"/>
    <mergeCell ref="B209:C209"/>
    <mergeCell ref="B210:C210"/>
    <mergeCell ref="B211:C211"/>
    <mergeCell ref="B212:C212"/>
    <mergeCell ref="B213:C213"/>
    <mergeCell ref="B202:D202"/>
    <mergeCell ref="F202:H202"/>
    <mergeCell ref="J202:L202"/>
    <mergeCell ref="B203:D203"/>
    <mergeCell ref="C206:G206"/>
    <mergeCell ref="B207:C207"/>
    <mergeCell ref="C216:F216"/>
    <mergeCell ref="C245:E245"/>
    <mergeCell ref="C263:K263"/>
    <mergeCell ref="B264:C265"/>
    <mergeCell ref="D264:D265"/>
    <mergeCell ref="E264:F264"/>
    <mergeCell ref="G264:H264"/>
    <mergeCell ref="I264:I265"/>
    <mergeCell ref="J264:J265"/>
    <mergeCell ref="K264:K265"/>
    <mergeCell ref="B278:H278"/>
    <mergeCell ref="B272:C272"/>
    <mergeCell ref="B273:C273"/>
    <mergeCell ref="B274:C274"/>
    <mergeCell ref="B275:C275"/>
    <mergeCell ref="B276:C276"/>
    <mergeCell ref="B277:C277"/>
    <mergeCell ref="B266:C266"/>
    <mergeCell ref="B267:C267"/>
    <mergeCell ref="B268:C268"/>
    <mergeCell ref="B269:C269"/>
    <mergeCell ref="B270:C270"/>
    <mergeCell ref="B271:C27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enableFormatConditionsCalculation="0">
    <tabColor theme="7" tint="0.39997558519241921"/>
  </sheetPr>
  <dimension ref="A1:D115"/>
  <sheetViews>
    <sheetView showGridLines="0" zoomScale="80" zoomScaleNormal="80" zoomScalePageLayoutView="80" workbookViewId="0">
      <pane ySplit="1" topLeftCell="A2" activePane="bottomLeft" state="frozen"/>
      <selection activeCell="C38" sqref="C38"/>
      <selection pane="bottomLeft" activeCell="D9" sqref="D9"/>
    </sheetView>
  </sheetViews>
  <sheetFormatPr baseColWidth="10" defaultColWidth="10.83203125" defaultRowHeight="14" x14ac:dyDescent="0"/>
  <cols>
    <col min="1" max="1" width="9.6640625" style="79" customWidth="1"/>
    <col min="2" max="2" width="98.5" style="674" customWidth="1"/>
    <col min="3" max="4" width="29.5" style="674" customWidth="1"/>
    <col min="5" max="16384" width="10.83203125" style="674"/>
  </cols>
  <sheetData>
    <row r="1" spans="1:4" s="675" customFormat="1" ht="28">
      <c r="A1" s="208" t="s">
        <v>1502</v>
      </c>
      <c r="B1" s="678" t="s">
        <v>2045</v>
      </c>
      <c r="C1" s="681" t="str">
        <f>'Ratio prudentiel'!C6</f>
        <v>Montant N-1</v>
      </c>
      <c r="D1" s="681" t="str">
        <f>'Ratio prudentiel'!D6</f>
        <v>Montant N</v>
      </c>
    </row>
    <row r="2" spans="1:4" ht="15" customHeight="1">
      <c r="A2" s="578"/>
      <c r="B2" s="578"/>
      <c r="C2" s="578"/>
      <c r="D2" s="578"/>
    </row>
    <row r="3" spans="1:4" ht="15" customHeight="1">
      <c r="A3" s="922" t="s">
        <v>1501</v>
      </c>
      <c r="B3" s="922"/>
      <c r="C3" s="922"/>
      <c r="D3" s="922"/>
    </row>
    <row r="4" spans="1:4" s="675" customFormat="1" ht="15" customHeight="1">
      <c r="A4" s="225"/>
      <c r="B4" s="213"/>
      <c r="C4" s="313"/>
      <c r="D4" s="313"/>
    </row>
    <row r="5" spans="1:4" ht="28">
      <c r="A5" s="208" t="s">
        <v>1502</v>
      </c>
      <c r="B5" s="676" t="s">
        <v>1503</v>
      </c>
      <c r="C5" s="210"/>
      <c r="D5" s="210"/>
    </row>
    <row r="6" spans="1:4" ht="15" customHeight="1">
      <c r="A6" s="225"/>
      <c r="B6" s="213"/>
      <c r="C6" s="313"/>
      <c r="D6" s="313"/>
    </row>
    <row r="7" spans="1:4" ht="15" customHeight="1">
      <c r="A7" s="229" t="s">
        <v>23</v>
      </c>
      <c r="B7" s="230" t="s">
        <v>1505</v>
      </c>
      <c r="C7" s="532"/>
      <c r="D7" s="532"/>
    </row>
    <row r="8" spans="1:4" ht="15" customHeight="1">
      <c r="A8" s="229" t="s">
        <v>42</v>
      </c>
      <c r="B8" s="230" t="s">
        <v>1506</v>
      </c>
      <c r="C8" s="532">
        <v>0</v>
      </c>
      <c r="D8" s="532">
        <v>0</v>
      </c>
    </row>
    <row r="9" spans="1:4" ht="15" customHeight="1">
      <c r="A9" s="229" t="s">
        <v>26</v>
      </c>
      <c r="B9" s="230" t="s">
        <v>1507</v>
      </c>
      <c r="C9" s="532"/>
      <c r="D9" s="532"/>
    </row>
    <row r="10" spans="1:4" ht="15" customHeight="1">
      <c r="A10" s="229" t="s">
        <v>31</v>
      </c>
      <c r="B10" s="230" t="s">
        <v>1508</v>
      </c>
      <c r="C10" s="532"/>
      <c r="D10" s="532"/>
    </row>
    <row r="11" spans="1:4" ht="15" customHeight="1">
      <c r="A11" s="229" t="s">
        <v>28</v>
      </c>
      <c r="B11" s="230" t="s">
        <v>1509</v>
      </c>
      <c r="C11" s="532"/>
      <c r="D11" s="532"/>
    </row>
    <row r="12" spans="1:4" ht="15" customHeight="1">
      <c r="A12" s="229" t="s">
        <v>43</v>
      </c>
      <c r="B12" s="230" t="s">
        <v>1510</v>
      </c>
      <c r="C12" s="532">
        <v>33874205</v>
      </c>
      <c r="D12" s="532">
        <v>36542538</v>
      </c>
    </row>
    <row r="13" spans="1:4" ht="15" customHeight="1">
      <c r="A13" s="229" t="s">
        <v>32</v>
      </c>
      <c r="B13" s="230" t="s">
        <v>1511</v>
      </c>
      <c r="C13" s="532"/>
      <c r="D13" s="532"/>
    </row>
    <row r="14" spans="1:4" ht="15" customHeight="1">
      <c r="A14" s="229" t="s">
        <v>33</v>
      </c>
      <c r="B14" s="230" t="s">
        <v>1512</v>
      </c>
      <c r="C14" s="532"/>
      <c r="D14" s="532"/>
    </row>
    <row r="15" spans="1:4" ht="15" customHeight="1">
      <c r="A15" s="229" t="s">
        <v>35</v>
      </c>
      <c r="B15" s="230" t="s">
        <v>1513</v>
      </c>
      <c r="C15" s="532"/>
      <c r="D15" s="532"/>
    </row>
    <row r="16" spans="1:4" s="675" customFormat="1" ht="15" customHeight="1">
      <c r="A16" s="225"/>
      <c r="B16" s="213"/>
      <c r="C16" s="313"/>
      <c r="D16" s="313"/>
    </row>
    <row r="17" spans="1:4" ht="15" customHeight="1">
      <c r="A17" s="232"/>
      <c r="B17" s="676" t="s">
        <v>1514</v>
      </c>
      <c r="C17" s="541"/>
      <c r="D17" s="541"/>
    </row>
    <row r="18" spans="1:4" ht="15" customHeight="1">
      <c r="A18" s="225"/>
      <c r="B18" s="213"/>
      <c r="C18" s="313"/>
      <c r="D18" s="313"/>
    </row>
    <row r="19" spans="1:4" ht="15" customHeight="1">
      <c r="A19" s="229" t="s">
        <v>44</v>
      </c>
      <c r="B19" s="230" t="s">
        <v>45</v>
      </c>
      <c r="C19" s="532"/>
      <c r="D19" s="532"/>
    </row>
    <row r="20" spans="1:4" ht="15" customHeight="1">
      <c r="A20" s="229" t="s">
        <v>46</v>
      </c>
      <c r="B20" s="230" t="s">
        <v>1515</v>
      </c>
      <c r="C20" s="532"/>
      <c r="D20" s="532"/>
    </row>
    <row r="21" spans="1:4" ht="15" customHeight="1">
      <c r="A21" s="229" t="s">
        <v>47</v>
      </c>
      <c r="B21" s="230" t="s">
        <v>48</v>
      </c>
      <c r="C21" s="532"/>
      <c r="D21" s="532"/>
    </row>
    <row r="22" spans="1:4" ht="15" customHeight="1">
      <c r="A22" s="233" t="s">
        <v>231</v>
      </c>
      <c r="B22" s="234" t="s">
        <v>804</v>
      </c>
      <c r="C22" s="532"/>
      <c r="D22" s="532"/>
    </row>
    <row r="23" spans="1:4" ht="15" customHeight="1">
      <c r="A23" s="226" t="s">
        <v>10</v>
      </c>
      <c r="B23" s="227" t="s">
        <v>1517</v>
      </c>
      <c r="C23" s="532">
        <v>41176267</v>
      </c>
      <c r="D23" s="532">
        <v>54121297</v>
      </c>
    </row>
    <row r="24" spans="1:4" ht="15" customHeight="1"/>
    <row r="25" spans="1:4" ht="15" customHeight="1">
      <c r="A25" s="922" t="s">
        <v>1520</v>
      </c>
      <c r="B25" s="922"/>
      <c r="C25" s="922"/>
      <c r="D25" s="922"/>
    </row>
    <row r="26" spans="1:4" s="675" customFormat="1" ht="15" customHeight="1">
      <c r="A26" s="225"/>
      <c r="B26" s="213"/>
      <c r="C26" s="313"/>
      <c r="D26" s="313"/>
    </row>
    <row r="27" spans="1:4" ht="28">
      <c r="A27" s="208" t="s">
        <v>1502</v>
      </c>
      <c r="B27" s="676" t="s">
        <v>1521</v>
      </c>
      <c r="C27" s="210"/>
      <c r="D27" s="210"/>
    </row>
    <row r="28" spans="1:4" ht="15" customHeight="1">
      <c r="A28" s="225"/>
      <c r="B28" s="213"/>
      <c r="C28" s="313"/>
      <c r="D28" s="313"/>
    </row>
    <row r="29" spans="1:4" ht="15" customHeight="1">
      <c r="A29" s="235"/>
      <c r="B29" s="213" t="s">
        <v>60</v>
      </c>
      <c r="C29" s="532">
        <v>169245336</v>
      </c>
      <c r="D29" s="532">
        <v>169172360</v>
      </c>
    </row>
    <row r="30" spans="1:4" ht="15" customHeight="1">
      <c r="A30" s="225"/>
      <c r="B30" s="213"/>
      <c r="C30" s="313"/>
      <c r="D30" s="313"/>
    </row>
    <row r="31" spans="1:4" ht="15" customHeight="1">
      <c r="A31" s="232"/>
      <c r="B31" s="676" t="s">
        <v>1523</v>
      </c>
      <c r="C31" s="541"/>
      <c r="D31" s="541"/>
    </row>
    <row r="32" spans="1:4" ht="15" customHeight="1">
      <c r="A32" s="225"/>
      <c r="B32" s="213"/>
      <c r="C32" s="313"/>
      <c r="D32" s="313"/>
    </row>
    <row r="33" spans="1:4" ht="15.75" customHeight="1">
      <c r="A33" s="235"/>
      <c r="B33" s="213" t="s">
        <v>99</v>
      </c>
      <c r="C33" s="532"/>
      <c r="D33" s="532"/>
    </row>
    <row r="34" spans="1:4" ht="15.75" customHeight="1">
      <c r="A34" s="235"/>
      <c r="B34" s="213" t="s">
        <v>100</v>
      </c>
      <c r="C34" s="532"/>
      <c r="D34" s="532"/>
    </row>
    <row r="36" spans="1:4" ht="18">
      <c r="A36" s="922" t="s">
        <v>1528</v>
      </c>
      <c r="B36" s="922"/>
      <c r="C36" s="922"/>
      <c r="D36" s="922"/>
    </row>
    <row r="37" spans="1:4" s="675" customFormat="1" ht="15" customHeight="1">
      <c r="A37" s="225"/>
      <c r="B37" s="213"/>
      <c r="C37" s="313"/>
      <c r="D37" s="313"/>
    </row>
    <row r="38" spans="1:4" ht="28">
      <c r="A38" s="208" t="s">
        <v>1502</v>
      </c>
      <c r="B38" s="676" t="s">
        <v>1521</v>
      </c>
      <c r="C38" s="210"/>
      <c r="D38" s="210"/>
    </row>
    <row r="39" spans="1:4" s="675" customFormat="1" ht="15" customHeight="1">
      <c r="A39" s="225"/>
      <c r="B39" s="213"/>
      <c r="C39" s="313"/>
      <c r="D39" s="313"/>
    </row>
    <row r="40" spans="1:4" ht="15.75" customHeight="1">
      <c r="A40" s="243"/>
      <c r="B40" s="244" t="s">
        <v>101</v>
      </c>
      <c r="C40" s="312">
        <v>41656415</v>
      </c>
      <c r="D40" s="312">
        <v>38095889</v>
      </c>
    </row>
    <row r="41" spans="1:4">
      <c r="C41" s="80"/>
      <c r="D41" s="80"/>
    </row>
    <row r="42" spans="1:4" ht="18">
      <c r="A42" s="922" t="s">
        <v>1673</v>
      </c>
      <c r="B42" s="922"/>
      <c r="C42" s="922"/>
      <c r="D42" s="922"/>
    </row>
    <row r="43" spans="1:4" s="675" customFormat="1" ht="15" customHeight="1">
      <c r="A43" s="225"/>
      <c r="B43" s="213"/>
      <c r="C43" s="313"/>
      <c r="D43" s="313"/>
    </row>
    <row r="44" spans="1:4" ht="28">
      <c r="A44" s="208" t="s">
        <v>1502</v>
      </c>
      <c r="B44" s="676" t="s">
        <v>1529</v>
      </c>
      <c r="C44" s="210"/>
      <c r="D44" s="210"/>
    </row>
    <row r="45" spans="1:4" ht="15" customHeight="1">
      <c r="A45" s="225"/>
      <c r="B45" s="213"/>
      <c r="C45" s="313"/>
      <c r="D45" s="313"/>
    </row>
    <row r="46" spans="1:4" ht="15.75" customHeight="1">
      <c r="A46" s="226" t="s">
        <v>6</v>
      </c>
      <c r="B46" s="227" t="s">
        <v>131</v>
      </c>
      <c r="C46" s="532">
        <v>1675276504</v>
      </c>
      <c r="D46" s="532">
        <v>1914052683</v>
      </c>
    </row>
    <row r="47" spans="1:4" ht="15.75" customHeight="1">
      <c r="A47" s="226" t="s">
        <v>10</v>
      </c>
      <c r="B47" s="227" t="s">
        <v>105</v>
      </c>
      <c r="C47" s="532"/>
      <c r="D47" s="532"/>
    </row>
    <row r="48" spans="1:4" s="704" customFormat="1" ht="15" customHeight="1">
      <c r="A48" s="226" t="s">
        <v>12</v>
      </c>
      <c r="B48" s="227" t="s">
        <v>13</v>
      </c>
      <c r="C48" s="532"/>
      <c r="D48" s="532"/>
    </row>
    <row r="49" spans="1:4" s="675" customFormat="1" ht="15" customHeight="1">
      <c r="A49" s="225"/>
      <c r="B49" s="213"/>
      <c r="C49" s="313"/>
      <c r="D49" s="313"/>
    </row>
    <row r="50" spans="1:4" ht="15" customHeight="1">
      <c r="A50" s="232"/>
      <c r="B50" s="676" t="s">
        <v>1541</v>
      </c>
      <c r="C50" s="541"/>
      <c r="D50" s="541"/>
    </row>
    <row r="51" spans="1:4" s="675" customFormat="1" ht="15" customHeight="1">
      <c r="A51" s="225"/>
      <c r="B51" s="213"/>
      <c r="C51" s="313"/>
      <c r="D51" s="313"/>
    </row>
    <row r="52" spans="1:4" s="706" customFormat="1" ht="15" customHeight="1">
      <c r="A52" s="229" t="s">
        <v>23</v>
      </c>
      <c r="B52" s="230" t="s">
        <v>1505</v>
      </c>
      <c r="C52" s="532"/>
      <c r="D52" s="532"/>
    </row>
    <row r="53" spans="1:4" ht="15.75" customHeight="1">
      <c r="A53" s="235" t="s">
        <v>118</v>
      </c>
      <c r="B53" s="213" t="s">
        <v>146</v>
      </c>
      <c r="C53" s="532"/>
      <c r="D53" s="532"/>
    </row>
    <row r="54" spans="1:4" ht="15.75" customHeight="1">
      <c r="A54" s="226" t="s">
        <v>42</v>
      </c>
      <c r="B54" s="227" t="s">
        <v>119</v>
      </c>
      <c r="C54" s="532"/>
      <c r="D54" s="532"/>
    </row>
    <row r="55" spans="1:4" ht="15.75" customHeight="1">
      <c r="A55" s="235" t="s">
        <v>31</v>
      </c>
      <c r="B55" s="230" t="s">
        <v>1544</v>
      </c>
      <c r="C55" s="532"/>
      <c r="D55" s="532"/>
    </row>
    <row r="56" spans="1:4" s="704" customFormat="1" ht="15.75" customHeight="1">
      <c r="A56" s="235" t="s">
        <v>26</v>
      </c>
      <c r="B56" s="230" t="s">
        <v>27</v>
      </c>
      <c r="C56" s="532"/>
      <c r="D56" s="532"/>
    </row>
    <row r="57" spans="1:4" s="704" customFormat="1" ht="15.75" customHeight="1">
      <c r="A57" s="235" t="s">
        <v>43</v>
      </c>
      <c r="B57" s="230" t="s">
        <v>237</v>
      </c>
      <c r="C57" s="532">
        <v>193215464</v>
      </c>
      <c r="D57" s="532">
        <v>364926475</v>
      </c>
    </row>
    <row r="58" spans="1:4" ht="15.75" customHeight="1">
      <c r="A58" s="235" t="s">
        <v>126</v>
      </c>
      <c r="B58" s="213" t="s">
        <v>1012</v>
      </c>
      <c r="C58" s="532"/>
      <c r="D58" s="532"/>
    </row>
    <row r="59" spans="1:4" ht="15.75" customHeight="1">
      <c r="A59" s="235" t="s">
        <v>127</v>
      </c>
      <c r="B59" s="213" t="s">
        <v>1014</v>
      </c>
      <c r="C59" s="532"/>
      <c r="D59" s="532"/>
    </row>
    <row r="60" spans="1:4" ht="15.75" customHeight="1">
      <c r="A60" s="235" t="s">
        <v>128</v>
      </c>
      <c r="B60" s="213" t="s">
        <v>1550</v>
      </c>
      <c r="C60" s="532"/>
      <c r="D60" s="532"/>
    </row>
    <row r="61" spans="1:4" ht="15.75" customHeight="1">
      <c r="A61" s="235" t="s">
        <v>129</v>
      </c>
      <c r="B61" s="213" t="s">
        <v>1551</v>
      </c>
      <c r="C61" s="532"/>
      <c r="D61" s="532"/>
    </row>
    <row r="63" spans="1:4" ht="18">
      <c r="A63" s="922" t="s">
        <v>1552</v>
      </c>
      <c r="B63" s="922"/>
      <c r="C63" s="922"/>
      <c r="D63" s="922"/>
    </row>
    <row r="64" spans="1:4" s="675" customFormat="1" ht="15" customHeight="1">
      <c r="A64" s="225"/>
      <c r="B64" s="213"/>
      <c r="C64" s="313"/>
      <c r="D64" s="313"/>
    </row>
    <row r="65" spans="1:4" ht="28">
      <c r="A65" s="208" t="s">
        <v>1502</v>
      </c>
      <c r="B65" s="677" t="s">
        <v>1553</v>
      </c>
      <c r="C65" s="210"/>
      <c r="D65" s="210"/>
    </row>
    <row r="66" spans="1:4" s="675" customFormat="1" ht="15" customHeight="1">
      <c r="A66" s="225"/>
      <c r="B66" s="213"/>
      <c r="C66" s="313"/>
      <c r="D66" s="313"/>
    </row>
    <row r="67" spans="1:4" ht="15.75" customHeight="1">
      <c r="A67" s="251"/>
      <c r="B67" s="244" t="s">
        <v>130</v>
      </c>
      <c r="C67" s="532">
        <v>14436779</v>
      </c>
      <c r="D67" s="532">
        <v>26986607</v>
      </c>
    </row>
    <row r="69" spans="1:4" s="675" customFormat="1" ht="18">
      <c r="A69" s="922" t="s">
        <v>1624</v>
      </c>
      <c r="B69" s="922"/>
      <c r="C69" s="922"/>
      <c r="D69" s="922"/>
    </row>
    <row r="70" spans="1:4" s="675" customFormat="1" ht="15" customHeight="1">
      <c r="A70" s="225"/>
      <c r="B70" s="213"/>
      <c r="C70" s="313"/>
      <c r="D70" s="313"/>
    </row>
    <row r="71" spans="1:4" s="160" customFormat="1" ht="15.75" customHeight="1">
      <c r="A71" s="271" t="s">
        <v>1485</v>
      </c>
      <c r="B71" s="272" t="s">
        <v>1791</v>
      </c>
      <c r="C71" s="210"/>
      <c r="D71" s="210"/>
    </row>
    <row r="72" spans="1:4" s="160" customFormat="1" ht="15.75" customHeight="1">
      <c r="A72" s="292"/>
      <c r="B72" s="531" t="s">
        <v>1794</v>
      </c>
      <c r="C72" s="532">
        <v>199404297</v>
      </c>
      <c r="D72" s="532">
        <v>512844290</v>
      </c>
    </row>
    <row r="73" spans="1:4" s="160" customFormat="1" ht="15.75" customHeight="1">
      <c r="A73" s="292"/>
      <c r="B73" s="531" t="s">
        <v>1792</v>
      </c>
      <c r="C73" s="532">
        <v>184970335</v>
      </c>
      <c r="D73" s="532">
        <v>425469636</v>
      </c>
    </row>
    <row r="74" spans="1:4" s="160" customFormat="1" ht="15.75" customHeight="1">
      <c r="A74" s="292"/>
      <c r="B74" s="531" t="s">
        <v>1793</v>
      </c>
      <c r="C74" s="532">
        <v>178406605</v>
      </c>
      <c r="D74" s="532">
        <v>388159857</v>
      </c>
    </row>
    <row r="75" spans="1:4" s="160" customFormat="1" ht="15.75" customHeight="1"/>
    <row r="76" spans="1:4" s="675" customFormat="1" ht="18">
      <c r="A76" s="922" t="s">
        <v>1640</v>
      </c>
      <c r="B76" s="922"/>
      <c r="C76" s="922"/>
      <c r="D76" s="922"/>
    </row>
    <row r="77" spans="1:4" s="675" customFormat="1" ht="15" customHeight="1">
      <c r="A77" s="225"/>
      <c r="B77" s="213"/>
      <c r="C77" s="313"/>
      <c r="D77" s="313"/>
    </row>
    <row r="78" spans="1:4" s="160" customFormat="1" ht="15.75" customHeight="1">
      <c r="A78" s="271" t="s">
        <v>1485</v>
      </c>
      <c r="B78" s="272" t="s">
        <v>1641</v>
      </c>
      <c r="C78" s="210"/>
      <c r="D78" s="210"/>
    </row>
    <row r="79" spans="1:4" s="160" customFormat="1" ht="15.75" customHeight="1">
      <c r="A79" s="304"/>
      <c r="B79" s="304" t="s">
        <v>1642</v>
      </c>
      <c r="C79" s="532">
        <v>4608650000</v>
      </c>
      <c r="D79" s="532">
        <v>4642545000</v>
      </c>
    </row>
    <row r="80" spans="1:4" s="675" customFormat="1" ht="15" customHeight="1">
      <c r="A80" s="225"/>
      <c r="B80" s="213"/>
      <c r="C80" s="313"/>
      <c r="D80" s="313"/>
    </row>
    <row r="81" spans="1:4" s="160" customFormat="1" ht="15.75" customHeight="1">
      <c r="A81" s="271"/>
      <c r="B81" s="272" t="s">
        <v>1645</v>
      </c>
      <c r="C81" s="536"/>
      <c r="D81" s="536"/>
    </row>
    <row r="82" spans="1:4" s="675" customFormat="1" ht="15" customHeight="1">
      <c r="A82" s="225"/>
      <c r="B82" s="213"/>
      <c r="C82" s="313"/>
      <c r="D82" s="313"/>
    </row>
    <row r="83" spans="1:4" s="160" customFormat="1" ht="15.75" customHeight="1">
      <c r="A83" s="304"/>
      <c r="B83" s="304" t="s">
        <v>798</v>
      </c>
      <c r="C83" s="532">
        <v>3143</v>
      </c>
      <c r="D83" s="532">
        <v>3734</v>
      </c>
    </row>
    <row r="84" spans="1:4" s="160" customFormat="1" ht="15.75" customHeight="1">
      <c r="A84" s="78"/>
      <c r="B84" s="78"/>
      <c r="C84" s="78"/>
      <c r="D84" s="78"/>
    </row>
    <row r="85" spans="1:4" s="160" customFormat="1" ht="15.75" customHeight="1">
      <c r="A85" s="78"/>
      <c r="B85" s="78"/>
      <c r="C85" s="78"/>
      <c r="D85" s="78"/>
    </row>
    <row r="86" spans="1:4" s="675" customFormat="1" ht="18">
      <c r="A86" s="922" t="s">
        <v>1646</v>
      </c>
      <c r="B86" s="922"/>
      <c r="C86" s="922"/>
      <c r="D86" s="922"/>
    </row>
    <row r="87" spans="1:4" s="675" customFormat="1" ht="15" customHeight="1">
      <c r="A87" s="225"/>
      <c r="B87" s="213"/>
      <c r="C87" s="313"/>
      <c r="D87" s="313"/>
    </row>
    <row r="88" spans="1:4" s="160" customFormat="1" ht="15.75" customHeight="1">
      <c r="A88" s="271" t="s">
        <v>1485</v>
      </c>
      <c r="B88" s="272" t="s">
        <v>1648</v>
      </c>
      <c r="C88" s="210"/>
      <c r="D88" s="210"/>
    </row>
    <row r="89" spans="1:4" s="675" customFormat="1" ht="15" customHeight="1">
      <c r="A89" s="225"/>
      <c r="B89" s="213"/>
      <c r="C89" s="313"/>
      <c r="D89" s="313"/>
    </row>
    <row r="90" spans="1:4" s="160" customFormat="1" ht="15.75" customHeight="1">
      <c r="A90" s="304"/>
      <c r="B90" s="304" t="s">
        <v>799</v>
      </c>
      <c r="C90" s="532">
        <v>10784</v>
      </c>
      <c r="D90" s="532">
        <v>12733</v>
      </c>
    </row>
    <row r="91" spans="1:4" s="160" customFormat="1" ht="15.75" customHeight="1">
      <c r="A91" s="78"/>
      <c r="B91" s="78"/>
      <c r="C91" s="78"/>
      <c r="D91" s="78"/>
    </row>
    <row r="92" spans="1:4" s="675" customFormat="1" ht="18">
      <c r="A92" s="922" t="s">
        <v>1649</v>
      </c>
      <c r="B92" s="922"/>
      <c r="C92" s="922"/>
      <c r="D92" s="922"/>
    </row>
    <row r="93" spans="1:4" s="675" customFormat="1" ht="15" customHeight="1">
      <c r="A93" s="225"/>
      <c r="B93" s="213"/>
      <c r="C93" s="313"/>
      <c r="D93" s="313"/>
    </row>
    <row r="94" spans="1:4" s="160" customFormat="1" ht="15.75" customHeight="1">
      <c r="A94" s="271"/>
      <c r="B94" s="272" t="s">
        <v>1651</v>
      </c>
      <c r="C94" s="210"/>
      <c r="D94" s="210"/>
    </row>
    <row r="95" spans="1:4" s="675" customFormat="1" ht="15" customHeight="1">
      <c r="A95" s="225"/>
      <c r="B95" s="213"/>
      <c r="C95" s="313"/>
      <c r="D95" s="313"/>
    </row>
    <row r="96" spans="1:4" s="160" customFormat="1" ht="15.75" customHeight="1">
      <c r="A96" s="304"/>
      <c r="B96" s="304" t="s">
        <v>1652</v>
      </c>
      <c r="C96" s="532">
        <v>6159</v>
      </c>
      <c r="D96" s="532">
        <v>7679</v>
      </c>
    </row>
    <row r="97" spans="1:4" s="160" customFormat="1" ht="15.75" customHeight="1">
      <c r="A97" s="78"/>
      <c r="B97" s="78"/>
      <c r="C97" s="78"/>
      <c r="D97" s="78"/>
    </row>
    <row r="98" spans="1:4" s="675" customFormat="1" ht="18">
      <c r="A98" s="922" t="s">
        <v>1655</v>
      </c>
      <c r="B98" s="922"/>
      <c r="C98" s="922"/>
      <c r="D98" s="922"/>
    </row>
    <row r="99" spans="1:4" s="675" customFormat="1" ht="15" customHeight="1">
      <c r="A99" s="225"/>
      <c r="B99" s="213"/>
      <c r="C99" s="313"/>
      <c r="D99" s="313"/>
    </row>
    <row r="100" spans="1:4" s="160" customFormat="1" ht="15.75" customHeight="1">
      <c r="A100" s="271" t="s">
        <v>1485</v>
      </c>
      <c r="B100" s="272" t="s">
        <v>1656</v>
      </c>
      <c r="C100" s="210"/>
      <c r="D100" s="210"/>
    </row>
    <row r="101" spans="1:4" s="160" customFormat="1" ht="15.75" customHeight="1">
      <c r="A101" s="304"/>
      <c r="B101" s="304" t="s">
        <v>800</v>
      </c>
      <c r="C101" s="532">
        <v>3286</v>
      </c>
      <c r="D101" s="532">
        <v>4111</v>
      </c>
    </row>
    <row r="102" spans="1:4" s="675" customFormat="1" ht="15" customHeight="1">
      <c r="A102" s="225"/>
      <c r="B102" s="213"/>
      <c r="C102" s="313"/>
      <c r="D102" s="313"/>
    </row>
    <row r="103" spans="1:4" s="160" customFormat="1" ht="15.75" customHeight="1">
      <c r="A103" s="271"/>
      <c r="B103" s="272" t="s">
        <v>1657</v>
      </c>
      <c r="C103" s="273"/>
      <c r="D103" s="273"/>
    </row>
    <row r="104" spans="1:4" s="675" customFormat="1" ht="15" customHeight="1">
      <c r="A104" s="225"/>
      <c r="B104" s="213"/>
      <c r="C104" s="313"/>
      <c r="D104" s="313"/>
    </row>
    <row r="105" spans="1:4" s="160" customFormat="1" ht="15.75" customHeight="1">
      <c r="A105" s="304"/>
      <c r="B105" s="308" t="s">
        <v>801</v>
      </c>
      <c r="C105" s="532">
        <v>10</v>
      </c>
      <c r="D105" s="532">
        <v>10</v>
      </c>
    </row>
    <row r="106" spans="1:4" s="160" customFormat="1" ht="15.75" customHeight="1"/>
    <row r="107" spans="1:4" s="675" customFormat="1" ht="18">
      <c r="A107" s="922" t="s">
        <v>1658</v>
      </c>
      <c r="B107" s="922"/>
      <c r="C107" s="922"/>
      <c r="D107" s="922"/>
    </row>
    <row r="108" spans="1:4" s="675" customFormat="1" ht="15" customHeight="1">
      <c r="A108" s="225"/>
      <c r="B108" s="213"/>
      <c r="C108" s="313"/>
      <c r="D108" s="313"/>
    </row>
    <row r="109" spans="1:4" s="160" customFormat="1" ht="15.75" customHeight="1">
      <c r="A109" s="271" t="s">
        <v>1485</v>
      </c>
      <c r="B109" s="272" t="s">
        <v>1659</v>
      </c>
      <c r="C109" s="210"/>
      <c r="D109" s="210"/>
    </row>
    <row r="110" spans="1:4" s="675" customFormat="1" ht="15" customHeight="1">
      <c r="A110" s="225"/>
      <c r="B110" s="213"/>
      <c r="C110" s="313"/>
      <c r="D110" s="313"/>
    </row>
    <row r="111" spans="1:4" s="160" customFormat="1" ht="15.75" customHeight="1">
      <c r="A111" s="304"/>
      <c r="B111" s="304" t="s">
        <v>802</v>
      </c>
      <c r="C111" s="532">
        <v>7602</v>
      </c>
      <c r="D111" s="532">
        <v>8918</v>
      </c>
    </row>
    <row r="112" spans="1:4" s="675" customFormat="1" ht="15" customHeight="1">
      <c r="A112" s="225"/>
      <c r="B112" s="213"/>
      <c r="C112" s="313"/>
      <c r="D112" s="313"/>
    </row>
    <row r="113" spans="1:4" s="160" customFormat="1" ht="15.75" customHeight="1">
      <c r="A113" s="271"/>
      <c r="B113" s="272" t="s">
        <v>1660</v>
      </c>
      <c r="C113" s="273"/>
      <c r="D113" s="273"/>
    </row>
    <row r="114" spans="1:4" s="675" customFormat="1" ht="15" customHeight="1">
      <c r="A114" s="225"/>
      <c r="B114" s="213"/>
      <c r="C114" s="313"/>
      <c r="D114" s="313"/>
    </row>
    <row r="115" spans="1:4" s="160" customFormat="1" ht="15.75" customHeight="1">
      <c r="A115" s="304"/>
      <c r="B115" s="304" t="s">
        <v>803</v>
      </c>
      <c r="C115" s="532">
        <v>31</v>
      </c>
      <c r="D115" s="532">
        <v>31</v>
      </c>
    </row>
  </sheetData>
  <sheetProtection selectLockedCells="1"/>
  <mergeCells count="11">
    <mergeCell ref="A3:D3"/>
    <mergeCell ref="A69:D69"/>
    <mergeCell ref="A107:D107"/>
    <mergeCell ref="A98:D98"/>
    <mergeCell ref="A92:D92"/>
    <mergeCell ref="A86:D86"/>
    <mergeCell ref="A76:D76"/>
    <mergeCell ref="A63:D63"/>
    <mergeCell ref="A42:D42"/>
    <mergeCell ref="A36:D36"/>
    <mergeCell ref="A25:D25"/>
  </mergeCells>
  <conditionalFormatting sqref="C7:D15 C29:D29 C40:D40 C67:D67 C19:D23 C53:D55 C46:D47 C33:D34 C58:D61">
    <cfRule type="cellIs" dxfId="39" priority="6" operator="equal">
      <formula>""</formula>
    </cfRule>
  </conditionalFormatting>
  <conditionalFormatting sqref="C115:D115 C79:D79 C83:D83 C96:D96 C101:D101 C105:D105 C111:D111 C90:D90 C72:D74">
    <cfRule type="cellIs" dxfId="38" priority="4" operator="equal">
      <formula>""</formula>
    </cfRule>
  </conditionalFormatting>
  <conditionalFormatting sqref="C48:D48">
    <cfRule type="cellIs" dxfId="37" priority="3" operator="equal">
      <formula>""</formula>
    </cfRule>
  </conditionalFormatting>
  <conditionalFormatting sqref="C56:D57">
    <cfRule type="cellIs" dxfId="36" priority="2" operator="equal">
      <formula>""</formula>
    </cfRule>
  </conditionalFormatting>
  <conditionalFormatting sqref="C52:D52">
    <cfRule type="cellIs" dxfId="35" priority="1" operator="equal">
      <formula>""</formula>
    </cfRule>
  </conditionalFormatting>
  <printOptions gridLines="1"/>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enableFormatConditionsCalculation="0">
    <tabColor theme="7" tint="0.39997558519241921"/>
  </sheetPr>
  <dimension ref="A1:K351"/>
  <sheetViews>
    <sheetView showGridLines="0" zoomScale="75" zoomScaleNormal="75" zoomScalePageLayoutView="75" workbookViewId="0">
      <pane ySplit="1" topLeftCell="A12" activePane="bottomLeft" state="frozen"/>
      <selection activeCell="C38" sqref="C38"/>
      <selection pane="bottomLeft" activeCell="C48" sqref="C48"/>
    </sheetView>
  </sheetViews>
  <sheetFormatPr baseColWidth="10" defaultColWidth="10.83203125" defaultRowHeight="14" x14ac:dyDescent="0"/>
  <cols>
    <col min="1" max="1" width="9.6640625" style="79" customWidth="1"/>
    <col min="2" max="2" width="98.5" style="674" customWidth="1"/>
    <col min="3" max="4" width="29.5" style="674" customWidth="1"/>
    <col min="5" max="6" width="25.33203125" style="674" customWidth="1"/>
    <col min="7" max="7" width="13.5" style="674" customWidth="1"/>
    <col min="8" max="8" width="33.5" style="674" customWidth="1"/>
    <col min="9" max="9" width="10.83203125" style="8"/>
    <col min="10" max="16384" width="10.83203125" style="674"/>
  </cols>
  <sheetData>
    <row r="1" spans="1:11" s="20" customFormat="1" ht="42.75" customHeight="1">
      <c r="A1" s="937" t="s">
        <v>1111</v>
      </c>
      <c r="B1" s="938"/>
      <c r="C1" s="938"/>
      <c r="D1" s="938"/>
      <c r="E1" s="938"/>
      <c r="F1" s="938"/>
      <c r="G1" s="938"/>
      <c r="H1" s="938"/>
      <c r="I1" s="318"/>
      <c r="J1" s="162"/>
      <c r="K1" s="162"/>
    </row>
    <row r="2" spans="1:11" s="20" customFormat="1" ht="16.5" customHeight="1">
      <c r="A2" s="578" t="str">
        <f>IF(I2&gt;0,TEXT(I2,"00")&amp;"  cellule(s) n'ont pas été renseignée(s) !","")</f>
        <v/>
      </c>
      <c r="B2" s="578"/>
      <c r="C2" s="578"/>
      <c r="D2" s="578"/>
      <c r="E2" s="578"/>
      <c r="F2" s="578"/>
      <c r="G2" s="578"/>
      <c r="H2" s="578"/>
      <c r="I2" s="315">
        <f>SUM(I5:I401)</f>
        <v>0</v>
      </c>
    </row>
    <row r="3" spans="1:11" ht="15" customHeight="1">
      <c r="A3" s="578"/>
      <c r="B3" s="578"/>
      <c r="C3" s="578"/>
      <c r="D3" s="578"/>
      <c r="E3" s="578"/>
      <c r="F3" s="578"/>
      <c r="G3" s="578"/>
      <c r="H3" s="578"/>
    </row>
    <row r="4" spans="1:11" ht="15" customHeight="1">
      <c r="A4" s="923" t="s">
        <v>1483</v>
      </c>
      <c r="B4" s="923"/>
      <c r="C4" s="923"/>
      <c r="D4" s="923"/>
      <c r="E4" s="923"/>
      <c r="F4" s="923"/>
      <c r="G4" s="923"/>
      <c r="H4" s="923"/>
    </row>
    <row r="5" spans="1:11" ht="15" customHeight="1">
      <c r="A5" s="924" t="s">
        <v>1484</v>
      </c>
      <c r="B5" s="924"/>
      <c r="C5" s="924"/>
      <c r="D5" s="924"/>
      <c r="E5" s="579"/>
      <c r="F5" s="579"/>
      <c r="G5" s="579"/>
      <c r="H5" s="579"/>
    </row>
    <row r="6" spans="1:11" ht="28">
      <c r="A6" s="208" t="s">
        <v>1485</v>
      </c>
      <c r="B6" s="209" t="s">
        <v>1486</v>
      </c>
      <c r="C6" s="210" t="str">
        <f>"Montant"&amp;" "&amp;IF(SOMMAIRE!$I2="Mensuelle","M-1",IF(SOMMAIRE!$I2="Trimestrielle","T-1","N-1"))</f>
        <v>Montant N-1</v>
      </c>
      <c r="D6" s="210" t="str">
        <f>"Montant"&amp;" "&amp;IF(SOMMAIRE!$I2="Mensuelle","M",IF(SOMMAIRE!$I2="Trimestrielle","T","N"))</f>
        <v>Montant N</v>
      </c>
      <c r="E6" s="210" t="str">
        <f>"Résultat"&amp;" "&amp;IF(SOMMAIRE!$I2="Mensuelle","M-1",IF(SOMMAIRE!$I2="Trimestrielle","T-1","N-1"))</f>
        <v>Résultat N-1</v>
      </c>
      <c r="F6" s="210" t="str">
        <f>"Résultat"&amp;" "&amp;IF(SOMMAIRE!$I2="Mensuelle","M",IF(SOMMAIRE!$I2="Trimestrielle","T","N"))</f>
        <v>Résultat N</v>
      </c>
      <c r="G6" s="211" t="s">
        <v>1488</v>
      </c>
      <c r="H6" s="210" t="s">
        <v>1489</v>
      </c>
    </row>
    <row r="7" spans="1:11" ht="15" customHeight="1">
      <c r="A7" s="580"/>
      <c r="B7" s="581"/>
      <c r="C7" s="582"/>
      <c r="D7" s="582"/>
      <c r="E7" s="925">
        <f>IF(C41&lt;&gt;0,C28/C41,0)</f>
        <v>0.76475897639583157</v>
      </c>
      <c r="F7" s="928">
        <f>IF(D41&lt;&gt;0,D28/D41,0)</f>
        <v>0.94110945089731479</v>
      </c>
      <c r="G7" s="939" t="s">
        <v>1490</v>
      </c>
      <c r="H7" s="934" t="str">
        <f>IF(D41&lt;&gt;0,IF(F7&gt;200%,"La norme n'est pas respectée","La norme est respectée"),"")</f>
        <v>La norme est respectée</v>
      </c>
    </row>
    <row r="8" spans="1:11" ht="15" customHeight="1">
      <c r="A8" s="212" t="s">
        <v>0</v>
      </c>
      <c r="B8" s="213" t="s">
        <v>225</v>
      </c>
      <c r="C8" s="544">
        <f>'Bilan et Hors Bilan'!F17</f>
        <v>0</v>
      </c>
      <c r="D8" s="544">
        <f>'Bilan et Hors Bilan'!E17</f>
        <v>24838193</v>
      </c>
      <c r="E8" s="926"/>
      <c r="F8" s="929"/>
      <c r="G8" s="940"/>
      <c r="H8" s="935"/>
      <c r="I8" s="316">
        <f>IF(ISBLANK(D8),1,0)</f>
        <v>0</v>
      </c>
    </row>
    <row r="9" spans="1:11" ht="15" customHeight="1">
      <c r="A9" s="212" t="s">
        <v>1</v>
      </c>
      <c r="B9" s="213" t="s">
        <v>1491</v>
      </c>
      <c r="C9" s="633">
        <f>'Bilan et Hors Bilan'!F18</f>
        <v>0</v>
      </c>
      <c r="D9" s="544">
        <f>'Bilan et Hors Bilan'!E18</f>
        <v>0</v>
      </c>
      <c r="E9" s="926"/>
      <c r="F9" s="929"/>
      <c r="G9" s="940"/>
      <c r="H9" s="935"/>
      <c r="I9" s="316">
        <f t="shared" ref="I9:I19" si="0">IF(ISBLANK(D9),1,0)</f>
        <v>0</v>
      </c>
    </row>
    <row r="10" spans="1:11" ht="15" customHeight="1">
      <c r="A10" s="212" t="s">
        <v>2</v>
      </c>
      <c r="B10" s="213" t="s">
        <v>4</v>
      </c>
      <c r="C10" s="633">
        <f>'Bilan et Hors Bilan'!F24</f>
        <v>0</v>
      </c>
      <c r="D10" s="544">
        <f>'Bilan et Hors Bilan'!E24</f>
        <v>0</v>
      </c>
      <c r="E10" s="926"/>
      <c r="F10" s="929"/>
      <c r="G10" s="940"/>
      <c r="H10" s="935"/>
      <c r="I10" s="316">
        <f t="shared" si="0"/>
        <v>0</v>
      </c>
    </row>
    <row r="11" spans="1:11" ht="15" customHeight="1">
      <c r="A11" s="212" t="s">
        <v>3</v>
      </c>
      <c r="B11" s="213" t="s">
        <v>5</v>
      </c>
      <c r="C11" s="633">
        <f>'Bilan et Hors Bilan'!F28</f>
        <v>0</v>
      </c>
      <c r="D11" s="544">
        <f>'Bilan et Hors Bilan'!E28</f>
        <v>0</v>
      </c>
      <c r="E11" s="926"/>
      <c r="F11" s="929"/>
      <c r="G11" s="940"/>
      <c r="H11" s="935"/>
      <c r="I11" s="316">
        <f t="shared" si="0"/>
        <v>0</v>
      </c>
    </row>
    <row r="12" spans="1:11" ht="15" customHeight="1">
      <c r="A12" s="212" t="s">
        <v>6</v>
      </c>
      <c r="B12" s="213" t="s">
        <v>7</v>
      </c>
      <c r="C12" s="633">
        <f>'Bilan et Hors Bilan'!F36</f>
        <v>275865863</v>
      </c>
      <c r="D12" s="633">
        <f>'Bilan et Hors Bilan'!E36</f>
        <v>1159316767</v>
      </c>
      <c r="E12" s="926"/>
      <c r="F12" s="929"/>
      <c r="G12" s="940"/>
      <c r="H12" s="935"/>
      <c r="I12" s="316">
        <f t="shared" si="0"/>
        <v>0</v>
      </c>
    </row>
    <row r="13" spans="1:11" ht="15" customHeight="1">
      <c r="A13" s="214" t="s">
        <v>8</v>
      </c>
      <c r="B13" s="213" t="s">
        <v>9</v>
      </c>
      <c r="C13" s="633">
        <f>'Bilan et Hors Bilan'!F37</f>
        <v>0</v>
      </c>
      <c r="D13" s="633">
        <f>'Bilan et Hors Bilan'!E37</f>
        <v>0</v>
      </c>
      <c r="E13" s="926"/>
      <c r="F13" s="929"/>
      <c r="G13" s="940"/>
      <c r="H13" s="935"/>
      <c r="I13" s="316">
        <f t="shared" si="0"/>
        <v>0</v>
      </c>
    </row>
    <row r="14" spans="1:11" ht="15" customHeight="1">
      <c r="A14" s="212" t="s">
        <v>10</v>
      </c>
      <c r="B14" s="213" t="s">
        <v>11</v>
      </c>
      <c r="C14" s="633">
        <f>'Bilan et Hors Bilan'!F40</f>
        <v>3126621571</v>
      </c>
      <c r="D14" s="633">
        <f>'Bilan et Hors Bilan'!E40</f>
        <v>2252399149</v>
      </c>
      <c r="E14" s="926"/>
      <c r="F14" s="929"/>
      <c r="G14" s="940"/>
      <c r="H14" s="935"/>
      <c r="I14" s="316">
        <f t="shared" si="0"/>
        <v>0</v>
      </c>
    </row>
    <row r="15" spans="1:11" ht="15" customHeight="1">
      <c r="A15" s="212" t="s">
        <v>12</v>
      </c>
      <c r="B15" s="213" t="s">
        <v>13</v>
      </c>
      <c r="C15" s="633">
        <f>'Bilan et Hors Bilan'!F41</f>
        <v>46141206</v>
      </c>
      <c r="D15" s="633">
        <f>'Bilan et Hors Bilan'!E41</f>
        <v>20619813</v>
      </c>
      <c r="E15" s="926"/>
      <c r="F15" s="929"/>
      <c r="G15" s="940"/>
      <c r="H15" s="935"/>
      <c r="I15" s="316">
        <f t="shared" si="0"/>
        <v>0</v>
      </c>
    </row>
    <row r="16" spans="1:11" ht="15" customHeight="1">
      <c r="A16" s="212" t="s">
        <v>14</v>
      </c>
      <c r="B16" s="213" t="s">
        <v>15</v>
      </c>
      <c r="C16" s="633">
        <f>'Bilan et Hors Bilan'!F45</f>
        <v>36520834</v>
      </c>
      <c r="D16" s="544">
        <f>'Bilan et Hors Bilan'!E45</f>
        <v>95322009</v>
      </c>
      <c r="E16" s="926"/>
      <c r="F16" s="929"/>
      <c r="G16" s="940"/>
      <c r="H16" s="935"/>
      <c r="I16" s="316">
        <f t="shared" si="0"/>
        <v>0</v>
      </c>
    </row>
    <row r="17" spans="1:9" ht="15" customHeight="1">
      <c r="A17" s="212" t="s">
        <v>16</v>
      </c>
      <c r="B17" s="213" t="s">
        <v>17</v>
      </c>
      <c r="C17" s="633">
        <f>'Bilan et Hors Bilan'!F54</f>
        <v>0</v>
      </c>
      <c r="D17" s="544">
        <f>'Bilan et Hors Bilan'!E54</f>
        <v>0</v>
      </c>
      <c r="E17" s="926"/>
      <c r="F17" s="929"/>
      <c r="G17" s="940"/>
      <c r="H17" s="935"/>
      <c r="I17" s="316">
        <f t="shared" si="0"/>
        <v>0</v>
      </c>
    </row>
    <row r="18" spans="1:9" ht="15" customHeight="1">
      <c r="A18" s="212" t="s">
        <v>18</v>
      </c>
      <c r="B18" s="213" t="s">
        <v>19</v>
      </c>
      <c r="C18" s="633">
        <f>'Bilan et Hors Bilan'!F73</f>
        <v>0</v>
      </c>
      <c r="D18" s="544">
        <f>'Bilan et Hors Bilan'!E73</f>
        <v>500000</v>
      </c>
      <c r="E18" s="926"/>
      <c r="F18" s="929"/>
      <c r="G18" s="940"/>
      <c r="H18" s="935"/>
      <c r="I18" s="316">
        <f t="shared" si="0"/>
        <v>0</v>
      </c>
    </row>
    <row r="19" spans="1:9" ht="15" customHeight="1">
      <c r="A19" s="212" t="s">
        <v>20</v>
      </c>
      <c r="B19" s="213" t="s">
        <v>21</v>
      </c>
      <c r="C19" s="633">
        <f>'Bilan et Hors Bilan'!F74</f>
        <v>0</v>
      </c>
      <c r="D19" s="544">
        <f>'Bilan et Hors Bilan'!E74</f>
        <v>0</v>
      </c>
      <c r="E19" s="926"/>
      <c r="F19" s="929"/>
      <c r="G19" s="940"/>
      <c r="H19" s="935"/>
      <c r="I19" s="316">
        <f t="shared" si="0"/>
        <v>0</v>
      </c>
    </row>
    <row r="20" spans="1:9" s="706" customFormat="1" ht="15" customHeight="1">
      <c r="A20" s="707" t="s">
        <v>43</v>
      </c>
      <c r="B20" s="708" t="s">
        <v>2418</v>
      </c>
      <c r="C20" s="633">
        <f>-'Bilan et Hors Bilan'!J40</f>
        <v>-244638462</v>
      </c>
      <c r="D20" s="544">
        <f>-'Bilan et Hors Bilan'!I40</f>
        <v>-444964621</v>
      </c>
      <c r="E20" s="926"/>
      <c r="F20" s="929"/>
      <c r="G20" s="940"/>
      <c r="H20" s="935"/>
      <c r="I20" s="316"/>
    </row>
    <row r="21" spans="1:9" ht="15" customHeight="1">
      <c r="A21" s="215"/>
      <c r="B21" s="216" t="s">
        <v>1492</v>
      </c>
      <c r="C21" s="634">
        <f>SUM(C8:C20)</f>
        <v>3240511012</v>
      </c>
      <c r="D21" s="637">
        <f>SUM(D8:D20)</f>
        <v>3108031310</v>
      </c>
      <c r="E21" s="926"/>
      <c r="F21" s="929"/>
      <c r="G21" s="940"/>
      <c r="H21" s="935"/>
    </row>
    <row r="22" spans="1:9" ht="15" customHeight="1">
      <c r="A22" s="215"/>
      <c r="B22" s="217" t="s">
        <v>1493</v>
      </c>
      <c r="C22" s="634"/>
      <c r="D22" s="637"/>
      <c r="E22" s="926"/>
      <c r="F22" s="929"/>
      <c r="G22" s="940"/>
      <c r="H22" s="935"/>
    </row>
    <row r="23" spans="1:9" ht="15" customHeight="1">
      <c r="A23" s="212" t="s">
        <v>38</v>
      </c>
      <c r="B23" s="213" t="s">
        <v>1077</v>
      </c>
      <c r="C23" s="633">
        <f>'Bilan et Hors Bilan'!D127</f>
        <v>0</v>
      </c>
      <c r="D23" s="544">
        <f>'Bilan et Hors Bilan'!C127</f>
        <v>0</v>
      </c>
      <c r="E23" s="926"/>
      <c r="F23" s="929"/>
      <c r="G23" s="940"/>
      <c r="H23" s="935"/>
      <c r="I23" s="316">
        <f>IF(ISBLANK(D23),1,0)</f>
        <v>0</v>
      </c>
    </row>
    <row r="24" spans="1:9" ht="15" customHeight="1">
      <c r="A24" s="212" t="s">
        <v>39</v>
      </c>
      <c r="B24" s="213" t="s">
        <v>1013</v>
      </c>
      <c r="C24" s="633">
        <f>'Bilan et Hors Bilan'!D129</f>
        <v>0</v>
      </c>
      <c r="D24" s="544">
        <f>'Bilan et Hors Bilan'!C129</f>
        <v>0</v>
      </c>
      <c r="E24" s="926"/>
      <c r="F24" s="929"/>
      <c r="G24" s="940"/>
      <c r="H24" s="935"/>
      <c r="I24" s="316">
        <f>IF(ISBLANK(D24),1,0)</f>
        <v>0</v>
      </c>
    </row>
    <row r="25" spans="1:9" ht="15" customHeight="1">
      <c r="A25" s="212" t="s">
        <v>40</v>
      </c>
      <c r="B25" s="218" t="s">
        <v>1112</v>
      </c>
      <c r="C25" s="633">
        <f>'Bilan et Hors Bilan'!D137</f>
        <v>0</v>
      </c>
      <c r="D25" s="544">
        <f>'Bilan et Hors Bilan'!C137</f>
        <v>0</v>
      </c>
      <c r="E25" s="926"/>
      <c r="F25" s="929"/>
      <c r="G25" s="940"/>
      <c r="H25" s="935"/>
      <c r="I25" s="316">
        <f>IF(ISBLANK(D25),1,0)</f>
        <v>0</v>
      </c>
    </row>
    <row r="26" spans="1:9" ht="15" customHeight="1">
      <c r="A26" s="212" t="s">
        <v>41</v>
      </c>
      <c r="B26" s="213" t="s">
        <v>1068</v>
      </c>
      <c r="C26" s="633">
        <f>'Bilan et Hors Bilan'!D171</f>
        <v>0</v>
      </c>
      <c r="D26" s="544">
        <f>'Bilan et Hors Bilan'!C171</f>
        <v>0</v>
      </c>
      <c r="E26" s="926"/>
      <c r="F26" s="929"/>
      <c r="G26" s="940"/>
      <c r="H26" s="935"/>
      <c r="I26" s="316">
        <f>IF(ISBLANK(D26),1,0)</f>
        <v>0</v>
      </c>
    </row>
    <row r="27" spans="1:9" ht="15" customHeight="1">
      <c r="A27" s="215"/>
      <c r="B27" s="216" t="s">
        <v>1494</v>
      </c>
      <c r="C27" s="634">
        <f>SUM(C23:C26)</f>
        <v>0</v>
      </c>
      <c r="D27" s="637">
        <f>SUM(D23:D26)</f>
        <v>0</v>
      </c>
      <c r="E27" s="926"/>
      <c r="F27" s="929"/>
      <c r="G27" s="940"/>
      <c r="H27" s="935"/>
    </row>
    <row r="28" spans="1:9" ht="15" customHeight="1">
      <c r="A28" s="219"/>
      <c r="B28" s="220" t="s">
        <v>1495</v>
      </c>
      <c r="C28" s="635">
        <f>C21+C27</f>
        <v>3240511012</v>
      </c>
      <c r="D28" s="638">
        <f>D21+D27</f>
        <v>3108031310</v>
      </c>
      <c r="E28" s="926"/>
      <c r="F28" s="929"/>
      <c r="G28" s="940"/>
      <c r="H28" s="935"/>
    </row>
    <row r="29" spans="1:9" ht="15" customHeight="1">
      <c r="A29" s="221"/>
      <c r="B29" s="222" t="s">
        <v>1496</v>
      </c>
      <c r="C29" s="636"/>
      <c r="D29" s="639"/>
      <c r="E29" s="926"/>
      <c r="F29" s="929"/>
      <c r="G29" s="940"/>
      <c r="H29" s="935"/>
    </row>
    <row r="30" spans="1:9" ht="15" customHeight="1">
      <c r="A30" s="214" t="s">
        <v>22</v>
      </c>
      <c r="B30" s="213" t="s">
        <v>221</v>
      </c>
      <c r="C30" s="633">
        <f>'Bilan et Hors Bilan'!J9</f>
        <v>1065251436</v>
      </c>
      <c r="D30" s="544">
        <f>'Bilan et Hors Bilan'!I9</f>
        <v>0</v>
      </c>
      <c r="E30" s="926"/>
      <c r="F30" s="929"/>
      <c r="G30" s="940"/>
      <c r="H30" s="935"/>
      <c r="I30" s="316">
        <f t="shared" ref="I30:I40" si="1">IF(ISBLANK(D30),1,0)</f>
        <v>0</v>
      </c>
    </row>
    <row r="31" spans="1:9" ht="15" customHeight="1">
      <c r="A31" s="214" t="s">
        <v>23</v>
      </c>
      <c r="B31" s="213" t="s">
        <v>1497</v>
      </c>
      <c r="C31" s="633">
        <f>'Bilan et Hors Bilan'!J10</f>
        <v>0</v>
      </c>
      <c r="D31" s="544">
        <f>'Bilan et Hors Bilan'!I10</f>
        <v>0</v>
      </c>
      <c r="E31" s="926"/>
      <c r="F31" s="929"/>
      <c r="G31" s="940"/>
      <c r="H31" s="935"/>
      <c r="I31" s="316">
        <f t="shared" si="1"/>
        <v>0</v>
      </c>
    </row>
    <row r="32" spans="1:9" ht="15" customHeight="1">
      <c r="A32" s="212" t="s">
        <v>24</v>
      </c>
      <c r="B32" s="213" t="s">
        <v>25</v>
      </c>
      <c r="C32" s="633">
        <f>'Bilan et Hors Bilan'!J15</f>
        <v>0</v>
      </c>
      <c r="D32" s="544">
        <f>'Bilan et Hors Bilan'!I15</f>
        <v>0</v>
      </c>
      <c r="E32" s="926"/>
      <c r="F32" s="929"/>
      <c r="G32" s="940"/>
      <c r="H32" s="935"/>
      <c r="I32" s="316">
        <f t="shared" si="1"/>
        <v>0</v>
      </c>
    </row>
    <row r="33" spans="1:9" ht="15" customHeight="1">
      <c r="A33" s="212" t="s">
        <v>26</v>
      </c>
      <c r="B33" s="213" t="s">
        <v>27</v>
      </c>
      <c r="C33" s="633">
        <f>'Bilan et Hors Bilan'!J19</f>
        <v>0</v>
      </c>
      <c r="D33" s="544">
        <f>'Bilan et Hors Bilan'!I19</f>
        <v>0</v>
      </c>
      <c r="E33" s="926"/>
      <c r="F33" s="929"/>
      <c r="G33" s="940"/>
      <c r="H33" s="935"/>
      <c r="I33" s="316">
        <f t="shared" si="1"/>
        <v>0</v>
      </c>
    </row>
    <row r="34" spans="1:9" ht="15" customHeight="1">
      <c r="A34" s="212" t="s">
        <v>28</v>
      </c>
      <c r="B34" s="213" t="s">
        <v>29</v>
      </c>
      <c r="C34" s="633">
        <f>'Bilan et Hors Bilan'!J38</f>
        <v>34852232</v>
      </c>
      <c r="D34" s="544">
        <f>'Bilan et Hors Bilan'!I38</f>
        <v>35421524</v>
      </c>
      <c r="E34" s="926"/>
      <c r="F34" s="929"/>
      <c r="G34" s="940"/>
      <c r="H34" s="935"/>
      <c r="I34" s="316">
        <f t="shared" si="1"/>
        <v>0</v>
      </c>
    </row>
    <row r="35" spans="1:9" ht="15" customHeight="1">
      <c r="A35" s="212" t="s">
        <v>30</v>
      </c>
      <c r="B35" s="213" t="s">
        <v>221</v>
      </c>
      <c r="C35" s="633">
        <f>'Bilan et Hors Bilan'!J36</f>
        <v>433732307</v>
      </c>
      <c r="D35" s="544">
        <f>'Bilan et Hors Bilan'!I36</f>
        <v>574911991</v>
      </c>
      <c r="E35" s="926"/>
      <c r="F35" s="929"/>
      <c r="G35" s="940"/>
      <c r="H35" s="935"/>
      <c r="I35" s="316">
        <f t="shared" si="1"/>
        <v>0</v>
      </c>
    </row>
    <row r="36" spans="1:9" ht="15" customHeight="1">
      <c r="A36" s="212" t="s">
        <v>31</v>
      </c>
      <c r="B36" s="213" t="s">
        <v>1498</v>
      </c>
      <c r="C36" s="633">
        <f>'Bilan et Hors Bilan'!J37</f>
        <v>8506367</v>
      </c>
      <c r="D36" s="544">
        <f>'Bilan et Hors Bilan'!I37</f>
        <v>4790840</v>
      </c>
      <c r="E36" s="926"/>
      <c r="F36" s="929"/>
      <c r="G36" s="940"/>
      <c r="H36" s="935"/>
      <c r="I36" s="316">
        <f t="shared" si="1"/>
        <v>0</v>
      </c>
    </row>
    <row r="37" spans="1:9" ht="15" customHeight="1">
      <c r="A37" s="212" t="s">
        <v>32</v>
      </c>
      <c r="B37" s="213" t="s">
        <v>1499</v>
      </c>
      <c r="C37" s="633">
        <f>'Bilan et Hors Bilan'!J41</f>
        <v>0</v>
      </c>
      <c r="D37" s="544">
        <f>'Bilan et Hors Bilan'!I41</f>
        <v>0</v>
      </c>
      <c r="E37" s="926"/>
      <c r="F37" s="929"/>
      <c r="G37" s="940"/>
      <c r="H37" s="935"/>
      <c r="I37" s="316">
        <f t="shared" si="1"/>
        <v>0</v>
      </c>
    </row>
    <row r="38" spans="1:9" ht="15" customHeight="1">
      <c r="A38" s="212" t="s">
        <v>33</v>
      </c>
      <c r="B38" s="213" t="s">
        <v>34</v>
      </c>
      <c r="C38" s="633">
        <f>'Bilan et Hors Bilan'!J42</f>
        <v>0</v>
      </c>
      <c r="D38" s="544">
        <f>'Bilan et Hors Bilan'!I42</f>
        <v>0</v>
      </c>
      <c r="E38" s="926"/>
      <c r="F38" s="929"/>
      <c r="G38" s="940"/>
      <c r="H38" s="935"/>
      <c r="I38" s="316">
        <f t="shared" si="1"/>
        <v>0</v>
      </c>
    </row>
    <row r="39" spans="1:9" ht="15" customHeight="1">
      <c r="A39" s="212" t="s">
        <v>35</v>
      </c>
      <c r="B39" s="213" t="s">
        <v>238</v>
      </c>
      <c r="C39" s="633">
        <f>'Bilan et Hors Bilan'!J43</f>
        <v>0</v>
      </c>
      <c r="D39" s="544">
        <f>'Bilan et Hors Bilan'!I43</f>
        <v>0</v>
      </c>
      <c r="E39" s="926"/>
      <c r="F39" s="929"/>
      <c r="G39" s="940"/>
      <c r="H39" s="935"/>
      <c r="I39" s="316">
        <f t="shared" si="1"/>
        <v>0</v>
      </c>
    </row>
    <row r="40" spans="1:9" ht="15" customHeight="1">
      <c r="A40" s="212" t="s">
        <v>36</v>
      </c>
      <c r="B40" s="213" t="s">
        <v>37</v>
      </c>
      <c r="C40" s="633">
        <f>'Bilan et Hors Bilan'!J75</f>
        <v>2694954783</v>
      </c>
      <c r="D40" s="544">
        <f>'Bilan et Hors Bilan'!I75</f>
        <v>2687394079</v>
      </c>
      <c r="E40" s="926"/>
      <c r="F40" s="929"/>
      <c r="G40" s="940"/>
      <c r="H40" s="935"/>
      <c r="I40" s="316">
        <f t="shared" si="1"/>
        <v>0</v>
      </c>
    </row>
    <row r="41" spans="1:9" ht="15" customHeight="1" thickBot="1">
      <c r="A41" s="223"/>
      <c r="B41" s="220" t="s">
        <v>1500</v>
      </c>
      <c r="C41" s="635">
        <f>SUM(C30:C40)</f>
        <v>4237297125</v>
      </c>
      <c r="D41" s="638">
        <f>SUM(D30:D40)</f>
        <v>3302518434</v>
      </c>
      <c r="E41" s="927"/>
      <c r="F41" s="930"/>
      <c r="G41" s="941"/>
      <c r="H41" s="936"/>
      <c r="I41" s="316"/>
    </row>
    <row r="42" spans="1:9" ht="15" customHeight="1"/>
    <row r="43" spans="1:9" ht="15" customHeight="1">
      <c r="A43" s="923" t="s">
        <v>1501</v>
      </c>
      <c r="B43" s="923"/>
      <c r="C43" s="923"/>
      <c r="D43" s="923"/>
      <c r="E43" s="923"/>
      <c r="F43" s="923"/>
      <c r="G43" s="923"/>
      <c r="H43" s="923"/>
    </row>
    <row r="44" spans="1:9" ht="15" customHeight="1">
      <c r="A44" s="924" t="s">
        <v>1484</v>
      </c>
      <c r="B44" s="924"/>
      <c r="C44" s="924"/>
      <c r="D44" s="924"/>
      <c r="E44" s="579"/>
      <c r="F44" s="579"/>
      <c r="G44" s="579"/>
      <c r="H44" s="579"/>
    </row>
    <row r="45" spans="1:9" ht="28">
      <c r="A45" s="208" t="s">
        <v>1502</v>
      </c>
      <c r="B45" s="224" t="s">
        <v>1503</v>
      </c>
      <c r="C45" s="210" t="str">
        <f>C$6</f>
        <v>Montant N-1</v>
      </c>
      <c r="D45" s="210" t="str">
        <f>D$6</f>
        <v>Montant N</v>
      </c>
      <c r="E45" s="210" t="str">
        <f>E$6</f>
        <v>Résultat N-1</v>
      </c>
      <c r="F45" s="210" t="str">
        <f>F$6</f>
        <v>Résultat N</v>
      </c>
      <c r="G45" s="211" t="s">
        <v>1488</v>
      </c>
      <c r="H45" s="210" t="s">
        <v>1489</v>
      </c>
    </row>
    <row r="46" spans="1:9" ht="15" customHeight="1">
      <c r="A46" s="225"/>
      <c r="B46" s="213"/>
      <c r="C46" s="313"/>
      <c r="D46" s="313"/>
      <c r="E46" s="925">
        <f>IF(C74&lt;&gt;0,C57/C74,0)</f>
        <v>35.12137457998594</v>
      </c>
      <c r="F46" s="928">
        <f>IF(D74&lt;&gt;0,D57/D74,0)</f>
        <v>18.166443635703217</v>
      </c>
      <c r="G46" s="939" t="s">
        <v>1504</v>
      </c>
      <c r="H46" s="934" t="str">
        <f>IF(D74&lt;&gt;0,IF(F46&lt;100%,"La norme n'est pas respectée","La norme est respectée"),"")</f>
        <v>La norme est respectée</v>
      </c>
    </row>
    <row r="47" spans="1:9" ht="15" customHeight="1">
      <c r="A47" s="226" t="s">
        <v>36</v>
      </c>
      <c r="B47" s="227" t="s">
        <v>37</v>
      </c>
      <c r="C47" s="314">
        <f>C40</f>
        <v>2694954783</v>
      </c>
      <c r="D47" s="314">
        <f>D40</f>
        <v>2687394079</v>
      </c>
      <c r="E47" s="926"/>
      <c r="F47" s="929"/>
      <c r="G47" s="940"/>
      <c r="H47" s="935"/>
      <c r="I47" s="316"/>
    </row>
    <row r="48" spans="1:9" ht="15" customHeight="1">
      <c r="A48" s="229" t="s">
        <v>23</v>
      </c>
      <c r="B48" s="230" t="s">
        <v>1505</v>
      </c>
      <c r="C48" s="532">
        <f>Retraitement!C7</f>
        <v>0</v>
      </c>
      <c r="D48" s="532">
        <f>Retraitement!D7</f>
        <v>0</v>
      </c>
      <c r="E48" s="926"/>
      <c r="F48" s="929"/>
      <c r="G48" s="940"/>
      <c r="H48" s="935"/>
      <c r="I48" s="316">
        <f t="shared" ref="I48:I62" si="2">IF(ISBLANK(D48),1,0)</f>
        <v>0</v>
      </c>
    </row>
    <row r="49" spans="1:9" ht="15" customHeight="1">
      <c r="A49" s="229" t="s">
        <v>42</v>
      </c>
      <c r="B49" s="230" t="s">
        <v>1506</v>
      </c>
      <c r="C49" s="532">
        <f>Retraitement!C8</f>
        <v>0</v>
      </c>
      <c r="D49" s="532">
        <f>Retraitement!D8</f>
        <v>0</v>
      </c>
      <c r="E49" s="926"/>
      <c r="F49" s="929"/>
      <c r="G49" s="940"/>
      <c r="H49" s="935"/>
      <c r="I49" s="316">
        <f t="shared" si="2"/>
        <v>0</v>
      </c>
    </row>
    <row r="50" spans="1:9" ht="15" customHeight="1">
      <c r="A50" s="229" t="s">
        <v>26</v>
      </c>
      <c r="B50" s="230" t="s">
        <v>1507</v>
      </c>
      <c r="C50" s="532">
        <f>Retraitement!C9</f>
        <v>0</v>
      </c>
      <c r="D50" s="532">
        <f>Retraitement!D9</f>
        <v>0</v>
      </c>
      <c r="E50" s="926"/>
      <c r="F50" s="929"/>
      <c r="G50" s="940"/>
      <c r="H50" s="935"/>
      <c r="I50" s="316">
        <f t="shared" si="2"/>
        <v>0</v>
      </c>
    </row>
    <row r="51" spans="1:9" ht="15" customHeight="1">
      <c r="A51" s="229" t="s">
        <v>31</v>
      </c>
      <c r="B51" s="230" t="s">
        <v>1508</v>
      </c>
      <c r="C51" s="532">
        <f>Retraitement!C10</f>
        <v>0</v>
      </c>
      <c r="D51" s="532">
        <f>Retraitement!D10</f>
        <v>0</v>
      </c>
      <c r="E51" s="926"/>
      <c r="F51" s="929"/>
      <c r="G51" s="940"/>
      <c r="H51" s="935"/>
      <c r="I51" s="316">
        <f t="shared" si="2"/>
        <v>0</v>
      </c>
    </row>
    <row r="52" spans="1:9" ht="15" customHeight="1">
      <c r="A52" s="229" t="s">
        <v>28</v>
      </c>
      <c r="B52" s="230" t="s">
        <v>1509</v>
      </c>
      <c r="C52" s="532">
        <f>Retraitement!C11</f>
        <v>0</v>
      </c>
      <c r="D52" s="532">
        <f>Retraitement!D11</f>
        <v>0</v>
      </c>
      <c r="E52" s="926"/>
      <c r="F52" s="929"/>
      <c r="G52" s="940"/>
      <c r="H52" s="935"/>
      <c r="I52" s="316">
        <f t="shared" si="2"/>
        <v>0</v>
      </c>
    </row>
    <row r="53" spans="1:9" ht="15" customHeight="1">
      <c r="A53" s="229" t="s">
        <v>43</v>
      </c>
      <c r="B53" s="230" t="s">
        <v>1510</v>
      </c>
      <c r="C53" s="532">
        <f>Retraitement!C12</f>
        <v>33874205</v>
      </c>
      <c r="D53" s="532">
        <f>Retraitement!D12</f>
        <v>36542538</v>
      </c>
      <c r="E53" s="926"/>
      <c r="F53" s="929"/>
      <c r="G53" s="940"/>
      <c r="H53" s="935"/>
      <c r="I53" s="316">
        <f t="shared" si="2"/>
        <v>0</v>
      </c>
    </row>
    <row r="54" spans="1:9" ht="15" customHeight="1">
      <c r="A54" s="229" t="s">
        <v>32</v>
      </c>
      <c r="B54" s="230" t="s">
        <v>1511</v>
      </c>
      <c r="C54" s="532">
        <f>Retraitement!C13</f>
        <v>0</v>
      </c>
      <c r="D54" s="532">
        <f>Retraitement!D13</f>
        <v>0</v>
      </c>
      <c r="E54" s="926"/>
      <c r="F54" s="929"/>
      <c r="G54" s="940"/>
      <c r="H54" s="935"/>
      <c r="I54" s="316">
        <f t="shared" si="2"/>
        <v>0</v>
      </c>
    </row>
    <row r="55" spans="1:9" ht="15" customHeight="1">
      <c r="A55" s="229" t="s">
        <v>33</v>
      </c>
      <c r="B55" s="230" t="s">
        <v>1512</v>
      </c>
      <c r="C55" s="532">
        <f>Retraitement!C14</f>
        <v>0</v>
      </c>
      <c r="D55" s="532">
        <f>Retraitement!D14</f>
        <v>0</v>
      </c>
      <c r="E55" s="926"/>
      <c r="F55" s="929"/>
      <c r="G55" s="940"/>
      <c r="H55" s="935"/>
      <c r="I55" s="316">
        <f t="shared" si="2"/>
        <v>0</v>
      </c>
    </row>
    <row r="56" spans="1:9" ht="15" customHeight="1">
      <c r="A56" s="229" t="s">
        <v>35</v>
      </c>
      <c r="B56" s="230" t="s">
        <v>1513</v>
      </c>
      <c r="C56" s="532">
        <f>Retraitement!C15</f>
        <v>0</v>
      </c>
      <c r="D56" s="532">
        <f>Retraitement!D15</f>
        <v>0</v>
      </c>
      <c r="E56" s="926"/>
      <c r="F56" s="929"/>
      <c r="G56" s="940"/>
      <c r="H56" s="935"/>
      <c r="I56" s="316">
        <f t="shared" si="2"/>
        <v>0</v>
      </c>
    </row>
    <row r="57" spans="1:9" ht="15" customHeight="1">
      <c r="A57" s="220"/>
      <c r="B57" s="220" t="s">
        <v>1495</v>
      </c>
      <c r="C57" s="231">
        <f>SUM(C46:C56)</f>
        <v>2728828988</v>
      </c>
      <c r="D57" s="231">
        <f>SUM(D46:D56)</f>
        <v>2723936617</v>
      </c>
      <c r="E57" s="926"/>
      <c r="F57" s="929"/>
      <c r="G57" s="940"/>
      <c r="H57" s="935"/>
      <c r="I57" s="316"/>
    </row>
    <row r="58" spans="1:9" ht="15" customHeight="1">
      <c r="A58" s="232"/>
      <c r="B58" s="224" t="s">
        <v>1514</v>
      </c>
      <c r="C58" s="541"/>
      <c r="D58" s="541"/>
      <c r="E58" s="926"/>
      <c r="F58" s="929"/>
      <c r="G58" s="940"/>
      <c r="H58" s="935"/>
      <c r="I58" s="316"/>
    </row>
    <row r="59" spans="1:9" ht="15" customHeight="1">
      <c r="A59" s="229" t="s">
        <v>44</v>
      </c>
      <c r="B59" s="230" t="s">
        <v>45</v>
      </c>
      <c r="C59" s="532">
        <f>Retraitement!C19</f>
        <v>0</v>
      </c>
      <c r="D59" s="532">
        <f>Retraitement!D19</f>
        <v>0</v>
      </c>
      <c r="E59" s="926"/>
      <c r="F59" s="929"/>
      <c r="G59" s="940"/>
      <c r="H59" s="935"/>
      <c r="I59" s="316">
        <f t="shared" si="2"/>
        <v>0</v>
      </c>
    </row>
    <row r="60" spans="1:9" ht="15" customHeight="1">
      <c r="A60" s="229" t="s">
        <v>46</v>
      </c>
      <c r="B60" s="230" t="s">
        <v>1515</v>
      </c>
      <c r="C60" s="532">
        <f>Retraitement!C20</f>
        <v>0</v>
      </c>
      <c r="D60" s="532">
        <f>Retraitement!D20</f>
        <v>0</v>
      </c>
      <c r="E60" s="926"/>
      <c r="F60" s="929"/>
      <c r="G60" s="940"/>
      <c r="H60" s="935"/>
      <c r="I60" s="316">
        <f t="shared" si="2"/>
        <v>0</v>
      </c>
    </row>
    <row r="61" spans="1:9" ht="15" customHeight="1">
      <c r="A61" s="229" t="s">
        <v>47</v>
      </c>
      <c r="B61" s="230" t="s">
        <v>48</v>
      </c>
      <c r="C61" s="532">
        <f>Retraitement!C21</f>
        <v>0</v>
      </c>
      <c r="D61" s="532">
        <f>Retraitement!D21</f>
        <v>0</v>
      </c>
      <c r="E61" s="926"/>
      <c r="F61" s="929"/>
      <c r="G61" s="940"/>
      <c r="H61" s="935"/>
      <c r="I61" s="316">
        <f t="shared" si="2"/>
        <v>0</v>
      </c>
    </row>
    <row r="62" spans="1:9" ht="15" customHeight="1">
      <c r="A62" s="233" t="s">
        <v>231</v>
      </c>
      <c r="B62" s="234" t="s">
        <v>804</v>
      </c>
      <c r="C62" s="532">
        <f>Retraitement!C22</f>
        <v>0</v>
      </c>
      <c r="D62" s="532">
        <f>Retraitement!D22</f>
        <v>0</v>
      </c>
      <c r="E62" s="926"/>
      <c r="F62" s="929"/>
      <c r="G62" s="940"/>
      <c r="H62" s="935"/>
      <c r="I62" s="316">
        <f t="shared" si="2"/>
        <v>0</v>
      </c>
    </row>
    <row r="63" spans="1:9" ht="15" customHeight="1">
      <c r="A63" s="226" t="s">
        <v>3</v>
      </c>
      <c r="B63" s="227" t="s">
        <v>1516</v>
      </c>
      <c r="C63" s="314">
        <f>C11</f>
        <v>0</v>
      </c>
      <c r="D63" s="314">
        <f>D11</f>
        <v>0</v>
      </c>
      <c r="E63" s="926"/>
      <c r="F63" s="929"/>
      <c r="G63" s="940"/>
      <c r="H63" s="935"/>
    </row>
    <row r="64" spans="1:9" ht="15" customHeight="1">
      <c r="A64" s="233" t="s">
        <v>10</v>
      </c>
      <c r="B64" s="234" t="s">
        <v>1517</v>
      </c>
      <c r="C64" s="532">
        <f>Retraitement!C23</f>
        <v>41176267</v>
      </c>
      <c r="D64" s="532">
        <f>Retraitement!D23</f>
        <v>54121297</v>
      </c>
      <c r="E64" s="926"/>
      <c r="F64" s="929"/>
      <c r="G64" s="940"/>
      <c r="H64" s="935"/>
    </row>
    <row r="65" spans="1:9" ht="15" customHeight="1">
      <c r="A65" s="233" t="s">
        <v>12</v>
      </c>
      <c r="B65" s="234" t="s">
        <v>474</v>
      </c>
      <c r="C65" s="532">
        <f>Retraitement!C48</f>
        <v>0</v>
      </c>
      <c r="D65" s="532">
        <f>Retraitement!D48</f>
        <v>0</v>
      </c>
      <c r="E65" s="926"/>
      <c r="F65" s="929"/>
      <c r="G65" s="940"/>
      <c r="H65" s="935"/>
    </row>
    <row r="66" spans="1:9" ht="15" customHeight="1">
      <c r="A66" s="226" t="s">
        <v>49</v>
      </c>
      <c r="B66" s="227" t="s">
        <v>1518</v>
      </c>
      <c r="C66" s="314">
        <f>C16</f>
        <v>36520834</v>
      </c>
      <c r="D66" s="314">
        <f>D16</f>
        <v>95322009</v>
      </c>
      <c r="E66" s="926"/>
      <c r="F66" s="929"/>
      <c r="G66" s="940"/>
      <c r="H66" s="935"/>
    </row>
    <row r="67" spans="1:9" ht="15" customHeight="1">
      <c r="A67" s="226" t="s">
        <v>18</v>
      </c>
      <c r="B67" s="227" t="s">
        <v>19</v>
      </c>
      <c r="C67" s="314">
        <f>C18</f>
        <v>0</v>
      </c>
      <c r="D67" s="314">
        <f>D18</f>
        <v>500000</v>
      </c>
      <c r="E67" s="926"/>
      <c r="F67" s="929"/>
      <c r="G67" s="940"/>
      <c r="H67" s="935"/>
    </row>
    <row r="68" spans="1:9" ht="15" customHeight="1">
      <c r="A68" s="226" t="s">
        <v>20</v>
      </c>
      <c r="B68" s="227" t="s">
        <v>1519</v>
      </c>
      <c r="C68" s="314">
        <f>C19</f>
        <v>0</v>
      </c>
      <c r="D68" s="314">
        <f>D19</f>
        <v>0</v>
      </c>
      <c r="E68" s="926"/>
      <c r="F68" s="929"/>
      <c r="G68" s="940"/>
      <c r="H68" s="935"/>
    </row>
    <row r="69" spans="1:9" ht="15" customHeight="1">
      <c r="A69" s="235" t="s">
        <v>50</v>
      </c>
      <c r="B69" s="213" t="s">
        <v>51</v>
      </c>
      <c r="C69" s="544">
        <f>'Bilan et Hors Bilan'!F75</f>
        <v>0</v>
      </c>
      <c r="D69" s="544">
        <f>'Bilan et Hors Bilan'!E75</f>
        <v>0</v>
      </c>
      <c r="E69" s="926"/>
      <c r="F69" s="929"/>
      <c r="G69" s="940"/>
      <c r="H69" s="935"/>
      <c r="I69" s="316">
        <f>IF(ISBLANK(D69),1,0)</f>
        <v>0</v>
      </c>
    </row>
    <row r="70" spans="1:9" ht="15" customHeight="1">
      <c r="A70" s="235" t="s">
        <v>52</v>
      </c>
      <c r="B70" s="213" t="s">
        <v>53</v>
      </c>
      <c r="C70" s="544">
        <f>'Bilan et Hors Bilan'!F76</f>
        <v>0</v>
      </c>
      <c r="D70" s="544">
        <f>'Bilan et Hors Bilan'!E76</f>
        <v>0</v>
      </c>
      <c r="E70" s="926"/>
      <c r="F70" s="929"/>
      <c r="G70" s="940"/>
      <c r="H70" s="935"/>
      <c r="I70" s="316">
        <f>IF(ISBLANK(D70),1,0)</f>
        <v>0</v>
      </c>
    </row>
    <row r="71" spans="1:9" ht="15" customHeight="1">
      <c r="A71" s="235" t="s">
        <v>54</v>
      </c>
      <c r="B71" s="213" t="s">
        <v>55</v>
      </c>
      <c r="C71" s="544">
        <f>'Bilan et Hors Bilan'!F77</f>
        <v>0</v>
      </c>
      <c r="D71" s="544">
        <f>'Bilan et Hors Bilan'!E77</f>
        <v>0</v>
      </c>
      <c r="E71" s="926"/>
      <c r="F71" s="929"/>
      <c r="G71" s="940"/>
      <c r="H71" s="935"/>
      <c r="I71" s="316">
        <f>IF(ISBLANK(D71),1,0)</f>
        <v>0</v>
      </c>
    </row>
    <row r="72" spans="1:9" ht="15" customHeight="1">
      <c r="A72" s="235" t="s">
        <v>56</v>
      </c>
      <c r="B72" s="213" t="s">
        <v>57</v>
      </c>
      <c r="C72" s="544">
        <f>'Bilan et Hors Bilan'!F80</f>
        <v>0</v>
      </c>
      <c r="D72" s="544">
        <f>'Bilan et Hors Bilan'!E80</f>
        <v>0</v>
      </c>
      <c r="E72" s="926"/>
      <c r="F72" s="929"/>
      <c r="G72" s="940"/>
      <c r="H72" s="935"/>
      <c r="I72" s="316">
        <f>IF(ISBLANK(D72),1,0)</f>
        <v>0</v>
      </c>
    </row>
    <row r="73" spans="1:9" ht="15" customHeight="1">
      <c r="A73" s="235" t="s">
        <v>58</v>
      </c>
      <c r="B73" s="213" t="s">
        <v>59</v>
      </c>
      <c r="C73" s="544">
        <f>'Bilan et Hors Bilan'!F83</f>
        <v>0</v>
      </c>
      <c r="D73" s="544">
        <f>'Bilan et Hors Bilan'!E83</f>
        <v>0</v>
      </c>
      <c r="E73" s="926"/>
      <c r="F73" s="929"/>
      <c r="G73" s="940"/>
      <c r="H73" s="935"/>
      <c r="I73" s="316">
        <f>IF(ISBLANK(D73),1,0)</f>
        <v>0</v>
      </c>
    </row>
    <row r="74" spans="1:9" ht="15" customHeight="1">
      <c r="A74" s="235"/>
      <c r="B74" s="220" t="s">
        <v>1500</v>
      </c>
      <c r="C74" s="231">
        <f>SUM(C58:C73)</f>
        <v>77697101</v>
      </c>
      <c r="D74" s="231">
        <f>SUM(D58:D73)</f>
        <v>149943306</v>
      </c>
      <c r="E74" s="927"/>
      <c r="F74" s="930"/>
      <c r="G74" s="941"/>
      <c r="H74" s="936"/>
      <c r="I74" s="316"/>
    </row>
    <row r="75" spans="1:9" ht="15" customHeight="1"/>
    <row r="76" spans="1:9" ht="15" customHeight="1">
      <c r="A76" s="923" t="s">
        <v>1520</v>
      </c>
      <c r="B76" s="923"/>
      <c r="C76" s="923"/>
      <c r="D76" s="923"/>
      <c r="E76" s="923"/>
      <c r="F76" s="923"/>
      <c r="G76" s="923"/>
      <c r="H76" s="923"/>
    </row>
    <row r="77" spans="1:9" ht="15" customHeight="1">
      <c r="A77" s="924" t="s">
        <v>1484</v>
      </c>
      <c r="B77" s="924"/>
      <c r="C77" s="924"/>
      <c r="D77" s="924"/>
      <c r="E77" s="579"/>
      <c r="F77" s="579"/>
      <c r="G77" s="579"/>
      <c r="H77" s="579"/>
    </row>
    <row r="78" spans="1:9" ht="15" customHeight="1">
      <c r="A78" s="208" t="s">
        <v>1502</v>
      </c>
      <c r="B78" s="224" t="s">
        <v>1521</v>
      </c>
      <c r="C78" s="210" t="str">
        <f>C$6</f>
        <v>Montant N-1</v>
      </c>
      <c r="D78" s="210" t="str">
        <f>D$6</f>
        <v>Montant N</v>
      </c>
      <c r="E78" s="210" t="str">
        <f>E$6</f>
        <v>Résultat N-1</v>
      </c>
      <c r="F78" s="210" t="str">
        <f>F$6</f>
        <v>Résultat N</v>
      </c>
      <c r="G78" s="211" t="s">
        <v>1488</v>
      </c>
      <c r="H78" s="210" t="s">
        <v>1489</v>
      </c>
    </row>
    <row r="79" spans="1:9" ht="15" customHeight="1">
      <c r="A79" s="583"/>
      <c r="B79" s="584"/>
      <c r="C79" s="585"/>
      <c r="D79" s="585"/>
      <c r="E79" s="925">
        <f>IF(C111&lt;&gt;0,C81/C111,0)</f>
        <v>6.280080729651337E-2</v>
      </c>
      <c r="F79" s="928">
        <f>IF(D111&lt;&gt;0,D81/D111,0)</f>
        <v>6.2950335911639108E-2</v>
      </c>
      <c r="G79" s="939" t="s">
        <v>1522</v>
      </c>
      <c r="H79" s="934" t="str">
        <f>IF(D111&lt;&gt;0,IF(F79&gt;10%,"La norme n'est pas respectée","La norme est respectée"),"")</f>
        <v>La norme est respectée</v>
      </c>
    </row>
    <row r="80" spans="1:9" ht="15" customHeight="1">
      <c r="A80" s="235"/>
      <c r="B80" s="213" t="s">
        <v>60</v>
      </c>
      <c r="C80" s="532">
        <f>Retraitement!C29</f>
        <v>169245336</v>
      </c>
      <c r="D80" s="532">
        <f>Retraitement!D29</f>
        <v>169172360</v>
      </c>
      <c r="E80" s="926"/>
      <c r="F80" s="929"/>
      <c r="G80" s="940"/>
      <c r="H80" s="935"/>
      <c r="I80" s="316">
        <f>IF(ISBLANK(D80),1,0)</f>
        <v>0</v>
      </c>
    </row>
    <row r="81" spans="1:9" ht="15" customHeight="1">
      <c r="A81" s="219"/>
      <c r="B81" s="220" t="s">
        <v>1495</v>
      </c>
      <c r="C81" s="236">
        <f>C80</f>
        <v>169245336</v>
      </c>
      <c r="D81" s="236">
        <f>D80</f>
        <v>169172360</v>
      </c>
      <c r="E81" s="926"/>
      <c r="F81" s="929"/>
      <c r="G81" s="940"/>
      <c r="H81" s="935"/>
    </row>
    <row r="82" spans="1:9" ht="15" customHeight="1">
      <c r="A82" s="232"/>
      <c r="B82" s="224" t="s">
        <v>1523</v>
      </c>
      <c r="C82" s="541"/>
      <c r="D82" s="541"/>
      <c r="E82" s="926"/>
      <c r="F82" s="929"/>
      <c r="G82" s="940"/>
      <c r="H82" s="935"/>
    </row>
    <row r="83" spans="1:9" ht="15" customHeight="1">
      <c r="A83" s="235" t="s">
        <v>61</v>
      </c>
      <c r="B83" s="213" t="s">
        <v>62</v>
      </c>
      <c r="C83" s="544">
        <f>'Bilan et Hors Bilan'!J76</f>
        <v>0</v>
      </c>
      <c r="D83" s="544">
        <f>'Bilan et Hors Bilan'!I76</f>
        <v>0</v>
      </c>
      <c r="E83" s="926"/>
      <c r="F83" s="929"/>
      <c r="G83" s="940"/>
      <c r="H83" s="935"/>
      <c r="I83" s="316">
        <f t="shared" ref="I83:I110" si="3">IF(ISBLANK(D83),1,0)</f>
        <v>0</v>
      </c>
    </row>
    <row r="84" spans="1:9" ht="15" customHeight="1">
      <c r="A84" s="235" t="s">
        <v>63</v>
      </c>
      <c r="B84" s="213" t="s">
        <v>64</v>
      </c>
      <c r="C84" s="544">
        <f>'Bilan et Hors Bilan'!J77</f>
        <v>49810291</v>
      </c>
      <c r="D84" s="544">
        <f>'Bilan et Hors Bilan'!I77</f>
        <v>0</v>
      </c>
      <c r="E84" s="926"/>
      <c r="F84" s="929"/>
      <c r="G84" s="940"/>
      <c r="H84" s="935"/>
      <c r="I84" s="316">
        <f t="shared" si="3"/>
        <v>0</v>
      </c>
    </row>
    <row r="85" spans="1:9" ht="15" customHeight="1">
      <c r="A85" s="235" t="s">
        <v>65</v>
      </c>
      <c r="B85" s="213" t="s">
        <v>66</v>
      </c>
      <c r="C85" s="544">
        <f>'Bilan et Hors Bilan'!J83</f>
        <v>0</v>
      </c>
      <c r="D85" s="544">
        <f>'Bilan et Hors Bilan'!I83</f>
        <v>0</v>
      </c>
      <c r="E85" s="926"/>
      <c r="F85" s="929"/>
      <c r="G85" s="940"/>
      <c r="H85" s="935"/>
      <c r="I85" s="316">
        <f t="shared" si="3"/>
        <v>0</v>
      </c>
    </row>
    <row r="86" spans="1:9" ht="15" customHeight="1">
      <c r="A86" s="235" t="s">
        <v>67</v>
      </c>
      <c r="B86" s="213" t="s">
        <v>68</v>
      </c>
      <c r="C86" s="544">
        <f>'Bilan et Hors Bilan'!J84</f>
        <v>39111896</v>
      </c>
      <c r="D86" s="544">
        <f>'Bilan et Hors Bilan'!I84</f>
        <v>41528970</v>
      </c>
      <c r="E86" s="926"/>
      <c r="F86" s="929"/>
      <c r="G86" s="940"/>
      <c r="H86" s="935"/>
      <c r="I86" s="316">
        <f t="shared" si="3"/>
        <v>0</v>
      </c>
    </row>
    <row r="87" spans="1:9" ht="15" customHeight="1">
      <c r="A87" s="235" t="s">
        <v>69</v>
      </c>
      <c r="B87" s="213" t="s">
        <v>70</v>
      </c>
      <c r="C87" s="544">
        <f>'Bilan et Hors Bilan'!J88</f>
        <v>0</v>
      </c>
      <c r="D87" s="544">
        <f>'Bilan et Hors Bilan'!I88</f>
        <v>0</v>
      </c>
      <c r="E87" s="926"/>
      <c r="F87" s="929"/>
      <c r="G87" s="940"/>
      <c r="H87" s="935"/>
      <c r="I87" s="316">
        <f t="shared" si="3"/>
        <v>0</v>
      </c>
    </row>
    <row r="88" spans="1:9" ht="15" customHeight="1">
      <c r="A88" s="235" t="s">
        <v>71</v>
      </c>
      <c r="B88" s="213" t="s">
        <v>72</v>
      </c>
      <c r="C88" s="544">
        <f>'Bilan et Hors Bilan'!J91</f>
        <v>0</v>
      </c>
      <c r="D88" s="544">
        <f>'Bilan et Hors Bilan'!I91</f>
        <v>0</v>
      </c>
      <c r="E88" s="926"/>
      <c r="F88" s="929"/>
      <c r="G88" s="940"/>
      <c r="H88" s="935"/>
      <c r="I88" s="316">
        <f t="shared" si="3"/>
        <v>0</v>
      </c>
    </row>
    <row r="89" spans="1:9" ht="15" customHeight="1">
      <c r="A89" s="235" t="s">
        <v>73</v>
      </c>
      <c r="B89" s="213" t="s">
        <v>1524</v>
      </c>
      <c r="C89" s="544">
        <f>'Bilan et Hors Bilan'!J93</f>
        <v>0</v>
      </c>
      <c r="D89" s="544">
        <f>'Bilan et Hors Bilan'!I93</f>
        <v>0</v>
      </c>
      <c r="E89" s="926"/>
      <c r="F89" s="929"/>
      <c r="G89" s="940"/>
      <c r="H89" s="935"/>
      <c r="I89" s="316">
        <f t="shared" si="3"/>
        <v>0</v>
      </c>
    </row>
    <row r="90" spans="1:9" ht="15" customHeight="1">
      <c r="A90" s="235" t="s">
        <v>75</v>
      </c>
      <c r="B90" s="213" t="s">
        <v>76</v>
      </c>
      <c r="C90" s="544">
        <f>'Bilan et Hors Bilan'!J94</f>
        <v>0</v>
      </c>
      <c r="D90" s="544">
        <f>'Bilan et Hors Bilan'!I94</f>
        <v>0</v>
      </c>
      <c r="E90" s="926"/>
      <c r="F90" s="929"/>
      <c r="G90" s="940"/>
      <c r="H90" s="935"/>
      <c r="I90" s="316">
        <f t="shared" si="3"/>
        <v>0</v>
      </c>
    </row>
    <row r="91" spans="1:9" ht="15" customHeight="1">
      <c r="A91" s="235" t="s">
        <v>77</v>
      </c>
      <c r="B91" s="213" t="s">
        <v>78</v>
      </c>
      <c r="C91" s="544">
        <f>'Bilan et Hors Bilan'!J95</f>
        <v>2246088573</v>
      </c>
      <c r="D91" s="544">
        <f>'Bilan et Hors Bilan'!I95</f>
        <v>2579143571</v>
      </c>
      <c r="E91" s="926"/>
      <c r="F91" s="929"/>
      <c r="G91" s="940"/>
      <c r="H91" s="935"/>
      <c r="I91" s="316">
        <f t="shared" si="3"/>
        <v>0</v>
      </c>
    </row>
    <row r="92" spans="1:9" ht="15" customHeight="1">
      <c r="A92" s="235" t="s">
        <v>79</v>
      </c>
      <c r="B92" s="213" t="s">
        <v>134</v>
      </c>
      <c r="C92" s="544">
        <f>'Bilan et Hors Bilan'!J99</f>
        <v>0</v>
      </c>
      <c r="D92" s="544">
        <f>'Bilan et Hors Bilan'!I99</f>
        <v>0</v>
      </c>
      <c r="E92" s="926"/>
      <c r="F92" s="929"/>
      <c r="G92" s="940"/>
      <c r="H92" s="935"/>
      <c r="I92" s="316">
        <f t="shared" si="3"/>
        <v>0</v>
      </c>
    </row>
    <row r="93" spans="1:9" ht="15" customHeight="1">
      <c r="A93" s="235" t="s">
        <v>80</v>
      </c>
      <c r="B93" s="213" t="s">
        <v>81</v>
      </c>
      <c r="C93" s="544">
        <f>'Bilan et Hors Bilan'!J100</f>
        <v>26887000</v>
      </c>
      <c r="D93" s="544">
        <f>'Bilan et Hors Bilan'!I100</f>
        <v>30179000</v>
      </c>
      <c r="E93" s="926"/>
      <c r="F93" s="929"/>
      <c r="G93" s="940"/>
      <c r="H93" s="935"/>
      <c r="I93" s="316">
        <f t="shared" si="3"/>
        <v>0</v>
      </c>
    </row>
    <row r="94" spans="1:9" ht="15" customHeight="1">
      <c r="A94" s="235" t="s">
        <v>82</v>
      </c>
      <c r="B94" s="213" t="s">
        <v>83</v>
      </c>
      <c r="C94" s="544">
        <f>'Bilan et Hors Bilan'!J103</f>
        <v>0</v>
      </c>
      <c r="D94" s="544">
        <f>'Bilan et Hors Bilan'!I103</f>
        <v>0</v>
      </c>
      <c r="E94" s="926"/>
      <c r="F94" s="929"/>
      <c r="G94" s="940"/>
      <c r="H94" s="935"/>
      <c r="I94" s="316">
        <f t="shared" si="3"/>
        <v>0</v>
      </c>
    </row>
    <row r="95" spans="1:9" ht="15.75" customHeight="1">
      <c r="A95" s="235" t="s">
        <v>84</v>
      </c>
      <c r="B95" s="213" t="s">
        <v>135</v>
      </c>
      <c r="C95" s="544">
        <f>IF('Bilan et Hors Bilan'!J104&gt;0,'Bilan et Hors Bilan'!J104,0)</f>
        <v>0</v>
      </c>
      <c r="D95" s="544">
        <f>IF('Bilan et Hors Bilan'!I104&gt;0,'Bilan et Hors Bilan'!I104,0)</f>
        <v>0</v>
      </c>
      <c r="E95" s="926"/>
      <c r="F95" s="929"/>
      <c r="G95" s="940"/>
      <c r="H95" s="935"/>
      <c r="I95" s="316">
        <f t="shared" si="3"/>
        <v>0</v>
      </c>
    </row>
    <row r="96" spans="1:9" ht="15.75" customHeight="1">
      <c r="A96" s="235" t="s">
        <v>85</v>
      </c>
      <c r="B96" s="213" t="s">
        <v>86</v>
      </c>
      <c r="C96" s="544">
        <f>'Bilan et Hors Bilan'!I115</f>
        <v>0</v>
      </c>
      <c r="D96" s="544">
        <f>'Bilan et Hors Bilan'!J115</f>
        <v>0</v>
      </c>
      <c r="E96" s="926"/>
      <c r="F96" s="929"/>
      <c r="G96" s="940"/>
      <c r="H96" s="935"/>
      <c r="I96" s="316">
        <f t="shared" si="3"/>
        <v>0</v>
      </c>
    </row>
    <row r="97" spans="1:9" ht="15.75" customHeight="1">
      <c r="A97" s="235" t="s">
        <v>87</v>
      </c>
      <c r="B97" s="213" t="s">
        <v>88</v>
      </c>
      <c r="C97" s="544">
        <f>IF('Bilan et Hors Bilan'!J116&gt;0,'Bilan et Hors Bilan'!J116,0)</f>
        <v>333057023</v>
      </c>
      <c r="D97" s="544">
        <f>IF('Bilan et Hors Bilan'!I116&gt;0,'Bilan et Hors Bilan'!I116,0)</f>
        <v>36542538</v>
      </c>
      <c r="E97" s="926"/>
      <c r="F97" s="929"/>
      <c r="G97" s="940"/>
      <c r="H97" s="935"/>
      <c r="I97" s="316">
        <f t="shared" si="3"/>
        <v>0</v>
      </c>
    </row>
    <row r="98" spans="1:9" ht="15.75" customHeight="1">
      <c r="A98" s="237"/>
      <c r="B98" s="216" t="s">
        <v>1525</v>
      </c>
      <c r="C98" s="245">
        <f>SUM(C83:C97)</f>
        <v>2694954783</v>
      </c>
      <c r="D98" s="245">
        <f>SUM(D83:D97)</f>
        <v>2687394079</v>
      </c>
      <c r="E98" s="926"/>
      <c r="F98" s="929"/>
      <c r="G98" s="940"/>
      <c r="H98" s="935"/>
      <c r="I98" s="316"/>
    </row>
    <row r="99" spans="1:9" ht="15.75" customHeight="1">
      <c r="A99" s="237"/>
      <c r="B99" s="216" t="s">
        <v>1526</v>
      </c>
      <c r="C99" s="245">
        <f>SUM(C100:C102,C109:C110)+ABS(C107)+ABS(C108)</f>
        <v>0</v>
      </c>
      <c r="D99" s="245">
        <f>SUM(D100:D102,D109:D110)+ABS(D107)+ABS(D108)</f>
        <v>0</v>
      </c>
      <c r="E99" s="926"/>
      <c r="F99" s="929"/>
      <c r="G99" s="940"/>
      <c r="H99" s="935"/>
      <c r="I99" s="316"/>
    </row>
    <row r="100" spans="1:9" ht="15.75" customHeight="1">
      <c r="A100" s="235" t="s">
        <v>90</v>
      </c>
      <c r="B100" s="213" t="s">
        <v>89</v>
      </c>
      <c r="C100" s="544">
        <f>'Bilan et Hors Bilan'!J102</f>
        <v>0</v>
      </c>
      <c r="D100" s="544">
        <f>'Bilan et Hors Bilan'!I102</f>
        <v>0</v>
      </c>
      <c r="E100" s="926"/>
      <c r="F100" s="929"/>
      <c r="G100" s="940"/>
      <c r="H100" s="935"/>
      <c r="I100" s="316">
        <f t="shared" si="3"/>
        <v>0</v>
      </c>
    </row>
    <row r="101" spans="1:9" ht="15.75" customHeight="1">
      <c r="A101" s="235" t="s">
        <v>91</v>
      </c>
      <c r="B101" s="213" t="s">
        <v>92</v>
      </c>
      <c r="C101" s="544">
        <f>'Bilan et Hors Bilan'!F119</f>
        <v>0</v>
      </c>
      <c r="D101" s="544">
        <f>'Bilan et Hors Bilan'!E119</f>
        <v>0</v>
      </c>
      <c r="E101" s="926"/>
      <c r="F101" s="929"/>
      <c r="G101" s="940"/>
      <c r="H101" s="935"/>
      <c r="I101" s="316">
        <f t="shared" si="3"/>
        <v>0</v>
      </c>
    </row>
    <row r="102" spans="1:9" ht="15.75" customHeight="1">
      <c r="A102" s="238"/>
      <c r="B102" s="217" t="s">
        <v>1527</v>
      </c>
      <c r="C102" s="239">
        <f>SUM(C103:C106)</f>
        <v>0</v>
      </c>
      <c r="D102" s="239">
        <f>SUM(D103:D106)</f>
        <v>0</v>
      </c>
      <c r="E102" s="926"/>
      <c r="F102" s="929"/>
      <c r="G102" s="940"/>
      <c r="H102" s="935"/>
      <c r="I102" s="316"/>
    </row>
    <row r="103" spans="1:9" ht="15.75" customHeight="1">
      <c r="A103" s="235" t="s">
        <v>93</v>
      </c>
      <c r="B103" s="240" t="s">
        <v>253</v>
      </c>
      <c r="C103" s="544">
        <f>'Bilan et Hors Bilan'!F78</f>
        <v>0</v>
      </c>
      <c r="D103" s="544">
        <f>'Bilan et Hors Bilan'!E78</f>
        <v>0</v>
      </c>
      <c r="E103" s="926"/>
      <c r="F103" s="929"/>
      <c r="G103" s="940"/>
      <c r="H103" s="935"/>
      <c r="I103" s="316">
        <f t="shared" si="3"/>
        <v>0</v>
      </c>
    </row>
    <row r="104" spans="1:9" ht="15.75" customHeight="1">
      <c r="A104" s="235" t="s">
        <v>94</v>
      </c>
      <c r="B104" s="240" t="s">
        <v>253</v>
      </c>
      <c r="C104" s="544">
        <f>'Bilan et Hors Bilan'!F81</f>
        <v>0</v>
      </c>
      <c r="D104" s="544">
        <f>'Bilan et Hors Bilan'!E81</f>
        <v>0</v>
      </c>
      <c r="E104" s="926"/>
      <c r="F104" s="929"/>
      <c r="G104" s="940"/>
      <c r="H104" s="935"/>
      <c r="I104" s="316">
        <f t="shared" si="3"/>
        <v>0</v>
      </c>
    </row>
    <row r="105" spans="1:9" ht="15.75" customHeight="1">
      <c r="A105" s="235" t="s">
        <v>95</v>
      </c>
      <c r="B105" s="240" t="s">
        <v>253</v>
      </c>
      <c r="C105" s="544">
        <f>'Bilan et Hors Bilan'!F84</f>
        <v>0</v>
      </c>
      <c r="D105" s="544">
        <f>'Bilan et Hors Bilan'!E84</f>
        <v>0</v>
      </c>
      <c r="E105" s="926"/>
      <c r="F105" s="929"/>
      <c r="G105" s="940"/>
      <c r="H105" s="935"/>
      <c r="I105" s="316">
        <f t="shared" si="3"/>
        <v>0</v>
      </c>
    </row>
    <row r="106" spans="1:9" ht="15.75" customHeight="1">
      <c r="A106" s="235" t="s">
        <v>96</v>
      </c>
      <c r="B106" s="240" t="s">
        <v>253</v>
      </c>
      <c r="C106" s="544">
        <f>'Bilan et Hors Bilan'!F87</f>
        <v>0</v>
      </c>
      <c r="D106" s="544">
        <f>'Bilan et Hors Bilan'!E87</f>
        <v>0</v>
      </c>
      <c r="E106" s="926"/>
      <c r="F106" s="929"/>
      <c r="G106" s="940"/>
      <c r="H106" s="935"/>
      <c r="I106" s="316">
        <f t="shared" si="3"/>
        <v>0</v>
      </c>
    </row>
    <row r="107" spans="1:9" ht="15.75" customHeight="1">
      <c r="A107" s="235" t="s">
        <v>84</v>
      </c>
      <c r="B107" s="213" t="s">
        <v>97</v>
      </c>
      <c r="C107" s="544">
        <f>IF('Bilan et Hors Bilan'!J104&lt;0,-'Bilan et Hors Bilan'!J104,0)</f>
        <v>0</v>
      </c>
      <c r="D107" s="544">
        <f>IF('Bilan et Hors Bilan'!I104&lt;0,-'Bilan et Hors Bilan'!I104,0)</f>
        <v>0</v>
      </c>
      <c r="E107" s="926"/>
      <c r="F107" s="929"/>
      <c r="G107" s="940"/>
      <c r="H107" s="935"/>
      <c r="I107" s="316">
        <f t="shared" si="3"/>
        <v>0</v>
      </c>
    </row>
    <row r="108" spans="1:9" ht="15.75" customHeight="1">
      <c r="A108" s="235" t="s">
        <v>87</v>
      </c>
      <c r="B108" s="213" t="s">
        <v>98</v>
      </c>
      <c r="C108" s="544">
        <f>IF('Bilan et Hors Bilan'!J116&lt;0,-'Bilan et Hors Bilan'!J116,0)</f>
        <v>0</v>
      </c>
      <c r="D108" s="544">
        <f>IF('Bilan et Hors Bilan'!I116&lt;0,-'Bilan et Hors Bilan'!I116,0)</f>
        <v>0</v>
      </c>
      <c r="E108" s="926"/>
      <c r="F108" s="929"/>
      <c r="G108" s="940"/>
      <c r="H108" s="935"/>
      <c r="I108" s="316">
        <f t="shared" si="3"/>
        <v>0</v>
      </c>
    </row>
    <row r="109" spans="1:9" ht="15.75" customHeight="1">
      <c r="A109" s="235"/>
      <c r="B109" s="213" t="s">
        <v>99</v>
      </c>
      <c r="C109" s="532">
        <f>Retraitement!C33</f>
        <v>0</v>
      </c>
      <c r="D109" s="532">
        <f>Retraitement!D33</f>
        <v>0</v>
      </c>
      <c r="E109" s="926"/>
      <c r="F109" s="929"/>
      <c r="G109" s="940"/>
      <c r="H109" s="935"/>
      <c r="I109" s="316">
        <f t="shared" si="3"/>
        <v>0</v>
      </c>
    </row>
    <row r="110" spans="1:9" ht="15.75" customHeight="1">
      <c r="A110" s="235"/>
      <c r="B110" s="213" t="s">
        <v>100</v>
      </c>
      <c r="C110" s="532">
        <f>Retraitement!C34</f>
        <v>0</v>
      </c>
      <c r="D110" s="532">
        <f>Retraitement!D34</f>
        <v>0</v>
      </c>
      <c r="E110" s="926"/>
      <c r="F110" s="929"/>
      <c r="G110" s="940"/>
      <c r="H110" s="935"/>
      <c r="I110" s="316">
        <f t="shared" si="3"/>
        <v>0</v>
      </c>
    </row>
    <row r="111" spans="1:9" ht="15.75" customHeight="1">
      <c r="A111" s="241"/>
      <c r="B111" s="242" t="s">
        <v>1500</v>
      </c>
      <c r="C111" s="231">
        <f>C98-C99</f>
        <v>2694954783</v>
      </c>
      <c r="D111" s="231">
        <f>D98-D99</f>
        <v>2687394079</v>
      </c>
      <c r="E111" s="927"/>
      <c r="F111" s="930"/>
      <c r="G111" s="941"/>
      <c r="H111" s="936"/>
      <c r="I111" s="316"/>
    </row>
    <row r="113" spans="1:9" ht="18">
      <c r="A113" s="923" t="s">
        <v>1528</v>
      </c>
      <c r="B113" s="923"/>
      <c r="C113" s="923"/>
      <c r="D113" s="923"/>
      <c r="E113" s="923"/>
      <c r="F113" s="923"/>
      <c r="G113" s="923"/>
      <c r="H113" s="923"/>
    </row>
    <row r="114" spans="1:9">
      <c r="A114" s="924" t="s">
        <v>1484</v>
      </c>
      <c r="B114" s="924"/>
      <c r="C114" s="924"/>
      <c r="D114" s="924"/>
      <c r="E114" s="579"/>
      <c r="F114" s="579"/>
      <c r="G114" s="579"/>
      <c r="H114" s="579"/>
    </row>
    <row r="115" spans="1:9" ht="28">
      <c r="A115" s="208" t="s">
        <v>1502</v>
      </c>
      <c r="B115" s="224" t="s">
        <v>1521</v>
      </c>
      <c r="C115" s="210" t="str">
        <f>C$6</f>
        <v>Montant N-1</v>
      </c>
      <c r="D115" s="210" t="str">
        <f>D$6</f>
        <v>Montant N</v>
      </c>
      <c r="E115" s="210" t="str">
        <f>E$6</f>
        <v>Résultat N-1</v>
      </c>
      <c r="F115" s="210" t="str">
        <f>F$6</f>
        <v>Résultat N</v>
      </c>
      <c r="G115" s="211" t="s">
        <v>1488</v>
      </c>
      <c r="H115" s="210" t="s">
        <v>1489</v>
      </c>
    </row>
    <row r="116" spans="1:9" ht="15" customHeight="1">
      <c r="A116" s="586"/>
      <c r="B116" s="587"/>
      <c r="C116" s="588"/>
      <c r="D116" s="588"/>
      <c r="E116" s="925">
        <f>IF(C148&lt;&gt;0,C118/C148,0)</f>
        <v>1.5457185130812639E-2</v>
      </c>
      <c r="F116" s="928">
        <f>IF(D148&lt;&gt;0,D118/D148,0)</f>
        <v>1.4175773213795193E-2</v>
      </c>
      <c r="G116" s="939" t="s">
        <v>1522</v>
      </c>
      <c r="H116" s="934" t="str">
        <f>IF(D148&lt;&gt;0,IF(F116&gt;10%,"La norme n'est pas respectée","La norme est respectée"),"")</f>
        <v>La norme est respectée</v>
      </c>
    </row>
    <row r="117" spans="1:9" ht="15.75" customHeight="1">
      <c r="A117" s="243"/>
      <c r="B117" s="244" t="s">
        <v>101</v>
      </c>
      <c r="C117" s="312">
        <f>Retraitement!C40</f>
        <v>41656415</v>
      </c>
      <c r="D117" s="312">
        <f>Retraitement!D40</f>
        <v>38095889</v>
      </c>
      <c r="E117" s="926"/>
      <c r="F117" s="929"/>
      <c r="G117" s="940"/>
      <c r="H117" s="935"/>
      <c r="I117" s="316">
        <f>IF(ISBLANK(D117),1,0)</f>
        <v>0</v>
      </c>
    </row>
    <row r="118" spans="1:9" ht="15" customHeight="1">
      <c r="A118" s="220"/>
      <c r="B118" s="220" t="s">
        <v>1495</v>
      </c>
      <c r="C118" s="236">
        <f>C117</f>
        <v>41656415</v>
      </c>
      <c r="D118" s="236">
        <f>D117</f>
        <v>38095889</v>
      </c>
      <c r="E118" s="926"/>
      <c r="F118" s="929"/>
      <c r="G118" s="940"/>
      <c r="H118" s="935"/>
    </row>
    <row r="119" spans="1:9" ht="15" customHeight="1">
      <c r="A119" s="224"/>
      <c r="B119" s="224" t="s">
        <v>1523</v>
      </c>
      <c r="C119" s="232"/>
      <c r="D119" s="232"/>
      <c r="E119" s="926"/>
      <c r="F119" s="929"/>
      <c r="G119" s="940"/>
      <c r="H119" s="935"/>
    </row>
    <row r="120" spans="1:9" ht="15" customHeight="1">
      <c r="A120" s="226" t="s">
        <v>61</v>
      </c>
      <c r="B120" s="227" t="s">
        <v>62</v>
      </c>
      <c r="C120" s="228">
        <f>C83</f>
        <v>0</v>
      </c>
      <c r="D120" s="228">
        <f>D83</f>
        <v>0</v>
      </c>
      <c r="E120" s="926"/>
      <c r="F120" s="929"/>
      <c r="G120" s="940"/>
      <c r="H120" s="935"/>
    </row>
    <row r="121" spans="1:9" ht="15" customHeight="1">
      <c r="A121" s="226" t="s">
        <v>63</v>
      </c>
      <c r="B121" s="227" t="s">
        <v>64</v>
      </c>
      <c r="C121" s="228">
        <f t="shared" ref="C121:C134" si="4">C84</f>
        <v>49810291</v>
      </c>
      <c r="D121" s="228">
        <f t="shared" ref="D121:D145" si="5">D84</f>
        <v>0</v>
      </c>
      <c r="E121" s="926"/>
      <c r="F121" s="929"/>
      <c r="G121" s="940"/>
      <c r="H121" s="935"/>
    </row>
    <row r="122" spans="1:9" ht="15" customHeight="1">
      <c r="A122" s="226" t="s">
        <v>65</v>
      </c>
      <c r="B122" s="227" t="s">
        <v>66</v>
      </c>
      <c r="C122" s="228">
        <f t="shared" si="4"/>
        <v>0</v>
      </c>
      <c r="D122" s="228">
        <f t="shared" si="5"/>
        <v>0</v>
      </c>
      <c r="E122" s="926"/>
      <c r="F122" s="929"/>
      <c r="G122" s="940"/>
      <c r="H122" s="935"/>
    </row>
    <row r="123" spans="1:9" ht="15" customHeight="1">
      <c r="A123" s="226" t="s">
        <v>67</v>
      </c>
      <c r="B123" s="227" t="s">
        <v>68</v>
      </c>
      <c r="C123" s="228">
        <f t="shared" si="4"/>
        <v>39111896</v>
      </c>
      <c r="D123" s="228">
        <f t="shared" si="5"/>
        <v>41528970</v>
      </c>
      <c r="E123" s="926"/>
      <c r="F123" s="929"/>
      <c r="G123" s="940"/>
      <c r="H123" s="935"/>
    </row>
    <row r="124" spans="1:9" ht="15" customHeight="1">
      <c r="A124" s="226" t="s">
        <v>69</v>
      </c>
      <c r="B124" s="227" t="s">
        <v>70</v>
      </c>
      <c r="C124" s="228">
        <f t="shared" si="4"/>
        <v>0</v>
      </c>
      <c r="D124" s="228">
        <f t="shared" si="5"/>
        <v>0</v>
      </c>
      <c r="E124" s="926"/>
      <c r="F124" s="929"/>
      <c r="G124" s="940"/>
      <c r="H124" s="935"/>
    </row>
    <row r="125" spans="1:9" ht="15" customHeight="1">
      <c r="A125" s="226" t="s">
        <v>71</v>
      </c>
      <c r="B125" s="227" t="s">
        <v>72</v>
      </c>
      <c r="C125" s="228">
        <f t="shared" si="4"/>
        <v>0</v>
      </c>
      <c r="D125" s="228">
        <f t="shared" si="5"/>
        <v>0</v>
      </c>
      <c r="E125" s="926"/>
      <c r="F125" s="929"/>
      <c r="G125" s="940"/>
      <c r="H125" s="935"/>
    </row>
    <row r="126" spans="1:9" ht="15" customHeight="1">
      <c r="A126" s="226" t="s">
        <v>73</v>
      </c>
      <c r="B126" s="227" t="s">
        <v>74</v>
      </c>
      <c r="C126" s="228">
        <f t="shared" si="4"/>
        <v>0</v>
      </c>
      <c r="D126" s="228">
        <f t="shared" si="5"/>
        <v>0</v>
      </c>
      <c r="E126" s="926"/>
      <c r="F126" s="929"/>
      <c r="G126" s="940"/>
      <c r="H126" s="935"/>
    </row>
    <row r="127" spans="1:9" ht="15" customHeight="1">
      <c r="A127" s="226" t="s">
        <v>75</v>
      </c>
      <c r="B127" s="227" t="s">
        <v>76</v>
      </c>
      <c r="C127" s="228">
        <f t="shared" si="4"/>
        <v>0</v>
      </c>
      <c r="D127" s="228">
        <f t="shared" si="5"/>
        <v>0</v>
      </c>
      <c r="E127" s="926"/>
      <c r="F127" s="929"/>
      <c r="G127" s="940"/>
      <c r="H127" s="935"/>
    </row>
    <row r="128" spans="1:9" ht="15" customHeight="1">
      <c r="A128" s="226" t="s">
        <v>77</v>
      </c>
      <c r="B128" s="227" t="s">
        <v>78</v>
      </c>
      <c r="C128" s="228">
        <f t="shared" si="4"/>
        <v>2246088573</v>
      </c>
      <c r="D128" s="228">
        <f t="shared" si="5"/>
        <v>2579143571</v>
      </c>
      <c r="E128" s="926"/>
      <c r="F128" s="929"/>
      <c r="G128" s="940"/>
      <c r="H128" s="935"/>
    </row>
    <row r="129" spans="1:8" ht="15" customHeight="1">
      <c r="A129" s="226" t="s">
        <v>79</v>
      </c>
      <c r="B129" s="227" t="s">
        <v>134</v>
      </c>
      <c r="C129" s="228">
        <f t="shared" si="4"/>
        <v>0</v>
      </c>
      <c r="D129" s="228">
        <f t="shared" si="5"/>
        <v>0</v>
      </c>
      <c r="E129" s="926"/>
      <c r="F129" s="929"/>
      <c r="G129" s="940"/>
      <c r="H129" s="935"/>
    </row>
    <row r="130" spans="1:8" s="8" customFormat="1" ht="15" customHeight="1">
      <c r="A130" s="226" t="s">
        <v>80</v>
      </c>
      <c r="B130" s="227" t="s">
        <v>81</v>
      </c>
      <c r="C130" s="228">
        <f t="shared" si="4"/>
        <v>26887000</v>
      </c>
      <c r="D130" s="228">
        <f t="shared" si="5"/>
        <v>30179000</v>
      </c>
      <c r="E130" s="926"/>
      <c r="F130" s="929"/>
      <c r="G130" s="940"/>
      <c r="H130" s="935"/>
    </row>
    <row r="131" spans="1:8" s="8" customFormat="1" ht="15" customHeight="1">
      <c r="A131" s="226" t="s">
        <v>82</v>
      </c>
      <c r="B131" s="227" t="s">
        <v>83</v>
      </c>
      <c r="C131" s="228">
        <f t="shared" si="4"/>
        <v>0</v>
      </c>
      <c r="D131" s="228">
        <f t="shared" si="5"/>
        <v>0</v>
      </c>
      <c r="E131" s="926"/>
      <c r="F131" s="929"/>
      <c r="G131" s="940"/>
      <c r="H131" s="935"/>
    </row>
    <row r="132" spans="1:8" s="8" customFormat="1" ht="15" customHeight="1">
      <c r="A132" s="226" t="s">
        <v>84</v>
      </c>
      <c r="B132" s="227" t="s">
        <v>135</v>
      </c>
      <c r="C132" s="228">
        <f t="shared" si="4"/>
        <v>0</v>
      </c>
      <c r="D132" s="228">
        <f t="shared" si="5"/>
        <v>0</v>
      </c>
      <c r="E132" s="926"/>
      <c r="F132" s="929"/>
      <c r="G132" s="940"/>
      <c r="H132" s="935"/>
    </row>
    <row r="133" spans="1:8" s="8" customFormat="1" ht="15" customHeight="1">
      <c r="A133" s="226" t="s">
        <v>85</v>
      </c>
      <c r="B133" s="227" t="s">
        <v>86</v>
      </c>
      <c r="C133" s="228">
        <f t="shared" si="4"/>
        <v>0</v>
      </c>
      <c r="D133" s="228">
        <f t="shared" si="5"/>
        <v>0</v>
      </c>
      <c r="E133" s="926"/>
      <c r="F133" s="929"/>
      <c r="G133" s="940"/>
      <c r="H133" s="935"/>
    </row>
    <row r="134" spans="1:8" s="8" customFormat="1" ht="15" customHeight="1">
      <c r="A134" s="226" t="s">
        <v>87</v>
      </c>
      <c r="B134" s="227" t="s">
        <v>88</v>
      </c>
      <c r="C134" s="228">
        <f t="shared" si="4"/>
        <v>333057023</v>
      </c>
      <c r="D134" s="228">
        <f t="shared" si="5"/>
        <v>36542538</v>
      </c>
      <c r="E134" s="926"/>
      <c r="F134" s="929"/>
      <c r="G134" s="940"/>
      <c r="H134" s="935"/>
    </row>
    <row r="135" spans="1:8" s="8" customFormat="1" ht="15" customHeight="1">
      <c r="A135" s="237"/>
      <c r="B135" s="216" t="s">
        <v>1525</v>
      </c>
      <c r="C135" s="245">
        <f>SUM(C120:C134)</f>
        <v>2694954783</v>
      </c>
      <c r="D135" s="245">
        <f>SUM(D120:D134)</f>
        <v>2687394079</v>
      </c>
      <c r="E135" s="926"/>
      <c r="F135" s="929"/>
      <c r="G135" s="940"/>
      <c r="H135" s="935"/>
    </row>
    <row r="136" spans="1:8" s="8" customFormat="1" ht="15" customHeight="1">
      <c r="A136" s="237"/>
      <c r="B136" s="216" t="s">
        <v>1526</v>
      </c>
      <c r="C136" s="245">
        <f>SUM(C137:C139,C146:C147)+ABS(C144)+ABS(C145)</f>
        <v>0</v>
      </c>
      <c r="D136" s="245">
        <f>SUM(D137:D139,D146:D147)+ABS(D144)+ABS(D145)</f>
        <v>0</v>
      </c>
      <c r="E136" s="926"/>
      <c r="F136" s="929"/>
      <c r="G136" s="940"/>
      <c r="H136" s="935"/>
    </row>
    <row r="137" spans="1:8" s="8" customFormat="1" ht="15" customHeight="1">
      <c r="A137" s="226" t="s">
        <v>90</v>
      </c>
      <c r="B137" s="227" t="s">
        <v>89</v>
      </c>
      <c r="C137" s="228">
        <f>C100</f>
        <v>0</v>
      </c>
      <c r="D137" s="228">
        <f t="shared" si="5"/>
        <v>0</v>
      </c>
      <c r="E137" s="926"/>
      <c r="F137" s="929"/>
      <c r="G137" s="940"/>
      <c r="H137" s="935"/>
    </row>
    <row r="138" spans="1:8" s="8" customFormat="1" ht="15" customHeight="1">
      <c r="A138" s="226" t="s">
        <v>91</v>
      </c>
      <c r="B138" s="227" t="s">
        <v>92</v>
      </c>
      <c r="C138" s="228">
        <f>C101</f>
        <v>0</v>
      </c>
      <c r="D138" s="228">
        <f t="shared" si="5"/>
        <v>0</v>
      </c>
      <c r="E138" s="926"/>
      <c r="F138" s="929"/>
      <c r="G138" s="940"/>
      <c r="H138" s="935"/>
    </row>
    <row r="139" spans="1:8" s="8" customFormat="1" ht="15.75" customHeight="1">
      <c r="A139" s="246"/>
      <c r="B139" s="247" t="s">
        <v>1527</v>
      </c>
      <c r="C139" s="246">
        <f>SUM(C140:C143)</f>
        <v>0</v>
      </c>
      <c r="D139" s="246">
        <f>SUM(D140:D143)</f>
        <v>0</v>
      </c>
      <c r="E139" s="926"/>
      <c r="F139" s="929"/>
      <c r="G139" s="940"/>
      <c r="H139" s="935"/>
    </row>
    <row r="140" spans="1:8" s="8" customFormat="1" ht="15" customHeight="1">
      <c r="A140" s="226" t="s">
        <v>93</v>
      </c>
      <c r="B140" s="248" t="s">
        <v>253</v>
      </c>
      <c r="C140" s="228">
        <f t="shared" ref="C140:C147" si="6">C103</f>
        <v>0</v>
      </c>
      <c r="D140" s="228">
        <f t="shared" si="5"/>
        <v>0</v>
      </c>
      <c r="E140" s="926"/>
      <c r="F140" s="929"/>
      <c r="G140" s="940"/>
      <c r="H140" s="935"/>
    </row>
    <row r="141" spans="1:8" s="8" customFormat="1" ht="15" customHeight="1">
      <c r="A141" s="226" t="s">
        <v>94</v>
      </c>
      <c r="B141" s="248" t="s">
        <v>253</v>
      </c>
      <c r="C141" s="228">
        <f t="shared" si="6"/>
        <v>0</v>
      </c>
      <c r="D141" s="228">
        <f t="shared" si="5"/>
        <v>0</v>
      </c>
      <c r="E141" s="926"/>
      <c r="F141" s="929"/>
      <c r="G141" s="940"/>
      <c r="H141" s="935"/>
    </row>
    <row r="142" spans="1:8" s="8" customFormat="1" ht="15" customHeight="1">
      <c r="A142" s="226" t="s">
        <v>95</v>
      </c>
      <c r="B142" s="248" t="s">
        <v>253</v>
      </c>
      <c r="C142" s="228">
        <f t="shared" si="6"/>
        <v>0</v>
      </c>
      <c r="D142" s="228">
        <f t="shared" si="5"/>
        <v>0</v>
      </c>
      <c r="E142" s="926"/>
      <c r="F142" s="929"/>
      <c r="G142" s="940"/>
      <c r="H142" s="935"/>
    </row>
    <row r="143" spans="1:8" s="8" customFormat="1" ht="15" customHeight="1">
      <c r="A143" s="226" t="s">
        <v>96</v>
      </c>
      <c r="B143" s="248" t="s">
        <v>253</v>
      </c>
      <c r="C143" s="228">
        <f t="shared" si="6"/>
        <v>0</v>
      </c>
      <c r="D143" s="228">
        <f t="shared" si="5"/>
        <v>0</v>
      </c>
      <c r="E143" s="926"/>
      <c r="F143" s="929"/>
      <c r="G143" s="940"/>
      <c r="H143" s="935"/>
    </row>
    <row r="144" spans="1:8" s="8" customFormat="1" ht="15" customHeight="1">
      <c r="A144" s="226" t="s">
        <v>84</v>
      </c>
      <c r="B144" s="227" t="s">
        <v>97</v>
      </c>
      <c r="C144" s="228">
        <f t="shared" si="6"/>
        <v>0</v>
      </c>
      <c r="D144" s="228">
        <f t="shared" si="5"/>
        <v>0</v>
      </c>
      <c r="E144" s="926"/>
      <c r="F144" s="929"/>
      <c r="G144" s="940"/>
      <c r="H144" s="935"/>
    </row>
    <row r="145" spans="1:9" s="8" customFormat="1" ht="15" customHeight="1">
      <c r="A145" s="226" t="s">
        <v>87</v>
      </c>
      <c r="B145" s="227" t="s">
        <v>98</v>
      </c>
      <c r="C145" s="228">
        <f t="shared" si="6"/>
        <v>0</v>
      </c>
      <c r="D145" s="228">
        <f t="shared" si="5"/>
        <v>0</v>
      </c>
      <c r="E145" s="926"/>
      <c r="F145" s="929"/>
      <c r="G145" s="940"/>
      <c r="H145" s="935"/>
    </row>
    <row r="146" spans="1:9" ht="15" customHeight="1">
      <c r="A146" s="226"/>
      <c r="B146" s="227" t="s">
        <v>99</v>
      </c>
      <c r="C146" s="228">
        <f t="shared" si="6"/>
        <v>0</v>
      </c>
      <c r="D146" s="228">
        <f>D109</f>
        <v>0</v>
      </c>
      <c r="E146" s="926"/>
      <c r="F146" s="929"/>
      <c r="G146" s="940"/>
      <c r="H146" s="935"/>
    </row>
    <row r="147" spans="1:9" ht="15" customHeight="1">
      <c r="A147" s="226"/>
      <c r="B147" s="227" t="s">
        <v>100</v>
      </c>
      <c r="C147" s="228">
        <f t="shared" si="6"/>
        <v>0</v>
      </c>
      <c r="D147" s="228">
        <f>D110</f>
        <v>0</v>
      </c>
      <c r="E147" s="926"/>
      <c r="F147" s="929"/>
      <c r="G147" s="940"/>
      <c r="H147" s="935"/>
    </row>
    <row r="148" spans="1:9" ht="15" customHeight="1">
      <c r="A148" s="219"/>
      <c r="B148" s="220" t="s">
        <v>1500</v>
      </c>
      <c r="C148" s="231">
        <f>C135-C136</f>
        <v>2694954783</v>
      </c>
      <c r="D148" s="231">
        <f>D135-D136</f>
        <v>2687394079</v>
      </c>
      <c r="E148" s="927"/>
      <c r="F148" s="930"/>
      <c r="G148" s="941"/>
      <c r="H148" s="936"/>
    </row>
    <row r="149" spans="1:9">
      <c r="C149" s="80"/>
      <c r="D149" s="80"/>
    </row>
    <row r="150" spans="1:9" ht="18">
      <c r="A150" s="923" t="s">
        <v>1673</v>
      </c>
      <c r="B150" s="923"/>
      <c r="C150" s="923"/>
      <c r="D150" s="923"/>
      <c r="E150" s="923"/>
      <c r="F150" s="923"/>
      <c r="G150" s="923"/>
      <c r="H150" s="923"/>
    </row>
    <row r="151" spans="1:9">
      <c r="A151" s="924" t="s">
        <v>1484</v>
      </c>
      <c r="B151" s="924"/>
      <c r="C151" s="924"/>
      <c r="D151" s="924"/>
      <c r="E151" s="579"/>
      <c r="F151" s="579"/>
      <c r="G151" s="579"/>
      <c r="H151" s="579"/>
    </row>
    <row r="152" spans="1:9" ht="28">
      <c r="A152" s="208" t="s">
        <v>1502</v>
      </c>
      <c r="B152" s="224" t="s">
        <v>1529</v>
      </c>
      <c r="C152" s="210" t="str">
        <f>C$6</f>
        <v>Montant N-1</v>
      </c>
      <c r="D152" s="210" t="str">
        <f>D$6</f>
        <v>Montant N</v>
      </c>
      <c r="E152" s="210" t="str">
        <f>E$6</f>
        <v>Résultat N-1</v>
      </c>
      <c r="F152" s="210" t="str">
        <f>F$6</f>
        <v>Résultat N</v>
      </c>
      <c r="G152" s="211" t="s">
        <v>1488</v>
      </c>
      <c r="H152" s="210" t="s">
        <v>1489</v>
      </c>
    </row>
    <row r="153" spans="1:9" ht="15" customHeight="1">
      <c r="A153" s="583"/>
      <c r="B153" s="584"/>
      <c r="C153" s="585"/>
      <c r="D153" s="585"/>
      <c r="E153" s="925">
        <f>IF(C200&lt;&gt;0,C176/C200,0)</f>
        <v>1.0117146348666157</v>
      </c>
      <c r="F153" s="928">
        <f>IF(D200&lt;&gt;0,D176/D200,0)</f>
        <v>3.0045425798323575</v>
      </c>
      <c r="G153" s="939" t="s">
        <v>1530</v>
      </c>
      <c r="H153" s="934" t="str">
        <f>IF(D200&lt;&gt;0,IF(F153&lt;100%,"La norme n'est pas respectée","La norme est respectée"),"")</f>
        <v>La norme est respectée</v>
      </c>
    </row>
    <row r="154" spans="1:9" ht="15.75" customHeight="1">
      <c r="A154" s="235" t="s">
        <v>102</v>
      </c>
      <c r="B154" s="213" t="s">
        <v>103</v>
      </c>
      <c r="C154" s="544">
        <f>'Bilan et Hors Bilan'!F9</f>
        <v>1543790</v>
      </c>
      <c r="D154" s="544">
        <f>'Bilan et Hors Bilan'!E9</f>
        <v>0</v>
      </c>
      <c r="E154" s="926"/>
      <c r="F154" s="929"/>
      <c r="G154" s="940"/>
      <c r="H154" s="935"/>
      <c r="I154" s="316">
        <f>IF(ISBLANK(D154),1,0)</f>
        <v>0</v>
      </c>
    </row>
    <row r="155" spans="1:9" ht="15" customHeight="1">
      <c r="A155" s="226" t="s">
        <v>0</v>
      </c>
      <c r="B155" s="227" t="s">
        <v>225</v>
      </c>
      <c r="C155" s="228">
        <f>C8</f>
        <v>0</v>
      </c>
      <c r="D155" s="228">
        <f>D8</f>
        <v>24838193</v>
      </c>
      <c r="E155" s="926"/>
      <c r="F155" s="929"/>
      <c r="G155" s="940"/>
      <c r="H155" s="935"/>
    </row>
    <row r="156" spans="1:9" ht="15.75" customHeight="1">
      <c r="A156" s="235" t="s">
        <v>47</v>
      </c>
      <c r="B156" s="230" t="s">
        <v>1531</v>
      </c>
      <c r="C156" s="544">
        <f>'Bilan et Hors Bilan'!F21</f>
        <v>0</v>
      </c>
      <c r="D156" s="544">
        <f>'Bilan et Hors Bilan'!E21</f>
        <v>0</v>
      </c>
      <c r="E156" s="926"/>
      <c r="F156" s="929"/>
      <c r="G156" s="940"/>
      <c r="H156" s="935"/>
      <c r="I156" s="316">
        <f>IF(ISBLANK(D156),1,0)</f>
        <v>0</v>
      </c>
    </row>
    <row r="157" spans="1:9" ht="15" customHeight="1">
      <c r="A157" s="226" t="s">
        <v>1</v>
      </c>
      <c r="B157" s="227" t="s">
        <v>1532</v>
      </c>
      <c r="C157" s="228">
        <f>C9</f>
        <v>0</v>
      </c>
      <c r="D157" s="228">
        <f>D9</f>
        <v>0</v>
      </c>
      <c r="E157" s="926"/>
      <c r="F157" s="929"/>
      <c r="G157" s="940"/>
      <c r="H157" s="935"/>
    </row>
    <row r="158" spans="1:9" ht="15.75" customHeight="1">
      <c r="A158" s="235" t="s">
        <v>104</v>
      </c>
      <c r="B158" s="213" t="s">
        <v>1533</v>
      </c>
      <c r="C158" s="544">
        <f>'Bilan et Hors Bilan'!F25</f>
        <v>0</v>
      </c>
      <c r="D158" s="544">
        <f>'Bilan et Hors Bilan'!E25</f>
        <v>0</v>
      </c>
      <c r="E158" s="926"/>
      <c r="F158" s="929"/>
      <c r="G158" s="940"/>
      <c r="H158" s="935"/>
      <c r="I158" s="316">
        <f>IF(ISBLANK(D158),1,0)</f>
        <v>0</v>
      </c>
    </row>
    <row r="159" spans="1:9" ht="15.75" customHeight="1">
      <c r="A159" s="226" t="s">
        <v>6</v>
      </c>
      <c r="B159" s="227" t="s">
        <v>131</v>
      </c>
      <c r="C159" s="532">
        <f>Retraitement!C46</f>
        <v>1675276504</v>
      </c>
      <c r="D159" s="532">
        <f>Retraitement!D46</f>
        <v>1914052683</v>
      </c>
      <c r="E159" s="926"/>
      <c r="F159" s="929"/>
      <c r="G159" s="940"/>
      <c r="H159" s="935"/>
    </row>
    <row r="160" spans="1:9" ht="15" customHeight="1">
      <c r="A160" s="226" t="s">
        <v>8</v>
      </c>
      <c r="B160" s="227" t="s">
        <v>1534</v>
      </c>
      <c r="C160" s="228">
        <f>C13</f>
        <v>0</v>
      </c>
      <c r="D160" s="228">
        <f>D13</f>
        <v>0</v>
      </c>
      <c r="E160" s="926"/>
      <c r="F160" s="929"/>
      <c r="G160" s="940"/>
      <c r="H160" s="935"/>
    </row>
    <row r="161" spans="1:9" ht="15.75" customHeight="1">
      <c r="A161" s="226" t="s">
        <v>10</v>
      </c>
      <c r="B161" s="227" t="s">
        <v>105</v>
      </c>
      <c r="C161" s="532">
        <f>Retraitement!C47</f>
        <v>0</v>
      </c>
      <c r="D161" s="532">
        <f>Retraitement!D47</f>
        <v>0</v>
      </c>
      <c r="E161" s="926"/>
      <c r="F161" s="929"/>
      <c r="G161" s="940"/>
      <c r="H161" s="935"/>
    </row>
    <row r="162" spans="1:9" ht="15" customHeight="1">
      <c r="A162" s="226" t="s">
        <v>12</v>
      </c>
      <c r="B162" s="227" t="s">
        <v>13</v>
      </c>
      <c r="C162" s="532">
        <f>Retraitement!C48</f>
        <v>0</v>
      </c>
      <c r="D162" s="532">
        <f>Retraitement!D48</f>
        <v>0</v>
      </c>
      <c r="E162" s="926"/>
      <c r="F162" s="929"/>
      <c r="G162" s="940"/>
      <c r="H162" s="935"/>
    </row>
    <row r="163" spans="1:9" ht="15" customHeight="1">
      <c r="A163" s="226" t="s">
        <v>16</v>
      </c>
      <c r="B163" s="227" t="s">
        <v>17</v>
      </c>
      <c r="C163" s="228">
        <f>C17</f>
        <v>0</v>
      </c>
      <c r="D163" s="228">
        <f>D17</f>
        <v>0</v>
      </c>
      <c r="E163" s="926"/>
      <c r="F163" s="929"/>
      <c r="G163" s="940"/>
      <c r="H163" s="935"/>
    </row>
    <row r="164" spans="1:9" ht="15.75" customHeight="1">
      <c r="A164" s="235" t="s">
        <v>106</v>
      </c>
      <c r="B164" s="213" t="s">
        <v>107</v>
      </c>
      <c r="C164" s="544">
        <f>'Bilan et Hors Bilan'!F55</f>
        <v>0</v>
      </c>
      <c r="D164" s="544">
        <f>'Bilan et Hors Bilan'!E55</f>
        <v>0</v>
      </c>
      <c r="E164" s="926"/>
      <c r="F164" s="929"/>
      <c r="G164" s="940"/>
      <c r="H164" s="935"/>
      <c r="I164" s="316">
        <f>IF(ISBLANK(D164),1,0)</f>
        <v>0</v>
      </c>
    </row>
    <row r="165" spans="1:9" ht="15.75" customHeight="1">
      <c r="A165" s="235" t="s">
        <v>108</v>
      </c>
      <c r="B165" s="213" t="s">
        <v>109</v>
      </c>
      <c r="C165" s="544">
        <f>'Bilan et Hors Bilan'!F60</f>
        <v>7628045</v>
      </c>
      <c r="D165" s="544">
        <f>'Bilan et Hors Bilan'!E60</f>
        <v>54919999</v>
      </c>
      <c r="E165" s="926"/>
      <c r="F165" s="929"/>
      <c r="G165" s="940"/>
      <c r="H165" s="935"/>
      <c r="I165" s="316">
        <f>IF(ISBLANK(D165),1,0)</f>
        <v>0</v>
      </c>
    </row>
    <row r="166" spans="1:9" ht="15.75" customHeight="1">
      <c r="A166" s="235" t="s">
        <v>110</v>
      </c>
      <c r="B166" s="213" t="s">
        <v>111</v>
      </c>
      <c r="C166" s="544">
        <f>'Bilan et Hors Bilan'!F62</f>
        <v>0</v>
      </c>
      <c r="D166" s="544">
        <f>'Bilan et Hors Bilan'!E62</f>
        <v>0</v>
      </c>
      <c r="E166" s="926"/>
      <c r="F166" s="929"/>
      <c r="G166" s="940"/>
      <c r="H166" s="935"/>
      <c r="I166" s="316">
        <f>IF(ISBLANK(D166),1,0)</f>
        <v>0</v>
      </c>
    </row>
    <row r="167" spans="1:9" ht="15" customHeight="1">
      <c r="A167" s="249"/>
      <c r="B167" s="217" t="s">
        <v>112</v>
      </c>
      <c r="C167" s="239">
        <f>SUM(C168:C170)</f>
        <v>65175236</v>
      </c>
      <c r="D167" s="239">
        <f>SUM(D168:D170)</f>
        <v>100119415</v>
      </c>
      <c r="E167" s="926"/>
      <c r="F167" s="929"/>
      <c r="G167" s="940"/>
      <c r="H167" s="935"/>
    </row>
    <row r="168" spans="1:9" ht="15.75" customHeight="1">
      <c r="A168" s="235" t="s">
        <v>113</v>
      </c>
      <c r="B168" s="250" t="s">
        <v>112</v>
      </c>
      <c r="C168" s="544">
        <f>'Bilan et Hors Bilan'!F27</f>
        <v>0</v>
      </c>
      <c r="D168" s="544">
        <f>'Bilan et Hors Bilan'!E27</f>
        <v>0</v>
      </c>
      <c r="E168" s="926"/>
      <c r="F168" s="929"/>
      <c r="G168" s="941"/>
      <c r="H168" s="936"/>
      <c r="I168" s="316">
        <f>IF(ISBLANK(D168),1,0)</f>
        <v>0</v>
      </c>
    </row>
    <row r="169" spans="1:9" ht="15.75" customHeight="1">
      <c r="A169" s="235" t="s">
        <v>114</v>
      </c>
      <c r="B169" s="250" t="s">
        <v>112</v>
      </c>
      <c r="C169" s="544">
        <f>'Bilan et Hors Bilan'!F44</f>
        <v>65175236</v>
      </c>
      <c r="D169" s="544">
        <f>'Bilan et Hors Bilan'!E44</f>
        <v>100119415</v>
      </c>
      <c r="E169" s="926"/>
      <c r="F169" s="929"/>
      <c r="G169" s="939" t="s">
        <v>1535</v>
      </c>
      <c r="H169" s="934" t="str">
        <f>IF(D200&lt;&gt;0,IF(F153&lt;80%,"La norme n'est pas respectée","La norme est respectée"),"")</f>
        <v>La norme est respectée</v>
      </c>
      <c r="I169" s="316">
        <f>IF(ISBLANK(D169),1,0)</f>
        <v>0</v>
      </c>
    </row>
    <row r="170" spans="1:9" ht="15.75" customHeight="1">
      <c r="A170" s="235" t="s">
        <v>115</v>
      </c>
      <c r="B170" s="250" t="s">
        <v>112</v>
      </c>
      <c r="C170" s="544">
        <f>'Bilan et Hors Bilan'!F61</f>
        <v>0</v>
      </c>
      <c r="D170" s="544">
        <f>'Bilan et Hors Bilan'!E61</f>
        <v>0</v>
      </c>
      <c r="E170" s="926"/>
      <c r="F170" s="929"/>
      <c r="G170" s="940"/>
      <c r="H170" s="935"/>
      <c r="I170" s="316">
        <f>IF(ISBLANK(D170),1,0)</f>
        <v>0</v>
      </c>
    </row>
    <row r="171" spans="1:9" ht="15" customHeight="1">
      <c r="A171" s="249"/>
      <c r="B171" s="217" t="s">
        <v>1536</v>
      </c>
      <c r="C171" s="239">
        <f>SUM(C172:C175)</f>
        <v>0</v>
      </c>
      <c r="D171" s="239">
        <f>SUM(D172:D175)</f>
        <v>858083932</v>
      </c>
      <c r="E171" s="926"/>
      <c r="F171" s="929"/>
      <c r="G171" s="940"/>
      <c r="H171" s="935"/>
    </row>
    <row r="172" spans="1:9" ht="15" customHeight="1">
      <c r="A172" s="226" t="s">
        <v>38</v>
      </c>
      <c r="B172" s="227" t="s">
        <v>1537</v>
      </c>
      <c r="C172" s="228">
        <f>C23</f>
        <v>0</v>
      </c>
      <c r="D172" s="228">
        <f>D23</f>
        <v>0</v>
      </c>
      <c r="E172" s="926"/>
      <c r="F172" s="929"/>
      <c r="G172" s="940"/>
      <c r="H172" s="935"/>
    </row>
    <row r="173" spans="1:9" ht="15" customHeight="1">
      <c r="A173" s="226" t="s">
        <v>39</v>
      </c>
      <c r="B173" s="227" t="s">
        <v>1538</v>
      </c>
      <c r="C173" s="228">
        <f>C24</f>
        <v>0</v>
      </c>
      <c r="D173" s="228">
        <f>D24</f>
        <v>0</v>
      </c>
      <c r="E173" s="926"/>
      <c r="F173" s="929"/>
      <c r="G173" s="940"/>
      <c r="H173" s="935"/>
    </row>
    <row r="174" spans="1:9" ht="15.75" customHeight="1">
      <c r="A174" s="235" t="s">
        <v>116</v>
      </c>
      <c r="B174" s="213" t="s">
        <v>1539</v>
      </c>
      <c r="C174" s="544">
        <f>'Bilan et Hors Bilan'!D131</f>
        <v>0</v>
      </c>
      <c r="D174" s="544">
        <f>'Bilan et Hors Bilan'!C131</f>
        <v>858083932</v>
      </c>
      <c r="E174" s="926"/>
      <c r="F174" s="929"/>
      <c r="G174" s="940"/>
      <c r="H174" s="935"/>
      <c r="I174" s="316">
        <f>IF(ISBLANK(D174),1,0)</f>
        <v>0</v>
      </c>
    </row>
    <row r="175" spans="1:9" ht="15.75" customHeight="1">
      <c r="A175" s="235" t="s">
        <v>117</v>
      </c>
      <c r="B175" s="213" t="s">
        <v>1540</v>
      </c>
      <c r="C175" s="544">
        <f>'Bilan et Hors Bilan'!D133</f>
        <v>0</v>
      </c>
      <c r="D175" s="544">
        <f>'Bilan et Hors Bilan'!C133</f>
        <v>0</v>
      </c>
      <c r="E175" s="926"/>
      <c r="F175" s="929"/>
      <c r="G175" s="940"/>
      <c r="H175" s="935"/>
      <c r="I175" s="316">
        <f>IF(ISBLANK(D175),1,0)</f>
        <v>0</v>
      </c>
    </row>
    <row r="176" spans="1:9" ht="15" customHeight="1">
      <c r="A176" s="241"/>
      <c r="B176" s="242" t="s">
        <v>1495</v>
      </c>
      <c r="C176" s="231">
        <f>SUM(C154:C167,C171)</f>
        <v>1749623575</v>
      </c>
      <c r="D176" s="231">
        <f>SUM(D154:D167,D171)</f>
        <v>2952014222</v>
      </c>
      <c r="E176" s="926"/>
      <c r="F176" s="929"/>
      <c r="G176" s="940"/>
      <c r="H176" s="935"/>
    </row>
    <row r="177" spans="1:9" ht="15" customHeight="1">
      <c r="A177" s="232"/>
      <c r="B177" s="224" t="s">
        <v>1541</v>
      </c>
      <c r="C177" s="541"/>
      <c r="D177" s="541"/>
      <c r="E177" s="926"/>
      <c r="F177" s="929"/>
      <c r="G177" s="940"/>
      <c r="H177" s="935"/>
    </row>
    <row r="178" spans="1:9" ht="15" customHeight="1">
      <c r="A178" s="226" t="s">
        <v>22</v>
      </c>
      <c r="B178" s="227" t="s">
        <v>1542</v>
      </c>
      <c r="C178" s="228">
        <f>C30</f>
        <v>1065251436</v>
      </c>
      <c r="D178" s="228">
        <f>D30</f>
        <v>0</v>
      </c>
      <c r="E178" s="926"/>
      <c r="F178" s="929"/>
      <c r="G178" s="940"/>
      <c r="H178" s="935"/>
    </row>
    <row r="179" spans="1:9" ht="15" customHeight="1">
      <c r="A179" s="235" t="s">
        <v>23</v>
      </c>
      <c r="B179" s="213" t="s">
        <v>1543</v>
      </c>
      <c r="C179" s="532">
        <f>Retraitement!C52</f>
        <v>0</v>
      </c>
      <c r="D179" s="532">
        <f>Retraitement!D52</f>
        <v>0</v>
      </c>
      <c r="E179" s="926"/>
      <c r="F179" s="929"/>
      <c r="G179" s="940"/>
      <c r="H179" s="935"/>
    </row>
    <row r="180" spans="1:9" ht="15.75" customHeight="1">
      <c r="A180" s="235" t="s">
        <v>118</v>
      </c>
      <c r="B180" s="213" t="s">
        <v>146</v>
      </c>
      <c r="C180" s="532">
        <f>Retraitement!C53</f>
        <v>0</v>
      </c>
      <c r="D180" s="532">
        <f>Retraitement!D53</f>
        <v>0</v>
      </c>
      <c r="E180" s="926"/>
      <c r="F180" s="929"/>
      <c r="G180" s="940"/>
      <c r="H180" s="935"/>
      <c r="I180" s="316">
        <f>IF(ISBLANK(D180),1,0)</f>
        <v>0</v>
      </c>
    </row>
    <row r="181" spans="1:9" ht="15.75" customHeight="1">
      <c r="A181" s="226" t="s">
        <v>42</v>
      </c>
      <c r="B181" s="227" t="s">
        <v>119</v>
      </c>
      <c r="C181" s="532">
        <f>Retraitement!C54</f>
        <v>0</v>
      </c>
      <c r="D181" s="532">
        <f>Retraitement!D54</f>
        <v>0</v>
      </c>
      <c r="E181" s="926"/>
      <c r="F181" s="929"/>
      <c r="G181" s="940"/>
      <c r="H181" s="935"/>
    </row>
    <row r="182" spans="1:9" ht="15" customHeight="1">
      <c r="A182" s="226" t="s">
        <v>26</v>
      </c>
      <c r="B182" s="227" t="s">
        <v>27</v>
      </c>
      <c r="C182" s="532">
        <f>Retraitement!C$56</f>
        <v>0</v>
      </c>
      <c r="D182" s="532">
        <f>Retraitement!D$56</f>
        <v>0</v>
      </c>
      <c r="E182" s="926"/>
      <c r="F182" s="929"/>
      <c r="G182" s="940"/>
      <c r="H182" s="935"/>
    </row>
    <row r="183" spans="1:9" ht="15" customHeight="1">
      <c r="A183" s="226" t="s">
        <v>30</v>
      </c>
      <c r="B183" s="227" t="s">
        <v>221</v>
      </c>
      <c r="C183" s="228">
        <f>C35</f>
        <v>433732307</v>
      </c>
      <c r="D183" s="228">
        <f>D35</f>
        <v>574911991</v>
      </c>
      <c r="E183" s="926"/>
      <c r="F183" s="929"/>
      <c r="G183" s="940"/>
      <c r="H183" s="935"/>
    </row>
    <row r="184" spans="1:9" ht="15.75" customHeight="1">
      <c r="A184" s="235" t="s">
        <v>31</v>
      </c>
      <c r="B184" s="230" t="s">
        <v>1544</v>
      </c>
      <c r="C184" s="532">
        <f>Retraitement!C55</f>
        <v>0</v>
      </c>
      <c r="D184" s="532">
        <f>Retraitement!D55</f>
        <v>0</v>
      </c>
      <c r="E184" s="926"/>
      <c r="F184" s="929"/>
      <c r="G184" s="941"/>
      <c r="H184" s="936"/>
      <c r="I184" s="316">
        <f>IF(ISBLANK(D184),1,0)</f>
        <v>0</v>
      </c>
    </row>
    <row r="185" spans="1:9" ht="15" customHeight="1">
      <c r="A185" s="226" t="s">
        <v>28</v>
      </c>
      <c r="B185" s="227" t="s">
        <v>29</v>
      </c>
      <c r="C185" s="228">
        <f>C34</f>
        <v>34852232</v>
      </c>
      <c r="D185" s="228">
        <f>D34</f>
        <v>35421524</v>
      </c>
      <c r="E185" s="926"/>
      <c r="F185" s="929"/>
      <c r="G185" s="939" t="s">
        <v>1545</v>
      </c>
      <c r="H185" s="934" t="str">
        <f>IF(D200&lt;&gt;0,IF(F153&lt;60%,"La norme n'est pas respectée","La norme est respectée"),"")</f>
        <v>La norme est respectée</v>
      </c>
    </row>
    <row r="186" spans="1:9" ht="15" customHeight="1">
      <c r="A186" s="235" t="s">
        <v>43</v>
      </c>
      <c r="B186" s="230" t="s">
        <v>237</v>
      </c>
      <c r="C186" s="532">
        <f>Retraitement!C$57</f>
        <v>193215464</v>
      </c>
      <c r="D186" s="532">
        <f>Retraitement!D$57</f>
        <v>364926475</v>
      </c>
      <c r="E186" s="926"/>
      <c r="F186" s="929"/>
      <c r="G186" s="940"/>
      <c r="H186" s="935"/>
    </row>
    <row r="187" spans="1:9" ht="15" customHeight="1">
      <c r="A187" s="226" t="s">
        <v>32</v>
      </c>
      <c r="B187" s="227" t="s">
        <v>145</v>
      </c>
      <c r="C187" s="228">
        <f t="shared" ref="C187:D189" si="7">C37</f>
        <v>0</v>
      </c>
      <c r="D187" s="228">
        <f t="shared" si="7"/>
        <v>0</v>
      </c>
      <c r="E187" s="926"/>
      <c r="F187" s="929"/>
      <c r="G187" s="940"/>
      <c r="H187" s="935"/>
    </row>
    <row r="188" spans="1:9" ht="15" customHeight="1">
      <c r="A188" s="226" t="s">
        <v>33</v>
      </c>
      <c r="B188" s="227" t="s">
        <v>1546</v>
      </c>
      <c r="C188" s="228">
        <f t="shared" si="7"/>
        <v>0</v>
      </c>
      <c r="D188" s="228">
        <f t="shared" si="7"/>
        <v>0</v>
      </c>
      <c r="E188" s="926"/>
      <c r="F188" s="929"/>
      <c r="G188" s="940"/>
      <c r="H188" s="935"/>
    </row>
    <row r="189" spans="1:9" ht="15" customHeight="1">
      <c r="A189" s="226" t="s">
        <v>35</v>
      </c>
      <c r="B189" s="227" t="s">
        <v>1547</v>
      </c>
      <c r="C189" s="228">
        <f t="shared" si="7"/>
        <v>0</v>
      </c>
      <c r="D189" s="228">
        <f t="shared" si="7"/>
        <v>0</v>
      </c>
      <c r="E189" s="926"/>
      <c r="F189" s="929"/>
      <c r="G189" s="940"/>
      <c r="H189" s="935"/>
    </row>
    <row r="190" spans="1:9" ht="15.75" customHeight="1">
      <c r="A190" s="235" t="s">
        <v>120</v>
      </c>
      <c r="B190" s="230" t="s">
        <v>122</v>
      </c>
      <c r="C190" s="544">
        <f>'Bilan et Hors Bilan'!J53</f>
        <v>0</v>
      </c>
      <c r="D190" s="544">
        <f>'Bilan et Hors Bilan'!I53</f>
        <v>0</v>
      </c>
      <c r="E190" s="926"/>
      <c r="F190" s="929"/>
      <c r="G190" s="940"/>
      <c r="H190" s="935"/>
      <c r="I190" s="316">
        <f>IF(ISBLANK(D190),1,0)</f>
        <v>0</v>
      </c>
    </row>
    <row r="191" spans="1:9" ht="15.75" customHeight="1">
      <c r="A191" s="235" t="s">
        <v>121</v>
      </c>
      <c r="B191" s="230" t="s">
        <v>123</v>
      </c>
      <c r="C191" s="544">
        <f>'Bilan et Hors Bilan'!J54</f>
        <v>2313260</v>
      </c>
      <c r="D191" s="544">
        <f>'Bilan et Hors Bilan'!I54</f>
        <v>7257030</v>
      </c>
      <c r="E191" s="926"/>
      <c r="F191" s="929"/>
      <c r="G191" s="940"/>
      <c r="H191" s="935"/>
      <c r="I191" s="316">
        <f>IF(ISBLANK(D191),1,0)</f>
        <v>0</v>
      </c>
    </row>
    <row r="192" spans="1:9" ht="15" customHeight="1">
      <c r="A192" s="252"/>
      <c r="B192" s="217" t="s">
        <v>1548</v>
      </c>
      <c r="C192" s="239">
        <f>SUM(C193:C194)</f>
        <v>0</v>
      </c>
      <c r="D192" s="239">
        <f>SUM(D193:D194)</f>
        <v>0</v>
      </c>
      <c r="E192" s="926"/>
      <c r="F192" s="929"/>
      <c r="G192" s="940"/>
      <c r="H192" s="935"/>
    </row>
    <row r="193" spans="1:9" ht="15.75" customHeight="1">
      <c r="A193" s="235" t="s">
        <v>124</v>
      </c>
      <c r="B193" s="213" t="s">
        <v>140</v>
      </c>
      <c r="C193" s="544">
        <f>'Bilan et Hors Bilan'!J21</f>
        <v>0</v>
      </c>
      <c r="D193" s="544">
        <f>'Bilan et Hors Bilan'!I21</f>
        <v>0</v>
      </c>
      <c r="E193" s="926"/>
      <c r="F193" s="929"/>
      <c r="G193" s="940"/>
      <c r="H193" s="935"/>
    </row>
    <row r="194" spans="1:9" ht="15.75" customHeight="1">
      <c r="A194" s="235" t="s">
        <v>125</v>
      </c>
      <c r="B194" s="213" t="s">
        <v>140</v>
      </c>
      <c r="C194" s="544">
        <f>'Bilan et Hors Bilan'!J44</f>
        <v>0</v>
      </c>
      <c r="D194" s="544">
        <f>'Bilan et Hors Bilan'!I44</f>
        <v>0</v>
      </c>
      <c r="E194" s="926"/>
      <c r="F194" s="929"/>
      <c r="G194" s="940"/>
      <c r="H194" s="935"/>
    </row>
    <row r="195" spans="1:9" ht="15" customHeight="1">
      <c r="A195" s="252"/>
      <c r="B195" s="217" t="s">
        <v>1549</v>
      </c>
      <c r="C195" s="239">
        <f>SUM(C196:C199)</f>
        <v>0</v>
      </c>
      <c r="D195" s="239">
        <f>SUM(D196:D199)</f>
        <v>0</v>
      </c>
      <c r="E195" s="926"/>
      <c r="F195" s="929"/>
      <c r="G195" s="940"/>
      <c r="H195" s="935"/>
    </row>
    <row r="196" spans="1:9" ht="15.75" customHeight="1">
      <c r="A196" s="235" t="s">
        <v>126</v>
      </c>
      <c r="B196" s="213" t="s">
        <v>1012</v>
      </c>
      <c r="C196" s="532">
        <f>Retraitement!C58</f>
        <v>0</v>
      </c>
      <c r="D196" s="532">
        <f>Retraitement!D58</f>
        <v>0</v>
      </c>
      <c r="E196" s="926"/>
      <c r="F196" s="929"/>
      <c r="G196" s="940"/>
      <c r="H196" s="935"/>
      <c r="I196" s="316">
        <f>IF(ISBLANK(D196),1,0)</f>
        <v>0</v>
      </c>
    </row>
    <row r="197" spans="1:9" ht="15.75" customHeight="1">
      <c r="A197" s="235" t="s">
        <v>127</v>
      </c>
      <c r="B197" s="213" t="s">
        <v>1014</v>
      </c>
      <c r="C197" s="532">
        <f>Retraitement!C59</f>
        <v>0</v>
      </c>
      <c r="D197" s="532">
        <f>Retraitement!D59</f>
        <v>0</v>
      </c>
      <c r="E197" s="926"/>
      <c r="F197" s="929"/>
      <c r="G197" s="940"/>
      <c r="H197" s="935"/>
      <c r="I197" s="316">
        <f>IF(ISBLANK(D197),1,0)</f>
        <v>0</v>
      </c>
    </row>
    <row r="198" spans="1:9" ht="15.75" customHeight="1">
      <c r="A198" s="235" t="s">
        <v>128</v>
      </c>
      <c r="B198" s="213" t="s">
        <v>1550</v>
      </c>
      <c r="C198" s="532">
        <f>Retraitement!C60</f>
        <v>0</v>
      </c>
      <c r="D198" s="532">
        <f>Retraitement!D60</f>
        <v>0</v>
      </c>
      <c r="E198" s="926"/>
      <c r="F198" s="929"/>
      <c r="G198" s="940"/>
      <c r="H198" s="935"/>
      <c r="I198" s="316">
        <f>IF(ISBLANK(D198),1,0)</f>
        <v>0</v>
      </c>
    </row>
    <row r="199" spans="1:9" ht="15.75" customHeight="1">
      <c r="A199" s="235" t="s">
        <v>129</v>
      </c>
      <c r="B199" s="213" t="s">
        <v>1551</v>
      </c>
      <c r="C199" s="532">
        <f>Retraitement!C61</f>
        <v>0</v>
      </c>
      <c r="D199" s="532">
        <f>Retraitement!D61</f>
        <v>0</v>
      </c>
      <c r="E199" s="926"/>
      <c r="F199" s="929"/>
      <c r="G199" s="940"/>
      <c r="H199" s="935"/>
      <c r="I199" s="316">
        <f>IF(ISBLANK(D199),1,0)</f>
        <v>0</v>
      </c>
    </row>
    <row r="200" spans="1:9" ht="15" customHeight="1">
      <c r="A200" s="219"/>
      <c r="B200" s="242" t="s">
        <v>1500</v>
      </c>
      <c r="C200" s="231">
        <f>SUM(C178:C192,C195)</f>
        <v>1729364699</v>
      </c>
      <c r="D200" s="231">
        <f>SUM(D178:D192,D195)</f>
        <v>982517020</v>
      </c>
      <c r="E200" s="927"/>
      <c r="F200" s="930"/>
      <c r="G200" s="941"/>
      <c r="H200" s="936"/>
    </row>
    <row r="202" spans="1:9" ht="18">
      <c r="A202" s="923" t="s">
        <v>1552</v>
      </c>
      <c r="B202" s="923"/>
      <c r="C202" s="923"/>
      <c r="D202" s="923"/>
      <c r="E202" s="923"/>
      <c r="F202" s="923"/>
      <c r="G202" s="923"/>
      <c r="H202" s="923"/>
    </row>
    <row r="203" spans="1:9">
      <c r="A203" s="924" t="s">
        <v>1484</v>
      </c>
      <c r="B203" s="924"/>
      <c r="C203" s="924"/>
      <c r="D203" s="924"/>
      <c r="E203" s="579"/>
      <c r="F203" s="579"/>
      <c r="G203" s="579"/>
      <c r="H203" s="579"/>
    </row>
    <row r="204" spans="1:9" ht="28">
      <c r="A204" s="208" t="s">
        <v>1502</v>
      </c>
      <c r="B204" s="209" t="s">
        <v>1553</v>
      </c>
      <c r="C204" s="210" t="str">
        <f>C$6</f>
        <v>Montant N-1</v>
      </c>
      <c r="D204" s="210" t="str">
        <f>D$6</f>
        <v>Montant N</v>
      </c>
      <c r="E204" s="210" t="str">
        <f>E$6</f>
        <v>Résultat N-1</v>
      </c>
      <c r="F204" s="210" t="str">
        <f>F$6</f>
        <v>Résultat N</v>
      </c>
      <c r="G204" s="211" t="s">
        <v>1488</v>
      </c>
      <c r="H204" s="210" t="s">
        <v>1489</v>
      </c>
    </row>
    <row r="205" spans="1:9" ht="15" customHeight="1">
      <c r="A205" s="583"/>
      <c r="B205" s="584"/>
      <c r="C205" s="585"/>
      <c r="D205" s="585"/>
      <c r="E205" s="925">
        <f>IF(C225&lt;&gt;0,C207/C225,0)</f>
        <v>4.1423701071364727E-3</v>
      </c>
      <c r="F205" s="928">
        <f>IF(D225&lt;&gt;0,D207/D225,0)</f>
        <v>7.5954511415397396E-3</v>
      </c>
      <c r="G205" s="939" t="s">
        <v>1554</v>
      </c>
      <c r="H205" s="934" t="str">
        <f>IF(D225&lt;&gt;0,IF(F205&gt;5%,"La norme n'est pas respectée","La norme est respectée"),"")</f>
        <v>La norme est respectée</v>
      </c>
    </row>
    <row r="206" spans="1:9" ht="15.75" customHeight="1">
      <c r="A206" s="251"/>
      <c r="B206" s="244" t="s">
        <v>130</v>
      </c>
      <c r="C206" s="532">
        <f>Retraitement!C67</f>
        <v>14436779</v>
      </c>
      <c r="D206" s="532">
        <f>Retraitement!D67</f>
        <v>26986607</v>
      </c>
      <c r="E206" s="926"/>
      <c r="F206" s="929"/>
      <c r="G206" s="940"/>
      <c r="H206" s="935"/>
      <c r="I206" s="316">
        <f>IF(ISBLANK(D206),1,0)</f>
        <v>0</v>
      </c>
    </row>
    <row r="207" spans="1:9" ht="15" customHeight="1">
      <c r="A207" s="219"/>
      <c r="B207" s="220" t="s">
        <v>1495</v>
      </c>
      <c r="C207" s="236">
        <f>C206</f>
        <v>14436779</v>
      </c>
      <c r="D207" s="236">
        <f>D206</f>
        <v>26986607</v>
      </c>
      <c r="E207" s="926"/>
      <c r="F207" s="929"/>
      <c r="G207" s="940"/>
      <c r="H207" s="935"/>
    </row>
    <row r="208" spans="1:9" ht="30" customHeight="1">
      <c r="A208" s="253"/>
      <c r="B208" s="209" t="s">
        <v>1555</v>
      </c>
      <c r="C208" s="542"/>
      <c r="D208" s="542"/>
      <c r="E208" s="926"/>
      <c r="F208" s="929"/>
      <c r="G208" s="940"/>
      <c r="H208" s="935"/>
    </row>
    <row r="209" spans="1:8" ht="15" customHeight="1">
      <c r="A209" s="226" t="s">
        <v>0</v>
      </c>
      <c r="B209" s="254" t="s">
        <v>225</v>
      </c>
      <c r="C209" s="228">
        <f>C8</f>
        <v>0</v>
      </c>
      <c r="D209" s="228">
        <f>D8</f>
        <v>24838193</v>
      </c>
      <c r="E209" s="926"/>
      <c r="F209" s="929"/>
      <c r="G209" s="940"/>
      <c r="H209" s="935"/>
    </row>
    <row r="210" spans="1:8" s="8" customFormat="1" ht="15" customHeight="1">
      <c r="A210" s="226" t="s">
        <v>2</v>
      </c>
      <c r="B210" s="254" t="s">
        <v>4</v>
      </c>
      <c r="C210" s="228">
        <f t="shared" ref="C210:D219" si="8">C10</f>
        <v>0</v>
      </c>
      <c r="D210" s="228">
        <f t="shared" si="8"/>
        <v>0</v>
      </c>
      <c r="E210" s="926"/>
      <c r="F210" s="929"/>
      <c r="G210" s="940"/>
      <c r="H210" s="935"/>
    </row>
    <row r="211" spans="1:8" s="8" customFormat="1" ht="15" customHeight="1">
      <c r="A211" s="226" t="s">
        <v>3</v>
      </c>
      <c r="B211" s="254" t="s">
        <v>5</v>
      </c>
      <c r="C211" s="228">
        <f t="shared" si="8"/>
        <v>0</v>
      </c>
      <c r="D211" s="228">
        <f t="shared" si="8"/>
        <v>0</v>
      </c>
      <c r="E211" s="926"/>
      <c r="F211" s="929"/>
      <c r="G211" s="940"/>
      <c r="H211" s="935"/>
    </row>
    <row r="212" spans="1:8" s="8" customFormat="1" ht="15" customHeight="1">
      <c r="A212" s="226" t="s">
        <v>6</v>
      </c>
      <c r="B212" s="254" t="s">
        <v>131</v>
      </c>
      <c r="C212" s="228">
        <f t="shared" si="8"/>
        <v>275865863</v>
      </c>
      <c r="D212" s="228">
        <f t="shared" si="8"/>
        <v>1159316767</v>
      </c>
      <c r="E212" s="926"/>
      <c r="F212" s="929"/>
      <c r="G212" s="940"/>
      <c r="H212" s="935"/>
    </row>
    <row r="213" spans="1:8" s="8" customFormat="1" ht="15" customHeight="1">
      <c r="A213" s="226" t="s">
        <v>8</v>
      </c>
      <c r="B213" s="254" t="s">
        <v>1556</v>
      </c>
      <c r="C213" s="228">
        <f t="shared" si="8"/>
        <v>0</v>
      </c>
      <c r="D213" s="228">
        <f t="shared" si="8"/>
        <v>0</v>
      </c>
      <c r="E213" s="926"/>
      <c r="F213" s="929"/>
      <c r="G213" s="940"/>
      <c r="H213" s="935"/>
    </row>
    <row r="214" spans="1:8" s="8" customFormat="1" ht="15" customHeight="1">
      <c r="A214" s="226" t="s">
        <v>10</v>
      </c>
      <c r="B214" s="254" t="s">
        <v>1557</v>
      </c>
      <c r="C214" s="228">
        <f t="shared" si="8"/>
        <v>3126621571</v>
      </c>
      <c r="D214" s="228">
        <f t="shared" si="8"/>
        <v>2252399149</v>
      </c>
      <c r="E214" s="926"/>
      <c r="F214" s="929"/>
      <c r="G214" s="940"/>
      <c r="H214" s="935"/>
    </row>
    <row r="215" spans="1:8" s="8" customFormat="1" ht="15" customHeight="1">
      <c r="A215" s="226" t="s">
        <v>12</v>
      </c>
      <c r="B215" s="254" t="s">
        <v>1558</v>
      </c>
      <c r="C215" s="228">
        <f t="shared" si="8"/>
        <v>46141206</v>
      </c>
      <c r="D215" s="228">
        <f t="shared" si="8"/>
        <v>20619813</v>
      </c>
      <c r="E215" s="926"/>
      <c r="F215" s="929"/>
      <c r="G215" s="940"/>
      <c r="H215" s="935"/>
    </row>
    <row r="216" spans="1:8" s="8" customFormat="1" ht="15" customHeight="1">
      <c r="A216" s="226" t="s">
        <v>49</v>
      </c>
      <c r="B216" s="254" t="s">
        <v>1559</v>
      </c>
      <c r="C216" s="228">
        <f t="shared" si="8"/>
        <v>36520834</v>
      </c>
      <c r="D216" s="228">
        <f t="shared" si="8"/>
        <v>95322009</v>
      </c>
      <c r="E216" s="926"/>
      <c r="F216" s="929"/>
      <c r="G216" s="940"/>
      <c r="H216" s="935"/>
    </row>
    <row r="217" spans="1:8" s="8" customFormat="1" ht="15" customHeight="1">
      <c r="A217" s="226" t="s">
        <v>16</v>
      </c>
      <c r="B217" s="254" t="s">
        <v>1560</v>
      </c>
      <c r="C217" s="228">
        <f t="shared" si="8"/>
        <v>0</v>
      </c>
      <c r="D217" s="228">
        <f t="shared" si="8"/>
        <v>0</v>
      </c>
      <c r="E217" s="926"/>
      <c r="F217" s="929"/>
      <c r="G217" s="940"/>
      <c r="H217" s="935"/>
    </row>
    <row r="218" spans="1:8" s="8" customFormat="1" ht="15" customHeight="1">
      <c r="A218" s="226" t="s">
        <v>18</v>
      </c>
      <c r="B218" s="254" t="s">
        <v>19</v>
      </c>
      <c r="C218" s="228">
        <f t="shared" si="8"/>
        <v>0</v>
      </c>
      <c r="D218" s="228">
        <f t="shared" si="8"/>
        <v>500000</v>
      </c>
      <c r="E218" s="926"/>
      <c r="F218" s="929"/>
      <c r="G218" s="940"/>
      <c r="H218" s="935"/>
    </row>
    <row r="219" spans="1:8" s="8" customFormat="1" ht="15" customHeight="1">
      <c r="A219" s="226" t="s">
        <v>20</v>
      </c>
      <c r="B219" s="254" t="s">
        <v>21</v>
      </c>
      <c r="C219" s="228">
        <f t="shared" si="8"/>
        <v>0</v>
      </c>
      <c r="D219" s="228">
        <f t="shared" si="8"/>
        <v>0</v>
      </c>
      <c r="E219" s="926"/>
      <c r="F219" s="929"/>
      <c r="G219" s="940"/>
      <c r="H219" s="935"/>
    </row>
    <row r="220" spans="1:8" s="8" customFormat="1" ht="15" customHeight="1">
      <c r="A220" s="255"/>
      <c r="B220" s="256" t="s">
        <v>1561</v>
      </c>
      <c r="C220" s="543">
        <f>SUM(C221:C224)</f>
        <v>0</v>
      </c>
      <c r="D220" s="543">
        <f>SUM(D221:D224)</f>
        <v>0</v>
      </c>
      <c r="E220" s="926"/>
      <c r="F220" s="929"/>
      <c r="G220" s="940"/>
      <c r="H220" s="935"/>
    </row>
    <row r="221" spans="1:8" s="8" customFormat="1" ht="15" customHeight="1">
      <c r="A221" s="226" t="s">
        <v>38</v>
      </c>
      <c r="B221" s="254" t="s">
        <v>1077</v>
      </c>
      <c r="C221" s="228">
        <f t="shared" ref="C221:D224" si="9">C23</f>
        <v>0</v>
      </c>
      <c r="D221" s="228">
        <f t="shared" si="9"/>
        <v>0</v>
      </c>
      <c r="E221" s="926"/>
      <c r="F221" s="929"/>
      <c r="G221" s="940"/>
      <c r="H221" s="935"/>
    </row>
    <row r="222" spans="1:8" s="8" customFormat="1" ht="15" customHeight="1">
      <c r="A222" s="226" t="s">
        <v>39</v>
      </c>
      <c r="B222" s="254" t="s">
        <v>1013</v>
      </c>
      <c r="C222" s="228">
        <f t="shared" si="9"/>
        <v>0</v>
      </c>
      <c r="D222" s="228">
        <f t="shared" si="9"/>
        <v>0</v>
      </c>
      <c r="E222" s="926"/>
      <c r="F222" s="929"/>
      <c r="G222" s="940"/>
      <c r="H222" s="935"/>
    </row>
    <row r="223" spans="1:8" s="8" customFormat="1" ht="15" customHeight="1">
      <c r="A223" s="226" t="s">
        <v>40</v>
      </c>
      <c r="B223" s="254" t="s">
        <v>1112</v>
      </c>
      <c r="C223" s="228">
        <f t="shared" si="9"/>
        <v>0</v>
      </c>
      <c r="D223" s="228">
        <f t="shared" si="9"/>
        <v>0</v>
      </c>
      <c r="E223" s="926"/>
      <c r="F223" s="929"/>
      <c r="G223" s="940"/>
      <c r="H223" s="935"/>
    </row>
    <row r="224" spans="1:8" s="8" customFormat="1" ht="15" customHeight="1">
      <c r="A224" s="226" t="s">
        <v>41</v>
      </c>
      <c r="B224" s="254" t="s">
        <v>1068</v>
      </c>
      <c r="C224" s="228">
        <f t="shared" si="9"/>
        <v>0</v>
      </c>
      <c r="D224" s="228">
        <f t="shared" si="9"/>
        <v>0</v>
      </c>
      <c r="E224" s="926"/>
      <c r="F224" s="929"/>
      <c r="G224" s="940"/>
      <c r="H224" s="935"/>
    </row>
    <row r="225" spans="1:9" s="8" customFormat="1" ht="15" customHeight="1">
      <c r="A225" s="241"/>
      <c r="B225" s="242" t="s">
        <v>1500</v>
      </c>
      <c r="C225" s="231">
        <f>SUM(C209:C220)</f>
        <v>3485149474</v>
      </c>
      <c r="D225" s="231">
        <f>SUM(D209:D220)</f>
        <v>3552995931</v>
      </c>
      <c r="E225" s="927"/>
      <c r="F225" s="930"/>
      <c r="G225" s="941"/>
      <c r="H225" s="936"/>
    </row>
    <row r="227" spans="1:9" ht="18">
      <c r="A227" s="923" t="s">
        <v>1562</v>
      </c>
      <c r="B227" s="923"/>
      <c r="C227" s="923"/>
      <c r="D227" s="923"/>
      <c r="E227" s="923"/>
      <c r="F227" s="923"/>
      <c r="G227" s="923"/>
      <c r="H227" s="923"/>
    </row>
    <row r="228" spans="1:9">
      <c r="A228" s="579" t="s">
        <v>1563</v>
      </c>
      <c r="B228" s="579"/>
      <c r="C228" s="579"/>
      <c r="D228" s="579"/>
      <c r="E228" s="579"/>
      <c r="F228" s="579"/>
      <c r="G228" s="579"/>
      <c r="H228" s="579"/>
    </row>
    <row r="229" spans="1:9" ht="28">
      <c r="A229" s="208" t="s">
        <v>1502</v>
      </c>
      <c r="B229" s="224"/>
      <c r="C229" s="210" t="str">
        <f>C$6</f>
        <v>Montant N-1</v>
      </c>
      <c r="D229" s="210" t="str">
        <f>D$6</f>
        <v>Montant N</v>
      </c>
      <c r="E229" s="210" t="str">
        <f>E$6</f>
        <v>Résultat N-1</v>
      </c>
      <c r="F229" s="210" t="str">
        <f>F$6</f>
        <v>Résultat N</v>
      </c>
      <c r="G229" s="211" t="s">
        <v>1488</v>
      </c>
      <c r="H229" s="210" t="s">
        <v>1489</v>
      </c>
    </row>
    <row r="230" spans="1:9" ht="20">
      <c r="A230" s="257"/>
      <c r="B230" s="258" t="s">
        <v>1564</v>
      </c>
      <c r="C230" s="259">
        <f>SUM(C231:C232)</f>
        <v>333057023</v>
      </c>
      <c r="D230" s="259">
        <f>SUM(D231:D232)</f>
        <v>36542538</v>
      </c>
      <c r="E230" s="942">
        <f>C230*15%</f>
        <v>49958553.449999996</v>
      </c>
      <c r="F230" s="945">
        <f>D230*15%</f>
        <v>5481380.7000000002</v>
      </c>
      <c r="G230" s="260">
        <f>0.15*D230</f>
        <v>5481380.7000000002</v>
      </c>
      <c r="H230" s="934" t="str">
        <f>IF(D230&lt;&gt;0,IF(F230&lt;G230,"La norme n'est pas respectée","La norme est respectée"),"")</f>
        <v>La norme est respectée</v>
      </c>
    </row>
    <row r="231" spans="1:9" ht="15" customHeight="1">
      <c r="A231" s="261" t="s">
        <v>87</v>
      </c>
      <c r="B231" s="262" t="s">
        <v>1487</v>
      </c>
      <c r="C231" s="263">
        <f>C97</f>
        <v>333057023</v>
      </c>
      <c r="D231" s="263">
        <f>D97</f>
        <v>36542538</v>
      </c>
      <c r="E231" s="943"/>
      <c r="F231" s="946"/>
      <c r="G231" s="948" t="s">
        <v>1565</v>
      </c>
      <c r="H231" s="935"/>
    </row>
    <row r="232" spans="1:9" ht="15" customHeight="1">
      <c r="A232" s="226" t="s">
        <v>84</v>
      </c>
      <c r="B232" s="254" t="s">
        <v>1566</v>
      </c>
      <c r="C232" s="263">
        <f>-C107</f>
        <v>0</v>
      </c>
      <c r="D232" s="263">
        <f>-D107</f>
        <v>0</v>
      </c>
      <c r="E232" s="943"/>
      <c r="F232" s="946"/>
      <c r="G232" s="948"/>
      <c r="H232" s="935"/>
    </row>
    <row r="233" spans="1:9" ht="15.75" customHeight="1">
      <c r="A233" s="235" t="s">
        <v>260</v>
      </c>
      <c r="B233" s="213" t="s">
        <v>132</v>
      </c>
      <c r="C233" s="544">
        <f>'Bilan et Hors Bilan'!J96</f>
        <v>335327186</v>
      </c>
      <c r="D233" s="544">
        <f>'Bilan et Hors Bilan'!I96</f>
        <v>385285436</v>
      </c>
      <c r="E233" s="944"/>
      <c r="F233" s="947"/>
      <c r="G233" s="949"/>
      <c r="H233" s="936"/>
      <c r="I233" s="316">
        <f>IF(ISBLANK(D233),1,0)</f>
        <v>0</v>
      </c>
    </row>
    <row r="235" spans="1:9" ht="18">
      <c r="A235" s="923" t="s">
        <v>1567</v>
      </c>
      <c r="B235" s="923"/>
      <c r="C235" s="923"/>
      <c r="D235" s="923"/>
      <c r="E235" s="923"/>
      <c r="F235" s="923"/>
      <c r="G235" s="923"/>
      <c r="H235" s="923"/>
    </row>
    <row r="236" spans="1:9">
      <c r="A236" s="924" t="s">
        <v>1484</v>
      </c>
      <c r="B236" s="924"/>
      <c r="C236" s="924"/>
      <c r="D236" s="924"/>
      <c r="E236" s="579"/>
      <c r="F236" s="579"/>
      <c r="G236" s="579"/>
      <c r="H236" s="579"/>
    </row>
    <row r="237" spans="1:9" ht="28">
      <c r="A237" s="208" t="s">
        <v>1485</v>
      </c>
      <c r="B237" s="209" t="s">
        <v>1568</v>
      </c>
      <c r="C237" s="210" t="str">
        <f>C$6</f>
        <v>Montant N-1</v>
      </c>
      <c r="D237" s="210" t="str">
        <f>D$6</f>
        <v>Montant N</v>
      </c>
      <c r="E237" s="210" t="str">
        <f>E$6</f>
        <v>Résultat N-1</v>
      </c>
      <c r="F237" s="210" t="str">
        <f>F$6</f>
        <v>Résultat N</v>
      </c>
      <c r="G237" s="211" t="s">
        <v>1488</v>
      </c>
      <c r="H237" s="210" t="s">
        <v>1489</v>
      </c>
    </row>
    <row r="238" spans="1:9" ht="15" customHeight="1">
      <c r="A238" s="583"/>
      <c r="B238" s="584"/>
      <c r="C238" s="585"/>
      <c r="D238" s="585"/>
      <c r="E238" s="925">
        <f>IF(C270&lt;&gt;0,C267/C270,0)</f>
        <v>0.59670296185764549</v>
      </c>
      <c r="F238" s="928">
        <f>IF(D270&lt;&gt;0,D267/D270,0)</f>
        <v>0.71101919917299894</v>
      </c>
      <c r="G238" s="939" t="s">
        <v>1569</v>
      </c>
      <c r="H238" s="934" t="str">
        <f>IF(D270&lt;&gt;0,IF(F238&lt;15%,"La norme n'est pas respectée","La norme est respectée"),"")</f>
        <v>La norme est respectée</v>
      </c>
    </row>
    <row r="239" spans="1:9" ht="15" customHeight="1">
      <c r="A239" s="226" t="s">
        <v>61</v>
      </c>
      <c r="B239" s="254" t="s">
        <v>1570</v>
      </c>
      <c r="C239" s="228">
        <f>C83</f>
        <v>0</v>
      </c>
      <c r="D239" s="228">
        <f>D83</f>
        <v>0</v>
      </c>
      <c r="E239" s="926"/>
      <c r="F239" s="929"/>
      <c r="G239" s="940"/>
      <c r="H239" s="935"/>
    </row>
    <row r="240" spans="1:9" ht="15" customHeight="1">
      <c r="A240" s="226" t="s">
        <v>63</v>
      </c>
      <c r="B240" s="254" t="s">
        <v>1571</v>
      </c>
      <c r="C240" s="228">
        <f t="shared" ref="C240:C253" si="10">C84</f>
        <v>49810291</v>
      </c>
      <c r="D240" s="228">
        <f t="shared" ref="D240:D253" si="11">D84</f>
        <v>0</v>
      </c>
      <c r="E240" s="926"/>
      <c r="F240" s="929"/>
      <c r="G240" s="940"/>
      <c r="H240" s="935"/>
    </row>
    <row r="241" spans="1:8" ht="15" customHeight="1">
      <c r="A241" s="226" t="s">
        <v>65</v>
      </c>
      <c r="B241" s="254" t="s">
        <v>66</v>
      </c>
      <c r="C241" s="228">
        <f t="shared" si="10"/>
        <v>0</v>
      </c>
      <c r="D241" s="228">
        <f t="shared" si="11"/>
        <v>0</v>
      </c>
      <c r="E241" s="926"/>
      <c r="F241" s="929"/>
      <c r="G241" s="940"/>
      <c r="H241" s="935"/>
    </row>
    <row r="242" spans="1:8" s="8" customFormat="1" ht="15" customHeight="1">
      <c r="A242" s="226" t="s">
        <v>67</v>
      </c>
      <c r="B242" s="254" t="s">
        <v>1572</v>
      </c>
      <c r="C242" s="228">
        <f t="shared" si="10"/>
        <v>39111896</v>
      </c>
      <c r="D242" s="228">
        <f t="shared" si="11"/>
        <v>41528970</v>
      </c>
      <c r="E242" s="926"/>
      <c r="F242" s="929"/>
      <c r="G242" s="940"/>
      <c r="H242" s="935"/>
    </row>
    <row r="243" spans="1:8" s="8" customFormat="1" ht="15" customHeight="1">
      <c r="A243" s="226" t="s">
        <v>69</v>
      </c>
      <c r="B243" s="254" t="s">
        <v>70</v>
      </c>
      <c r="C243" s="228">
        <f t="shared" si="10"/>
        <v>0</v>
      </c>
      <c r="D243" s="228">
        <f t="shared" si="11"/>
        <v>0</v>
      </c>
      <c r="E243" s="926"/>
      <c r="F243" s="929"/>
      <c r="G243" s="940"/>
      <c r="H243" s="935"/>
    </row>
    <row r="244" spans="1:8" s="8" customFormat="1" ht="15" customHeight="1">
      <c r="A244" s="226" t="s">
        <v>71</v>
      </c>
      <c r="B244" s="254" t="s">
        <v>1573</v>
      </c>
      <c r="C244" s="228">
        <f t="shared" si="10"/>
        <v>0</v>
      </c>
      <c r="D244" s="228">
        <f t="shared" si="11"/>
        <v>0</v>
      </c>
      <c r="E244" s="926"/>
      <c r="F244" s="929"/>
      <c r="G244" s="940"/>
      <c r="H244" s="935"/>
    </row>
    <row r="245" spans="1:8" s="8" customFormat="1" ht="15" customHeight="1">
      <c r="A245" s="226" t="s">
        <v>73</v>
      </c>
      <c r="B245" s="254" t="s">
        <v>133</v>
      </c>
      <c r="C245" s="228">
        <f t="shared" si="10"/>
        <v>0</v>
      </c>
      <c r="D245" s="228">
        <f t="shared" si="11"/>
        <v>0</v>
      </c>
      <c r="E245" s="926"/>
      <c r="F245" s="929"/>
      <c r="G245" s="940"/>
      <c r="H245" s="935"/>
    </row>
    <row r="246" spans="1:8" s="8" customFormat="1" ht="15" customHeight="1">
      <c r="A246" s="226" t="s">
        <v>75</v>
      </c>
      <c r="B246" s="254" t="s">
        <v>76</v>
      </c>
      <c r="C246" s="228">
        <f t="shared" si="10"/>
        <v>0</v>
      </c>
      <c r="D246" s="228">
        <f t="shared" si="11"/>
        <v>0</v>
      </c>
      <c r="E246" s="926"/>
      <c r="F246" s="929"/>
      <c r="G246" s="940"/>
      <c r="H246" s="935"/>
    </row>
    <row r="247" spans="1:8" s="8" customFormat="1" ht="15" customHeight="1">
      <c r="A247" s="226" t="s">
        <v>77</v>
      </c>
      <c r="B247" s="254" t="s">
        <v>78</v>
      </c>
      <c r="C247" s="228">
        <f t="shared" si="10"/>
        <v>2246088573</v>
      </c>
      <c r="D247" s="228">
        <f t="shared" si="11"/>
        <v>2579143571</v>
      </c>
      <c r="E247" s="926"/>
      <c r="F247" s="929"/>
      <c r="G247" s="940"/>
      <c r="H247" s="935"/>
    </row>
    <row r="248" spans="1:8" s="8" customFormat="1" ht="15" customHeight="1">
      <c r="A248" s="226" t="s">
        <v>79</v>
      </c>
      <c r="B248" s="254" t="s">
        <v>134</v>
      </c>
      <c r="C248" s="228">
        <f t="shared" si="10"/>
        <v>0</v>
      </c>
      <c r="D248" s="228">
        <f t="shared" si="11"/>
        <v>0</v>
      </c>
      <c r="E248" s="926"/>
      <c r="F248" s="929"/>
      <c r="G248" s="940"/>
      <c r="H248" s="935"/>
    </row>
    <row r="249" spans="1:8" s="8" customFormat="1" ht="15" customHeight="1">
      <c r="A249" s="226" t="s">
        <v>80</v>
      </c>
      <c r="B249" s="254" t="s">
        <v>81</v>
      </c>
      <c r="C249" s="228">
        <f t="shared" si="10"/>
        <v>26887000</v>
      </c>
      <c r="D249" s="228">
        <f t="shared" si="11"/>
        <v>30179000</v>
      </c>
      <c r="E249" s="926"/>
      <c r="F249" s="929"/>
      <c r="G249" s="940"/>
      <c r="H249" s="935"/>
    </row>
    <row r="250" spans="1:8" s="8" customFormat="1" ht="15" customHeight="1">
      <c r="A250" s="226" t="s">
        <v>82</v>
      </c>
      <c r="B250" s="254" t="s">
        <v>83</v>
      </c>
      <c r="C250" s="228">
        <f t="shared" si="10"/>
        <v>0</v>
      </c>
      <c r="D250" s="228">
        <f t="shared" si="11"/>
        <v>0</v>
      </c>
      <c r="E250" s="926"/>
      <c r="F250" s="929"/>
      <c r="G250" s="940"/>
      <c r="H250" s="935"/>
    </row>
    <row r="251" spans="1:8" s="8" customFormat="1" ht="15" customHeight="1">
      <c r="A251" s="226" t="s">
        <v>84</v>
      </c>
      <c r="B251" s="254" t="s">
        <v>135</v>
      </c>
      <c r="C251" s="228">
        <f t="shared" si="10"/>
        <v>0</v>
      </c>
      <c r="D251" s="228">
        <f t="shared" si="11"/>
        <v>0</v>
      </c>
      <c r="E251" s="926"/>
      <c r="F251" s="929"/>
      <c r="G251" s="940"/>
      <c r="H251" s="935"/>
    </row>
    <row r="252" spans="1:8" s="8" customFormat="1" ht="15" customHeight="1">
      <c r="A252" s="226" t="s">
        <v>85</v>
      </c>
      <c r="B252" s="254" t="s">
        <v>1574</v>
      </c>
      <c r="C252" s="228">
        <f t="shared" si="10"/>
        <v>0</v>
      </c>
      <c r="D252" s="228">
        <f t="shared" si="11"/>
        <v>0</v>
      </c>
      <c r="E252" s="926"/>
      <c r="F252" s="929"/>
      <c r="G252" s="940"/>
      <c r="H252" s="935"/>
    </row>
    <row r="253" spans="1:8" s="8" customFormat="1" ht="15" customHeight="1">
      <c r="A253" s="226" t="s">
        <v>87</v>
      </c>
      <c r="B253" s="254" t="s">
        <v>88</v>
      </c>
      <c r="C253" s="228">
        <f t="shared" si="10"/>
        <v>333057023</v>
      </c>
      <c r="D253" s="228">
        <f t="shared" si="11"/>
        <v>36542538</v>
      </c>
      <c r="E253" s="926"/>
      <c r="F253" s="929"/>
      <c r="G253" s="940"/>
      <c r="H253" s="935"/>
    </row>
    <row r="254" spans="1:8" s="8" customFormat="1" ht="15" customHeight="1">
      <c r="A254" s="264"/>
      <c r="B254" s="217" t="s">
        <v>1492</v>
      </c>
      <c r="C254" s="239">
        <f>SUM(C239:C253)</f>
        <v>2694954783</v>
      </c>
      <c r="D254" s="239">
        <f>SUM(D239:D253)</f>
        <v>2687394079</v>
      </c>
      <c r="E254" s="926"/>
      <c r="F254" s="929"/>
      <c r="G254" s="940"/>
      <c r="H254" s="935"/>
    </row>
    <row r="255" spans="1:8" s="8" customFormat="1" ht="15" customHeight="1">
      <c r="A255" s="238"/>
      <c r="B255" s="217" t="s">
        <v>1526</v>
      </c>
      <c r="C255" s="265">
        <f>SUM(C256:C258,C265:C266)+ABS(C263)+ABS(C264)</f>
        <v>0</v>
      </c>
      <c r="D255" s="265">
        <f>SUM(D256:D258,D265:D266)+ABS(D263)+ABS(D264)</f>
        <v>0</v>
      </c>
      <c r="E255" s="926"/>
      <c r="F255" s="929"/>
      <c r="G255" s="940"/>
      <c r="H255" s="935"/>
    </row>
    <row r="256" spans="1:8" s="8" customFormat="1" ht="15" customHeight="1">
      <c r="A256" s="226" t="s">
        <v>90</v>
      </c>
      <c r="B256" s="254" t="s">
        <v>89</v>
      </c>
      <c r="C256" s="228">
        <f>C100</f>
        <v>0</v>
      </c>
      <c r="D256" s="228">
        <f>D100</f>
        <v>0</v>
      </c>
      <c r="E256" s="926"/>
      <c r="F256" s="929"/>
      <c r="G256" s="940"/>
      <c r="H256" s="935"/>
    </row>
    <row r="257" spans="1:9" s="8" customFormat="1" ht="15" customHeight="1">
      <c r="A257" s="226" t="s">
        <v>91</v>
      </c>
      <c r="B257" s="254" t="s">
        <v>1575</v>
      </c>
      <c r="C257" s="228">
        <f>C101</f>
        <v>0</v>
      </c>
      <c r="D257" s="228">
        <f>D101</f>
        <v>0</v>
      </c>
      <c r="E257" s="926"/>
      <c r="F257" s="929"/>
      <c r="G257" s="940"/>
      <c r="H257" s="935"/>
    </row>
    <row r="258" spans="1:9" ht="15" customHeight="1">
      <c r="A258" s="252"/>
      <c r="B258" s="217" t="s">
        <v>1576</v>
      </c>
      <c r="C258" s="239">
        <f>SUM(C259:C262)</f>
        <v>0</v>
      </c>
      <c r="D258" s="239">
        <f>SUM(D259:D262)</f>
        <v>0</v>
      </c>
      <c r="E258" s="926"/>
      <c r="F258" s="929"/>
      <c r="G258" s="940"/>
      <c r="H258" s="935"/>
    </row>
    <row r="259" spans="1:9" ht="15" customHeight="1">
      <c r="A259" s="226" t="s">
        <v>93</v>
      </c>
      <c r="B259" s="266" t="s">
        <v>253</v>
      </c>
      <c r="C259" s="228">
        <f>C103</f>
        <v>0</v>
      </c>
      <c r="D259" s="228">
        <f>D103</f>
        <v>0</v>
      </c>
      <c r="E259" s="926"/>
      <c r="F259" s="929"/>
      <c r="G259" s="940"/>
      <c r="H259" s="935"/>
    </row>
    <row r="260" spans="1:9" ht="15" customHeight="1">
      <c r="A260" s="226" t="s">
        <v>94</v>
      </c>
      <c r="B260" s="266" t="s">
        <v>253</v>
      </c>
      <c r="C260" s="228">
        <f t="shared" ref="C260:C266" si="12">C104</f>
        <v>0</v>
      </c>
      <c r="D260" s="228">
        <f t="shared" ref="D260:D266" si="13">D104</f>
        <v>0</v>
      </c>
      <c r="E260" s="926"/>
      <c r="F260" s="929"/>
      <c r="G260" s="940"/>
      <c r="H260" s="935"/>
    </row>
    <row r="261" spans="1:9" ht="15" customHeight="1">
      <c r="A261" s="226" t="s">
        <v>95</v>
      </c>
      <c r="B261" s="266" t="s">
        <v>253</v>
      </c>
      <c r="C261" s="228">
        <f t="shared" si="12"/>
        <v>0</v>
      </c>
      <c r="D261" s="228">
        <f t="shared" si="13"/>
        <v>0</v>
      </c>
      <c r="E261" s="926"/>
      <c r="F261" s="929"/>
      <c r="G261" s="940"/>
      <c r="H261" s="935"/>
    </row>
    <row r="262" spans="1:9" ht="15" customHeight="1">
      <c r="A262" s="226" t="s">
        <v>96</v>
      </c>
      <c r="B262" s="266" t="s">
        <v>253</v>
      </c>
      <c r="C262" s="228">
        <f t="shared" si="12"/>
        <v>0</v>
      </c>
      <c r="D262" s="228">
        <f t="shared" si="13"/>
        <v>0</v>
      </c>
      <c r="E262" s="926"/>
      <c r="F262" s="929"/>
      <c r="G262" s="940"/>
      <c r="H262" s="935"/>
    </row>
    <row r="263" spans="1:9" ht="15" customHeight="1">
      <c r="A263" s="226" t="s">
        <v>84</v>
      </c>
      <c r="B263" s="254" t="s">
        <v>97</v>
      </c>
      <c r="C263" s="228">
        <f t="shared" si="12"/>
        <v>0</v>
      </c>
      <c r="D263" s="228">
        <f t="shared" si="13"/>
        <v>0</v>
      </c>
      <c r="E263" s="926"/>
      <c r="F263" s="929"/>
      <c r="G263" s="940"/>
      <c r="H263" s="935"/>
    </row>
    <row r="264" spans="1:9" ht="15" customHeight="1">
      <c r="A264" s="226" t="s">
        <v>87</v>
      </c>
      <c r="B264" s="254" t="s">
        <v>98</v>
      </c>
      <c r="C264" s="228">
        <f t="shared" si="12"/>
        <v>0</v>
      </c>
      <c r="D264" s="228">
        <f t="shared" si="13"/>
        <v>0</v>
      </c>
      <c r="E264" s="926"/>
      <c r="F264" s="929"/>
      <c r="G264" s="940"/>
      <c r="H264" s="935"/>
    </row>
    <row r="265" spans="1:9" ht="15" customHeight="1">
      <c r="A265" s="226"/>
      <c r="B265" s="254" t="s">
        <v>1577</v>
      </c>
      <c r="C265" s="228">
        <f t="shared" si="12"/>
        <v>0</v>
      </c>
      <c r="D265" s="228">
        <f t="shared" si="13"/>
        <v>0</v>
      </c>
      <c r="E265" s="926"/>
      <c r="F265" s="929"/>
      <c r="G265" s="940"/>
      <c r="H265" s="935"/>
    </row>
    <row r="266" spans="1:9" ht="15" customHeight="1">
      <c r="A266" s="226"/>
      <c r="B266" s="254" t="s">
        <v>100</v>
      </c>
      <c r="C266" s="228">
        <f t="shared" si="12"/>
        <v>0</v>
      </c>
      <c r="D266" s="228">
        <f t="shared" si="13"/>
        <v>0</v>
      </c>
      <c r="E266" s="926"/>
      <c r="F266" s="929"/>
      <c r="G266" s="940"/>
      <c r="H266" s="935"/>
    </row>
    <row r="267" spans="1:9" ht="15" customHeight="1">
      <c r="A267" s="241"/>
      <c r="B267" s="242" t="s">
        <v>1495</v>
      </c>
      <c r="C267" s="231">
        <f>C254-C255</f>
        <v>2694954783</v>
      </c>
      <c r="D267" s="231">
        <f>D254-D255</f>
        <v>2687394079</v>
      </c>
      <c r="E267" s="926"/>
      <c r="F267" s="929"/>
      <c r="G267" s="940"/>
      <c r="H267" s="935"/>
    </row>
    <row r="268" spans="1:9" ht="15" customHeight="1">
      <c r="A268" s="253"/>
      <c r="B268" s="209" t="s">
        <v>1578</v>
      </c>
      <c r="C268" s="542"/>
      <c r="D268" s="542"/>
      <c r="E268" s="926"/>
      <c r="F268" s="929"/>
      <c r="G268" s="940"/>
      <c r="H268" s="935"/>
    </row>
    <row r="269" spans="1:9" ht="15.75" customHeight="1">
      <c r="A269" s="251" t="s">
        <v>266</v>
      </c>
      <c r="B269" s="244" t="s">
        <v>136</v>
      </c>
      <c r="C269" s="544">
        <f>'Bilan et Hors Bilan'!F121</f>
        <v>4516409261</v>
      </c>
      <c r="D269" s="544">
        <f>'Bilan et Hors Bilan'!E121</f>
        <v>3779636446</v>
      </c>
      <c r="E269" s="926"/>
      <c r="F269" s="929"/>
      <c r="G269" s="940"/>
      <c r="H269" s="935"/>
      <c r="I269" s="316">
        <f>IF(ISBLANK(D269),1,0)</f>
        <v>0</v>
      </c>
    </row>
    <row r="270" spans="1:9" ht="15" customHeight="1">
      <c r="A270" s="241"/>
      <c r="B270" s="242" t="s">
        <v>1500</v>
      </c>
      <c r="C270" s="231">
        <f>C269</f>
        <v>4516409261</v>
      </c>
      <c r="D270" s="231">
        <f>D269</f>
        <v>3779636446</v>
      </c>
      <c r="E270" s="927"/>
      <c r="F270" s="930"/>
      <c r="G270" s="941"/>
      <c r="H270" s="936"/>
    </row>
    <row r="272" spans="1:9" ht="18">
      <c r="A272" s="923" t="s">
        <v>1579</v>
      </c>
      <c r="B272" s="923"/>
      <c r="C272" s="923"/>
      <c r="D272" s="923"/>
      <c r="E272" s="923"/>
      <c r="F272" s="923"/>
      <c r="G272" s="923"/>
      <c r="H272" s="923"/>
    </row>
    <row r="273" spans="1:9">
      <c r="A273" s="924" t="s">
        <v>1484</v>
      </c>
      <c r="B273" s="924"/>
      <c r="C273" s="924"/>
      <c r="D273" s="924"/>
      <c r="E273" s="579"/>
      <c r="F273" s="579"/>
      <c r="G273" s="579"/>
      <c r="H273" s="579"/>
    </row>
    <row r="274" spans="1:9" ht="28">
      <c r="A274" s="208" t="s">
        <v>1485</v>
      </c>
      <c r="B274" s="209" t="s">
        <v>1580</v>
      </c>
      <c r="C274" s="210" t="str">
        <f>C$6</f>
        <v>Montant N-1</v>
      </c>
      <c r="D274" s="210" t="str">
        <f>D$6</f>
        <v>Montant N</v>
      </c>
      <c r="E274" s="210" t="str">
        <f>E$6</f>
        <v>Résultat N-1</v>
      </c>
      <c r="F274" s="210" t="str">
        <f>F$6</f>
        <v>Résultat N</v>
      </c>
      <c r="G274" s="211" t="s">
        <v>1488</v>
      </c>
      <c r="H274" s="210" t="s">
        <v>1489</v>
      </c>
    </row>
    <row r="275" spans="1:9" ht="15" customHeight="1">
      <c r="A275" s="583"/>
      <c r="B275" s="584"/>
      <c r="C275" s="585"/>
      <c r="D275" s="585"/>
      <c r="E275" s="925">
        <f>IF(C307&lt;&gt;0,C277/C307,0)</f>
        <v>0</v>
      </c>
      <c r="F275" s="928">
        <f>IF(D307&lt;&gt;0,D277/D307,0)</f>
        <v>1.8605384446856185E-4</v>
      </c>
      <c r="G275" s="939" t="s">
        <v>1581</v>
      </c>
      <c r="H275" s="934" t="str">
        <f>IF(D307&lt;&gt;0,IF(F275&gt;25%,"La norme n'est pas respectée","La norme est respectée"),"")</f>
        <v>La norme est respectée</v>
      </c>
    </row>
    <row r="276" spans="1:9" ht="15.75" customHeight="1">
      <c r="A276" s="235" t="s">
        <v>18</v>
      </c>
      <c r="B276" s="213" t="s">
        <v>1582</v>
      </c>
      <c r="C276" s="544">
        <f>'Bilan et Hors Bilan'!F73</f>
        <v>0</v>
      </c>
      <c r="D276" s="544">
        <f>'Bilan et Hors Bilan'!E73</f>
        <v>500000</v>
      </c>
      <c r="E276" s="926"/>
      <c r="F276" s="929"/>
      <c r="G276" s="940"/>
      <c r="H276" s="935"/>
      <c r="I276" s="316">
        <f>IF(ISBLANK(D276),1,0)</f>
        <v>0</v>
      </c>
    </row>
    <row r="277" spans="1:9" ht="15" customHeight="1">
      <c r="A277" s="219"/>
      <c r="B277" s="220" t="s">
        <v>1495</v>
      </c>
      <c r="C277" s="236">
        <f>C276</f>
        <v>0</v>
      </c>
      <c r="D277" s="236">
        <f>D276</f>
        <v>500000</v>
      </c>
      <c r="E277" s="926"/>
      <c r="F277" s="929"/>
      <c r="G277" s="940"/>
      <c r="H277" s="935"/>
    </row>
    <row r="278" spans="1:9" ht="15" customHeight="1">
      <c r="A278" s="253"/>
      <c r="B278" s="209" t="s">
        <v>1583</v>
      </c>
      <c r="C278" s="542"/>
      <c r="D278" s="542"/>
      <c r="E278" s="926"/>
      <c r="F278" s="929"/>
      <c r="G278" s="940"/>
      <c r="H278" s="935"/>
    </row>
    <row r="279" spans="1:9" ht="15" customHeight="1">
      <c r="A279" s="226" t="s">
        <v>61</v>
      </c>
      <c r="B279" s="254" t="s">
        <v>1570</v>
      </c>
      <c r="C279" s="228">
        <f>C83</f>
        <v>0</v>
      </c>
      <c r="D279" s="228">
        <f>D83</f>
        <v>0</v>
      </c>
      <c r="E279" s="926"/>
      <c r="F279" s="929"/>
      <c r="G279" s="940"/>
      <c r="H279" s="935"/>
    </row>
    <row r="280" spans="1:9" ht="15" customHeight="1">
      <c r="A280" s="226" t="s">
        <v>63</v>
      </c>
      <c r="B280" s="254" t="s">
        <v>1571</v>
      </c>
      <c r="C280" s="228">
        <f t="shared" ref="C280:C293" si="14">C84</f>
        <v>49810291</v>
      </c>
      <c r="D280" s="228">
        <f t="shared" ref="D280:D293" si="15">D84</f>
        <v>0</v>
      </c>
      <c r="E280" s="926"/>
      <c r="F280" s="929"/>
      <c r="G280" s="940"/>
      <c r="H280" s="935"/>
    </row>
    <row r="281" spans="1:9" ht="15" customHeight="1">
      <c r="A281" s="226" t="s">
        <v>65</v>
      </c>
      <c r="B281" s="254" t="s">
        <v>66</v>
      </c>
      <c r="C281" s="228">
        <f t="shared" si="14"/>
        <v>0</v>
      </c>
      <c r="D281" s="228">
        <f t="shared" si="15"/>
        <v>0</v>
      </c>
      <c r="E281" s="926"/>
      <c r="F281" s="929"/>
      <c r="G281" s="940"/>
      <c r="H281" s="935"/>
    </row>
    <row r="282" spans="1:9" ht="15" customHeight="1">
      <c r="A282" s="226" t="s">
        <v>67</v>
      </c>
      <c r="B282" s="254" t="s">
        <v>1572</v>
      </c>
      <c r="C282" s="228">
        <f t="shared" si="14"/>
        <v>39111896</v>
      </c>
      <c r="D282" s="228">
        <f t="shared" si="15"/>
        <v>41528970</v>
      </c>
      <c r="E282" s="926"/>
      <c r="F282" s="929"/>
      <c r="G282" s="940"/>
      <c r="H282" s="935"/>
    </row>
    <row r="283" spans="1:9" ht="15" customHeight="1">
      <c r="A283" s="226" t="s">
        <v>69</v>
      </c>
      <c r="B283" s="254" t="s">
        <v>70</v>
      </c>
      <c r="C283" s="228">
        <f t="shared" si="14"/>
        <v>0</v>
      </c>
      <c r="D283" s="228">
        <f t="shared" si="15"/>
        <v>0</v>
      </c>
      <c r="E283" s="926"/>
      <c r="F283" s="929"/>
      <c r="G283" s="940"/>
      <c r="H283" s="935"/>
    </row>
    <row r="284" spans="1:9" ht="15" customHeight="1">
      <c r="A284" s="226" t="s">
        <v>71</v>
      </c>
      <c r="B284" s="254" t="s">
        <v>1573</v>
      </c>
      <c r="C284" s="228">
        <f t="shared" si="14"/>
        <v>0</v>
      </c>
      <c r="D284" s="228">
        <f t="shared" si="15"/>
        <v>0</v>
      </c>
      <c r="E284" s="926"/>
      <c r="F284" s="929"/>
      <c r="G284" s="940"/>
      <c r="H284" s="935"/>
    </row>
    <row r="285" spans="1:9" ht="15" customHeight="1">
      <c r="A285" s="226" t="s">
        <v>73</v>
      </c>
      <c r="B285" s="254" t="s">
        <v>133</v>
      </c>
      <c r="C285" s="228">
        <f t="shared" si="14"/>
        <v>0</v>
      </c>
      <c r="D285" s="228">
        <f t="shared" si="15"/>
        <v>0</v>
      </c>
      <c r="E285" s="926"/>
      <c r="F285" s="929"/>
      <c r="G285" s="940"/>
      <c r="H285" s="935"/>
    </row>
    <row r="286" spans="1:9" ht="15" customHeight="1">
      <c r="A286" s="226" t="s">
        <v>75</v>
      </c>
      <c r="B286" s="254" t="s">
        <v>76</v>
      </c>
      <c r="C286" s="228">
        <f t="shared" si="14"/>
        <v>0</v>
      </c>
      <c r="D286" s="228">
        <f t="shared" si="15"/>
        <v>0</v>
      </c>
      <c r="E286" s="926"/>
      <c r="F286" s="929"/>
      <c r="G286" s="940"/>
      <c r="H286" s="935"/>
    </row>
    <row r="287" spans="1:9" ht="15" customHeight="1">
      <c r="A287" s="226" t="s">
        <v>77</v>
      </c>
      <c r="B287" s="254" t="s">
        <v>78</v>
      </c>
      <c r="C287" s="228">
        <f t="shared" si="14"/>
        <v>2246088573</v>
      </c>
      <c r="D287" s="228">
        <f t="shared" si="15"/>
        <v>2579143571</v>
      </c>
      <c r="E287" s="926"/>
      <c r="F287" s="929"/>
      <c r="G287" s="940"/>
      <c r="H287" s="935"/>
    </row>
    <row r="288" spans="1:9" ht="15" customHeight="1">
      <c r="A288" s="226" t="s">
        <v>79</v>
      </c>
      <c r="B288" s="254" t="s">
        <v>134</v>
      </c>
      <c r="C288" s="228">
        <f t="shared" si="14"/>
        <v>0</v>
      </c>
      <c r="D288" s="228">
        <f t="shared" si="15"/>
        <v>0</v>
      </c>
      <c r="E288" s="926"/>
      <c r="F288" s="929"/>
      <c r="G288" s="940"/>
      <c r="H288" s="935"/>
    </row>
    <row r="289" spans="1:8" ht="15" customHeight="1">
      <c r="A289" s="226" t="s">
        <v>80</v>
      </c>
      <c r="B289" s="254" t="s">
        <v>81</v>
      </c>
      <c r="C289" s="228">
        <f t="shared" si="14"/>
        <v>26887000</v>
      </c>
      <c r="D289" s="228">
        <f t="shared" si="15"/>
        <v>30179000</v>
      </c>
      <c r="E289" s="926"/>
      <c r="F289" s="929"/>
      <c r="G289" s="940"/>
      <c r="H289" s="935"/>
    </row>
    <row r="290" spans="1:8" s="8" customFormat="1" ht="15" customHeight="1">
      <c r="A290" s="226" t="s">
        <v>82</v>
      </c>
      <c r="B290" s="254" t="s">
        <v>83</v>
      </c>
      <c r="C290" s="228">
        <f t="shared" si="14"/>
        <v>0</v>
      </c>
      <c r="D290" s="228">
        <f t="shared" si="15"/>
        <v>0</v>
      </c>
      <c r="E290" s="926"/>
      <c r="F290" s="929"/>
      <c r="G290" s="940"/>
      <c r="H290" s="935"/>
    </row>
    <row r="291" spans="1:8" s="8" customFormat="1" ht="15" customHeight="1">
      <c r="A291" s="226" t="s">
        <v>84</v>
      </c>
      <c r="B291" s="254" t="s">
        <v>135</v>
      </c>
      <c r="C291" s="228">
        <f t="shared" si="14"/>
        <v>0</v>
      </c>
      <c r="D291" s="228">
        <f t="shared" si="15"/>
        <v>0</v>
      </c>
      <c r="E291" s="926"/>
      <c r="F291" s="929"/>
      <c r="G291" s="940"/>
      <c r="H291" s="935"/>
    </row>
    <row r="292" spans="1:8" s="8" customFormat="1" ht="15" customHeight="1">
      <c r="A292" s="226" t="s">
        <v>85</v>
      </c>
      <c r="B292" s="254" t="s">
        <v>1574</v>
      </c>
      <c r="C292" s="228">
        <f t="shared" si="14"/>
        <v>0</v>
      </c>
      <c r="D292" s="228">
        <f t="shared" si="15"/>
        <v>0</v>
      </c>
      <c r="E292" s="926"/>
      <c r="F292" s="929"/>
      <c r="G292" s="940"/>
      <c r="H292" s="935"/>
    </row>
    <row r="293" spans="1:8" s="8" customFormat="1" ht="15" customHeight="1">
      <c r="A293" s="226" t="s">
        <v>87</v>
      </c>
      <c r="B293" s="254" t="s">
        <v>88</v>
      </c>
      <c r="C293" s="228">
        <f t="shared" si="14"/>
        <v>333057023</v>
      </c>
      <c r="D293" s="228">
        <f t="shared" si="15"/>
        <v>36542538</v>
      </c>
      <c r="E293" s="926"/>
      <c r="F293" s="929"/>
      <c r="G293" s="940"/>
      <c r="H293" s="935"/>
    </row>
    <row r="294" spans="1:8" s="8" customFormat="1" ht="15" customHeight="1">
      <c r="A294" s="252"/>
      <c r="B294" s="217" t="s">
        <v>1492</v>
      </c>
      <c r="C294" s="239">
        <f>SUM(C279:C293)</f>
        <v>2694954783</v>
      </c>
      <c r="D294" s="239">
        <f>SUM(D279:D293)</f>
        <v>2687394079</v>
      </c>
      <c r="E294" s="926"/>
      <c r="F294" s="929"/>
      <c r="G294" s="940"/>
      <c r="H294" s="935"/>
    </row>
    <row r="295" spans="1:8" s="8" customFormat="1" ht="15" customHeight="1">
      <c r="A295" s="252"/>
      <c r="B295" s="217" t="s">
        <v>1526</v>
      </c>
      <c r="C295" s="265">
        <f>SUM(C296:C298,C305:C306)+ABS(C303)+ABS(C304)</f>
        <v>0</v>
      </c>
      <c r="D295" s="265">
        <f>SUM(D296:D298,D305:D306)+ABS(D303)+ABS(D304)</f>
        <v>0</v>
      </c>
      <c r="E295" s="926"/>
      <c r="F295" s="929"/>
      <c r="G295" s="940"/>
      <c r="H295" s="935"/>
    </row>
    <row r="296" spans="1:8" s="8" customFormat="1" ht="15" customHeight="1">
      <c r="A296" s="226" t="s">
        <v>90</v>
      </c>
      <c r="B296" s="254" t="s">
        <v>89</v>
      </c>
      <c r="C296" s="228">
        <f>C100</f>
        <v>0</v>
      </c>
      <c r="D296" s="228">
        <f>D100</f>
        <v>0</v>
      </c>
      <c r="E296" s="926"/>
      <c r="F296" s="929"/>
      <c r="G296" s="940"/>
      <c r="H296" s="935"/>
    </row>
    <row r="297" spans="1:8" s="8" customFormat="1" ht="15" customHeight="1">
      <c r="A297" s="226" t="s">
        <v>91</v>
      </c>
      <c r="B297" s="254" t="s">
        <v>1575</v>
      </c>
      <c r="C297" s="228">
        <f>C101</f>
        <v>0</v>
      </c>
      <c r="D297" s="228">
        <f>D101</f>
        <v>0</v>
      </c>
      <c r="E297" s="926"/>
      <c r="F297" s="929"/>
      <c r="G297" s="940"/>
      <c r="H297" s="935"/>
    </row>
    <row r="298" spans="1:8" s="8" customFormat="1" ht="15" customHeight="1">
      <c r="A298" s="252"/>
      <c r="B298" s="217" t="s">
        <v>1576</v>
      </c>
      <c r="C298" s="239">
        <f>SUM(C299:C302)</f>
        <v>0</v>
      </c>
      <c r="D298" s="239">
        <f>SUM(D299:D302)</f>
        <v>0</v>
      </c>
      <c r="E298" s="926"/>
      <c r="F298" s="929"/>
      <c r="G298" s="940"/>
      <c r="H298" s="935"/>
    </row>
    <row r="299" spans="1:8" s="8" customFormat="1" ht="15" customHeight="1">
      <c r="A299" s="226" t="s">
        <v>93</v>
      </c>
      <c r="B299" s="254" t="s">
        <v>253</v>
      </c>
      <c r="C299" s="228">
        <f>C103</f>
        <v>0</v>
      </c>
      <c r="D299" s="228">
        <f>D103</f>
        <v>0</v>
      </c>
      <c r="E299" s="926"/>
      <c r="F299" s="929"/>
      <c r="G299" s="940"/>
      <c r="H299" s="935"/>
    </row>
    <row r="300" spans="1:8" s="8" customFormat="1" ht="15" customHeight="1">
      <c r="A300" s="226" t="s">
        <v>94</v>
      </c>
      <c r="B300" s="254" t="s">
        <v>253</v>
      </c>
      <c r="C300" s="228">
        <f t="shared" ref="C300:C306" si="16">C104</f>
        <v>0</v>
      </c>
      <c r="D300" s="228">
        <f t="shared" ref="D300:D306" si="17">D104</f>
        <v>0</v>
      </c>
      <c r="E300" s="926"/>
      <c r="F300" s="929"/>
      <c r="G300" s="940"/>
      <c r="H300" s="935"/>
    </row>
    <row r="301" spans="1:8" s="8" customFormat="1" ht="15" customHeight="1">
      <c r="A301" s="226" t="s">
        <v>95</v>
      </c>
      <c r="B301" s="254" t="s">
        <v>253</v>
      </c>
      <c r="C301" s="228">
        <f t="shared" si="16"/>
        <v>0</v>
      </c>
      <c r="D301" s="228">
        <f t="shared" si="17"/>
        <v>0</v>
      </c>
      <c r="E301" s="926"/>
      <c r="F301" s="929"/>
      <c r="G301" s="940"/>
      <c r="H301" s="935"/>
    </row>
    <row r="302" spans="1:8" s="8" customFormat="1" ht="15" customHeight="1">
      <c r="A302" s="226" t="s">
        <v>96</v>
      </c>
      <c r="B302" s="254" t="s">
        <v>253</v>
      </c>
      <c r="C302" s="228">
        <f t="shared" si="16"/>
        <v>0</v>
      </c>
      <c r="D302" s="228">
        <f t="shared" si="17"/>
        <v>0</v>
      </c>
      <c r="E302" s="926"/>
      <c r="F302" s="929"/>
      <c r="G302" s="940"/>
      <c r="H302" s="935"/>
    </row>
    <row r="303" spans="1:8" s="8" customFormat="1" ht="15" customHeight="1">
      <c r="A303" s="226" t="s">
        <v>84</v>
      </c>
      <c r="B303" s="254" t="s">
        <v>97</v>
      </c>
      <c r="C303" s="228">
        <f t="shared" si="16"/>
        <v>0</v>
      </c>
      <c r="D303" s="228">
        <f t="shared" si="17"/>
        <v>0</v>
      </c>
      <c r="E303" s="926"/>
      <c r="F303" s="929"/>
      <c r="G303" s="940"/>
      <c r="H303" s="935"/>
    </row>
    <row r="304" spans="1:8" s="8" customFormat="1" ht="15" customHeight="1">
      <c r="A304" s="226" t="s">
        <v>87</v>
      </c>
      <c r="B304" s="254" t="s">
        <v>98</v>
      </c>
      <c r="C304" s="228">
        <f t="shared" si="16"/>
        <v>0</v>
      </c>
      <c r="D304" s="228">
        <f t="shared" si="17"/>
        <v>0</v>
      </c>
      <c r="E304" s="926"/>
      <c r="F304" s="929"/>
      <c r="G304" s="940"/>
      <c r="H304" s="935"/>
    </row>
    <row r="305" spans="1:9" s="8" customFormat="1" ht="15" customHeight="1">
      <c r="A305" s="226"/>
      <c r="B305" s="254" t="s">
        <v>1577</v>
      </c>
      <c r="C305" s="228">
        <f t="shared" si="16"/>
        <v>0</v>
      </c>
      <c r="D305" s="228">
        <f t="shared" si="17"/>
        <v>0</v>
      </c>
      <c r="E305" s="926"/>
      <c r="F305" s="929"/>
      <c r="G305" s="940"/>
      <c r="H305" s="935"/>
    </row>
    <row r="306" spans="1:9" ht="15" customHeight="1">
      <c r="A306" s="226"/>
      <c r="B306" s="254" t="s">
        <v>100</v>
      </c>
      <c r="C306" s="228">
        <f t="shared" si="16"/>
        <v>0</v>
      </c>
      <c r="D306" s="228">
        <f t="shared" si="17"/>
        <v>0</v>
      </c>
      <c r="E306" s="926"/>
      <c r="F306" s="929"/>
      <c r="G306" s="940"/>
      <c r="H306" s="935"/>
    </row>
    <row r="307" spans="1:9" ht="15" customHeight="1">
      <c r="A307" s="241"/>
      <c r="B307" s="242" t="s">
        <v>1500</v>
      </c>
      <c r="C307" s="231">
        <f>C294-C295</f>
        <v>2694954783</v>
      </c>
      <c r="D307" s="231">
        <f>D294-D295</f>
        <v>2687394079</v>
      </c>
      <c r="E307" s="927"/>
      <c r="F307" s="930"/>
      <c r="G307" s="941"/>
      <c r="H307" s="936"/>
    </row>
    <row r="309" spans="1:9" ht="18">
      <c r="A309" s="923" t="s">
        <v>1584</v>
      </c>
      <c r="B309" s="923"/>
      <c r="C309" s="923"/>
      <c r="D309" s="923"/>
      <c r="E309" s="923"/>
      <c r="F309" s="923"/>
      <c r="G309" s="923"/>
      <c r="H309" s="923"/>
    </row>
    <row r="310" spans="1:9">
      <c r="A310" s="924" t="s">
        <v>1484</v>
      </c>
      <c r="B310" s="924"/>
      <c r="C310" s="924"/>
      <c r="D310" s="924"/>
      <c r="E310" s="579"/>
      <c r="F310" s="579"/>
      <c r="G310" s="579"/>
      <c r="H310" s="579"/>
    </row>
    <row r="311" spans="1:9" ht="28">
      <c r="A311" s="208" t="s">
        <v>1485</v>
      </c>
      <c r="B311" s="209" t="s">
        <v>1585</v>
      </c>
      <c r="C311" s="210" t="str">
        <f>C$6</f>
        <v>Montant N-1</v>
      </c>
      <c r="D311" s="210" t="str">
        <f>D$6</f>
        <v>Montant N</v>
      </c>
      <c r="E311" s="210" t="str">
        <f>E$6</f>
        <v>Résultat N-1</v>
      </c>
      <c r="F311" s="210" t="str">
        <f>F$6</f>
        <v>Résultat N</v>
      </c>
      <c r="G311" s="211" t="s">
        <v>1488</v>
      </c>
      <c r="H311" s="210" t="s">
        <v>1489</v>
      </c>
    </row>
    <row r="312" spans="1:9" ht="15" customHeight="1">
      <c r="A312" s="226" t="s">
        <v>93</v>
      </c>
      <c r="B312" s="267" t="s">
        <v>1586</v>
      </c>
      <c r="C312" s="228">
        <f>C103</f>
        <v>0</v>
      </c>
      <c r="D312" s="228">
        <f>D103</f>
        <v>0</v>
      </c>
      <c r="E312" s="925">
        <f>IF(C351&lt;&gt;0,C321/C351,0)</f>
        <v>0</v>
      </c>
      <c r="F312" s="928">
        <f>IF(D351&lt;&gt;0,D321/D351,0)</f>
        <v>1.8605384446856185E-4</v>
      </c>
      <c r="G312" s="931" t="s">
        <v>1587</v>
      </c>
      <c r="H312" s="934" t="str">
        <f>IF(D351&lt;&gt;0,IF(F312&gt;100%,"La norme n'est pas respectée","La norme est respectée"),"")</f>
        <v>La norme est respectée</v>
      </c>
    </row>
    <row r="313" spans="1:9" ht="15.75" customHeight="1">
      <c r="A313" s="268" t="s">
        <v>250</v>
      </c>
      <c r="B313" s="269" t="s">
        <v>805</v>
      </c>
      <c r="C313" s="544">
        <f>'Bilan et Hors Bilan'!F79</f>
        <v>0</v>
      </c>
      <c r="D313" s="544">
        <f>'Bilan et Hors Bilan'!E79</f>
        <v>0</v>
      </c>
      <c r="E313" s="926"/>
      <c r="F313" s="929"/>
      <c r="G313" s="932"/>
      <c r="H313" s="935"/>
      <c r="I313" s="316">
        <f>IF(ISBLANK(D313),1,0)</f>
        <v>0</v>
      </c>
    </row>
    <row r="314" spans="1:9" ht="15.75" customHeight="1">
      <c r="A314" s="268" t="s">
        <v>94</v>
      </c>
      <c r="B314" s="269" t="s">
        <v>1588</v>
      </c>
      <c r="C314" s="544">
        <f>'Bilan et Hors Bilan'!F81</f>
        <v>0</v>
      </c>
      <c r="D314" s="544">
        <f>'Bilan et Hors Bilan'!E81</f>
        <v>0</v>
      </c>
      <c r="E314" s="926"/>
      <c r="F314" s="929"/>
      <c r="G314" s="932"/>
      <c r="H314" s="935"/>
      <c r="I314" s="316">
        <f>IF(ISBLANK(D314),1,0)</f>
        <v>0</v>
      </c>
    </row>
    <row r="315" spans="1:9" ht="15.75" customHeight="1">
      <c r="A315" s="268" t="s">
        <v>267</v>
      </c>
      <c r="B315" s="269" t="s">
        <v>806</v>
      </c>
      <c r="C315" s="544">
        <f>'Bilan et Hors Bilan'!F82</f>
        <v>0</v>
      </c>
      <c r="D315" s="544">
        <f>'Bilan et Hors Bilan'!E82</f>
        <v>0</v>
      </c>
      <c r="E315" s="926"/>
      <c r="F315" s="929"/>
      <c r="G315" s="932"/>
      <c r="H315" s="935"/>
      <c r="I315" s="316">
        <f>IF(ISBLANK(D315),1,0)</f>
        <v>0</v>
      </c>
    </row>
    <row r="316" spans="1:9" ht="15" customHeight="1">
      <c r="A316" s="226" t="s">
        <v>95</v>
      </c>
      <c r="B316" s="267" t="s">
        <v>1589</v>
      </c>
      <c r="C316" s="228">
        <f>C105</f>
        <v>0</v>
      </c>
      <c r="D316" s="228">
        <f>D105</f>
        <v>0</v>
      </c>
      <c r="E316" s="926"/>
      <c r="F316" s="929"/>
      <c r="G316" s="932"/>
      <c r="H316" s="935"/>
    </row>
    <row r="317" spans="1:9" ht="15.75" customHeight="1">
      <c r="A317" s="268" t="s">
        <v>527</v>
      </c>
      <c r="B317" s="269" t="s">
        <v>807</v>
      </c>
      <c r="C317" s="544">
        <f>'Bilan et Hors Bilan'!F85</f>
        <v>0</v>
      </c>
      <c r="D317" s="544">
        <f>'Bilan et Hors Bilan'!E85</f>
        <v>0</v>
      </c>
      <c r="E317" s="926"/>
      <c r="F317" s="929"/>
      <c r="G317" s="932"/>
      <c r="H317" s="935"/>
      <c r="I317" s="316">
        <f>IF(ISBLANK(D317),1,0)</f>
        <v>0</v>
      </c>
    </row>
    <row r="318" spans="1:9" ht="30" customHeight="1">
      <c r="A318" s="268" t="s">
        <v>96</v>
      </c>
      <c r="B318" s="319" t="s">
        <v>1590</v>
      </c>
      <c r="C318" s="544">
        <f>'Bilan et Hors Bilan'!F87</f>
        <v>0</v>
      </c>
      <c r="D318" s="544">
        <f>'Bilan et Hors Bilan'!E87</f>
        <v>0</v>
      </c>
      <c r="E318" s="926"/>
      <c r="F318" s="929"/>
      <c r="G318" s="932"/>
      <c r="H318" s="935"/>
      <c r="I318" s="316">
        <f>IF(ISBLANK(D318),1,0)</f>
        <v>0</v>
      </c>
    </row>
    <row r="319" spans="1:9" ht="26.25" customHeight="1">
      <c r="A319" s="268" t="s">
        <v>529</v>
      </c>
      <c r="B319" s="319" t="s">
        <v>1591</v>
      </c>
      <c r="C319" s="544">
        <f>'Bilan et Hors Bilan'!F89</f>
        <v>0</v>
      </c>
      <c r="D319" s="544">
        <f>'Bilan et Hors Bilan'!E89</f>
        <v>0</v>
      </c>
      <c r="E319" s="926"/>
      <c r="F319" s="929"/>
      <c r="G319" s="932"/>
      <c r="H319" s="935"/>
      <c r="I319" s="316">
        <f>IF(ISBLANK(D319),1,0)</f>
        <v>0</v>
      </c>
    </row>
    <row r="320" spans="1:9" ht="15" customHeight="1">
      <c r="A320" s="226" t="s">
        <v>18</v>
      </c>
      <c r="B320" s="254" t="s">
        <v>1582</v>
      </c>
      <c r="C320" s="228">
        <f>C276</f>
        <v>0</v>
      </c>
      <c r="D320" s="228">
        <f>D276</f>
        <v>500000</v>
      </c>
      <c r="E320" s="926"/>
      <c r="F320" s="929"/>
      <c r="G320" s="932"/>
      <c r="H320" s="935"/>
    </row>
    <row r="321" spans="1:8" ht="15" customHeight="1">
      <c r="A321" s="231"/>
      <c r="B321" s="220" t="s">
        <v>1495</v>
      </c>
      <c r="C321" s="231">
        <f>SUM(C312:C320)</f>
        <v>0</v>
      </c>
      <c r="D321" s="231">
        <f>SUM(D312:D320)</f>
        <v>500000</v>
      </c>
      <c r="E321" s="926"/>
      <c r="F321" s="929"/>
      <c r="G321" s="932"/>
      <c r="H321" s="935"/>
    </row>
    <row r="322" spans="1:8" s="8" customFormat="1" ht="15" customHeight="1">
      <c r="A322" s="253"/>
      <c r="B322" s="209" t="s">
        <v>1583</v>
      </c>
      <c r="C322" s="542"/>
      <c r="D322" s="542"/>
      <c r="E322" s="926"/>
      <c r="F322" s="929"/>
      <c r="G322" s="932"/>
      <c r="H322" s="935"/>
    </row>
    <row r="323" spans="1:8" s="8" customFormat="1" ht="15" customHeight="1">
      <c r="A323" s="226" t="s">
        <v>61</v>
      </c>
      <c r="B323" s="227" t="s">
        <v>1570</v>
      </c>
      <c r="C323" s="228">
        <f>C83</f>
        <v>0</v>
      </c>
      <c r="D323" s="228">
        <f>D83</f>
        <v>0</v>
      </c>
      <c r="E323" s="926"/>
      <c r="F323" s="929"/>
      <c r="G323" s="932"/>
      <c r="H323" s="935"/>
    </row>
    <row r="324" spans="1:8" s="8" customFormat="1" ht="15" customHeight="1">
      <c r="A324" s="226" t="s">
        <v>63</v>
      </c>
      <c r="B324" s="227" t="s">
        <v>1571</v>
      </c>
      <c r="C324" s="228">
        <f t="shared" ref="C324:C337" si="18">C84</f>
        <v>49810291</v>
      </c>
      <c r="D324" s="228">
        <f t="shared" ref="D324:D337" si="19">D84</f>
        <v>0</v>
      </c>
      <c r="E324" s="926"/>
      <c r="F324" s="929"/>
      <c r="G324" s="932"/>
      <c r="H324" s="935"/>
    </row>
    <row r="325" spans="1:8" s="8" customFormat="1" ht="15" customHeight="1">
      <c r="A325" s="226" t="s">
        <v>65</v>
      </c>
      <c r="B325" s="227" t="s">
        <v>66</v>
      </c>
      <c r="C325" s="228">
        <f t="shared" si="18"/>
        <v>0</v>
      </c>
      <c r="D325" s="228">
        <f t="shared" si="19"/>
        <v>0</v>
      </c>
      <c r="E325" s="926"/>
      <c r="F325" s="929"/>
      <c r="G325" s="932"/>
      <c r="H325" s="935"/>
    </row>
    <row r="326" spans="1:8" s="8" customFormat="1" ht="15" customHeight="1">
      <c r="A326" s="226" t="s">
        <v>67</v>
      </c>
      <c r="B326" s="227" t="s">
        <v>1572</v>
      </c>
      <c r="C326" s="228">
        <f t="shared" si="18"/>
        <v>39111896</v>
      </c>
      <c r="D326" s="228">
        <f t="shared" si="19"/>
        <v>41528970</v>
      </c>
      <c r="E326" s="926"/>
      <c r="F326" s="929"/>
      <c r="G326" s="932"/>
      <c r="H326" s="935"/>
    </row>
    <row r="327" spans="1:8" s="8" customFormat="1" ht="15" customHeight="1">
      <c r="A327" s="226" t="s">
        <v>69</v>
      </c>
      <c r="B327" s="227" t="s">
        <v>70</v>
      </c>
      <c r="C327" s="228">
        <f t="shared" si="18"/>
        <v>0</v>
      </c>
      <c r="D327" s="228">
        <f t="shared" si="19"/>
        <v>0</v>
      </c>
      <c r="E327" s="926"/>
      <c r="F327" s="929"/>
      <c r="G327" s="932"/>
      <c r="H327" s="935"/>
    </row>
    <row r="328" spans="1:8" s="8" customFormat="1" ht="15" customHeight="1">
      <c r="A328" s="226" t="s">
        <v>71</v>
      </c>
      <c r="B328" s="227" t="s">
        <v>1573</v>
      </c>
      <c r="C328" s="228">
        <f t="shared" si="18"/>
        <v>0</v>
      </c>
      <c r="D328" s="228">
        <f t="shared" si="19"/>
        <v>0</v>
      </c>
      <c r="E328" s="926"/>
      <c r="F328" s="929"/>
      <c r="G328" s="932"/>
      <c r="H328" s="935"/>
    </row>
    <row r="329" spans="1:8" s="8" customFormat="1" ht="15" customHeight="1">
      <c r="A329" s="226" t="s">
        <v>73</v>
      </c>
      <c r="B329" s="227" t="s">
        <v>133</v>
      </c>
      <c r="C329" s="228">
        <f t="shared" si="18"/>
        <v>0</v>
      </c>
      <c r="D329" s="228">
        <f t="shared" si="19"/>
        <v>0</v>
      </c>
      <c r="E329" s="926"/>
      <c r="F329" s="929"/>
      <c r="G329" s="932"/>
      <c r="H329" s="935"/>
    </row>
    <row r="330" spans="1:8" s="8" customFormat="1" ht="15" customHeight="1">
      <c r="A330" s="226" t="s">
        <v>75</v>
      </c>
      <c r="B330" s="227" t="s">
        <v>76</v>
      </c>
      <c r="C330" s="228">
        <f t="shared" si="18"/>
        <v>0</v>
      </c>
      <c r="D330" s="228">
        <f t="shared" si="19"/>
        <v>0</v>
      </c>
      <c r="E330" s="926"/>
      <c r="F330" s="929"/>
      <c r="G330" s="932"/>
      <c r="H330" s="935"/>
    </row>
    <row r="331" spans="1:8" s="8" customFormat="1" ht="15" customHeight="1">
      <c r="A331" s="226" t="s">
        <v>77</v>
      </c>
      <c r="B331" s="227" t="s">
        <v>78</v>
      </c>
      <c r="C331" s="228">
        <f t="shared" si="18"/>
        <v>2246088573</v>
      </c>
      <c r="D331" s="228">
        <f t="shared" si="19"/>
        <v>2579143571</v>
      </c>
      <c r="E331" s="926"/>
      <c r="F331" s="929"/>
      <c r="G331" s="932"/>
      <c r="H331" s="935"/>
    </row>
    <row r="332" spans="1:8" s="8" customFormat="1" ht="15" customHeight="1">
      <c r="A332" s="226" t="s">
        <v>79</v>
      </c>
      <c r="B332" s="227" t="s">
        <v>134</v>
      </c>
      <c r="C332" s="228">
        <f t="shared" si="18"/>
        <v>0</v>
      </c>
      <c r="D332" s="228">
        <f t="shared" si="19"/>
        <v>0</v>
      </c>
      <c r="E332" s="926"/>
      <c r="F332" s="929"/>
      <c r="G332" s="932"/>
      <c r="H332" s="935"/>
    </row>
    <row r="333" spans="1:8" s="8" customFormat="1" ht="15" customHeight="1">
      <c r="A333" s="226" t="s">
        <v>80</v>
      </c>
      <c r="B333" s="227" t="s">
        <v>81</v>
      </c>
      <c r="C333" s="228">
        <f t="shared" si="18"/>
        <v>26887000</v>
      </c>
      <c r="D333" s="228">
        <f t="shared" si="19"/>
        <v>30179000</v>
      </c>
      <c r="E333" s="926"/>
      <c r="F333" s="929"/>
      <c r="G333" s="932"/>
      <c r="H333" s="935"/>
    </row>
    <row r="334" spans="1:8" s="8" customFormat="1" ht="15" customHeight="1">
      <c r="A334" s="226" t="s">
        <v>82</v>
      </c>
      <c r="B334" s="227" t="s">
        <v>83</v>
      </c>
      <c r="C334" s="228">
        <f t="shared" si="18"/>
        <v>0</v>
      </c>
      <c r="D334" s="228">
        <f t="shared" si="19"/>
        <v>0</v>
      </c>
      <c r="E334" s="926"/>
      <c r="F334" s="929"/>
      <c r="G334" s="932"/>
      <c r="H334" s="935"/>
    </row>
    <row r="335" spans="1:8" s="8" customFormat="1" ht="15" customHeight="1">
      <c r="A335" s="226" t="s">
        <v>84</v>
      </c>
      <c r="B335" s="227" t="s">
        <v>135</v>
      </c>
      <c r="C335" s="228">
        <f t="shared" si="18"/>
        <v>0</v>
      </c>
      <c r="D335" s="228">
        <f t="shared" si="19"/>
        <v>0</v>
      </c>
      <c r="E335" s="926"/>
      <c r="F335" s="929"/>
      <c r="G335" s="932"/>
      <c r="H335" s="935"/>
    </row>
    <row r="336" spans="1:8" s="8" customFormat="1" ht="15" customHeight="1">
      <c r="A336" s="226" t="s">
        <v>85</v>
      </c>
      <c r="B336" s="227" t="s">
        <v>1574</v>
      </c>
      <c r="C336" s="228">
        <f t="shared" si="18"/>
        <v>0</v>
      </c>
      <c r="D336" s="228">
        <f t="shared" si="19"/>
        <v>0</v>
      </c>
      <c r="E336" s="926"/>
      <c r="F336" s="929"/>
      <c r="G336" s="932"/>
      <c r="H336" s="935"/>
    </row>
    <row r="337" spans="1:8" s="8" customFormat="1" ht="15" customHeight="1">
      <c r="A337" s="226" t="s">
        <v>87</v>
      </c>
      <c r="B337" s="227" t="s">
        <v>88</v>
      </c>
      <c r="C337" s="228">
        <f t="shared" si="18"/>
        <v>333057023</v>
      </c>
      <c r="D337" s="228">
        <f t="shared" si="19"/>
        <v>36542538</v>
      </c>
      <c r="E337" s="926"/>
      <c r="F337" s="929"/>
      <c r="G337" s="932"/>
      <c r="H337" s="935"/>
    </row>
    <row r="338" spans="1:8" s="8" customFormat="1" ht="15" customHeight="1">
      <c r="A338" s="252"/>
      <c r="B338" s="217" t="s">
        <v>1492</v>
      </c>
      <c r="C338" s="239">
        <f>SUM(C323:C337)</f>
        <v>2694954783</v>
      </c>
      <c r="D338" s="239">
        <f>SUM(D323:D337)</f>
        <v>2687394079</v>
      </c>
      <c r="E338" s="926"/>
      <c r="F338" s="929"/>
      <c r="G338" s="932"/>
      <c r="H338" s="935"/>
    </row>
    <row r="339" spans="1:8" s="8" customFormat="1" ht="15" customHeight="1">
      <c r="A339" s="252"/>
      <c r="B339" s="217" t="s">
        <v>1526</v>
      </c>
      <c r="C339" s="239">
        <f>SUM(C340:C342,C349:C350)+ABS(C347)+ABS(C348)</f>
        <v>0</v>
      </c>
      <c r="D339" s="239">
        <f>SUM(D340:D342,D349:D350)+ABS(D347)+ABS(D348)</f>
        <v>0</v>
      </c>
      <c r="E339" s="926"/>
      <c r="F339" s="929"/>
      <c r="G339" s="932"/>
      <c r="H339" s="935"/>
    </row>
    <row r="340" spans="1:8" s="8" customFormat="1" ht="15" customHeight="1">
      <c r="A340" s="226" t="s">
        <v>90</v>
      </c>
      <c r="B340" s="227" t="s">
        <v>89</v>
      </c>
      <c r="C340" s="228">
        <f>C100</f>
        <v>0</v>
      </c>
      <c r="D340" s="228">
        <f>D100</f>
        <v>0</v>
      </c>
      <c r="E340" s="926"/>
      <c r="F340" s="929"/>
      <c r="G340" s="932"/>
      <c r="H340" s="935"/>
    </row>
    <row r="341" spans="1:8" s="8" customFormat="1" ht="15" customHeight="1">
      <c r="A341" s="226" t="s">
        <v>91</v>
      </c>
      <c r="B341" s="227" t="s">
        <v>1575</v>
      </c>
      <c r="C341" s="228">
        <f>C101</f>
        <v>0</v>
      </c>
      <c r="D341" s="228">
        <f>D101</f>
        <v>0</v>
      </c>
      <c r="E341" s="926"/>
      <c r="F341" s="929"/>
      <c r="G341" s="932"/>
      <c r="H341" s="935"/>
    </row>
    <row r="342" spans="1:8" s="8" customFormat="1" ht="15" customHeight="1">
      <c r="A342" s="252"/>
      <c r="B342" s="217" t="s">
        <v>1576</v>
      </c>
      <c r="C342" s="239">
        <f>SUM(C343:C346)</f>
        <v>0</v>
      </c>
      <c r="D342" s="239">
        <f>SUM(D343:D346)</f>
        <v>0</v>
      </c>
      <c r="E342" s="926"/>
      <c r="F342" s="929"/>
      <c r="G342" s="932"/>
      <c r="H342" s="935"/>
    </row>
    <row r="343" spans="1:8" s="8" customFormat="1" ht="15" customHeight="1">
      <c r="A343" s="226" t="s">
        <v>93</v>
      </c>
      <c r="B343" s="267" t="s">
        <v>1586</v>
      </c>
      <c r="C343" s="228">
        <f>C103</f>
        <v>0</v>
      </c>
      <c r="D343" s="228">
        <f>D103</f>
        <v>0</v>
      </c>
      <c r="E343" s="926"/>
      <c r="F343" s="929"/>
      <c r="G343" s="932"/>
      <c r="H343" s="935"/>
    </row>
    <row r="344" spans="1:8" s="8" customFormat="1" ht="15" customHeight="1">
      <c r="A344" s="226" t="s">
        <v>94</v>
      </c>
      <c r="B344" s="267" t="s">
        <v>1592</v>
      </c>
      <c r="C344" s="228">
        <f t="shared" ref="C344:C350" si="20">C104</f>
        <v>0</v>
      </c>
      <c r="D344" s="228">
        <f t="shared" ref="D344:D350" si="21">D104</f>
        <v>0</v>
      </c>
      <c r="E344" s="926"/>
      <c r="F344" s="929"/>
      <c r="G344" s="932"/>
      <c r="H344" s="935"/>
    </row>
    <row r="345" spans="1:8" s="8" customFormat="1" ht="15" customHeight="1">
      <c r="A345" s="226" t="s">
        <v>95</v>
      </c>
      <c r="B345" s="267" t="s">
        <v>1589</v>
      </c>
      <c r="C345" s="228">
        <f t="shared" si="20"/>
        <v>0</v>
      </c>
      <c r="D345" s="228">
        <f t="shared" si="21"/>
        <v>0</v>
      </c>
      <c r="E345" s="926"/>
      <c r="F345" s="929"/>
      <c r="G345" s="932"/>
      <c r="H345" s="935"/>
    </row>
    <row r="346" spans="1:8" s="8" customFormat="1" ht="15" customHeight="1">
      <c r="A346" s="226" t="s">
        <v>96</v>
      </c>
      <c r="B346" s="267" t="s">
        <v>1593</v>
      </c>
      <c r="C346" s="228">
        <f t="shared" si="20"/>
        <v>0</v>
      </c>
      <c r="D346" s="228">
        <f t="shared" si="21"/>
        <v>0</v>
      </c>
      <c r="E346" s="926"/>
      <c r="F346" s="929"/>
      <c r="G346" s="932"/>
      <c r="H346" s="935"/>
    </row>
    <row r="347" spans="1:8" s="8" customFormat="1" ht="15" customHeight="1">
      <c r="A347" s="226" t="s">
        <v>84</v>
      </c>
      <c r="B347" s="227" t="s">
        <v>97</v>
      </c>
      <c r="C347" s="228">
        <f t="shared" si="20"/>
        <v>0</v>
      </c>
      <c r="D347" s="228">
        <f t="shared" si="21"/>
        <v>0</v>
      </c>
      <c r="E347" s="926"/>
      <c r="F347" s="929"/>
      <c r="G347" s="932"/>
      <c r="H347" s="935"/>
    </row>
    <row r="348" spans="1:8" s="8" customFormat="1" ht="15" customHeight="1">
      <c r="A348" s="226" t="s">
        <v>87</v>
      </c>
      <c r="B348" s="227" t="s">
        <v>98</v>
      </c>
      <c r="C348" s="228">
        <f t="shared" si="20"/>
        <v>0</v>
      </c>
      <c r="D348" s="228">
        <f t="shared" si="21"/>
        <v>0</v>
      </c>
      <c r="E348" s="926"/>
      <c r="F348" s="929"/>
      <c r="G348" s="932"/>
      <c r="H348" s="935"/>
    </row>
    <row r="349" spans="1:8" s="8" customFormat="1" ht="15" customHeight="1">
      <c r="A349" s="226"/>
      <c r="B349" s="227" t="s">
        <v>1577</v>
      </c>
      <c r="C349" s="228">
        <f t="shared" si="20"/>
        <v>0</v>
      </c>
      <c r="D349" s="228">
        <f t="shared" si="21"/>
        <v>0</v>
      </c>
      <c r="E349" s="926"/>
      <c r="F349" s="929"/>
      <c r="G349" s="932"/>
      <c r="H349" s="935"/>
    </row>
    <row r="350" spans="1:8" s="8" customFormat="1" ht="15" customHeight="1">
      <c r="A350" s="226"/>
      <c r="B350" s="227" t="s">
        <v>100</v>
      </c>
      <c r="C350" s="228">
        <f t="shared" si="20"/>
        <v>0</v>
      </c>
      <c r="D350" s="228">
        <f t="shared" si="21"/>
        <v>0</v>
      </c>
      <c r="E350" s="926"/>
      <c r="F350" s="929"/>
      <c r="G350" s="932"/>
      <c r="H350" s="935"/>
    </row>
    <row r="351" spans="1:8" s="8" customFormat="1" ht="15" customHeight="1">
      <c r="A351" s="241"/>
      <c r="B351" s="242" t="s">
        <v>1500</v>
      </c>
      <c r="C351" s="231">
        <f>C338-C339</f>
        <v>2694954783</v>
      </c>
      <c r="D351" s="231">
        <f>D338-D339</f>
        <v>2687394079</v>
      </c>
      <c r="E351" s="927"/>
      <c r="F351" s="930"/>
      <c r="G351" s="933"/>
      <c r="H351" s="936"/>
    </row>
  </sheetData>
  <sheetProtection password="D15A" sheet="1" objects="1" scenarios="1" selectLockedCells="1"/>
  <sortState ref="B4:B7">
    <sortCondition ref="B3"/>
  </sortState>
  <customSheetViews>
    <customSheetView guid="{2ECB5001-E624-4860-8EDC-E7BEEAA78E29}" topLeftCell="A15">
      <selection activeCell="A27" sqref="A27:B28"/>
      <pageSetup paperSize="9" orientation="portrait"/>
    </customSheetView>
  </customSheetViews>
  <mergeCells count="64">
    <mergeCell ref="A272:H272"/>
    <mergeCell ref="A273:D273"/>
    <mergeCell ref="E275:E307"/>
    <mergeCell ref="F275:F307"/>
    <mergeCell ref="G275:G307"/>
    <mergeCell ref="H275:H307"/>
    <mergeCell ref="A235:H235"/>
    <mergeCell ref="A236:D236"/>
    <mergeCell ref="E238:E270"/>
    <mergeCell ref="F238:F270"/>
    <mergeCell ref="G238:G270"/>
    <mergeCell ref="H238:H270"/>
    <mergeCell ref="A227:H227"/>
    <mergeCell ref="E230:E233"/>
    <mergeCell ref="F230:F233"/>
    <mergeCell ref="H230:H233"/>
    <mergeCell ref="G231:G233"/>
    <mergeCell ref="A202:H202"/>
    <mergeCell ref="A203:D203"/>
    <mergeCell ref="E205:E225"/>
    <mergeCell ref="F205:F225"/>
    <mergeCell ref="G205:G225"/>
    <mergeCell ref="H205:H225"/>
    <mergeCell ref="A150:H150"/>
    <mergeCell ref="A151:D151"/>
    <mergeCell ref="E153:E200"/>
    <mergeCell ref="F153:F200"/>
    <mergeCell ref="G153:G168"/>
    <mergeCell ref="H153:H168"/>
    <mergeCell ref="G169:G184"/>
    <mergeCell ref="H169:H184"/>
    <mergeCell ref="G185:G200"/>
    <mergeCell ref="H185:H200"/>
    <mergeCell ref="A113:H113"/>
    <mergeCell ref="A114:D114"/>
    <mergeCell ref="E116:E148"/>
    <mergeCell ref="F116:F148"/>
    <mergeCell ref="G116:G148"/>
    <mergeCell ref="H116:H148"/>
    <mergeCell ref="A76:H76"/>
    <mergeCell ref="A77:D77"/>
    <mergeCell ref="E79:E111"/>
    <mergeCell ref="F79:F111"/>
    <mergeCell ref="G79:G111"/>
    <mergeCell ref="H79:H111"/>
    <mergeCell ref="A43:H43"/>
    <mergeCell ref="A44:D44"/>
    <mergeCell ref="E46:E74"/>
    <mergeCell ref="F46:F74"/>
    <mergeCell ref="G46:G74"/>
    <mergeCell ref="H46:H74"/>
    <mergeCell ref="A1:H1"/>
    <mergeCell ref="A4:H4"/>
    <mergeCell ref="A5:D5"/>
    <mergeCell ref="E7:E41"/>
    <mergeCell ref="F7:F41"/>
    <mergeCell ref="G7:G41"/>
    <mergeCell ref="H7:H41"/>
    <mergeCell ref="A309:H309"/>
    <mergeCell ref="A310:D310"/>
    <mergeCell ref="E312:E351"/>
    <mergeCell ref="F312:F351"/>
    <mergeCell ref="G312:G351"/>
    <mergeCell ref="H312:H351"/>
  </mergeCells>
  <conditionalFormatting sqref="E7:F7">
    <cfRule type="cellIs" dxfId="34" priority="18" operator="greaterThan">
      <formula>2</formula>
    </cfRule>
  </conditionalFormatting>
  <conditionalFormatting sqref="E46:F46">
    <cfRule type="cellIs" dxfId="33" priority="17" operator="lessThan">
      <formula>1</formula>
    </cfRule>
  </conditionalFormatting>
  <conditionalFormatting sqref="E79:F79 E116:F116">
    <cfRule type="cellIs" dxfId="32" priority="16" operator="greaterThan">
      <formula>0.1</formula>
    </cfRule>
  </conditionalFormatting>
  <conditionalFormatting sqref="E153:F153">
    <cfRule type="cellIs" dxfId="31" priority="15" operator="lessThan">
      <formula>100%</formula>
    </cfRule>
  </conditionalFormatting>
  <conditionalFormatting sqref="E205:F205">
    <cfRule type="cellIs" dxfId="30" priority="14" operator="greaterThan">
      <formula>0.05</formula>
    </cfRule>
  </conditionalFormatting>
  <conditionalFormatting sqref="E238:F238">
    <cfRule type="cellIs" dxfId="29" priority="13" operator="lessThan">
      <formula>0.15</formula>
    </cfRule>
  </conditionalFormatting>
  <conditionalFormatting sqref="E275:F275">
    <cfRule type="cellIs" dxfId="28" priority="12" operator="greaterThan">
      <formula>0.25</formula>
    </cfRule>
  </conditionalFormatting>
  <conditionalFormatting sqref="E312:F312">
    <cfRule type="cellIs" dxfId="27" priority="11" operator="greaterThan">
      <formula>1</formula>
    </cfRule>
  </conditionalFormatting>
  <conditionalFormatting sqref="E230:F230">
    <cfRule type="cellIs" dxfId="26" priority="10" operator="lessThan">
      <formula>C230*0.15</formula>
    </cfRule>
  </conditionalFormatting>
  <conditionalFormatting sqref="H153 H169 H185 H7 H46 H79 H116 H205 H230 H238 H312 H275">
    <cfRule type="cellIs" dxfId="25" priority="9" operator="equal">
      <formula>"La norme n'est pas respectée"</formula>
    </cfRule>
  </conditionalFormatting>
  <conditionalFormatting sqref="C23:D26 C30:D40 C69:D73 C190:D191 C193:D194 C233:D233 C269:D269 C276:D276 C313:D315 C317:D319 C154:D154 C156:D156 C164:D166 C168:D170 C174:D175 C100:D101 C48:D56 C59:D62 C80:D80 C103:D110 C117:D117 C158:D159 C161:D161 C180:D181 C184:D184 C206:D206 C83:D97 C196:D199 C8:D20">
    <cfRule type="cellIs" dxfId="24" priority="8" operator="equal">
      <formula>""</formula>
    </cfRule>
  </conditionalFormatting>
  <conditionalFormatting sqref="A2">
    <cfRule type="cellIs" dxfId="23" priority="7" operator="equal">
      <formula>"ESTVIDE(A3)==FAUX"</formula>
    </cfRule>
  </conditionalFormatting>
  <conditionalFormatting sqref="C162:D162">
    <cfRule type="cellIs" dxfId="22" priority="6" operator="equal">
      <formula>""</formula>
    </cfRule>
  </conditionalFormatting>
  <conditionalFormatting sqref="C182:D182">
    <cfRule type="cellIs" dxfId="21" priority="5" operator="equal">
      <formula>""</formula>
    </cfRule>
  </conditionalFormatting>
  <conditionalFormatting sqref="C186:D186">
    <cfRule type="cellIs" dxfId="20" priority="4" operator="equal">
      <formula>""</formula>
    </cfRule>
  </conditionalFormatting>
  <conditionalFormatting sqref="C179:D179">
    <cfRule type="cellIs" dxfId="19" priority="3" operator="equal">
      <formula>""</formula>
    </cfRule>
  </conditionalFormatting>
  <conditionalFormatting sqref="C64:D64">
    <cfRule type="cellIs" dxfId="18" priority="2" operator="equal">
      <formula>""</formula>
    </cfRule>
  </conditionalFormatting>
  <conditionalFormatting sqref="C65:D65">
    <cfRule type="cellIs" dxfId="17" priority="1" operator="equal">
      <formula>""</formula>
    </cfRule>
  </conditionalFormatting>
  <printOptions gridLines="1"/>
  <pageMargins left="0.7" right="0.7" top="0.75" bottom="0.75" header="0.3" footer="0.3"/>
  <pageSetup paperSize="9" orientation="portrait"/>
  <ignoredErrors>
    <ignoredError sqref="D139" formula="1"/>
  </ignoredErrors>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enableFormatConditionsCalculation="0">
    <tabColor theme="9" tint="-0.499984740745262"/>
  </sheetPr>
  <dimension ref="A1:J404"/>
  <sheetViews>
    <sheetView showGridLines="0" tabSelected="1" zoomScale="70" zoomScaleNormal="70" zoomScalePageLayoutView="70" workbookViewId="0">
      <pane ySplit="1" topLeftCell="A37" activePane="bottomLeft" state="frozen"/>
      <selection activeCell="C47" sqref="C47"/>
      <selection pane="bottomLeft" activeCell="A59" sqref="A59"/>
    </sheetView>
  </sheetViews>
  <sheetFormatPr baseColWidth="10" defaultColWidth="10.83203125" defaultRowHeight="15" x14ac:dyDescent="0"/>
  <cols>
    <col min="1" max="1" width="8.83203125" style="160" customWidth="1"/>
    <col min="2" max="2" width="113.5" style="160" customWidth="1"/>
    <col min="3" max="4" width="42.5" style="160" customWidth="1"/>
    <col min="5" max="6" width="26.33203125" style="160" bestFit="1" customWidth="1"/>
    <col min="7" max="7" width="40.1640625" style="160" customWidth="1"/>
    <col min="8" max="8" width="35.83203125" style="160" customWidth="1"/>
    <col min="9" max="9" width="54.5" style="160" customWidth="1"/>
    <col min="10" max="10" width="10.83203125" style="316"/>
    <col min="11" max="16384" width="10.83203125" style="160"/>
  </cols>
  <sheetData>
    <row r="1" spans="1:10" s="20" customFormat="1" ht="36.75" customHeight="1">
      <c r="A1" s="937" t="s">
        <v>1113</v>
      </c>
      <c r="B1" s="938"/>
      <c r="C1" s="938"/>
      <c r="D1" s="938"/>
      <c r="E1" s="938"/>
      <c r="F1" s="938"/>
      <c r="G1" s="938"/>
      <c r="H1" s="938"/>
      <c r="J1" s="315"/>
    </row>
    <row r="2" spans="1:10" s="20" customFormat="1" ht="16.5" customHeight="1">
      <c r="I2" s="160"/>
      <c r="J2" s="315"/>
    </row>
    <row r="3" spans="1:10" ht="33.75" customHeight="1">
      <c r="A3" s="976" t="s">
        <v>1594</v>
      </c>
      <c r="B3" s="976"/>
      <c r="C3" s="976"/>
      <c r="D3" s="976"/>
      <c r="E3" s="976"/>
      <c r="F3" s="976"/>
      <c r="G3" s="976"/>
      <c r="H3" s="976"/>
    </row>
    <row r="4" spans="1:10" ht="15.75" customHeight="1">
      <c r="A4" s="950" t="s">
        <v>1595</v>
      </c>
      <c r="B4" s="950"/>
      <c r="C4" s="950"/>
      <c r="D4" s="950"/>
      <c r="E4" s="950"/>
      <c r="F4" s="950"/>
      <c r="G4" s="950"/>
      <c r="H4" s="950"/>
    </row>
    <row r="5" spans="1:10" ht="15.75" customHeight="1">
      <c r="A5" s="590" t="s">
        <v>1484</v>
      </c>
      <c r="B5" s="590"/>
      <c r="C5" s="590"/>
      <c r="D5" s="590"/>
      <c r="E5" s="590"/>
      <c r="F5" s="590"/>
      <c r="G5" s="590"/>
      <c r="H5" s="590"/>
    </row>
    <row r="6" spans="1:10" ht="15.75" customHeight="1">
      <c r="A6" s="271" t="s">
        <v>1485</v>
      </c>
      <c r="B6" s="272" t="s">
        <v>1596</v>
      </c>
      <c r="C6" s="210" t="str">
        <f>"Montant"&amp;" "&amp;IF(SOMMAIRE!$I2="Mensuelle","M-1",IF(SOMMAIRE!$I2="Trimestrielle","T-1","N-1"))</f>
        <v>Montant N-1</v>
      </c>
      <c r="D6" s="210" t="str">
        <f>"Montant"&amp;" "&amp;IF(SOMMAIRE!$I2="Mensuelle","M",IF(SOMMAIRE!$I2="Trimestrielle","T","N"))</f>
        <v>Montant N</v>
      </c>
      <c r="E6" s="210" t="str">
        <f>"Résultat"&amp;" "&amp;IF(SOMMAIRE!$I2="Mensuelle","M-1",IF(SOMMAIRE!$I2="Trimestrielle","T-1","N-1"))</f>
        <v>Résultat N-1</v>
      </c>
      <c r="F6" s="210" t="str">
        <f>"Résultat"&amp;" "&amp;IF(SOMMAIRE!$I2="Mensuelle","M",IF(SOMMAIRE!$I2="Trimestrielle","T","N"))</f>
        <v>Résultat N</v>
      </c>
      <c r="G6" s="271" t="s">
        <v>1488</v>
      </c>
      <c r="H6" s="273" t="s">
        <v>1489</v>
      </c>
    </row>
    <row r="7" spans="1:10" ht="15.75" customHeight="1">
      <c r="A7" s="274" t="s">
        <v>192</v>
      </c>
      <c r="B7" s="275" t="s">
        <v>541</v>
      </c>
      <c r="C7" s="544">
        <f>'Compte Résultat et Soldes Inter'!H7</f>
        <v>0</v>
      </c>
      <c r="D7" s="544">
        <f>'Compte Résultat et Soldes Inter'!G7</f>
        <v>0</v>
      </c>
      <c r="E7" s="928">
        <f>IF(C45&lt;&gt;0,C42/C45,0)</f>
        <v>0.11465030691759848</v>
      </c>
      <c r="F7" s="928">
        <f>IF(D45&lt;&gt;0,D42/D45,0)</f>
        <v>-7.6087977665539883E-3</v>
      </c>
      <c r="G7" s="980" t="s">
        <v>1597</v>
      </c>
      <c r="H7" s="983" t="str">
        <f>IF(D45&lt;&gt;0,IF(F7&lt;15%,"La norme n'est pas respectée","La norme est respectée"),"")</f>
        <v>La norme n'est pas respectée</v>
      </c>
    </row>
    <row r="8" spans="1:10" ht="15.75" customHeight="1">
      <c r="A8" s="274" t="s">
        <v>213</v>
      </c>
      <c r="B8" s="275" t="s">
        <v>280</v>
      </c>
      <c r="C8" s="544">
        <f>'Compte Résultat et Soldes Inter'!H30</f>
        <v>659334269</v>
      </c>
      <c r="D8" s="544">
        <f>'Compte Résultat et Soldes Inter'!G30</f>
        <v>664839097</v>
      </c>
      <c r="E8" s="929"/>
      <c r="F8" s="929"/>
      <c r="G8" s="981"/>
      <c r="H8" s="984"/>
    </row>
    <row r="9" spans="1:10" ht="15.75" customHeight="1">
      <c r="A9" s="276" t="s">
        <v>283</v>
      </c>
      <c r="B9" s="277" t="s">
        <v>284</v>
      </c>
      <c r="C9" s="544">
        <f>'Compte Résultat et Soldes Inter'!H44</f>
        <v>0</v>
      </c>
      <c r="D9" s="544">
        <f>'Compte Résultat et Soldes Inter'!G44</f>
        <v>0</v>
      </c>
      <c r="E9" s="929"/>
      <c r="F9" s="929"/>
      <c r="G9" s="981"/>
      <c r="H9" s="984"/>
    </row>
    <row r="10" spans="1:10" ht="15.75" customHeight="1">
      <c r="A10" s="274" t="s">
        <v>288</v>
      </c>
      <c r="B10" s="274" t="s">
        <v>289</v>
      </c>
      <c r="C10" s="544">
        <f>'Compte Résultat et Soldes Inter'!H49</f>
        <v>0</v>
      </c>
      <c r="D10" s="544">
        <f>'Compte Résultat et Soldes Inter'!G49</f>
        <v>0</v>
      </c>
      <c r="E10" s="929"/>
      <c r="F10" s="929"/>
      <c r="G10" s="981"/>
      <c r="H10" s="984"/>
    </row>
    <row r="11" spans="1:10" ht="15.75" customHeight="1">
      <c r="A11" s="274" t="s">
        <v>732</v>
      </c>
      <c r="B11" s="274" t="s">
        <v>748</v>
      </c>
      <c r="C11" s="544">
        <f>'Compte Résultat et Soldes Inter'!H55</f>
        <v>0</v>
      </c>
      <c r="D11" s="544">
        <f>'Compte Résultat et Soldes Inter'!G55</f>
        <v>0</v>
      </c>
      <c r="E11" s="929"/>
      <c r="F11" s="929"/>
      <c r="G11" s="981"/>
      <c r="H11" s="984"/>
    </row>
    <row r="12" spans="1:10" ht="15.75" customHeight="1">
      <c r="A12" s="274" t="s">
        <v>752</v>
      </c>
      <c r="B12" s="274" t="s">
        <v>755</v>
      </c>
      <c r="C12" s="544">
        <f>'Compte Résultat et Soldes Inter'!H73</f>
        <v>0</v>
      </c>
      <c r="D12" s="544">
        <f>'Compte Résultat et Soldes Inter'!G73</f>
        <v>0</v>
      </c>
      <c r="E12" s="929"/>
      <c r="F12" s="929"/>
      <c r="G12" s="981"/>
      <c r="H12" s="984"/>
    </row>
    <row r="13" spans="1:10" ht="15.75" customHeight="1">
      <c r="A13" s="274" t="s">
        <v>757</v>
      </c>
      <c r="B13" s="274" t="s">
        <v>657</v>
      </c>
      <c r="C13" s="544">
        <f>'Compte Résultat et Soldes Inter'!H77</f>
        <v>0</v>
      </c>
      <c r="D13" s="544">
        <f>'Compte Résultat et Soldes Inter'!G77</f>
        <v>0</v>
      </c>
      <c r="E13" s="929"/>
      <c r="F13" s="929"/>
      <c r="G13" s="981"/>
      <c r="H13" s="984"/>
    </row>
    <row r="14" spans="1:10" ht="15.75" customHeight="1">
      <c r="A14" s="274" t="s">
        <v>292</v>
      </c>
      <c r="B14" s="274" t="s">
        <v>293</v>
      </c>
      <c r="C14" s="544">
        <f>'Compte Résultat et Soldes Inter'!H87</f>
        <v>0</v>
      </c>
      <c r="D14" s="544">
        <f>'Compte Résultat et Soldes Inter'!G87</f>
        <v>0</v>
      </c>
      <c r="E14" s="929"/>
      <c r="F14" s="929"/>
      <c r="G14" s="981"/>
      <c r="H14" s="984"/>
    </row>
    <row r="15" spans="1:10" ht="15.75" customHeight="1">
      <c r="A15" s="274" t="s">
        <v>296</v>
      </c>
      <c r="B15" s="274" t="s">
        <v>297</v>
      </c>
      <c r="C15" s="544">
        <f>'Compte Résultat et Soldes Inter'!H92</f>
        <v>0</v>
      </c>
      <c r="D15" s="544">
        <f>'Compte Résultat et Soldes Inter'!G92</f>
        <v>0</v>
      </c>
      <c r="E15" s="929"/>
      <c r="F15" s="929"/>
      <c r="G15" s="981"/>
      <c r="H15" s="984"/>
    </row>
    <row r="16" spans="1:10" ht="15.75" customHeight="1">
      <c r="A16" s="274" t="s">
        <v>308</v>
      </c>
      <c r="B16" s="274" t="s">
        <v>309</v>
      </c>
      <c r="C16" s="544">
        <f>'Compte Résultat et Soldes Inter'!H110</f>
        <v>0</v>
      </c>
      <c r="D16" s="544">
        <f>'Compte Résultat et Soldes Inter'!G110</f>
        <v>0</v>
      </c>
      <c r="E16" s="929"/>
      <c r="F16" s="929"/>
      <c r="G16" s="981"/>
      <c r="H16" s="984"/>
    </row>
    <row r="17" spans="1:10" ht="15.75" customHeight="1">
      <c r="A17" s="274" t="s">
        <v>311</v>
      </c>
      <c r="B17" s="274" t="s">
        <v>182</v>
      </c>
      <c r="C17" s="544">
        <f>'Compte Résultat et Soldes Inter'!H111</f>
        <v>0</v>
      </c>
      <c r="D17" s="544">
        <f>'Compte Résultat et Soldes Inter'!G111</f>
        <v>0</v>
      </c>
      <c r="E17" s="929"/>
      <c r="F17" s="929"/>
      <c r="G17" s="981"/>
      <c r="H17" s="984"/>
      <c r="J17" s="160"/>
    </row>
    <row r="18" spans="1:10" ht="15.75" customHeight="1">
      <c r="A18" s="274" t="s">
        <v>316</v>
      </c>
      <c r="B18" s="274" t="s">
        <v>181</v>
      </c>
      <c r="C18" s="544">
        <f>'Compte Résultat et Soldes Inter'!H118</f>
        <v>9473180</v>
      </c>
      <c r="D18" s="544">
        <f>'Compte Résultat et Soldes Inter'!G118</f>
        <v>115067534</v>
      </c>
      <c r="E18" s="929"/>
      <c r="F18" s="929"/>
      <c r="G18" s="981"/>
      <c r="H18" s="984"/>
      <c r="J18" s="160"/>
    </row>
    <row r="19" spans="1:10" ht="15.75" customHeight="1">
      <c r="A19" s="274" t="s">
        <v>335</v>
      </c>
      <c r="B19" s="274" t="s">
        <v>336</v>
      </c>
      <c r="C19" s="544">
        <f>'Compte Résultat et Soldes Inter'!H133</f>
        <v>8108100</v>
      </c>
      <c r="D19" s="544">
        <f>'Compte Résultat et Soldes Inter'!G133</f>
        <v>8195750</v>
      </c>
      <c r="E19" s="929"/>
      <c r="F19" s="929"/>
      <c r="G19" s="981"/>
      <c r="H19" s="984"/>
      <c r="J19" s="160"/>
    </row>
    <row r="20" spans="1:10" ht="15.75" customHeight="1">
      <c r="A20" s="274" t="s">
        <v>781</v>
      </c>
      <c r="B20" s="274" t="s">
        <v>784</v>
      </c>
      <c r="C20" s="544">
        <f>'Compte Résultat et Soldes Inter'!H135</f>
        <v>0</v>
      </c>
      <c r="D20" s="544">
        <f>'Compte Résultat et Soldes Inter'!G135</f>
        <v>0</v>
      </c>
      <c r="E20" s="929"/>
      <c r="F20" s="929"/>
      <c r="G20" s="981"/>
      <c r="H20" s="984"/>
      <c r="J20" s="160"/>
    </row>
    <row r="21" spans="1:10" ht="15.75" customHeight="1">
      <c r="A21" s="274" t="s">
        <v>347</v>
      </c>
      <c r="B21" s="274" t="s">
        <v>348</v>
      </c>
      <c r="C21" s="544">
        <f>'Compte Résultat et Soldes Inter'!H170</f>
        <v>0</v>
      </c>
      <c r="D21" s="544">
        <f>'Compte Résultat et Soldes Inter'!G170</f>
        <v>0</v>
      </c>
      <c r="E21" s="929"/>
      <c r="F21" s="929"/>
      <c r="G21" s="981"/>
      <c r="H21" s="984"/>
      <c r="J21" s="160"/>
    </row>
    <row r="22" spans="1:10" ht="15" customHeight="1">
      <c r="A22" s="274" t="s">
        <v>352</v>
      </c>
      <c r="B22" s="275" t="s">
        <v>353</v>
      </c>
      <c r="C22" s="544">
        <f>'Compte Résultat et Soldes Inter'!H171</f>
        <v>0</v>
      </c>
      <c r="D22" s="544">
        <f>'Compte Résultat et Soldes Inter'!G171</f>
        <v>0</v>
      </c>
      <c r="E22" s="929"/>
      <c r="F22" s="929"/>
      <c r="G22" s="981"/>
      <c r="H22" s="984"/>
      <c r="J22" s="160"/>
    </row>
    <row r="23" spans="1:10" ht="15" customHeight="1">
      <c r="A23" s="274" t="s">
        <v>361</v>
      </c>
      <c r="B23" s="275" t="s">
        <v>362</v>
      </c>
      <c r="C23" s="544">
        <f>'Compte Résultat et Soldes Inter'!H179</f>
        <v>617982567</v>
      </c>
      <c r="D23" s="544">
        <f>'Compte Résultat et Soldes Inter'!G179</f>
        <v>1131347</v>
      </c>
      <c r="E23" s="929"/>
      <c r="F23" s="929"/>
      <c r="G23" s="981"/>
      <c r="H23" s="984"/>
      <c r="J23" s="160"/>
    </row>
    <row r="24" spans="1:10" ht="15" customHeight="1">
      <c r="A24" s="274" t="s">
        <v>344</v>
      </c>
      <c r="B24" s="274" t="s">
        <v>345</v>
      </c>
      <c r="C24" s="544">
        <f>'Compte Résultat et Soldes Inter'!H139</f>
        <v>0</v>
      </c>
      <c r="D24" s="544">
        <f>'Compte Résultat et Soldes Inter'!G139</f>
        <v>0</v>
      </c>
      <c r="E24" s="929"/>
      <c r="F24" s="929"/>
      <c r="G24" s="981"/>
      <c r="H24" s="984"/>
      <c r="J24" s="160"/>
    </row>
    <row r="25" spans="1:10" ht="15.75" customHeight="1">
      <c r="A25" s="591"/>
      <c r="B25" s="592"/>
      <c r="C25" s="593"/>
      <c r="D25" s="593"/>
      <c r="E25" s="929"/>
      <c r="F25" s="929"/>
      <c r="G25" s="981"/>
      <c r="H25" s="984"/>
      <c r="J25" s="160"/>
    </row>
    <row r="26" spans="1:10" ht="15.75" customHeight="1">
      <c r="A26" s="274" t="s">
        <v>191</v>
      </c>
      <c r="B26" s="275" t="s">
        <v>276</v>
      </c>
      <c r="C26" s="544">
        <f>'Compte Résultat et Soldes Inter'!D7</f>
        <v>0</v>
      </c>
      <c r="D26" s="544">
        <f>'Compte Résultat et Soldes Inter'!C7</f>
        <v>243810803</v>
      </c>
      <c r="E26" s="929"/>
      <c r="F26" s="929"/>
      <c r="G26" s="981"/>
      <c r="H26" s="984"/>
      <c r="J26" s="160"/>
    </row>
    <row r="27" spans="1:10" ht="15.75" customHeight="1">
      <c r="A27" s="274" t="s">
        <v>194</v>
      </c>
      <c r="B27" s="275" t="s">
        <v>279</v>
      </c>
      <c r="C27" s="544">
        <f>'Compte Résultat et Soldes Inter'!D30</f>
        <v>2480126</v>
      </c>
      <c r="D27" s="544">
        <f>'Compte Résultat et Soldes Inter'!C30</f>
        <v>1815156</v>
      </c>
      <c r="E27" s="929"/>
      <c r="F27" s="929"/>
      <c r="G27" s="981"/>
      <c r="H27" s="984"/>
      <c r="J27" s="160"/>
    </row>
    <row r="28" spans="1:10" ht="15.75" customHeight="1">
      <c r="A28" s="274" t="s">
        <v>204</v>
      </c>
      <c r="B28" s="274" t="s">
        <v>210</v>
      </c>
      <c r="C28" s="544">
        <f>'Compte Résultat et Soldes Inter'!D44</f>
        <v>0</v>
      </c>
      <c r="D28" s="544">
        <f>'Compte Résultat et Soldes Inter'!C44</f>
        <v>0</v>
      </c>
      <c r="E28" s="929"/>
      <c r="F28" s="929"/>
      <c r="G28" s="981"/>
      <c r="H28" s="984"/>
      <c r="J28" s="160"/>
    </row>
    <row r="29" spans="1:10" ht="15.75" customHeight="1">
      <c r="A29" s="274" t="s">
        <v>208</v>
      </c>
      <c r="B29" s="274" t="s">
        <v>211</v>
      </c>
      <c r="C29" s="544">
        <f>'Compte Résultat et Soldes Inter'!D50</f>
        <v>0</v>
      </c>
      <c r="D29" s="544">
        <f>'Compte Résultat et Soldes Inter'!C50</f>
        <v>0</v>
      </c>
      <c r="E29" s="929"/>
      <c r="F29" s="929"/>
      <c r="G29" s="981"/>
      <c r="H29" s="984"/>
      <c r="J29" s="160"/>
    </row>
    <row r="30" spans="1:10" ht="15.75" customHeight="1">
      <c r="A30" s="274" t="s">
        <v>564</v>
      </c>
      <c r="B30" s="274" t="s">
        <v>565</v>
      </c>
      <c r="C30" s="544">
        <f>'Compte Résultat et Soldes Inter'!D55</f>
        <v>0</v>
      </c>
      <c r="D30" s="544">
        <f>'Compte Résultat et Soldes Inter'!C55</f>
        <v>0</v>
      </c>
      <c r="E30" s="929"/>
      <c r="F30" s="929"/>
      <c r="G30" s="981"/>
      <c r="H30" s="984"/>
      <c r="J30" s="160"/>
    </row>
    <row r="31" spans="1:10" ht="15.75" customHeight="1">
      <c r="A31" s="274" t="s">
        <v>566</v>
      </c>
      <c r="B31" s="274" t="s">
        <v>568</v>
      </c>
      <c r="C31" s="544">
        <f>'Compte Résultat et Soldes Inter'!D73</f>
        <v>0</v>
      </c>
      <c r="D31" s="544">
        <f>'Compte Résultat et Soldes Inter'!C73</f>
        <v>0</v>
      </c>
      <c r="E31" s="929"/>
      <c r="F31" s="929"/>
      <c r="G31" s="981"/>
      <c r="H31" s="984"/>
      <c r="J31" s="160"/>
    </row>
    <row r="32" spans="1:10" ht="15.75" customHeight="1">
      <c r="A32" s="274" t="s">
        <v>567</v>
      </c>
      <c r="B32" s="274" t="s">
        <v>657</v>
      </c>
      <c r="C32" s="544">
        <f>'Compte Résultat et Soldes Inter'!D77</f>
        <v>0</v>
      </c>
      <c r="D32" s="544">
        <f>'Compte Résultat et Soldes Inter'!C77</f>
        <v>0</v>
      </c>
      <c r="E32" s="929"/>
      <c r="F32" s="929"/>
      <c r="G32" s="981"/>
      <c r="H32" s="984"/>
      <c r="J32" s="160"/>
    </row>
    <row r="33" spans="1:10" ht="15.75" customHeight="1">
      <c r="A33" s="274" t="s">
        <v>290</v>
      </c>
      <c r="B33" s="274" t="s">
        <v>291</v>
      </c>
      <c r="C33" s="544">
        <f>'Compte Résultat et Soldes Inter'!D88</f>
        <v>1044595</v>
      </c>
      <c r="D33" s="544">
        <f>'Compte Résultat et Soldes Inter'!C88</f>
        <v>0</v>
      </c>
      <c r="E33" s="929"/>
      <c r="F33" s="929"/>
      <c r="G33" s="981"/>
      <c r="H33" s="984"/>
    </row>
    <row r="34" spans="1:10" ht="15.75" customHeight="1">
      <c r="A34" s="274" t="s">
        <v>294</v>
      </c>
      <c r="B34" s="274" t="s">
        <v>295</v>
      </c>
      <c r="C34" s="544">
        <f>'Compte Résultat et Soldes Inter'!D92</f>
        <v>0</v>
      </c>
      <c r="D34" s="544">
        <f>'Compte Résultat et Soldes Inter'!C92</f>
        <v>0</v>
      </c>
      <c r="E34" s="929"/>
      <c r="F34" s="929"/>
      <c r="G34" s="981"/>
      <c r="H34" s="984"/>
    </row>
    <row r="35" spans="1:10" ht="18.75" customHeight="1">
      <c r="A35" s="274" t="s">
        <v>307</v>
      </c>
      <c r="B35" s="274" t="s">
        <v>797</v>
      </c>
      <c r="C35" s="544">
        <f>'Compte Résultat et Soldes Inter'!D110</f>
        <v>0</v>
      </c>
      <c r="D35" s="544">
        <f>'Compte Résultat et Soldes Inter'!C110</f>
        <v>0</v>
      </c>
      <c r="E35" s="929"/>
      <c r="F35" s="929"/>
      <c r="G35" s="981"/>
      <c r="H35" s="984"/>
    </row>
    <row r="36" spans="1:10" ht="15" customHeight="1">
      <c r="A36" s="274" t="s">
        <v>313</v>
      </c>
      <c r="B36" s="274" t="s">
        <v>314</v>
      </c>
      <c r="C36" s="544">
        <f>'Compte Résultat et Soldes Inter'!D117</f>
        <v>180566754</v>
      </c>
      <c r="D36" s="544">
        <f>'Compte Résultat et Soldes Inter'!C117</f>
        <v>200864603</v>
      </c>
      <c r="E36" s="929"/>
      <c r="F36" s="929"/>
      <c r="G36" s="981"/>
      <c r="H36" s="984"/>
    </row>
    <row r="37" spans="1:10" ht="15.75" customHeight="1">
      <c r="A37" s="274" t="s">
        <v>675</v>
      </c>
      <c r="B37" s="274" t="s">
        <v>318</v>
      </c>
      <c r="C37" s="544">
        <f>'Compte Résultat et Soldes Inter'!D122</f>
        <v>4440799</v>
      </c>
      <c r="D37" s="544">
        <f>'Compte Résultat et Soldes Inter'!C122</f>
        <v>5017992</v>
      </c>
      <c r="E37" s="929"/>
      <c r="F37" s="929"/>
      <c r="G37" s="981"/>
      <c r="H37" s="984"/>
    </row>
    <row r="38" spans="1:10" ht="15.75" customHeight="1">
      <c r="A38" s="274" t="s">
        <v>332</v>
      </c>
      <c r="B38" s="275" t="s">
        <v>333</v>
      </c>
      <c r="C38" s="544">
        <f>'Compte Résultat et Soldes Inter'!D130</f>
        <v>99936132</v>
      </c>
      <c r="D38" s="544">
        <f>'Compte Résultat et Soldes Inter'!C130</f>
        <v>96501158</v>
      </c>
      <c r="E38" s="929"/>
      <c r="F38" s="929"/>
      <c r="G38" s="981"/>
      <c r="H38" s="984"/>
    </row>
    <row r="39" spans="1:10" ht="15.75" customHeight="1">
      <c r="A39" s="274" t="s">
        <v>388</v>
      </c>
      <c r="B39" s="274" t="s">
        <v>389</v>
      </c>
      <c r="C39" s="544">
        <f>'Compte Résultat et Soldes Inter'!D170</f>
        <v>0</v>
      </c>
      <c r="D39" s="544">
        <f>'Compte Résultat et Soldes Inter'!C170</f>
        <v>0</v>
      </c>
      <c r="E39" s="929"/>
      <c r="F39" s="929"/>
      <c r="G39" s="981"/>
      <c r="H39" s="984"/>
    </row>
    <row r="40" spans="1:10" ht="15.75" customHeight="1">
      <c r="A40" s="274" t="s">
        <v>390</v>
      </c>
      <c r="B40" s="274" t="s">
        <v>391</v>
      </c>
      <c r="C40" s="544">
        <f>'Compte Résultat et Soldes Inter'!D171</f>
        <v>0</v>
      </c>
      <c r="D40" s="544">
        <f>'Compte Résultat et Soldes Inter'!C171</f>
        <v>35007261</v>
      </c>
      <c r="E40" s="929"/>
      <c r="F40" s="929"/>
      <c r="G40" s="981"/>
      <c r="H40" s="984"/>
    </row>
    <row r="41" spans="1:10" ht="15.75" customHeight="1">
      <c r="A41" s="274" t="s">
        <v>398</v>
      </c>
      <c r="B41" s="275" t="s">
        <v>399</v>
      </c>
      <c r="C41" s="544">
        <f>'Compte Résultat et Soldes Inter'!D179</f>
        <v>697452317</v>
      </c>
      <c r="D41" s="544">
        <f>'Compte Résultat et Soldes Inter'!C179</f>
        <v>226693357</v>
      </c>
      <c r="E41" s="929"/>
      <c r="F41" s="929"/>
      <c r="G41" s="981"/>
      <c r="H41" s="984"/>
    </row>
    <row r="42" spans="1:10" ht="15.75" customHeight="1">
      <c r="A42" s="278"/>
      <c r="B42" s="278" t="s">
        <v>1495</v>
      </c>
      <c r="C42" s="533">
        <f>SUM(C7:C23)-C24-SUM(C26:C41)</f>
        <v>308977393</v>
      </c>
      <c r="D42" s="533">
        <f>SUM(D7:D23)-D24-SUM(D26:D41)</f>
        <v>-20476602</v>
      </c>
      <c r="E42" s="929"/>
      <c r="F42" s="929"/>
      <c r="G42" s="981"/>
      <c r="H42" s="984"/>
    </row>
    <row r="43" spans="1:10" ht="15.75" customHeight="1">
      <c r="A43" s="272"/>
      <c r="B43" s="272" t="s">
        <v>1796</v>
      </c>
      <c r="C43" s="272"/>
      <c r="D43" s="272"/>
      <c r="E43" s="929"/>
      <c r="F43" s="929"/>
      <c r="G43" s="981"/>
      <c r="H43" s="984"/>
    </row>
    <row r="44" spans="1:10" ht="15.75" customHeight="1">
      <c r="A44" s="279" t="s">
        <v>36</v>
      </c>
      <c r="B44" s="279" t="s">
        <v>254</v>
      </c>
      <c r="C44" s="544">
        <f>AVERAGE('Bilan et Hors Bilan'!J75:K75)</f>
        <v>2694954783</v>
      </c>
      <c r="D44" s="544">
        <f>AVERAGE('Bilan et Hors Bilan'!I75:J75)</f>
        <v>2691174431</v>
      </c>
      <c r="E44" s="929"/>
      <c r="F44" s="929"/>
      <c r="G44" s="981"/>
      <c r="H44" s="984"/>
    </row>
    <row r="45" spans="1:10" ht="15.75" customHeight="1">
      <c r="A45" s="278"/>
      <c r="B45" s="278" t="s">
        <v>1500</v>
      </c>
      <c r="C45" s="533">
        <f>SUM(C44)</f>
        <v>2694954783</v>
      </c>
      <c r="D45" s="533">
        <f>SUM(D44)</f>
        <v>2691174431</v>
      </c>
      <c r="E45" s="930"/>
      <c r="F45" s="930"/>
      <c r="G45" s="982"/>
      <c r="H45" s="985"/>
    </row>
    <row r="46" spans="1:10" ht="15.75" customHeight="1">
      <c r="A46" s="280"/>
      <c r="B46" s="280"/>
      <c r="C46" s="281"/>
      <c r="D46" s="281"/>
      <c r="E46" s="280"/>
      <c r="F46" s="280"/>
      <c r="G46" s="280"/>
      <c r="H46" s="280"/>
      <c r="J46" s="317"/>
    </row>
    <row r="47" spans="1:10" ht="15.75" customHeight="1">
      <c r="A47" s="280"/>
      <c r="B47" s="280"/>
      <c r="C47" s="280"/>
      <c r="D47" s="280"/>
      <c r="E47" s="280"/>
      <c r="F47" s="280"/>
      <c r="G47" s="280"/>
      <c r="H47" s="280"/>
      <c r="J47" s="317"/>
    </row>
    <row r="48" spans="1:10" ht="15.75" customHeight="1">
      <c r="A48" s="950" t="s">
        <v>1598</v>
      </c>
      <c r="B48" s="950"/>
      <c r="C48" s="950"/>
      <c r="D48" s="950"/>
      <c r="E48" s="950"/>
      <c r="F48" s="950"/>
      <c r="G48" s="950"/>
      <c r="H48" s="950"/>
    </row>
    <row r="49" spans="1:10" ht="15.75" customHeight="1">
      <c r="A49" s="951" t="s">
        <v>1484</v>
      </c>
      <c r="B49" s="951"/>
      <c r="C49" s="951"/>
      <c r="D49" s="951"/>
      <c r="E49" s="590"/>
      <c r="F49" s="590"/>
      <c r="G49" s="590"/>
      <c r="H49" s="590"/>
      <c r="J49" s="160"/>
    </row>
    <row r="50" spans="1:10" ht="15.75" customHeight="1">
      <c r="A50" s="271" t="s">
        <v>1485</v>
      </c>
      <c r="B50" s="272" t="s">
        <v>1599</v>
      </c>
      <c r="C50" s="210" t="str">
        <f>C$6</f>
        <v>Montant N-1</v>
      </c>
      <c r="D50" s="210" t="str">
        <f>D$6</f>
        <v>Montant N</v>
      </c>
      <c r="E50" s="210" t="str">
        <f>E$6</f>
        <v>Résultat N-1</v>
      </c>
      <c r="F50" s="210" t="str">
        <f>F$6</f>
        <v>Résultat N</v>
      </c>
      <c r="G50" s="271" t="s">
        <v>1488</v>
      </c>
      <c r="H50" s="273" t="s">
        <v>1489</v>
      </c>
      <c r="J50" s="160"/>
    </row>
    <row r="51" spans="1:10" ht="15.75" customHeight="1">
      <c r="A51" s="594"/>
      <c r="B51" s="595"/>
      <c r="C51" s="596"/>
      <c r="D51" s="596"/>
      <c r="E51" s="928">
        <f>IF(C56&lt;&gt;0,C53/C56,0)</f>
        <v>6.841217771561911E-2</v>
      </c>
      <c r="F51" s="928">
        <f>IF(D56&lt;&gt;0,D53/D56,0)</f>
        <v>-4.9364728023912272E-3</v>
      </c>
      <c r="G51" s="980" t="s">
        <v>1600</v>
      </c>
      <c r="H51" s="983" t="str">
        <f>IF(D56&lt;&gt;0,IF(F51&lt;3%,"La norme n'est pas respectée","La norme est respectée"),"")</f>
        <v>La norme n'est pas respectée</v>
      </c>
      <c r="J51" s="160"/>
    </row>
    <row r="52" spans="1:10" ht="15.75" customHeight="1">
      <c r="A52" s="282"/>
      <c r="B52" s="283" t="s">
        <v>1601</v>
      </c>
      <c r="C52" s="284">
        <f>C42</f>
        <v>308977393</v>
      </c>
      <c r="D52" s="284">
        <f>D42</f>
        <v>-20476602</v>
      </c>
      <c r="E52" s="929"/>
      <c r="F52" s="929"/>
      <c r="G52" s="981"/>
      <c r="H52" s="984"/>
      <c r="J52" s="160"/>
    </row>
    <row r="53" spans="1:10" ht="15.75" customHeight="1">
      <c r="A53" s="278"/>
      <c r="B53" s="278" t="str">
        <f>B42</f>
        <v>Total numérateur</v>
      </c>
      <c r="C53" s="533">
        <f>C42</f>
        <v>308977393</v>
      </c>
      <c r="D53" s="533">
        <f>D42</f>
        <v>-20476602</v>
      </c>
      <c r="E53" s="929"/>
      <c r="F53" s="929"/>
      <c r="G53" s="981"/>
      <c r="H53" s="984"/>
      <c r="J53" s="160"/>
    </row>
    <row r="54" spans="1:10" ht="15.75" customHeight="1">
      <c r="A54" s="285"/>
      <c r="B54" s="272" t="s">
        <v>1788</v>
      </c>
      <c r="C54" s="286"/>
      <c r="D54" s="286"/>
      <c r="E54" s="929"/>
      <c r="F54" s="929"/>
      <c r="G54" s="981"/>
      <c r="H54" s="984"/>
      <c r="J54" s="160"/>
    </row>
    <row r="55" spans="1:10" ht="15.75" customHeight="1">
      <c r="A55" s="279" t="s">
        <v>266</v>
      </c>
      <c r="B55" s="279" t="s">
        <v>269</v>
      </c>
      <c r="C55" s="545">
        <f>AVERAGE('Bilan et Hors Bilan'!F121:G121)</f>
        <v>4516409261</v>
      </c>
      <c r="D55" s="545">
        <f>AVERAGE('Bilan et Hors Bilan'!E121:F121)</f>
        <v>4148022853.5</v>
      </c>
      <c r="E55" s="929"/>
      <c r="F55" s="929"/>
      <c r="G55" s="981"/>
      <c r="H55" s="984"/>
      <c r="J55" s="160"/>
    </row>
    <row r="56" spans="1:10" ht="15.75" customHeight="1">
      <c r="A56" s="278"/>
      <c r="B56" s="278" t="s">
        <v>1500</v>
      </c>
      <c r="C56" s="533">
        <f>SUM(C55:C55)</f>
        <v>4516409261</v>
      </c>
      <c r="D56" s="533">
        <f>SUM(D55:D55)</f>
        <v>4148022853.5</v>
      </c>
      <c r="E56" s="930"/>
      <c r="F56" s="930"/>
      <c r="G56" s="982"/>
      <c r="H56" s="985"/>
      <c r="J56" s="160"/>
    </row>
    <row r="57" spans="1:10" ht="15.75" customHeight="1">
      <c r="J57" s="160"/>
    </row>
    <row r="58" spans="1:10" ht="21.75" customHeight="1">
      <c r="J58" s="160"/>
    </row>
    <row r="59" spans="1:10" ht="15.75" customHeight="1">
      <c r="A59" s="270"/>
      <c r="B59" s="950" t="s">
        <v>1602</v>
      </c>
      <c r="C59" s="950"/>
      <c r="D59" s="950"/>
      <c r="E59" s="950"/>
      <c r="F59" s="950"/>
      <c r="G59" s="950"/>
      <c r="H59" s="589"/>
      <c r="J59" s="160"/>
    </row>
    <row r="60" spans="1:10" ht="15.75" customHeight="1">
      <c r="A60" s="951" t="s">
        <v>1484</v>
      </c>
      <c r="B60" s="951"/>
      <c r="C60" s="951"/>
      <c r="D60" s="951"/>
      <c r="E60" s="590"/>
      <c r="F60" s="590"/>
      <c r="G60" s="590"/>
      <c r="H60" s="590"/>
      <c r="J60" s="160"/>
    </row>
    <row r="61" spans="1:10" ht="15.75" customHeight="1">
      <c r="A61" s="271" t="s">
        <v>1485</v>
      </c>
      <c r="B61" s="272" t="s">
        <v>1878</v>
      </c>
      <c r="C61" s="210" t="str">
        <f>C$6</f>
        <v>Montant N-1</v>
      </c>
      <c r="D61" s="210" t="str">
        <f>D$6</f>
        <v>Montant N</v>
      </c>
      <c r="E61" s="210" t="str">
        <f>E$6</f>
        <v>Résultat N-1</v>
      </c>
      <c r="F61" s="210" t="str">
        <f>F$6</f>
        <v>Résultat N</v>
      </c>
      <c r="G61" s="271" t="s">
        <v>1488</v>
      </c>
      <c r="H61" s="273" t="s">
        <v>1489</v>
      </c>
      <c r="J61" s="160"/>
    </row>
    <row r="62" spans="1:10" ht="15.75" customHeight="1">
      <c r="A62" s="283" t="s">
        <v>192</v>
      </c>
      <c r="B62" s="287" t="s">
        <v>541</v>
      </c>
      <c r="C62" s="284">
        <f t="shared" ref="C62:C75" si="0">C7</f>
        <v>0</v>
      </c>
      <c r="D62" s="284">
        <f t="shared" ref="D62:D75" si="1">D7</f>
        <v>0</v>
      </c>
      <c r="E62" s="928">
        <f>IF(C97&lt;&gt;0,C79/C97,0)</f>
        <v>1.3133896933009288</v>
      </c>
      <c r="F62" s="928">
        <f>IF(D97&lt;&gt;0,D79/D97,0)</f>
        <v>0.97471120073273609</v>
      </c>
      <c r="G62" s="986" t="s">
        <v>1603</v>
      </c>
      <c r="H62" s="983" t="str">
        <f>IF(D97&lt;&gt;0,IF(F62&lt;130%,"La norme n'est pas respectée","La norme est respectée"),"")</f>
        <v>La norme n'est pas respectée</v>
      </c>
      <c r="J62" s="160"/>
    </row>
    <row r="63" spans="1:10" ht="15.75" customHeight="1">
      <c r="A63" s="283" t="s">
        <v>213</v>
      </c>
      <c r="B63" s="283" t="s">
        <v>280</v>
      </c>
      <c r="C63" s="284">
        <f t="shared" si="0"/>
        <v>659334269</v>
      </c>
      <c r="D63" s="284">
        <f t="shared" si="1"/>
        <v>664839097</v>
      </c>
      <c r="E63" s="929"/>
      <c r="F63" s="929"/>
      <c r="G63" s="987"/>
      <c r="H63" s="984"/>
      <c r="J63" s="160"/>
    </row>
    <row r="64" spans="1:10" ht="15.75" customHeight="1">
      <c r="A64" s="283" t="s">
        <v>283</v>
      </c>
      <c r="B64" s="283" t="s">
        <v>284</v>
      </c>
      <c r="C64" s="284">
        <f t="shared" si="0"/>
        <v>0</v>
      </c>
      <c r="D64" s="284">
        <f t="shared" si="1"/>
        <v>0</v>
      </c>
      <c r="E64" s="929"/>
      <c r="F64" s="929"/>
      <c r="G64" s="987"/>
      <c r="H64" s="984"/>
      <c r="J64" s="160"/>
    </row>
    <row r="65" spans="1:10" ht="15.75" customHeight="1">
      <c r="A65" s="283" t="s">
        <v>288</v>
      </c>
      <c r="B65" s="283" t="s">
        <v>289</v>
      </c>
      <c r="C65" s="284">
        <f t="shared" si="0"/>
        <v>0</v>
      </c>
      <c r="D65" s="284">
        <f t="shared" si="1"/>
        <v>0</v>
      </c>
      <c r="E65" s="929"/>
      <c r="F65" s="929"/>
      <c r="G65" s="987"/>
      <c r="H65" s="984"/>
      <c r="J65" s="160"/>
    </row>
    <row r="66" spans="1:10" ht="15.75" customHeight="1">
      <c r="A66" s="283" t="s">
        <v>732</v>
      </c>
      <c r="B66" s="283" t="s">
        <v>748</v>
      </c>
      <c r="C66" s="284">
        <f t="shared" si="0"/>
        <v>0</v>
      </c>
      <c r="D66" s="284">
        <f t="shared" si="1"/>
        <v>0</v>
      </c>
      <c r="E66" s="929"/>
      <c r="F66" s="929"/>
      <c r="G66" s="987"/>
      <c r="H66" s="984"/>
      <c r="J66" s="160"/>
    </row>
    <row r="67" spans="1:10" ht="15.75" customHeight="1">
      <c r="A67" s="283" t="s">
        <v>752</v>
      </c>
      <c r="B67" s="283" t="s">
        <v>755</v>
      </c>
      <c r="C67" s="284">
        <f t="shared" si="0"/>
        <v>0</v>
      </c>
      <c r="D67" s="284">
        <f t="shared" si="1"/>
        <v>0</v>
      </c>
      <c r="E67" s="929"/>
      <c r="F67" s="929"/>
      <c r="G67" s="987"/>
      <c r="H67" s="984"/>
      <c r="J67" s="160"/>
    </row>
    <row r="68" spans="1:10" ht="15.75" customHeight="1">
      <c r="A68" s="283" t="s">
        <v>757</v>
      </c>
      <c r="B68" s="287" t="s">
        <v>657</v>
      </c>
      <c r="C68" s="284">
        <f t="shared" si="0"/>
        <v>0</v>
      </c>
      <c r="D68" s="284">
        <f t="shared" si="1"/>
        <v>0</v>
      </c>
      <c r="E68" s="929"/>
      <c r="F68" s="929"/>
      <c r="G68" s="987"/>
      <c r="H68" s="984"/>
      <c r="J68" s="160"/>
    </row>
    <row r="69" spans="1:10" ht="15.75" customHeight="1">
      <c r="A69" s="283" t="s">
        <v>292</v>
      </c>
      <c r="B69" s="283" t="s">
        <v>293</v>
      </c>
      <c r="C69" s="284">
        <f t="shared" si="0"/>
        <v>0</v>
      </c>
      <c r="D69" s="284">
        <f t="shared" si="1"/>
        <v>0</v>
      </c>
      <c r="E69" s="929"/>
      <c r="F69" s="929"/>
      <c r="G69" s="987"/>
      <c r="H69" s="984"/>
      <c r="J69" s="160"/>
    </row>
    <row r="70" spans="1:10" ht="15.75" customHeight="1">
      <c r="A70" s="283" t="s">
        <v>296</v>
      </c>
      <c r="B70" s="283" t="s">
        <v>297</v>
      </c>
      <c r="C70" s="284">
        <f t="shared" si="0"/>
        <v>0</v>
      </c>
      <c r="D70" s="284">
        <f t="shared" si="1"/>
        <v>0</v>
      </c>
      <c r="E70" s="929"/>
      <c r="F70" s="929"/>
      <c r="G70" s="987"/>
      <c r="H70" s="984"/>
      <c r="J70" s="160"/>
    </row>
    <row r="71" spans="1:10" ht="15.75" customHeight="1">
      <c r="A71" s="283" t="s">
        <v>308</v>
      </c>
      <c r="B71" s="283" t="s">
        <v>309</v>
      </c>
      <c r="C71" s="284">
        <f t="shared" si="0"/>
        <v>0</v>
      </c>
      <c r="D71" s="284">
        <f t="shared" si="1"/>
        <v>0</v>
      </c>
      <c r="E71" s="929"/>
      <c r="F71" s="929"/>
      <c r="G71" s="987"/>
      <c r="H71" s="984"/>
      <c r="J71" s="160"/>
    </row>
    <row r="72" spans="1:10" ht="15.75" customHeight="1">
      <c r="A72" s="166" t="s">
        <v>311</v>
      </c>
      <c r="B72" s="283" t="s">
        <v>182</v>
      </c>
      <c r="C72" s="284">
        <f t="shared" si="0"/>
        <v>0</v>
      </c>
      <c r="D72" s="284">
        <f t="shared" si="1"/>
        <v>0</v>
      </c>
      <c r="E72" s="929"/>
      <c r="F72" s="929"/>
      <c r="G72" s="987"/>
      <c r="H72" s="984"/>
      <c r="J72" s="160"/>
    </row>
    <row r="73" spans="1:10" ht="15.75" customHeight="1">
      <c r="A73" s="166" t="s">
        <v>316</v>
      </c>
      <c r="B73" s="288" t="s">
        <v>181</v>
      </c>
      <c r="C73" s="284">
        <f t="shared" si="0"/>
        <v>9473180</v>
      </c>
      <c r="D73" s="284">
        <f t="shared" si="1"/>
        <v>115067534</v>
      </c>
      <c r="E73" s="929"/>
      <c r="F73" s="929"/>
      <c r="G73" s="987"/>
      <c r="H73" s="984"/>
      <c r="J73" s="160"/>
    </row>
    <row r="74" spans="1:10" ht="15.75" customHeight="1">
      <c r="A74" s="289" t="s">
        <v>335</v>
      </c>
      <c r="B74" s="290" t="s">
        <v>336</v>
      </c>
      <c r="C74" s="284">
        <f t="shared" si="0"/>
        <v>8108100</v>
      </c>
      <c r="D74" s="284">
        <f t="shared" si="1"/>
        <v>8195750</v>
      </c>
      <c r="E74" s="929"/>
      <c r="F74" s="929"/>
      <c r="G74" s="987"/>
      <c r="H74" s="984"/>
      <c r="J74" s="160"/>
    </row>
    <row r="75" spans="1:10" ht="15.75" customHeight="1">
      <c r="A75" s="283" t="s">
        <v>781</v>
      </c>
      <c r="B75" s="283" t="s">
        <v>784</v>
      </c>
      <c r="C75" s="284">
        <f t="shared" si="0"/>
        <v>0</v>
      </c>
      <c r="D75" s="284">
        <f t="shared" si="1"/>
        <v>0</v>
      </c>
      <c r="E75" s="929"/>
      <c r="F75" s="929"/>
      <c r="G75" s="987"/>
      <c r="H75" s="984"/>
      <c r="J75" s="160"/>
    </row>
    <row r="76" spans="1:10" ht="15" customHeight="1">
      <c r="A76" s="283" t="s">
        <v>344</v>
      </c>
      <c r="B76" s="283" t="s">
        <v>345</v>
      </c>
      <c r="C76" s="284">
        <f>C24</f>
        <v>0</v>
      </c>
      <c r="D76" s="284">
        <f>D24</f>
        <v>0</v>
      </c>
      <c r="E76" s="929"/>
      <c r="F76" s="929"/>
      <c r="G76" s="987"/>
      <c r="H76" s="984"/>
      <c r="J76" s="160"/>
    </row>
    <row r="77" spans="1:10" ht="15.75" customHeight="1">
      <c r="A77" s="283" t="s">
        <v>361</v>
      </c>
      <c r="B77" s="283" t="s">
        <v>362</v>
      </c>
      <c r="C77" s="284">
        <f>C23</f>
        <v>617982567</v>
      </c>
      <c r="D77" s="284">
        <f>D23</f>
        <v>1131347</v>
      </c>
      <c r="E77" s="929"/>
      <c r="F77" s="929"/>
      <c r="G77" s="987"/>
      <c r="H77" s="984"/>
      <c r="J77" s="160"/>
    </row>
    <row r="78" spans="1:10" ht="15.75" customHeight="1">
      <c r="A78" s="597"/>
      <c r="B78" s="598"/>
      <c r="C78" s="599"/>
      <c r="D78" s="599"/>
      <c r="E78" s="929"/>
      <c r="F78" s="929"/>
      <c r="G78" s="987"/>
      <c r="H78" s="984"/>
      <c r="J78" s="160"/>
    </row>
    <row r="79" spans="1:10" ht="15.75" customHeight="1">
      <c r="A79" s="278"/>
      <c r="B79" s="278" t="s">
        <v>1495</v>
      </c>
      <c r="C79" s="533">
        <f>SUM(C62:C75,C77)-C76</f>
        <v>1294898116</v>
      </c>
      <c r="D79" s="533">
        <f>SUM(D62:D75,D77)-D76</f>
        <v>789233728</v>
      </c>
      <c r="E79" s="929"/>
      <c r="F79" s="929"/>
      <c r="G79" s="987"/>
      <c r="H79" s="984"/>
      <c r="J79" s="160"/>
    </row>
    <row r="80" spans="1:10" ht="15.75" customHeight="1">
      <c r="A80" s="272"/>
      <c r="B80" s="272" t="s">
        <v>1604</v>
      </c>
      <c r="C80" s="534"/>
      <c r="D80" s="534"/>
      <c r="E80" s="929"/>
      <c r="F80" s="929"/>
      <c r="G80" s="987"/>
      <c r="H80" s="984"/>
      <c r="J80" s="160"/>
    </row>
    <row r="81" spans="1:10" ht="15.75" customHeight="1">
      <c r="A81" s="165" t="s">
        <v>191</v>
      </c>
      <c r="B81" s="165" t="s">
        <v>276</v>
      </c>
      <c r="C81" s="284">
        <f t="shared" ref="C81:D96" si="2">C26</f>
        <v>0</v>
      </c>
      <c r="D81" s="284">
        <f t="shared" si="2"/>
        <v>243810803</v>
      </c>
      <c r="E81" s="929"/>
      <c r="F81" s="929"/>
      <c r="G81" s="987"/>
      <c r="H81" s="984"/>
      <c r="J81" s="160"/>
    </row>
    <row r="82" spans="1:10" ht="15.75" customHeight="1">
      <c r="A82" s="165" t="s">
        <v>194</v>
      </c>
      <c r="B82" s="165" t="s">
        <v>279</v>
      </c>
      <c r="C82" s="284">
        <f t="shared" si="2"/>
        <v>2480126</v>
      </c>
      <c r="D82" s="284">
        <f t="shared" si="2"/>
        <v>1815156</v>
      </c>
      <c r="E82" s="929"/>
      <c r="F82" s="929"/>
      <c r="G82" s="987"/>
      <c r="H82" s="984"/>
      <c r="J82" s="160"/>
    </row>
    <row r="83" spans="1:10" ht="15.75" customHeight="1">
      <c r="A83" s="165" t="s">
        <v>204</v>
      </c>
      <c r="B83" s="165" t="s">
        <v>210</v>
      </c>
      <c r="C83" s="284">
        <f t="shared" si="2"/>
        <v>0</v>
      </c>
      <c r="D83" s="284">
        <f t="shared" si="2"/>
        <v>0</v>
      </c>
      <c r="E83" s="929"/>
      <c r="F83" s="929"/>
      <c r="G83" s="987"/>
      <c r="H83" s="984"/>
      <c r="J83" s="160"/>
    </row>
    <row r="84" spans="1:10" ht="15.75" customHeight="1">
      <c r="A84" s="165" t="s">
        <v>208</v>
      </c>
      <c r="B84" s="283" t="s">
        <v>211</v>
      </c>
      <c r="C84" s="284">
        <f t="shared" si="2"/>
        <v>0</v>
      </c>
      <c r="D84" s="284">
        <f t="shared" si="2"/>
        <v>0</v>
      </c>
      <c r="E84" s="929"/>
      <c r="F84" s="929"/>
      <c r="G84" s="987"/>
      <c r="H84" s="984"/>
      <c r="J84" s="160"/>
    </row>
    <row r="85" spans="1:10" ht="15.75" customHeight="1">
      <c r="A85" s="165" t="s">
        <v>564</v>
      </c>
      <c r="B85" s="288" t="s">
        <v>565</v>
      </c>
      <c r="C85" s="284">
        <f t="shared" si="2"/>
        <v>0</v>
      </c>
      <c r="D85" s="284">
        <f t="shared" si="2"/>
        <v>0</v>
      </c>
      <c r="E85" s="929"/>
      <c r="F85" s="929"/>
      <c r="G85" s="987"/>
      <c r="H85" s="984"/>
      <c r="J85" s="160"/>
    </row>
    <row r="86" spans="1:10" ht="15.75" customHeight="1">
      <c r="A86" s="165" t="s">
        <v>566</v>
      </c>
      <c r="B86" s="283" t="s">
        <v>568</v>
      </c>
      <c r="C86" s="284">
        <f t="shared" si="2"/>
        <v>0</v>
      </c>
      <c r="D86" s="284">
        <f t="shared" si="2"/>
        <v>0</v>
      </c>
      <c r="E86" s="929"/>
      <c r="F86" s="929"/>
      <c r="G86" s="987"/>
      <c r="H86" s="984"/>
      <c r="J86" s="160"/>
    </row>
    <row r="87" spans="1:10" ht="15.75" customHeight="1">
      <c r="A87" s="165" t="s">
        <v>567</v>
      </c>
      <c r="B87" s="283" t="s">
        <v>657</v>
      </c>
      <c r="C87" s="284">
        <f t="shared" si="2"/>
        <v>0</v>
      </c>
      <c r="D87" s="284">
        <f t="shared" si="2"/>
        <v>0</v>
      </c>
      <c r="E87" s="929"/>
      <c r="F87" s="929"/>
      <c r="G87" s="987"/>
      <c r="H87" s="984"/>
      <c r="J87" s="160"/>
    </row>
    <row r="88" spans="1:10" ht="15.75" customHeight="1">
      <c r="A88" s="166" t="s">
        <v>290</v>
      </c>
      <c r="B88" s="283" t="s">
        <v>291</v>
      </c>
      <c r="C88" s="284">
        <f t="shared" si="2"/>
        <v>1044595</v>
      </c>
      <c r="D88" s="284">
        <f t="shared" si="2"/>
        <v>0</v>
      </c>
      <c r="E88" s="929"/>
      <c r="F88" s="929"/>
      <c r="G88" s="987"/>
      <c r="H88" s="984"/>
      <c r="J88" s="160"/>
    </row>
    <row r="89" spans="1:10" ht="15.75" customHeight="1">
      <c r="A89" s="166" t="s">
        <v>294</v>
      </c>
      <c r="B89" s="283" t="s">
        <v>295</v>
      </c>
      <c r="C89" s="284">
        <f t="shared" si="2"/>
        <v>0</v>
      </c>
      <c r="D89" s="284">
        <f t="shared" si="2"/>
        <v>0</v>
      </c>
      <c r="E89" s="929"/>
      <c r="F89" s="929"/>
      <c r="G89" s="987"/>
      <c r="H89" s="984"/>
      <c r="J89" s="160"/>
    </row>
    <row r="90" spans="1:10" ht="15.75" customHeight="1">
      <c r="A90" s="166" t="s">
        <v>307</v>
      </c>
      <c r="B90" s="283" t="s">
        <v>797</v>
      </c>
      <c r="C90" s="284">
        <f t="shared" si="2"/>
        <v>0</v>
      </c>
      <c r="D90" s="284">
        <f t="shared" si="2"/>
        <v>0</v>
      </c>
      <c r="E90" s="929"/>
      <c r="F90" s="929"/>
      <c r="G90" s="987"/>
      <c r="H90" s="984"/>
      <c r="J90" s="160"/>
    </row>
    <row r="91" spans="1:10" ht="15.75" customHeight="1">
      <c r="A91" s="283" t="s">
        <v>313</v>
      </c>
      <c r="B91" s="165" t="s">
        <v>314</v>
      </c>
      <c r="C91" s="284">
        <f t="shared" si="2"/>
        <v>180566754</v>
      </c>
      <c r="D91" s="284">
        <f t="shared" si="2"/>
        <v>200864603</v>
      </c>
      <c r="E91" s="929"/>
      <c r="F91" s="929"/>
      <c r="G91" s="987"/>
      <c r="H91" s="984"/>
      <c r="J91" s="160"/>
    </row>
    <row r="92" spans="1:10" ht="15.75" customHeight="1">
      <c r="A92" s="283" t="s">
        <v>675</v>
      </c>
      <c r="B92" s="165" t="s">
        <v>318</v>
      </c>
      <c r="C92" s="284">
        <f t="shared" si="2"/>
        <v>4440799</v>
      </c>
      <c r="D92" s="284">
        <f t="shared" si="2"/>
        <v>5017992</v>
      </c>
      <c r="E92" s="929"/>
      <c r="F92" s="929"/>
      <c r="G92" s="987"/>
      <c r="H92" s="984"/>
      <c r="J92" s="160"/>
    </row>
    <row r="93" spans="1:10" ht="15.75" customHeight="1">
      <c r="A93" s="166" t="s">
        <v>332</v>
      </c>
      <c r="B93" s="288" t="s">
        <v>333</v>
      </c>
      <c r="C93" s="284">
        <f t="shared" si="2"/>
        <v>99936132</v>
      </c>
      <c r="D93" s="284">
        <f t="shared" si="2"/>
        <v>96501158</v>
      </c>
      <c r="E93" s="929"/>
      <c r="F93" s="929"/>
      <c r="G93" s="987"/>
      <c r="H93" s="984"/>
      <c r="J93" s="160"/>
    </row>
    <row r="94" spans="1:10" ht="15.75" customHeight="1">
      <c r="A94" s="283" t="s">
        <v>388</v>
      </c>
      <c r="B94" s="283" t="s">
        <v>389</v>
      </c>
      <c r="C94" s="284">
        <f t="shared" si="2"/>
        <v>0</v>
      </c>
      <c r="D94" s="284">
        <f t="shared" si="2"/>
        <v>0</v>
      </c>
      <c r="E94" s="929"/>
      <c r="F94" s="929"/>
      <c r="G94" s="987"/>
      <c r="H94" s="984"/>
      <c r="J94" s="160"/>
    </row>
    <row r="95" spans="1:10" ht="15.75" customHeight="1">
      <c r="A95" s="283" t="s">
        <v>390</v>
      </c>
      <c r="B95" s="283" t="s">
        <v>391</v>
      </c>
      <c r="C95" s="284">
        <f t="shared" si="2"/>
        <v>0</v>
      </c>
      <c r="D95" s="284">
        <f t="shared" si="2"/>
        <v>35007261</v>
      </c>
      <c r="E95" s="929"/>
      <c r="F95" s="929"/>
      <c r="G95" s="987"/>
      <c r="H95" s="984"/>
      <c r="J95" s="160"/>
    </row>
    <row r="96" spans="1:10" ht="15.75" customHeight="1">
      <c r="A96" s="283" t="s">
        <v>398</v>
      </c>
      <c r="B96" s="283" t="s">
        <v>399</v>
      </c>
      <c r="C96" s="284">
        <f t="shared" si="2"/>
        <v>697452317</v>
      </c>
      <c r="D96" s="284">
        <f t="shared" si="2"/>
        <v>226693357</v>
      </c>
      <c r="E96" s="929"/>
      <c r="F96" s="929"/>
      <c r="G96" s="987"/>
      <c r="H96" s="984"/>
      <c r="J96" s="160"/>
    </row>
    <row r="97" spans="1:10" ht="15.75" customHeight="1">
      <c r="A97" s="278"/>
      <c r="B97" s="278" t="s">
        <v>1500</v>
      </c>
      <c r="C97" s="533">
        <f>SUM(C81:C96)</f>
        <v>985920723</v>
      </c>
      <c r="D97" s="533">
        <f>SUM(D81:D96)</f>
        <v>809710330</v>
      </c>
      <c r="E97" s="929"/>
      <c r="F97" s="929"/>
      <c r="G97" s="987"/>
      <c r="H97" s="984"/>
      <c r="J97" s="160"/>
    </row>
    <row r="98" spans="1:10" ht="15.75" customHeight="1">
      <c r="A98" s="594"/>
      <c r="B98" s="595"/>
      <c r="C98" s="596"/>
      <c r="D98" s="596"/>
      <c r="E98" s="930"/>
      <c r="F98" s="930"/>
      <c r="G98" s="988"/>
      <c r="H98" s="985"/>
    </row>
    <row r="99" spans="1:10" ht="15.75" customHeight="1">
      <c r="A99" s="280"/>
      <c r="B99" s="280"/>
      <c r="C99" s="280"/>
      <c r="D99" s="280"/>
      <c r="E99" s="280"/>
      <c r="F99" s="280"/>
      <c r="G99" s="280"/>
      <c r="H99" s="280"/>
      <c r="J99" s="317"/>
    </row>
    <row r="100" spans="1:10" ht="15.75" customHeight="1">
      <c r="A100" s="280"/>
      <c r="B100" s="280"/>
      <c r="C100" s="280"/>
      <c r="D100" s="280"/>
      <c r="E100" s="280"/>
      <c r="F100" s="280"/>
      <c r="G100" s="280"/>
      <c r="H100" s="280"/>
      <c r="J100" s="317"/>
    </row>
    <row r="101" spans="1:10" ht="15.75" customHeight="1">
      <c r="A101" s="950" t="s">
        <v>1605</v>
      </c>
      <c r="B101" s="950"/>
      <c r="C101" s="950"/>
      <c r="D101" s="950"/>
      <c r="E101" s="950"/>
      <c r="F101" s="950"/>
      <c r="G101" s="950"/>
      <c r="H101" s="950"/>
    </row>
    <row r="102" spans="1:10" ht="15.75" customHeight="1">
      <c r="A102" s="951" t="s">
        <v>1484</v>
      </c>
      <c r="B102" s="951"/>
      <c r="C102" s="951"/>
      <c r="D102" s="951"/>
      <c r="E102" s="590"/>
      <c r="F102" s="590"/>
      <c r="G102" s="590"/>
      <c r="H102" s="590"/>
    </row>
    <row r="103" spans="1:10" ht="15.75" customHeight="1">
      <c r="A103" s="271" t="s">
        <v>1485</v>
      </c>
      <c r="B103" s="272" t="s">
        <v>1606</v>
      </c>
      <c r="C103" s="210" t="str">
        <f>C$6</f>
        <v>Montant N-1</v>
      </c>
      <c r="D103" s="210" t="str">
        <f>D$6</f>
        <v>Montant N</v>
      </c>
      <c r="E103" s="210" t="str">
        <f>E$6</f>
        <v>Résultat N-1</v>
      </c>
      <c r="F103" s="210" t="str">
        <f>F$6</f>
        <v>Résultat N</v>
      </c>
      <c r="G103" s="271" t="s">
        <v>1488</v>
      </c>
      <c r="H103" s="273" t="s">
        <v>1489</v>
      </c>
    </row>
    <row r="104" spans="1:10" ht="15.75" customHeight="1">
      <c r="A104" s="597"/>
      <c r="B104" s="598"/>
      <c r="C104" s="599"/>
      <c r="D104" s="599"/>
      <c r="E104" s="928">
        <f>IF(C108&lt;&gt;0,C106/C108,0)</f>
        <v>0.23861135419244056</v>
      </c>
      <c r="F104" s="928">
        <f>IF(D108&lt;&gt;0,D106/D108,0)</f>
        <v>-2.5944915015086632E-2</v>
      </c>
      <c r="G104" s="986" t="s">
        <v>1797</v>
      </c>
      <c r="H104" s="983" t="str">
        <f>IF(D108&lt;&gt;0,IF(F104&lt;20%,"La norme n'est pas respectée","La norme est respectée"),"")</f>
        <v>La norme n'est pas respectée</v>
      </c>
    </row>
    <row r="105" spans="1:10" ht="15.75" customHeight="1">
      <c r="A105" s="283"/>
      <c r="B105" s="287" t="s">
        <v>1601</v>
      </c>
      <c r="C105" s="535">
        <f>C52</f>
        <v>308977393</v>
      </c>
      <c r="D105" s="535">
        <f>D52</f>
        <v>-20476602</v>
      </c>
      <c r="E105" s="929"/>
      <c r="F105" s="929"/>
      <c r="G105" s="987"/>
      <c r="H105" s="984"/>
    </row>
    <row r="106" spans="1:10" ht="15.75" customHeight="1">
      <c r="A106" s="278"/>
      <c r="B106" s="291" t="s">
        <v>1495</v>
      </c>
      <c r="C106" s="533">
        <f>C53</f>
        <v>308977393</v>
      </c>
      <c r="D106" s="533">
        <f>D53</f>
        <v>-20476602</v>
      </c>
      <c r="E106" s="929"/>
      <c r="F106" s="929"/>
      <c r="G106" s="987"/>
      <c r="H106" s="984"/>
    </row>
    <row r="107" spans="1:10" ht="15.75" customHeight="1">
      <c r="A107" s="292"/>
      <c r="B107" s="293" t="s">
        <v>1607</v>
      </c>
      <c r="C107" s="544">
        <f>C79</f>
        <v>1294898116</v>
      </c>
      <c r="D107" s="544">
        <f>D79</f>
        <v>789233728</v>
      </c>
      <c r="E107" s="929"/>
      <c r="F107" s="929"/>
      <c r="G107" s="987"/>
      <c r="H107" s="984"/>
      <c r="J107" s="316">
        <f>IF(ISBLANK(D107),1,0)</f>
        <v>0</v>
      </c>
    </row>
    <row r="108" spans="1:10" ht="15.75" customHeight="1">
      <c r="A108" s="294"/>
      <c r="B108" s="291" t="s">
        <v>1500</v>
      </c>
      <c r="C108" s="533">
        <f>C107</f>
        <v>1294898116</v>
      </c>
      <c r="D108" s="533">
        <f>D107</f>
        <v>789233728</v>
      </c>
      <c r="E108" s="929"/>
      <c r="F108" s="929"/>
      <c r="G108" s="987"/>
      <c r="H108" s="984"/>
    </row>
    <row r="109" spans="1:10" ht="15.75" customHeight="1">
      <c r="A109" s="600"/>
      <c r="B109" s="601"/>
      <c r="C109" s="602"/>
      <c r="D109" s="602"/>
      <c r="E109" s="929"/>
      <c r="F109" s="929"/>
      <c r="G109" s="987"/>
      <c r="H109" s="984"/>
    </row>
    <row r="110" spans="1:10" ht="15.75" customHeight="1">
      <c r="A110" s="603"/>
      <c r="B110" s="604"/>
      <c r="C110" s="605"/>
      <c r="D110" s="605"/>
      <c r="E110" s="930"/>
      <c r="F110" s="930"/>
      <c r="G110" s="988"/>
      <c r="H110" s="985"/>
    </row>
    <row r="111" spans="1:10" ht="15.75" customHeight="1">
      <c r="B111" s="295"/>
    </row>
    <row r="112" spans="1:10" ht="15.75" customHeight="1"/>
    <row r="113" spans="1:10" ht="15.75" customHeight="1"/>
    <row r="114" spans="1:10" ht="15.75" customHeight="1">
      <c r="A114" s="950" t="s">
        <v>1608</v>
      </c>
      <c r="B114" s="950"/>
      <c r="C114" s="950"/>
      <c r="D114" s="950"/>
      <c r="E114" s="950"/>
      <c r="F114" s="950"/>
      <c r="G114" s="950"/>
      <c r="H114" s="950"/>
      <c r="J114" s="160"/>
    </row>
    <row r="115" spans="1:10" ht="15.75" customHeight="1">
      <c r="A115" s="951" t="s">
        <v>1484</v>
      </c>
      <c r="B115" s="951"/>
      <c r="C115" s="951"/>
      <c r="D115" s="951"/>
      <c r="E115" s="590"/>
      <c r="F115" s="590"/>
      <c r="G115" s="590"/>
      <c r="H115" s="590"/>
      <c r="J115" s="160"/>
    </row>
    <row r="116" spans="1:10" ht="15.75" customHeight="1">
      <c r="A116" s="271" t="s">
        <v>1485</v>
      </c>
      <c r="B116" s="272" t="s">
        <v>1609</v>
      </c>
      <c r="C116" s="210" t="str">
        <f>C$6</f>
        <v>Montant N-1</v>
      </c>
      <c r="D116" s="210" t="str">
        <f>D$6</f>
        <v>Montant N</v>
      </c>
      <c r="E116" s="210" t="str">
        <f>E$6</f>
        <v>Résultat N-1</v>
      </c>
      <c r="F116" s="210" t="str">
        <f>F$6</f>
        <v>Résultat N</v>
      </c>
      <c r="G116" s="271" t="s">
        <v>1488</v>
      </c>
      <c r="H116" s="273" t="s">
        <v>1489</v>
      </c>
      <c r="J116" s="160"/>
    </row>
    <row r="117" spans="1:10" ht="15.75" customHeight="1">
      <c r="A117" s="606"/>
      <c r="B117" s="607"/>
      <c r="C117" s="608"/>
      <c r="D117" s="608"/>
      <c r="E117" s="928">
        <f>IF(C142&lt;&gt;0,C122/C142,0)</f>
        <v>0.43449151643031586</v>
      </c>
      <c r="F117" s="928">
        <f>IF(D142&lt;&gt;0,D122/D142,0)</f>
        <v>0.72131268223754952</v>
      </c>
      <c r="G117" s="986" t="s">
        <v>1799</v>
      </c>
      <c r="H117" s="983" t="str">
        <f>IF(D142&lt;&gt;0,IF(F117&gt;60%,"La norme n'est pas respectée","La norme est respectée"),"")</f>
        <v>La norme n'est pas respectée</v>
      </c>
      <c r="J117" s="160"/>
    </row>
    <row r="118" spans="1:10" ht="15.75" customHeight="1">
      <c r="A118" s="166" t="s">
        <v>313</v>
      </c>
      <c r="B118" s="166" t="s">
        <v>314</v>
      </c>
      <c r="C118" s="284">
        <f t="shared" ref="C118:D121" si="3">C91</f>
        <v>180566754</v>
      </c>
      <c r="D118" s="284">
        <f t="shared" si="3"/>
        <v>200864603</v>
      </c>
      <c r="E118" s="929"/>
      <c r="F118" s="929"/>
      <c r="G118" s="987"/>
      <c r="H118" s="984"/>
      <c r="J118" s="160"/>
    </row>
    <row r="119" spans="1:10" ht="15.75" customHeight="1">
      <c r="A119" s="166" t="s">
        <v>675</v>
      </c>
      <c r="B119" s="166" t="s">
        <v>318</v>
      </c>
      <c r="C119" s="284">
        <f t="shared" si="3"/>
        <v>4440799</v>
      </c>
      <c r="D119" s="284">
        <f t="shared" si="3"/>
        <v>5017992</v>
      </c>
      <c r="E119" s="929"/>
      <c r="F119" s="929"/>
      <c r="G119" s="987"/>
      <c r="H119" s="984"/>
      <c r="J119" s="160"/>
    </row>
    <row r="120" spans="1:10" ht="15.75" customHeight="1">
      <c r="A120" s="166" t="s">
        <v>332</v>
      </c>
      <c r="B120" s="166" t="s">
        <v>333</v>
      </c>
      <c r="C120" s="284">
        <f t="shared" si="3"/>
        <v>99936132</v>
      </c>
      <c r="D120" s="284">
        <f t="shared" si="3"/>
        <v>96501158</v>
      </c>
      <c r="E120" s="929"/>
      <c r="F120" s="929"/>
      <c r="G120" s="987"/>
      <c r="H120" s="984"/>
      <c r="J120" s="160"/>
    </row>
    <row r="121" spans="1:10" ht="15.75" customHeight="1">
      <c r="A121" s="166" t="s">
        <v>388</v>
      </c>
      <c r="B121" s="166" t="s">
        <v>389</v>
      </c>
      <c r="C121" s="284">
        <f t="shared" si="3"/>
        <v>0</v>
      </c>
      <c r="D121" s="284">
        <f t="shared" si="3"/>
        <v>0</v>
      </c>
      <c r="E121" s="929"/>
      <c r="F121" s="929"/>
      <c r="G121" s="987"/>
      <c r="H121" s="984"/>
      <c r="J121" s="160"/>
    </row>
    <row r="122" spans="1:10" ht="15.75" customHeight="1">
      <c r="A122" s="278"/>
      <c r="B122" s="278" t="s">
        <v>1495</v>
      </c>
      <c r="C122" s="533">
        <f>SUM(C118:C121)</f>
        <v>284943685</v>
      </c>
      <c r="D122" s="533">
        <f>SUM(D118:D121)</f>
        <v>302383753</v>
      </c>
      <c r="E122" s="929"/>
      <c r="F122" s="929"/>
      <c r="G122" s="987"/>
      <c r="H122" s="984"/>
      <c r="J122" s="160"/>
    </row>
    <row r="123" spans="1:10" ht="15.75" customHeight="1">
      <c r="A123" s="272"/>
      <c r="B123" s="272" t="s">
        <v>1610</v>
      </c>
      <c r="C123" s="534"/>
      <c r="D123" s="534"/>
      <c r="E123" s="929"/>
      <c r="F123" s="929"/>
      <c r="G123" s="987"/>
      <c r="H123" s="984"/>
      <c r="J123" s="160"/>
    </row>
    <row r="124" spans="1:10" ht="15.75" customHeight="1">
      <c r="A124" s="166" t="s">
        <v>192</v>
      </c>
      <c r="B124" s="166" t="s">
        <v>541</v>
      </c>
      <c r="C124" s="284">
        <f t="shared" ref="C124:D132" si="4">C62</f>
        <v>0</v>
      </c>
      <c r="D124" s="284">
        <f t="shared" si="4"/>
        <v>0</v>
      </c>
      <c r="E124" s="929"/>
      <c r="F124" s="929"/>
      <c r="G124" s="987"/>
      <c r="H124" s="984"/>
      <c r="J124" s="160"/>
    </row>
    <row r="125" spans="1:10" ht="15.75" customHeight="1">
      <c r="A125" s="166" t="s">
        <v>213</v>
      </c>
      <c r="B125" s="166" t="s">
        <v>280</v>
      </c>
      <c r="C125" s="284">
        <f t="shared" si="4"/>
        <v>659334269</v>
      </c>
      <c r="D125" s="284">
        <f t="shared" si="4"/>
        <v>664839097</v>
      </c>
      <c r="E125" s="929"/>
      <c r="F125" s="929"/>
      <c r="G125" s="987"/>
      <c r="H125" s="984"/>
      <c r="J125" s="160"/>
    </row>
    <row r="126" spans="1:10" ht="15.75" customHeight="1">
      <c r="A126" s="166" t="s">
        <v>283</v>
      </c>
      <c r="B126" s="166" t="s">
        <v>284</v>
      </c>
      <c r="C126" s="284">
        <f t="shared" si="4"/>
        <v>0</v>
      </c>
      <c r="D126" s="284">
        <f t="shared" si="4"/>
        <v>0</v>
      </c>
      <c r="E126" s="929"/>
      <c r="F126" s="929"/>
      <c r="G126" s="987"/>
      <c r="H126" s="984"/>
      <c r="J126" s="160"/>
    </row>
    <row r="127" spans="1:10" ht="15.75" customHeight="1">
      <c r="A127" s="166" t="s">
        <v>288</v>
      </c>
      <c r="B127" s="166" t="s">
        <v>289</v>
      </c>
      <c r="C127" s="284">
        <f t="shared" si="4"/>
        <v>0</v>
      </c>
      <c r="D127" s="284">
        <f t="shared" si="4"/>
        <v>0</v>
      </c>
      <c r="E127" s="929"/>
      <c r="F127" s="929"/>
      <c r="G127" s="987"/>
      <c r="H127" s="984"/>
      <c r="J127" s="160"/>
    </row>
    <row r="128" spans="1:10" ht="15.75" customHeight="1">
      <c r="A128" s="166" t="s">
        <v>732</v>
      </c>
      <c r="B128" s="166" t="s">
        <v>748</v>
      </c>
      <c r="C128" s="284">
        <f t="shared" si="4"/>
        <v>0</v>
      </c>
      <c r="D128" s="284">
        <f t="shared" si="4"/>
        <v>0</v>
      </c>
      <c r="E128" s="929"/>
      <c r="F128" s="929"/>
      <c r="G128" s="988"/>
      <c r="H128" s="985"/>
      <c r="J128" s="160"/>
    </row>
    <row r="129" spans="1:10" ht="15.75" customHeight="1">
      <c r="A129" s="166" t="s">
        <v>752</v>
      </c>
      <c r="B129" s="166" t="s">
        <v>755</v>
      </c>
      <c r="C129" s="284">
        <f t="shared" si="4"/>
        <v>0</v>
      </c>
      <c r="D129" s="284">
        <f t="shared" si="4"/>
        <v>0</v>
      </c>
      <c r="E129" s="929"/>
      <c r="F129" s="929"/>
      <c r="G129" s="986" t="s">
        <v>1798</v>
      </c>
      <c r="H129" s="983" t="str">
        <f>IF(D142&lt;&gt;0,IF(F117&gt;40%,"La norme n'est pas respectée","La norme est respectée"),"")</f>
        <v>La norme n'est pas respectée</v>
      </c>
      <c r="J129" s="160"/>
    </row>
    <row r="130" spans="1:10" ht="15.75" customHeight="1">
      <c r="A130" s="166" t="s">
        <v>757</v>
      </c>
      <c r="B130" s="166" t="s">
        <v>657</v>
      </c>
      <c r="C130" s="284">
        <f t="shared" si="4"/>
        <v>0</v>
      </c>
      <c r="D130" s="284">
        <f t="shared" si="4"/>
        <v>0</v>
      </c>
      <c r="E130" s="929"/>
      <c r="F130" s="929"/>
      <c r="G130" s="987"/>
      <c r="H130" s="984"/>
      <c r="J130" s="160"/>
    </row>
    <row r="131" spans="1:10" ht="15.75" customHeight="1">
      <c r="A131" s="166" t="s">
        <v>292</v>
      </c>
      <c r="B131" s="166" t="s">
        <v>293</v>
      </c>
      <c r="C131" s="284">
        <f t="shared" si="4"/>
        <v>0</v>
      </c>
      <c r="D131" s="284">
        <f t="shared" si="4"/>
        <v>0</v>
      </c>
      <c r="E131" s="929"/>
      <c r="F131" s="929"/>
      <c r="G131" s="987"/>
      <c r="H131" s="984"/>
      <c r="J131" s="160"/>
    </row>
    <row r="132" spans="1:10" ht="15.75" customHeight="1">
      <c r="A132" s="166" t="s">
        <v>296</v>
      </c>
      <c r="B132" s="166" t="s">
        <v>297</v>
      </c>
      <c r="C132" s="284">
        <f t="shared" si="4"/>
        <v>0</v>
      </c>
      <c r="D132" s="284">
        <f t="shared" si="4"/>
        <v>0</v>
      </c>
      <c r="E132" s="929"/>
      <c r="F132" s="929"/>
      <c r="G132" s="987"/>
      <c r="H132" s="984"/>
      <c r="J132" s="160"/>
    </row>
    <row r="133" spans="1:10" ht="15.75" customHeight="1">
      <c r="A133" s="166" t="s">
        <v>191</v>
      </c>
      <c r="B133" s="166" t="s">
        <v>276</v>
      </c>
      <c r="C133" s="284">
        <f t="shared" ref="C133:C141" si="5">C81</f>
        <v>0</v>
      </c>
      <c r="D133" s="284">
        <f t="shared" ref="D133:D141" si="6">D81</f>
        <v>243810803</v>
      </c>
      <c r="E133" s="929"/>
      <c r="F133" s="929"/>
      <c r="G133" s="987"/>
      <c r="H133" s="984"/>
      <c r="J133" s="160"/>
    </row>
    <row r="134" spans="1:10" ht="15.75" customHeight="1">
      <c r="A134" s="166" t="s">
        <v>194</v>
      </c>
      <c r="B134" s="166" t="s">
        <v>279</v>
      </c>
      <c r="C134" s="284">
        <f t="shared" si="5"/>
        <v>2480126</v>
      </c>
      <c r="D134" s="284">
        <f t="shared" si="6"/>
        <v>1815156</v>
      </c>
      <c r="E134" s="929"/>
      <c r="F134" s="929"/>
      <c r="G134" s="987"/>
      <c r="H134" s="984"/>
      <c r="J134" s="160"/>
    </row>
    <row r="135" spans="1:10" ht="15.75" customHeight="1">
      <c r="A135" s="166" t="s">
        <v>204</v>
      </c>
      <c r="B135" s="166" t="s">
        <v>210</v>
      </c>
      <c r="C135" s="284">
        <f t="shared" si="5"/>
        <v>0</v>
      </c>
      <c r="D135" s="284">
        <f t="shared" si="6"/>
        <v>0</v>
      </c>
      <c r="E135" s="929"/>
      <c r="F135" s="929"/>
      <c r="G135" s="987"/>
      <c r="H135" s="984"/>
      <c r="J135" s="160"/>
    </row>
    <row r="136" spans="1:10" ht="15.75" customHeight="1">
      <c r="A136" s="166" t="s">
        <v>208</v>
      </c>
      <c r="B136" s="166" t="s">
        <v>211</v>
      </c>
      <c r="C136" s="284">
        <f t="shared" si="5"/>
        <v>0</v>
      </c>
      <c r="D136" s="284">
        <f t="shared" si="6"/>
        <v>0</v>
      </c>
      <c r="E136" s="929"/>
      <c r="F136" s="929"/>
      <c r="G136" s="987"/>
      <c r="H136" s="984"/>
      <c r="J136" s="160"/>
    </row>
    <row r="137" spans="1:10" ht="15.75" customHeight="1">
      <c r="A137" s="166" t="s">
        <v>564</v>
      </c>
      <c r="B137" s="166" t="s">
        <v>565</v>
      </c>
      <c r="C137" s="284">
        <f t="shared" si="5"/>
        <v>0</v>
      </c>
      <c r="D137" s="284">
        <f t="shared" si="6"/>
        <v>0</v>
      </c>
      <c r="E137" s="929"/>
      <c r="F137" s="929"/>
      <c r="G137" s="987"/>
      <c r="H137" s="984"/>
      <c r="J137" s="160"/>
    </row>
    <row r="138" spans="1:10" ht="15.75" customHeight="1">
      <c r="A138" s="166" t="s">
        <v>566</v>
      </c>
      <c r="B138" s="166" t="s">
        <v>568</v>
      </c>
      <c r="C138" s="284">
        <f t="shared" si="5"/>
        <v>0</v>
      </c>
      <c r="D138" s="284">
        <f t="shared" si="6"/>
        <v>0</v>
      </c>
      <c r="E138" s="929"/>
      <c r="F138" s="929"/>
      <c r="G138" s="987"/>
      <c r="H138" s="984"/>
      <c r="J138" s="160"/>
    </row>
    <row r="139" spans="1:10" ht="15.75" customHeight="1">
      <c r="A139" s="166" t="s">
        <v>567</v>
      </c>
      <c r="B139" s="166" t="s">
        <v>657</v>
      </c>
      <c r="C139" s="284">
        <f t="shared" si="5"/>
        <v>0</v>
      </c>
      <c r="D139" s="284">
        <f t="shared" si="6"/>
        <v>0</v>
      </c>
      <c r="E139" s="929"/>
      <c r="F139" s="929"/>
      <c r="G139" s="987"/>
      <c r="H139" s="984"/>
      <c r="J139" s="160"/>
    </row>
    <row r="140" spans="1:10" ht="15.75" customHeight="1">
      <c r="A140" s="166" t="s">
        <v>290</v>
      </c>
      <c r="B140" s="166" t="s">
        <v>291</v>
      </c>
      <c r="C140" s="284">
        <f t="shared" si="5"/>
        <v>1044595</v>
      </c>
      <c r="D140" s="284">
        <f t="shared" si="6"/>
        <v>0</v>
      </c>
      <c r="E140" s="929"/>
      <c r="F140" s="929"/>
      <c r="G140" s="987"/>
      <c r="H140" s="984"/>
      <c r="J140" s="160"/>
    </row>
    <row r="141" spans="1:10" ht="15.75" customHeight="1">
      <c r="A141" s="166" t="s">
        <v>294</v>
      </c>
      <c r="B141" s="166" t="s">
        <v>295</v>
      </c>
      <c r="C141" s="284">
        <f t="shared" si="5"/>
        <v>0</v>
      </c>
      <c r="D141" s="284">
        <f t="shared" si="6"/>
        <v>0</v>
      </c>
      <c r="E141" s="929"/>
      <c r="F141" s="929"/>
      <c r="G141" s="987"/>
      <c r="H141" s="984"/>
      <c r="J141" s="160"/>
    </row>
    <row r="142" spans="1:10" ht="15.75" customHeight="1">
      <c r="A142" s="278"/>
      <c r="B142" s="278" t="s">
        <v>1500</v>
      </c>
      <c r="C142" s="533">
        <f>SUM(C124:C132)-SUM(C133:C141)</f>
        <v>655809548</v>
      </c>
      <c r="D142" s="533">
        <f>SUM(D124:D132)-SUM(D133:D141)</f>
        <v>419213138</v>
      </c>
      <c r="E142" s="930"/>
      <c r="F142" s="930"/>
      <c r="G142" s="988"/>
      <c r="H142" s="985"/>
      <c r="J142" s="160"/>
    </row>
    <row r="143" spans="1:10" ht="15.75" customHeight="1">
      <c r="J143" s="160"/>
    </row>
    <row r="144" spans="1:10" ht="15.75" customHeight="1">
      <c r="A144" s="296"/>
      <c r="B144" s="296"/>
      <c r="C144" s="609"/>
      <c r="D144" s="609"/>
      <c r="E144" s="609"/>
      <c r="F144" s="609"/>
      <c r="G144" s="609"/>
      <c r="H144" s="609"/>
      <c r="J144" s="160"/>
    </row>
    <row r="145" spans="1:10" ht="15.75" customHeight="1">
      <c r="A145" s="297"/>
      <c r="B145" s="297"/>
      <c r="C145" s="610"/>
      <c r="D145" s="610"/>
      <c r="E145" s="610"/>
      <c r="F145" s="610"/>
      <c r="G145" s="610"/>
      <c r="H145" s="610"/>
      <c r="J145" s="160"/>
    </row>
    <row r="146" spans="1:10" ht="15.75" customHeight="1">
      <c r="J146" s="160"/>
    </row>
    <row r="147" spans="1:10" ht="15.75" customHeight="1">
      <c r="A147" s="976" t="s">
        <v>1611</v>
      </c>
      <c r="B147" s="976"/>
      <c r="C147" s="976"/>
      <c r="D147" s="976"/>
      <c r="E147" s="976"/>
      <c r="F147" s="976"/>
      <c r="G147" s="976"/>
      <c r="H147" s="976"/>
      <c r="J147" s="160"/>
    </row>
    <row r="148" spans="1:10" ht="15.75" customHeight="1">
      <c r="J148" s="160"/>
    </row>
    <row r="149" spans="1:10" ht="15.75" customHeight="1">
      <c r="A149" s="950" t="s">
        <v>1612</v>
      </c>
      <c r="B149" s="950"/>
      <c r="C149" s="950"/>
      <c r="D149" s="950"/>
      <c r="E149" s="950"/>
      <c r="F149" s="950"/>
      <c r="G149" s="950"/>
      <c r="H149" s="950"/>
      <c r="J149" s="160"/>
    </row>
    <row r="150" spans="1:10" ht="15.75" customHeight="1">
      <c r="A150" s="951" t="s">
        <v>1484</v>
      </c>
      <c r="B150" s="951"/>
      <c r="C150" s="951"/>
      <c r="D150" s="951"/>
      <c r="E150" s="590"/>
      <c r="F150" s="590"/>
      <c r="G150" s="590"/>
      <c r="H150" s="590"/>
      <c r="J150" s="160"/>
    </row>
    <row r="151" spans="1:10" ht="15.75" customHeight="1">
      <c r="A151" s="271" t="s">
        <v>1485</v>
      </c>
      <c r="B151" s="272" t="s">
        <v>1613</v>
      </c>
      <c r="C151" s="210" t="str">
        <f>C$6</f>
        <v>Montant N-1</v>
      </c>
      <c r="D151" s="210" t="str">
        <f>D$6</f>
        <v>Montant N</v>
      </c>
      <c r="E151" s="210" t="str">
        <f>E$6</f>
        <v>Résultat N-1</v>
      </c>
      <c r="F151" s="210" t="str">
        <f>F$6</f>
        <v>Résultat N</v>
      </c>
      <c r="G151" s="271" t="s">
        <v>1488</v>
      </c>
      <c r="H151" s="273" t="s">
        <v>1489</v>
      </c>
      <c r="J151" s="160"/>
    </row>
    <row r="152" spans="1:10" ht="15.75" customHeight="1">
      <c r="A152" s="283" t="s">
        <v>192</v>
      </c>
      <c r="B152" s="287" t="s">
        <v>1614</v>
      </c>
      <c r="C152" s="298">
        <f t="shared" ref="C152:D160" si="7">C7</f>
        <v>0</v>
      </c>
      <c r="D152" s="298">
        <f t="shared" si="7"/>
        <v>0</v>
      </c>
      <c r="E152" s="928">
        <f>IF(C176&lt;&gt;0,C161/C176,0)</f>
        <v>0.19118737847053313</v>
      </c>
      <c r="F152" s="928">
        <f>IF(D176&lt;&gt;0,D161/D176,0)</f>
        <v>0.19227929295757346</v>
      </c>
      <c r="G152" s="989" t="s">
        <v>1615</v>
      </c>
      <c r="H152" s="983" t="str">
        <f>IF(D176&lt;&gt;0,IF(F152&lt;15%,"La norme n'est pas respectée","La norme est respectée"),"")</f>
        <v>La norme est respectée</v>
      </c>
      <c r="J152" s="160"/>
    </row>
    <row r="153" spans="1:10" ht="15.75" customHeight="1">
      <c r="A153" s="283" t="s">
        <v>213</v>
      </c>
      <c r="B153" s="287" t="s">
        <v>280</v>
      </c>
      <c r="C153" s="298">
        <f t="shared" si="7"/>
        <v>659334269</v>
      </c>
      <c r="D153" s="298">
        <f t="shared" si="7"/>
        <v>664839097</v>
      </c>
      <c r="E153" s="929"/>
      <c r="F153" s="929"/>
      <c r="G153" s="990"/>
      <c r="H153" s="984"/>
      <c r="J153" s="160"/>
    </row>
    <row r="154" spans="1:10" ht="15.75" customHeight="1">
      <c r="A154" s="289" t="s">
        <v>283</v>
      </c>
      <c r="B154" s="290" t="s">
        <v>284</v>
      </c>
      <c r="C154" s="298">
        <f t="shared" si="7"/>
        <v>0</v>
      </c>
      <c r="D154" s="298">
        <f t="shared" si="7"/>
        <v>0</v>
      </c>
      <c r="E154" s="929"/>
      <c r="F154" s="929"/>
      <c r="G154" s="990"/>
      <c r="H154" s="984"/>
      <c r="J154" s="160"/>
    </row>
    <row r="155" spans="1:10" ht="15.75" customHeight="1">
      <c r="A155" s="283" t="s">
        <v>288</v>
      </c>
      <c r="B155" s="283" t="s">
        <v>289</v>
      </c>
      <c r="C155" s="284">
        <f t="shared" si="7"/>
        <v>0</v>
      </c>
      <c r="D155" s="284">
        <f t="shared" si="7"/>
        <v>0</v>
      </c>
      <c r="E155" s="929"/>
      <c r="F155" s="929"/>
      <c r="G155" s="990"/>
      <c r="H155" s="984"/>
      <c r="J155" s="160"/>
    </row>
    <row r="156" spans="1:10" ht="15.75" customHeight="1">
      <c r="A156" s="283" t="s">
        <v>732</v>
      </c>
      <c r="B156" s="283" t="s">
        <v>748</v>
      </c>
      <c r="C156" s="284">
        <f t="shared" si="7"/>
        <v>0</v>
      </c>
      <c r="D156" s="284">
        <f t="shared" si="7"/>
        <v>0</v>
      </c>
      <c r="E156" s="929"/>
      <c r="F156" s="929"/>
      <c r="G156" s="990"/>
      <c r="H156" s="984"/>
      <c r="J156" s="160"/>
    </row>
    <row r="157" spans="1:10" ht="15.75" customHeight="1">
      <c r="A157" s="283" t="s">
        <v>752</v>
      </c>
      <c r="B157" s="283" t="s">
        <v>755</v>
      </c>
      <c r="C157" s="284">
        <f t="shared" si="7"/>
        <v>0</v>
      </c>
      <c r="D157" s="284">
        <f t="shared" si="7"/>
        <v>0</v>
      </c>
      <c r="E157" s="929"/>
      <c r="F157" s="929"/>
      <c r="G157" s="990"/>
      <c r="H157" s="984"/>
      <c r="J157" s="160"/>
    </row>
    <row r="158" spans="1:10" ht="15.75" customHeight="1">
      <c r="A158" s="283" t="s">
        <v>757</v>
      </c>
      <c r="B158" s="283" t="s">
        <v>657</v>
      </c>
      <c r="C158" s="284">
        <f t="shared" si="7"/>
        <v>0</v>
      </c>
      <c r="D158" s="284">
        <f t="shared" si="7"/>
        <v>0</v>
      </c>
      <c r="E158" s="929"/>
      <c r="F158" s="929"/>
      <c r="G158" s="990"/>
      <c r="H158" s="984"/>
      <c r="J158" s="160"/>
    </row>
    <row r="159" spans="1:10" ht="15.75" customHeight="1">
      <c r="A159" s="283" t="s">
        <v>292</v>
      </c>
      <c r="B159" s="283" t="s">
        <v>293</v>
      </c>
      <c r="C159" s="284">
        <f t="shared" si="7"/>
        <v>0</v>
      </c>
      <c r="D159" s="284">
        <f t="shared" si="7"/>
        <v>0</v>
      </c>
      <c r="E159" s="929"/>
      <c r="F159" s="929"/>
      <c r="G159" s="990"/>
      <c r="H159" s="984"/>
      <c r="J159" s="160"/>
    </row>
    <row r="160" spans="1:10" ht="15.75" customHeight="1">
      <c r="A160" s="283" t="s">
        <v>296</v>
      </c>
      <c r="B160" s="283" t="s">
        <v>297</v>
      </c>
      <c r="C160" s="284">
        <f t="shared" si="7"/>
        <v>0</v>
      </c>
      <c r="D160" s="284">
        <f t="shared" si="7"/>
        <v>0</v>
      </c>
      <c r="E160" s="929"/>
      <c r="F160" s="929"/>
      <c r="G160" s="990"/>
      <c r="H160" s="984"/>
      <c r="J160" s="160"/>
    </row>
    <row r="161" spans="1:10" ht="15.75" customHeight="1">
      <c r="A161" s="278"/>
      <c r="B161" s="278" t="s">
        <v>1495</v>
      </c>
      <c r="C161" s="533">
        <f>SUM(C152:C160)</f>
        <v>659334269</v>
      </c>
      <c r="D161" s="533">
        <f>SUM(D152:D160)</f>
        <v>664839097</v>
      </c>
      <c r="E161" s="929"/>
      <c r="F161" s="929"/>
      <c r="G161" s="990"/>
      <c r="H161" s="984"/>
      <c r="J161" s="160"/>
    </row>
    <row r="162" spans="1:10" ht="15.75" customHeight="1">
      <c r="A162" s="611"/>
      <c r="B162" s="612"/>
      <c r="C162" s="613"/>
      <c r="D162" s="613"/>
      <c r="E162" s="929"/>
      <c r="F162" s="929"/>
      <c r="G162" s="990"/>
      <c r="H162" s="984"/>
    </row>
    <row r="163" spans="1:10" ht="15.75" customHeight="1">
      <c r="A163" s="614"/>
      <c r="B163" s="615"/>
      <c r="C163" s="616"/>
      <c r="D163" s="616"/>
      <c r="E163" s="929"/>
      <c r="F163" s="929"/>
      <c r="G163" s="990"/>
      <c r="H163" s="984"/>
    </row>
    <row r="164" spans="1:10" ht="15.75" customHeight="1">
      <c r="A164" s="271"/>
      <c r="B164" s="272" t="s">
        <v>1616</v>
      </c>
      <c r="C164" s="536"/>
      <c r="D164" s="536"/>
      <c r="E164" s="929"/>
      <c r="F164" s="929"/>
      <c r="G164" s="990"/>
      <c r="H164" s="984"/>
    </row>
    <row r="165" spans="1:10" ht="15.75" customHeight="1">
      <c r="A165" s="617"/>
      <c r="B165" s="618"/>
      <c r="C165" s="619"/>
      <c r="D165" s="619"/>
      <c r="E165" s="929"/>
      <c r="F165" s="929"/>
      <c r="G165" s="990"/>
      <c r="H165" s="984"/>
    </row>
    <row r="166" spans="1:10" ht="15.75" customHeight="1">
      <c r="A166" s="279" t="s">
        <v>218</v>
      </c>
      <c r="B166" s="279" t="s">
        <v>219</v>
      </c>
      <c r="C166" s="544">
        <f>'Bilan et Hors Bilan'!F8</f>
        <v>1543790</v>
      </c>
      <c r="D166" s="544">
        <f>'Bilan et Hors Bilan'!E8</f>
        <v>24838193</v>
      </c>
      <c r="E166" s="929"/>
      <c r="F166" s="929"/>
      <c r="G166" s="990"/>
      <c r="H166" s="984"/>
      <c r="J166" s="316">
        <f t="shared" ref="J166:J175" si="8">IF(ISBLANK(D166),1,0)</f>
        <v>0</v>
      </c>
    </row>
    <row r="167" spans="1:10" ht="15.75" customHeight="1">
      <c r="A167" s="299" t="s">
        <v>102</v>
      </c>
      <c r="B167" s="299" t="s">
        <v>1617</v>
      </c>
      <c r="C167" s="544">
        <f>'Bilan et Hors Bilan'!F9</f>
        <v>1543790</v>
      </c>
      <c r="D167" s="544">
        <f>'Bilan et Hors Bilan'!E9</f>
        <v>0</v>
      </c>
      <c r="E167" s="929"/>
      <c r="F167" s="929"/>
      <c r="G167" s="990"/>
      <c r="H167" s="984"/>
      <c r="J167" s="316">
        <f t="shared" si="8"/>
        <v>0</v>
      </c>
    </row>
    <row r="168" spans="1:10" ht="15.75" customHeight="1">
      <c r="A168" s="299" t="s">
        <v>113</v>
      </c>
      <c r="B168" s="299" t="s">
        <v>112</v>
      </c>
      <c r="C168" s="544">
        <f>'Bilan et Hors Bilan'!F27</f>
        <v>0</v>
      </c>
      <c r="D168" s="544">
        <f>'Bilan et Hors Bilan'!E27</f>
        <v>0</v>
      </c>
      <c r="E168" s="929"/>
      <c r="F168" s="929"/>
      <c r="G168" s="990"/>
      <c r="H168" s="984"/>
      <c r="J168" s="316">
        <f t="shared" si="8"/>
        <v>0</v>
      </c>
    </row>
    <row r="169" spans="1:10" ht="15.75" customHeight="1">
      <c r="A169" s="299" t="s">
        <v>3</v>
      </c>
      <c r="B169" s="299" t="s">
        <v>229</v>
      </c>
      <c r="C169" s="544">
        <f>'Bilan et Hors Bilan'!F28</f>
        <v>0</v>
      </c>
      <c r="D169" s="544">
        <f>'Bilan et Hors Bilan'!E28</f>
        <v>0</v>
      </c>
      <c r="E169" s="929"/>
      <c r="F169" s="929"/>
      <c r="G169" s="990"/>
      <c r="H169" s="984"/>
      <c r="J169" s="316">
        <f t="shared" si="8"/>
        <v>0</v>
      </c>
    </row>
    <row r="170" spans="1:10" ht="15.75" customHeight="1">
      <c r="A170" s="279" t="s">
        <v>236</v>
      </c>
      <c r="B170" s="279" t="s">
        <v>459</v>
      </c>
      <c r="C170" s="544">
        <f>'Bilan et Hors Bilan'!F35</f>
        <v>3550324710</v>
      </c>
      <c r="D170" s="544">
        <f>'Bilan et Hors Bilan'!E35</f>
        <v>3627777153</v>
      </c>
      <c r="E170" s="929"/>
      <c r="F170" s="929"/>
      <c r="G170" s="990"/>
      <c r="H170" s="984"/>
      <c r="J170" s="316">
        <f t="shared" si="8"/>
        <v>0</v>
      </c>
    </row>
    <row r="171" spans="1:10" ht="15.75" customHeight="1">
      <c r="A171" s="299" t="s">
        <v>114</v>
      </c>
      <c r="B171" s="299" t="s">
        <v>112</v>
      </c>
      <c r="C171" s="544">
        <f>'Bilan et Hors Bilan'!F44</f>
        <v>65175236</v>
      </c>
      <c r="D171" s="544">
        <f>'Bilan et Hors Bilan'!E44</f>
        <v>100119415</v>
      </c>
      <c r="E171" s="929"/>
      <c r="F171" s="929"/>
      <c r="G171" s="990"/>
      <c r="H171" s="984"/>
      <c r="J171" s="316">
        <f t="shared" si="8"/>
        <v>0</v>
      </c>
    </row>
    <row r="172" spans="1:10" ht="15.75" customHeight="1">
      <c r="A172" s="299" t="s">
        <v>49</v>
      </c>
      <c r="B172" s="299" t="s">
        <v>438</v>
      </c>
      <c r="C172" s="544">
        <f>'Bilan et Hors Bilan'!F45</f>
        <v>36520834</v>
      </c>
      <c r="D172" s="544">
        <f>'Bilan et Hors Bilan'!E45</f>
        <v>95322009</v>
      </c>
      <c r="E172" s="929"/>
      <c r="F172" s="929"/>
      <c r="G172" s="990"/>
      <c r="H172" s="984"/>
      <c r="J172" s="316">
        <f t="shared" si="8"/>
        <v>0</v>
      </c>
    </row>
    <row r="173" spans="1:10" ht="15.75" customHeight="1">
      <c r="A173" s="299" t="s">
        <v>16</v>
      </c>
      <c r="B173" s="299" t="s">
        <v>17</v>
      </c>
      <c r="C173" s="544">
        <f>'Bilan et Hors Bilan'!F54</f>
        <v>0</v>
      </c>
      <c r="D173" s="544">
        <f>'Bilan et Hors Bilan'!E54</f>
        <v>0</v>
      </c>
      <c r="E173" s="929"/>
      <c r="F173" s="929"/>
      <c r="G173" s="990"/>
      <c r="H173" s="984"/>
      <c r="J173" s="316">
        <f t="shared" si="8"/>
        <v>0</v>
      </c>
    </row>
    <row r="174" spans="1:10" ht="15.75" customHeight="1">
      <c r="A174" s="299" t="s">
        <v>110</v>
      </c>
      <c r="B174" s="299" t="s">
        <v>111</v>
      </c>
      <c r="C174" s="544">
        <f>'Bilan et Hors Bilan'!F62</f>
        <v>0</v>
      </c>
      <c r="D174" s="544">
        <f>'Bilan et Hors Bilan'!E62</f>
        <v>0</v>
      </c>
      <c r="E174" s="929"/>
      <c r="F174" s="929"/>
      <c r="G174" s="990"/>
      <c r="H174" s="984"/>
      <c r="J174" s="316">
        <f t="shared" si="8"/>
        <v>0</v>
      </c>
    </row>
    <row r="175" spans="1:10" ht="15.75" customHeight="1">
      <c r="A175" s="299" t="s">
        <v>249</v>
      </c>
      <c r="B175" s="299" t="s">
        <v>251</v>
      </c>
      <c r="C175" s="544">
        <f>'Bilan et Hors Bilan'!F72</f>
        <v>0</v>
      </c>
      <c r="D175" s="544">
        <f>'Bilan et Hors Bilan'!E72</f>
        <v>500000</v>
      </c>
      <c r="E175" s="929"/>
      <c r="F175" s="929"/>
      <c r="G175" s="990"/>
      <c r="H175" s="984"/>
      <c r="J175" s="316">
        <f t="shared" si="8"/>
        <v>0</v>
      </c>
    </row>
    <row r="176" spans="1:10" ht="15.75" customHeight="1">
      <c r="A176" s="278"/>
      <c r="B176" s="278" t="s">
        <v>1500</v>
      </c>
      <c r="C176" s="533">
        <f>(C166-C167-C168-C169)+(C170-C171-C172)+(C173+C174)+C175</f>
        <v>3448628640</v>
      </c>
      <c r="D176" s="533">
        <f>(D166-D167-D168-D169)+(D170-D171-D172)+(D173+D174)+D175</f>
        <v>3457673922</v>
      </c>
      <c r="E176" s="930"/>
      <c r="F176" s="930"/>
      <c r="G176" s="991"/>
      <c r="H176" s="985"/>
    </row>
    <row r="177" spans="1:10" ht="15.75" customHeight="1"/>
    <row r="178" spans="1:10" ht="15.75" customHeight="1">
      <c r="A178" s="78"/>
      <c r="B178" s="78"/>
      <c r="C178" s="78"/>
      <c r="D178" s="78"/>
      <c r="E178" s="78"/>
      <c r="F178" s="78"/>
      <c r="G178" s="78"/>
      <c r="H178" s="78"/>
    </row>
    <row r="179" spans="1:10" ht="15.75" customHeight="1">
      <c r="A179" s="950" t="s">
        <v>1618</v>
      </c>
      <c r="B179" s="950"/>
      <c r="C179" s="950"/>
      <c r="D179" s="950"/>
      <c r="E179" s="950"/>
      <c r="F179" s="950"/>
      <c r="G179" s="950"/>
      <c r="H179" s="950"/>
      <c r="J179" s="160"/>
    </row>
    <row r="180" spans="1:10" ht="15.75" customHeight="1">
      <c r="A180" s="951" t="s">
        <v>1484</v>
      </c>
      <c r="B180" s="951"/>
      <c r="C180" s="951"/>
      <c r="D180" s="951"/>
      <c r="E180" s="590"/>
      <c r="F180" s="590"/>
      <c r="G180" s="590"/>
      <c r="H180" s="590"/>
      <c r="J180" s="160"/>
    </row>
    <row r="181" spans="1:10" ht="15.75" customHeight="1">
      <c r="A181" s="271" t="s">
        <v>1485</v>
      </c>
      <c r="B181" s="272" t="s">
        <v>1619</v>
      </c>
      <c r="C181" s="210" t="str">
        <f>C$6</f>
        <v>Montant N-1</v>
      </c>
      <c r="D181" s="210" t="str">
        <f>D$6</f>
        <v>Montant N</v>
      </c>
      <c r="E181" s="210" t="str">
        <f>E$6</f>
        <v>Résultat N-1</v>
      </c>
      <c r="F181" s="210" t="str">
        <f>F$6</f>
        <v>Résultat N</v>
      </c>
      <c r="G181" s="271" t="s">
        <v>1488</v>
      </c>
      <c r="H181" s="273" t="s">
        <v>1489</v>
      </c>
      <c r="J181" s="160"/>
    </row>
    <row r="182" spans="1:10" ht="15.75" customHeight="1">
      <c r="A182" s="300" t="s">
        <v>102</v>
      </c>
      <c r="B182" s="300" t="s">
        <v>1617</v>
      </c>
      <c r="C182" s="284">
        <f>C167</f>
        <v>1543790</v>
      </c>
      <c r="D182" s="284">
        <f>D167</f>
        <v>0</v>
      </c>
      <c r="E182" s="928">
        <f>IF(C190&lt;&gt;0,C187/C190,0)</f>
        <v>3.4181800425636845E-4</v>
      </c>
      <c r="F182" s="928">
        <f>IF(D190&lt;&gt;0,D187/D190,0)</f>
        <v>6.5715825727858911E-3</v>
      </c>
      <c r="G182" s="952" t="s">
        <v>2052</v>
      </c>
      <c r="H182" s="955" t="str">
        <f>IF(D190&lt;&gt;0,IF(F182&gt;2%,"La norme est respectée","La norme n'est pas respectée"),"")</f>
        <v>La norme n'est pas respectée</v>
      </c>
      <c r="J182" s="160"/>
    </row>
    <row r="183" spans="1:10" ht="15.75" customHeight="1">
      <c r="A183" s="299" t="s">
        <v>0</v>
      </c>
      <c r="B183" s="299" t="s">
        <v>225</v>
      </c>
      <c r="C183" s="544">
        <f>'Bilan et Hors Bilan'!F17</f>
        <v>0</v>
      </c>
      <c r="D183" s="544">
        <f>'Bilan et Hors Bilan'!E17</f>
        <v>24838193</v>
      </c>
      <c r="E183" s="929"/>
      <c r="F183" s="929"/>
      <c r="G183" s="953"/>
      <c r="H183" s="956"/>
      <c r="J183" s="160"/>
    </row>
    <row r="184" spans="1:10" ht="15.75" customHeight="1">
      <c r="A184" s="301" t="s">
        <v>44</v>
      </c>
      <c r="B184" s="301" t="s">
        <v>542</v>
      </c>
      <c r="C184" s="546">
        <f>'Bilan et Hors Bilan'!F18</f>
        <v>0</v>
      </c>
      <c r="D184" s="546">
        <f>'Bilan et Hors Bilan'!E18</f>
        <v>0</v>
      </c>
      <c r="E184" s="929"/>
      <c r="F184" s="929"/>
      <c r="G184" s="953"/>
      <c r="H184" s="956"/>
      <c r="J184" s="160"/>
    </row>
    <row r="185" spans="1:10" ht="15.75" customHeight="1">
      <c r="A185" s="301" t="s">
        <v>47</v>
      </c>
      <c r="B185" s="301" t="s">
        <v>141</v>
      </c>
      <c r="C185" s="546">
        <f>'Bilan et Hors Bilan'!F21</f>
        <v>0</v>
      </c>
      <c r="D185" s="546">
        <f>'Bilan et Hors Bilan'!E21</f>
        <v>0</v>
      </c>
      <c r="E185" s="929"/>
      <c r="F185" s="929"/>
      <c r="G185" s="954"/>
      <c r="H185" s="957"/>
      <c r="J185" s="160"/>
    </row>
    <row r="186" spans="1:10" ht="15.75" customHeight="1">
      <c r="A186" s="299" t="s">
        <v>16</v>
      </c>
      <c r="B186" s="299" t="s">
        <v>17</v>
      </c>
      <c r="C186" s="544">
        <f>'Bilan et Hors Bilan'!F54</f>
        <v>0</v>
      </c>
      <c r="D186" s="544">
        <f>'Bilan et Hors Bilan'!E54</f>
        <v>0</v>
      </c>
      <c r="E186" s="929"/>
      <c r="F186" s="929"/>
      <c r="G186" s="952" t="s">
        <v>2051</v>
      </c>
      <c r="H186" s="955" t="str">
        <f>IF(D190&lt;&gt;0,IF(F182&gt;5%,"La norme est respectée","La norme n'est pas respectée"),"")</f>
        <v>La norme n'est pas respectée</v>
      </c>
      <c r="J186" s="160"/>
    </row>
    <row r="187" spans="1:10" ht="15.75" customHeight="1">
      <c r="A187" s="278"/>
      <c r="B187" s="278" t="s">
        <v>1495</v>
      </c>
      <c r="C187" s="533">
        <f>SUM(C182:C186)</f>
        <v>1543790</v>
      </c>
      <c r="D187" s="533">
        <f>SUM(D182:D186)</f>
        <v>24838193</v>
      </c>
      <c r="E187" s="929"/>
      <c r="F187" s="929"/>
      <c r="G187" s="953"/>
      <c r="H187" s="956"/>
      <c r="J187" s="160"/>
    </row>
    <row r="188" spans="1:10" ht="15.75" customHeight="1">
      <c r="A188" s="271"/>
      <c r="B188" s="272" t="s">
        <v>1620</v>
      </c>
      <c r="C188" s="210" t="str">
        <f>C$6</f>
        <v>Montant N-1</v>
      </c>
      <c r="D188" s="210" t="str">
        <f>D$6</f>
        <v>Montant N</v>
      </c>
      <c r="E188" s="929"/>
      <c r="F188" s="929"/>
      <c r="G188" s="953"/>
      <c r="H188" s="956"/>
      <c r="J188" s="160"/>
    </row>
    <row r="189" spans="1:10" ht="15.75" customHeight="1">
      <c r="A189" s="302" t="s">
        <v>266</v>
      </c>
      <c r="B189" s="302" t="s">
        <v>269</v>
      </c>
      <c r="C189" s="544">
        <f>'Bilan et Hors Bilan'!F121</f>
        <v>4516409261</v>
      </c>
      <c r="D189" s="544">
        <f>'Bilan et Hors Bilan'!E121</f>
        <v>3779636446</v>
      </c>
      <c r="E189" s="929"/>
      <c r="F189" s="929"/>
      <c r="G189" s="953"/>
      <c r="H189" s="956"/>
      <c r="J189" s="160"/>
    </row>
    <row r="190" spans="1:10" ht="15.75" customHeight="1">
      <c r="A190" s="278"/>
      <c r="B190" s="278" t="s">
        <v>1500</v>
      </c>
      <c r="C190" s="533">
        <f>C189</f>
        <v>4516409261</v>
      </c>
      <c r="D190" s="533">
        <f>D189</f>
        <v>3779636446</v>
      </c>
      <c r="E190" s="930"/>
      <c r="F190" s="930"/>
      <c r="G190" s="954"/>
      <c r="H190" s="957"/>
      <c r="J190" s="160"/>
    </row>
    <row r="191" spans="1:10" ht="15.75" customHeight="1">
      <c r="A191" s="78"/>
      <c r="B191" s="78"/>
      <c r="C191" s="78"/>
      <c r="D191" s="78"/>
      <c r="E191" s="78"/>
      <c r="F191" s="78"/>
      <c r="G191" s="78"/>
      <c r="H191" s="78"/>
    </row>
    <row r="192" spans="1:10" ht="15.75" customHeight="1"/>
    <row r="193" spans="1:8" s="160" customFormat="1" ht="15.75" customHeight="1">
      <c r="A193" s="950" t="s">
        <v>1621</v>
      </c>
      <c r="B193" s="950"/>
      <c r="C193" s="950"/>
      <c r="D193" s="950"/>
      <c r="E193" s="950"/>
      <c r="F193" s="950"/>
      <c r="G193" s="950"/>
      <c r="H193" s="950"/>
    </row>
    <row r="194" spans="1:8" s="160" customFormat="1" ht="15.75" customHeight="1">
      <c r="A194" s="951" t="s">
        <v>1484</v>
      </c>
      <c r="B194" s="951"/>
      <c r="C194" s="951"/>
      <c r="D194" s="951"/>
      <c r="E194" s="590"/>
      <c r="F194" s="590"/>
      <c r="G194" s="590"/>
      <c r="H194" s="590"/>
    </row>
    <row r="195" spans="1:8" s="160" customFormat="1" ht="15.75" customHeight="1">
      <c r="A195" s="271" t="s">
        <v>1485</v>
      </c>
      <c r="B195" s="272" t="s">
        <v>1622</v>
      </c>
      <c r="C195" s="210" t="str">
        <f>C$6</f>
        <v>Montant N-1</v>
      </c>
      <c r="D195" s="210" t="str">
        <f>D$6</f>
        <v>Montant N</v>
      </c>
      <c r="E195" s="210" t="str">
        <f>E$6</f>
        <v>Résultat N-1</v>
      </c>
      <c r="F195" s="210" t="str">
        <f>F$6</f>
        <v>Résultat N</v>
      </c>
      <c r="G195" s="271" t="s">
        <v>1488</v>
      </c>
      <c r="H195" s="273" t="s">
        <v>1489</v>
      </c>
    </row>
    <row r="196" spans="1:8" s="160" customFormat="1" ht="15.75" customHeight="1">
      <c r="A196" s="303" t="s">
        <v>36</v>
      </c>
      <c r="B196" s="303" t="s">
        <v>254</v>
      </c>
      <c r="C196" s="544">
        <f>'Bilan et Hors Bilan'!J75</f>
        <v>2694954783</v>
      </c>
      <c r="D196" s="544">
        <f>'Bilan et Hors Bilan'!I75</f>
        <v>2687394079</v>
      </c>
      <c r="E196" s="928">
        <f>IF(C200&lt;&gt;0,C197/C200,0)</f>
        <v>0.59670296185764549</v>
      </c>
      <c r="F196" s="928">
        <f>IF(D200&lt;&gt;0,D197/D200,0)</f>
        <v>0.71101919917299894</v>
      </c>
      <c r="G196" s="989" t="s">
        <v>1615</v>
      </c>
      <c r="H196" s="955" t="str">
        <f>IF(D200&lt;&gt;0,IF(F196&lt;15%,"La norme n'est pas respectée","La norme est respectée"),"")</f>
        <v>La norme est respectée</v>
      </c>
    </row>
    <row r="197" spans="1:8" s="160" customFormat="1" ht="15.75" customHeight="1">
      <c r="A197" s="278"/>
      <c r="B197" s="278" t="s">
        <v>1495</v>
      </c>
      <c r="C197" s="533">
        <f>C196</f>
        <v>2694954783</v>
      </c>
      <c r="D197" s="533">
        <f>D196</f>
        <v>2687394079</v>
      </c>
      <c r="E197" s="929"/>
      <c r="F197" s="929"/>
      <c r="G197" s="990"/>
      <c r="H197" s="956"/>
    </row>
    <row r="198" spans="1:8" s="160" customFormat="1" ht="15.75" customHeight="1">
      <c r="A198" s="271"/>
      <c r="B198" s="272" t="s">
        <v>1620</v>
      </c>
      <c r="C198" s="273"/>
      <c r="D198" s="273"/>
      <c r="E198" s="929"/>
      <c r="F198" s="929"/>
      <c r="G198" s="990"/>
      <c r="H198" s="956"/>
    </row>
    <row r="199" spans="1:8" s="160" customFormat="1" ht="15.75" customHeight="1">
      <c r="A199" s="300" t="s">
        <v>266</v>
      </c>
      <c r="B199" s="300" t="s">
        <v>269</v>
      </c>
      <c r="C199" s="298">
        <f>C189</f>
        <v>4516409261</v>
      </c>
      <c r="D199" s="298">
        <f>D189</f>
        <v>3779636446</v>
      </c>
      <c r="E199" s="929"/>
      <c r="F199" s="929"/>
      <c r="G199" s="990"/>
      <c r="H199" s="956"/>
    </row>
    <row r="200" spans="1:8" s="160" customFormat="1" ht="15.75" customHeight="1">
      <c r="A200" s="278"/>
      <c r="B200" s="278" t="s">
        <v>1500</v>
      </c>
      <c r="C200" s="533">
        <f>C199</f>
        <v>4516409261</v>
      </c>
      <c r="D200" s="533">
        <f>D199</f>
        <v>3779636446</v>
      </c>
      <c r="E200" s="930"/>
      <c r="F200" s="930"/>
      <c r="G200" s="991"/>
      <c r="H200" s="957"/>
    </row>
    <row r="201" spans="1:8" s="160" customFormat="1" ht="15.75" customHeight="1"/>
    <row r="202" spans="1:8" s="160" customFormat="1" ht="15.75" customHeight="1"/>
    <row r="203" spans="1:8" s="160" customFormat="1" ht="15.75" customHeight="1">
      <c r="A203" s="296"/>
      <c r="B203" s="296"/>
      <c r="C203" s="609"/>
      <c r="D203" s="609"/>
      <c r="E203" s="609"/>
      <c r="F203" s="609"/>
      <c r="G203" s="609"/>
      <c r="H203" s="609"/>
    </row>
    <row r="204" spans="1:8" s="160" customFormat="1" ht="15.75" customHeight="1">
      <c r="A204" s="297"/>
      <c r="B204" s="297"/>
      <c r="C204" s="610"/>
      <c r="D204" s="610"/>
      <c r="E204" s="610"/>
      <c r="F204" s="610"/>
      <c r="G204" s="610"/>
      <c r="H204" s="610"/>
    </row>
    <row r="205" spans="1:8" s="160" customFormat="1" ht="15.75" customHeight="1"/>
    <row r="206" spans="1:8" s="160" customFormat="1" ht="15.75" customHeight="1"/>
    <row r="207" spans="1:8" s="160" customFormat="1" ht="15.75" customHeight="1">
      <c r="A207" s="976" t="s">
        <v>1623</v>
      </c>
      <c r="B207" s="976"/>
      <c r="C207" s="976"/>
      <c r="D207" s="976"/>
      <c r="E207" s="976"/>
      <c r="F207" s="976"/>
      <c r="G207" s="976"/>
      <c r="H207" s="976"/>
    </row>
    <row r="208" spans="1:8" s="160" customFormat="1" ht="15.75" customHeight="1">
      <c r="A208" s="78"/>
      <c r="B208" s="78"/>
      <c r="C208" s="78"/>
      <c r="D208" s="78"/>
      <c r="E208" s="78"/>
      <c r="F208" s="78"/>
      <c r="G208" s="78"/>
      <c r="H208" s="78"/>
    </row>
    <row r="209" spans="1:10" s="316" customFormat="1" ht="15.75" customHeight="1">
      <c r="A209" s="950" t="s">
        <v>1624</v>
      </c>
      <c r="B209" s="950"/>
      <c r="C209" s="950"/>
      <c r="D209" s="950"/>
      <c r="E209" s="950"/>
      <c r="F209" s="950"/>
      <c r="G209" s="950"/>
      <c r="H209" s="950"/>
      <c r="I209" s="160"/>
      <c r="J209" s="160"/>
    </row>
    <row r="210" spans="1:10" ht="15.75" customHeight="1">
      <c r="A210" s="951" t="s">
        <v>1484</v>
      </c>
      <c r="B210" s="951"/>
      <c r="C210" s="951"/>
      <c r="D210" s="951"/>
      <c r="E210" s="590"/>
      <c r="F210" s="590"/>
      <c r="G210" s="590"/>
      <c r="H210" s="590"/>
      <c r="J210" s="160"/>
    </row>
    <row r="211" spans="1:10" ht="15.75" customHeight="1">
      <c r="A211" s="271" t="s">
        <v>1485</v>
      </c>
      <c r="B211" s="272" t="s">
        <v>1791</v>
      </c>
      <c r="C211" s="210" t="str">
        <f>C$6</f>
        <v>Montant N-1</v>
      </c>
      <c r="D211" s="210" t="str">
        <f>D$6</f>
        <v>Montant N</v>
      </c>
      <c r="E211" s="210" t="str">
        <f>E$6</f>
        <v>Résultat N-1</v>
      </c>
      <c r="F211" s="210" t="str">
        <f>F$6</f>
        <v>Résultat N</v>
      </c>
      <c r="G211" s="271" t="s">
        <v>1488</v>
      </c>
      <c r="H211" s="273" t="s">
        <v>1489</v>
      </c>
      <c r="J211" s="160"/>
    </row>
    <row r="212" spans="1:10" ht="15.75" customHeight="1">
      <c r="A212" s="292"/>
      <c r="B212" s="531" t="s">
        <v>1794</v>
      </c>
      <c r="C212" s="532">
        <f>Retraitement!C72</f>
        <v>199404297</v>
      </c>
      <c r="D212" s="532">
        <f>Retraitement!D72</f>
        <v>512844290</v>
      </c>
      <c r="E212" s="992">
        <f>IF(C224&lt;&gt;0,C212/C224,0)</f>
        <v>0.6809375872784641</v>
      </c>
      <c r="F212" s="992">
        <f>IF(D224&lt;&gt;0,D212/D224,0)</f>
        <v>0.13423501705211366</v>
      </c>
      <c r="G212" s="952" t="s">
        <v>1625</v>
      </c>
      <c r="H212" s="955" t="str">
        <f>IF(D224&lt;&gt;0,IF(F212&gt;5%,"La norme n'est pas respectée pour x=30 jours","La norme est respectée pour x=30 jours"),"")</f>
        <v>La norme n'est pas respectée pour x=30 jours</v>
      </c>
      <c r="J212" s="160"/>
    </row>
    <row r="213" spans="1:10" ht="15.75" customHeight="1">
      <c r="A213" s="292"/>
      <c r="B213" s="531" t="s">
        <v>1792</v>
      </c>
      <c r="C213" s="532">
        <f>Retraitement!C73</f>
        <v>184970335</v>
      </c>
      <c r="D213" s="532">
        <f>Retraitement!D73</f>
        <v>425469636</v>
      </c>
      <c r="E213" s="993"/>
      <c r="F213" s="993"/>
      <c r="G213" s="953"/>
      <c r="H213" s="956"/>
      <c r="J213" s="160"/>
    </row>
    <row r="214" spans="1:10" ht="15.75" customHeight="1">
      <c r="A214" s="292"/>
      <c r="B214" s="531" t="s">
        <v>1793</v>
      </c>
      <c r="C214" s="532">
        <f>Retraitement!C74</f>
        <v>178406605</v>
      </c>
      <c r="D214" s="532">
        <f>Retraitement!D74</f>
        <v>388159857</v>
      </c>
      <c r="E214" s="993"/>
      <c r="F214" s="993"/>
      <c r="G214" s="953"/>
      <c r="H214" s="956"/>
      <c r="J214" s="160"/>
    </row>
    <row r="215" spans="1:10" ht="15.75" customHeight="1">
      <c r="A215" s="278"/>
      <c r="B215" s="278"/>
      <c r="C215" s="533"/>
      <c r="D215" s="533"/>
      <c r="E215" s="994"/>
      <c r="F215" s="994"/>
      <c r="G215" s="954"/>
      <c r="H215" s="957"/>
      <c r="J215" s="160"/>
    </row>
    <row r="216" spans="1:10" ht="15.75" customHeight="1">
      <c r="A216" s="285"/>
      <c r="B216" s="285"/>
      <c r="C216" s="286"/>
      <c r="D216" s="286"/>
      <c r="E216" s="992">
        <f>IF(C224&lt;&gt;0,C213/C224,0)</f>
        <v>0.63164764013580521</v>
      </c>
      <c r="F216" s="992">
        <f>IF(D224&lt;&gt;0,D213/D224,0)</f>
        <v>0.11136503799938301</v>
      </c>
      <c r="G216" s="952" t="s">
        <v>1626</v>
      </c>
      <c r="H216" s="955" t="str">
        <f>IF(D224&lt;&gt;0,IF(F216&gt;3%,"La norme n'est pas respectée pour x=90 jours","La norme est respectée pour x=90 jours"),"")</f>
        <v>La norme n'est pas respectée pour x=90 jours</v>
      </c>
      <c r="J216" s="160"/>
    </row>
    <row r="217" spans="1:10" ht="15.75" customHeight="1">
      <c r="A217" s="271"/>
      <c r="B217" s="272" t="s">
        <v>1628</v>
      </c>
      <c r="C217" s="536"/>
      <c r="D217" s="536"/>
      <c r="E217" s="993"/>
      <c r="F217" s="993"/>
      <c r="G217" s="953"/>
      <c r="H217" s="956"/>
      <c r="J217" s="160"/>
    </row>
    <row r="218" spans="1:10" ht="15.75" customHeight="1">
      <c r="A218" s="299" t="s">
        <v>6</v>
      </c>
      <c r="B218" s="299" t="s">
        <v>131</v>
      </c>
      <c r="C218" s="544">
        <f>'Bilan et Hors Bilan'!D36</f>
        <v>0</v>
      </c>
      <c r="D218" s="544">
        <f>'Bilan et Hors Bilan'!C36</f>
        <v>1159316767</v>
      </c>
      <c r="E218" s="993"/>
      <c r="F218" s="993"/>
      <c r="G218" s="953"/>
      <c r="H218" s="956"/>
      <c r="J218" s="160"/>
    </row>
    <row r="219" spans="1:10" ht="15.75" customHeight="1">
      <c r="A219" s="299" t="s">
        <v>8</v>
      </c>
      <c r="B219" s="299" t="s">
        <v>225</v>
      </c>
      <c r="C219" s="544">
        <f>'Bilan et Hors Bilan'!D37</f>
        <v>0</v>
      </c>
      <c r="D219" s="544">
        <f>'Bilan et Hors Bilan'!C37</f>
        <v>0</v>
      </c>
      <c r="E219" s="994"/>
      <c r="F219" s="994"/>
      <c r="G219" s="954"/>
      <c r="H219" s="957"/>
      <c r="J219" s="160"/>
    </row>
    <row r="220" spans="1:10" ht="15.75" customHeight="1">
      <c r="A220" s="299" t="s">
        <v>10</v>
      </c>
      <c r="B220" s="299" t="s">
        <v>105</v>
      </c>
      <c r="C220" s="544">
        <f>'Bilan et Hors Bilan'!D40</f>
        <v>0</v>
      </c>
      <c r="D220" s="544">
        <f>'Bilan et Hors Bilan'!C40</f>
        <v>2252399149</v>
      </c>
      <c r="E220" s="992">
        <f>IF(C224&lt;&gt;0,C214/C224,0)</f>
        <v>0.60923342671618541</v>
      </c>
      <c r="F220" s="992">
        <f>IF(D224&lt;&gt;0,D214/D224,0)</f>
        <v>0.10159934709098742</v>
      </c>
      <c r="G220" s="952" t="s">
        <v>1627</v>
      </c>
      <c r="H220" s="955" t="str">
        <f>IF(D224&lt;&gt;0,IF(F220&gt;2%,"La norme n'est pas respectée pour x=180 jours","La norme est respectée pour x=180 jours"),"")</f>
        <v>La norme n'est pas respectée pour x=180 jours</v>
      </c>
      <c r="J220" s="160"/>
    </row>
    <row r="221" spans="1:10" ht="15.75" customHeight="1">
      <c r="A221" s="299" t="s">
        <v>12</v>
      </c>
      <c r="B221" s="299" t="s">
        <v>474</v>
      </c>
      <c r="C221" s="544">
        <f>'Bilan et Hors Bilan'!D41</f>
        <v>0</v>
      </c>
      <c r="D221" s="544">
        <f>'Bilan et Hors Bilan'!C41</f>
        <v>20619813</v>
      </c>
      <c r="E221" s="993"/>
      <c r="F221" s="993"/>
      <c r="G221" s="953"/>
      <c r="H221" s="956"/>
      <c r="J221" s="160"/>
    </row>
    <row r="222" spans="1:10" ht="15.75" customHeight="1">
      <c r="A222" s="300" t="s">
        <v>114</v>
      </c>
      <c r="B222" s="300" t="s">
        <v>112</v>
      </c>
      <c r="C222" s="284">
        <f>C171</f>
        <v>65175236</v>
      </c>
      <c r="D222" s="284">
        <f>D171</f>
        <v>100119415</v>
      </c>
      <c r="E222" s="993"/>
      <c r="F222" s="993"/>
      <c r="G222" s="953"/>
      <c r="H222" s="956"/>
      <c r="J222" s="160"/>
    </row>
    <row r="223" spans="1:10" ht="15.75" customHeight="1">
      <c r="A223" s="299" t="s">
        <v>49</v>
      </c>
      <c r="B223" s="299" t="s">
        <v>438</v>
      </c>
      <c r="C223" s="544">
        <f>'Bilan et Hors Bilan'!D45</f>
        <v>292837847</v>
      </c>
      <c r="D223" s="544">
        <f>'Bilan et Hors Bilan'!C45</f>
        <v>388159856</v>
      </c>
      <c r="E223" s="993"/>
      <c r="F223" s="993"/>
      <c r="G223" s="953"/>
      <c r="H223" s="956"/>
      <c r="J223" s="160"/>
    </row>
    <row r="224" spans="1:10" ht="15.75" customHeight="1">
      <c r="A224" s="278"/>
      <c r="B224" s="278" t="s">
        <v>1500</v>
      </c>
      <c r="C224" s="533">
        <f>SUM(C218:C223)-C222</f>
        <v>292837847</v>
      </c>
      <c r="D224" s="533">
        <f>SUM(D218:D223)-D222</f>
        <v>3820495585</v>
      </c>
      <c r="E224" s="994"/>
      <c r="F224" s="994"/>
      <c r="G224" s="954"/>
      <c r="H224" s="957"/>
      <c r="J224" s="160"/>
    </row>
    <row r="225" spans="1:10" ht="15.75" customHeight="1">
      <c r="A225" s="78"/>
      <c r="B225" s="78"/>
      <c r="C225" s="78"/>
      <c r="D225" s="78"/>
      <c r="E225" s="78"/>
      <c r="F225" s="78"/>
      <c r="G225" s="78"/>
      <c r="H225" s="78"/>
    </row>
    <row r="226" spans="1:10" ht="15.75" customHeight="1"/>
    <row r="227" spans="1:10" ht="15.75" customHeight="1">
      <c r="A227" s="950" t="s">
        <v>1629</v>
      </c>
      <c r="B227" s="950"/>
      <c r="C227" s="950"/>
      <c r="D227" s="950"/>
      <c r="E227" s="950"/>
      <c r="F227" s="950"/>
      <c r="G227" s="950"/>
      <c r="H227" s="950"/>
    </row>
    <row r="228" spans="1:10" ht="15.75" customHeight="1">
      <c r="A228" s="951" t="s">
        <v>1484</v>
      </c>
      <c r="B228" s="951"/>
      <c r="C228" s="951"/>
      <c r="D228" s="951"/>
      <c r="E228" s="590"/>
      <c r="F228" s="590"/>
      <c r="G228" s="590"/>
      <c r="H228" s="590"/>
    </row>
    <row r="229" spans="1:10" ht="15.75" customHeight="1">
      <c r="A229" s="271" t="s">
        <v>1485</v>
      </c>
      <c r="B229" s="272" t="s">
        <v>1630</v>
      </c>
      <c r="C229" s="210" t="str">
        <f>C$6</f>
        <v>Montant N-1</v>
      </c>
      <c r="D229" s="210" t="str">
        <f>D$6</f>
        <v>Montant N</v>
      </c>
      <c r="E229" s="210" t="str">
        <f>E$6</f>
        <v>Résultat N-1</v>
      </c>
      <c r="F229" s="210" t="str">
        <f>F$6</f>
        <v>Résultat N</v>
      </c>
      <c r="G229" s="271" t="s">
        <v>1488</v>
      </c>
      <c r="H229" s="273" t="s">
        <v>1489</v>
      </c>
    </row>
    <row r="230" spans="1:10" ht="15.75" customHeight="1">
      <c r="A230" s="299" t="s">
        <v>49</v>
      </c>
      <c r="B230" s="299" t="s">
        <v>438</v>
      </c>
      <c r="C230" s="544">
        <f>'Bilan et Hors Bilan'!E45</f>
        <v>95322009</v>
      </c>
      <c r="D230" s="544">
        <f>'Bilan et Hors Bilan'!D45</f>
        <v>292837847</v>
      </c>
      <c r="E230" s="928">
        <f>IF(C235&gt;0,C230/C235,0)</f>
        <v>0.3255112342087394</v>
      </c>
      <c r="F230" s="928">
        <f>IF(D235&gt;0,D230/D235,0)</f>
        <v>0.75442589560317641</v>
      </c>
      <c r="G230" s="977" t="s">
        <v>1631</v>
      </c>
      <c r="H230" s="955" t="str">
        <f>IF(D235&gt;0,IF(F230&lt;40%,"La norme n'est pas respectée","La norme est respectée"),"")</f>
        <v>La norme est respectée</v>
      </c>
      <c r="J230" s="316">
        <f>IF(ISBLANK(D230),1,0)</f>
        <v>0</v>
      </c>
    </row>
    <row r="231" spans="1:10" ht="15.75" customHeight="1">
      <c r="A231" s="285"/>
      <c r="B231" s="620" t="s">
        <v>1632</v>
      </c>
      <c r="C231" s="621"/>
      <c r="D231" s="621"/>
      <c r="E231" s="929"/>
      <c r="F231" s="929"/>
      <c r="G231" s="978"/>
      <c r="H231" s="956"/>
    </row>
    <row r="232" spans="1:10" ht="15.75" customHeight="1">
      <c r="A232" s="285"/>
      <c r="B232" s="622"/>
      <c r="C232" s="623"/>
      <c r="D232" s="623"/>
      <c r="E232" s="929"/>
      <c r="F232" s="929"/>
      <c r="G232" s="978"/>
      <c r="H232" s="956"/>
    </row>
    <row r="233" spans="1:10" ht="15.75" customHeight="1">
      <c r="A233" s="617"/>
      <c r="B233" s="618"/>
      <c r="C233" s="619"/>
      <c r="D233" s="619"/>
      <c r="E233" s="929"/>
      <c r="F233" s="929"/>
      <c r="G233" s="978"/>
      <c r="H233" s="956"/>
    </row>
    <row r="234" spans="1:10" ht="15.75" customHeight="1">
      <c r="A234" s="271"/>
      <c r="B234" s="272" t="s">
        <v>1633</v>
      </c>
      <c r="C234" s="536"/>
      <c r="D234" s="536"/>
      <c r="E234" s="929"/>
      <c r="F234" s="929"/>
      <c r="G234" s="978"/>
      <c r="H234" s="956"/>
    </row>
    <row r="235" spans="1:10" ht="15.75" customHeight="1">
      <c r="A235" s="300" t="s">
        <v>49</v>
      </c>
      <c r="B235" s="300" t="s">
        <v>438</v>
      </c>
      <c r="C235" s="284">
        <f>C223</f>
        <v>292837847</v>
      </c>
      <c r="D235" s="284">
        <f>D223</f>
        <v>388159856</v>
      </c>
      <c r="E235" s="929"/>
      <c r="F235" s="929"/>
      <c r="G235" s="978"/>
      <c r="H235" s="956"/>
      <c r="J235" s="316">
        <f>IF(ISBLANK(D235),1,0)</f>
        <v>0</v>
      </c>
    </row>
    <row r="236" spans="1:10" ht="15.75" customHeight="1">
      <c r="A236" s="285"/>
      <c r="B236" s="620" t="s">
        <v>1634</v>
      </c>
      <c r="C236" s="286"/>
      <c r="D236" s="286"/>
      <c r="E236" s="929"/>
      <c r="F236" s="929"/>
      <c r="G236" s="978"/>
      <c r="H236" s="956"/>
    </row>
    <row r="237" spans="1:10" ht="15.75" customHeight="1">
      <c r="A237" s="285"/>
      <c r="B237" s="622"/>
      <c r="C237" s="286"/>
      <c r="D237" s="286"/>
      <c r="E237" s="930"/>
      <c r="F237" s="930"/>
      <c r="G237" s="979"/>
      <c r="H237" s="957"/>
    </row>
    <row r="238" spans="1:10" ht="15.75" customHeight="1"/>
    <row r="239" spans="1:10" ht="15.75" customHeight="1"/>
    <row r="240" spans="1:10" ht="15.75" customHeight="1">
      <c r="A240" s="950" t="s">
        <v>1635</v>
      </c>
      <c r="B240" s="950"/>
      <c r="C240" s="950"/>
      <c r="D240" s="950"/>
      <c r="E240" s="950"/>
      <c r="F240" s="950"/>
      <c r="G240" s="950"/>
      <c r="H240" s="950"/>
    </row>
    <row r="241" spans="1:10" ht="15.75" customHeight="1">
      <c r="A241" s="951" t="s">
        <v>1484</v>
      </c>
      <c r="B241" s="951"/>
      <c r="C241" s="951"/>
      <c r="D241" s="951"/>
      <c r="E241" s="590"/>
      <c r="F241" s="590"/>
      <c r="G241" s="590"/>
      <c r="H241" s="590"/>
    </row>
    <row r="242" spans="1:10" ht="15.75" customHeight="1">
      <c r="A242" s="271" t="s">
        <v>1485</v>
      </c>
      <c r="B242" s="272" t="s">
        <v>1636</v>
      </c>
      <c r="C242" s="210" t="str">
        <f>C$6</f>
        <v>Montant N-1</v>
      </c>
      <c r="D242" s="210" t="str">
        <f>D$6</f>
        <v>Montant N</v>
      </c>
      <c r="E242" s="210" t="str">
        <f>E$6</f>
        <v>Résultat N-1</v>
      </c>
      <c r="F242" s="210" t="str">
        <f>F$6</f>
        <v>Résultat N</v>
      </c>
      <c r="G242" s="271" t="s">
        <v>1488</v>
      </c>
      <c r="H242" s="273" t="s">
        <v>1489</v>
      </c>
    </row>
    <row r="243" spans="1:10" ht="15.75" customHeight="1">
      <c r="A243" s="305" t="s">
        <v>409</v>
      </c>
      <c r="B243" s="305" t="s">
        <v>410</v>
      </c>
      <c r="C243" s="544">
        <f>'Compte Résultat et Soldes Inter'!D187</f>
        <v>107042688</v>
      </c>
      <c r="D243" s="544">
        <f>'Compte Résultat et Soldes Inter'!C187</f>
        <v>0</v>
      </c>
      <c r="E243" s="928">
        <f>IF(C253&lt;&gt;0,C245/C253,0)</f>
        <v>0.36553570208430058</v>
      </c>
      <c r="F243" s="928">
        <f>IF(D253&lt;&gt;0,D245/D253,0)</f>
        <v>0</v>
      </c>
      <c r="G243" s="977" t="s">
        <v>1637</v>
      </c>
      <c r="H243" s="955" t="str">
        <f>IF(D253&lt;&gt;0,IF(F243&gt;2%,"La norme n'est pas respectée","La norme est respectée"),"")</f>
        <v>La norme est respectée</v>
      </c>
      <c r="J243" s="316">
        <f>IF(ISBLANK(D243),1,0)</f>
        <v>0</v>
      </c>
    </row>
    <row r="244" spans="1:10" ht="15.75" customHeight="1">
      <c r="A244" s="305" t="s">
        <v>697</v>
      </c>
      <c r="B244" s="305" t="s">
        <v>698</v>
      </c>
      <c r="C244" s="544">
        <f>'Compte Résultat et Soldes Inter'!D188</f>
        <v>0</v>
      </c>
      <c r="D244" s="544">
        <f>'Compte Résultat et Soldes Inter'!C188</f>
        <v>0</v>
      </c>
      <c r="E244" s="929"/>
      <c r="F244" s="929"/>
      <c r="G244" s="978"/>
      <c r="H244" s="956"/>
      <c r="J244" s="316">
        <f>IF(ISBLANK(D244),1,0)</f>
        <v>0</v>
      </c>
    </row>
    <row r="245" spans="1:10" ht="15.75" customHeight="1">
      <c r="A245" s="278"/>
      <c r="B245" s="278" t="s">
        <v>1495</v>
      </c>
      <c r="C245" s="533">
        <f>SUM(C243:C244)</f>
        <v>107042688</v>
      </c>
      <c r="D245" s="533">
        <f>SUM(D243:D244)</f>
        <v>0</v>
      </c>
      <c r="E245" s="929"/>
      <c r="F245" s="929"/>
      <c r="G245" s="978"/>
      <c r="H245" s="956"/>
    </row>
    <row r="246" spans="1:10" ht="15.75" customHeight="1">
      <c r="A246" s="271"/>
      <c r="B246" s="272" t="s">
        <v>1638</v>
      </c>
      <c r="C246" s="536"/>
      <c r="D246" s="536"/>
      <c r="E246" s="929"/>
      <c r="F246" s="929"/>
      <c r="G246" s="978"/>
      <c r="H246" s="956"/>
    </row>
    <row r="247" spans="1:10" ht="15.75" customHeight="1">
      <c r="A247" s="300" t="s">
        <v>6</v>
      </c>
      <c r="B247" s="300" t="s">
        <v>131</v>
      </c>
      <c r="C247" s="284">
        <f t="shared" ref="C247:D252" si="9">C218</f>
        <v>0</v>
      </c>
      <c r="D247" s="284">
        <f t="shared" si="9"/>
        <v>1159316767</v>
      </c>
      <c r="E247" s="929"/>
      <c r="F247" s="929"/>
      <c r="G247" s="978"/>
      <c r="H247" s="956"/>
      <c r="J247" s="316">
        <f t="shared" ref="J247:J252" si="10">IF(ISBLANK(D247),1,0)</f>
        <v>0</v>
      </c>
    </row>
    <row r="248" spans="1:10" ht="15.75" customHeight="1">
      <c r="A248" s="300" t="s">
        <v>8</v>
      </c>
      <c r="B248" s="300" t="s">
        <v>225</v>
      </c>
      <c r="C248" s="284">
        <f t="shared" si="9"/>
        <v>0</v>
      </c>
      <c r="D248" s="284">
        <f t="shared" si="9"/>
        <v>0</v>
      </c>
      <c r="E248" s="929"/>
      <c r="F248" s="929"/>
      <c r="G248" s="978"/>
      <c r="H248" s="956"/>
      <c r="J248" s="316">
        <f t="shared" si="10"/>
        <v>0</v>
      </c>
    </row>
    <row r="249" spans="1:10" ht="15.75" customHeight="1">
      <c r="A249" s="300" t="s">
        <v>10</v>
      </c>
      <c r="B249" s="300" t="s">
        <v>105</v>
      </c>
      <c r="C249" s="284">
        <f t="shared" si="9"/>
        <v>0</v>
      </c>
      <c r="D249" s="284">
        <f t="shared" si="9"/>
        <v>2252399149</v>
      </c>
      <c r="E249" s="929"/>
      <c r="F249" s="929"/>
      <c r="G249" s="978"/>
      <c r="H249" s="956"/>
      <c r="J249" s="316">
        <f t="shared" si="10"/>
        <v>0</v>
      </c>
    </row>
    <row r="250" spans="1:10" ht="15.75" customHeight="1">
      <c r="A250" s="300" t="s">
        <v>12</v>
      </c>
      <c r="B250" s="300" t="s">
        <v>474</v>
      </c>
      <c r="C250" s="284">
        <f t="shared" si="9"/>
        <v>0</v>
      </c>
      <c r="D250" s="284">
        <f t="shared" si="9"/>
        <v>20619813</v>
      </c>
      <c r="E250" s="929"/>
      <c r="F250" s="929"/>
      <c r="G250" s="978"/>
      <c r="H250" s="956"/>
      <c r="J250" s="316">
        <f t="shared" si="10"/>
        <v>0</v>
      </c>
    </row>
    <row r="251" spans="1:10" ht="15.75" customHeight="1">
      <c r="A251" s="300" t="s">
        <v>114</v>
      </c>
      <c r="B251" s="300" t="s">
        <v>112</v>
      </c>
      <c r="C251" s="284">
        <f t="shared" si="9"/>
        <v>65175236</v>
      </c>
      <c r="D251" s="284">
        <f t="shared" si="9"/>
        <v>100119415</v>
      </c>
      <c r="E251" s="929"/>
      <c r="F251" s="929"/>
      <c r="G251" s="978"/>
      <c r="H251" s="956"/>
      <c r="J251" s="316">
        <f t="shared" si="10"/>
        <v>0</v>
      </c>
    </row>
    <row r="252" spans="1:10" ht="15.75" customHeight="1">
      <c r="A252" s="300" t="s">
        <v>49</v>
      </c>
      <c r="B252" s="300" t="s">
        <v>438</v>
      </c>
      <c r="C252" s="284">
        <f t="shared" si="9"/>
        <v>292837847</v>
      </c>
      <c r="D252" s="284">
        <f t="shared" si="9"/>
        <v>388159856</v>
      </c>
      <c r="E252" s="929"/>
      <c r="F252" s="929"/>
      <c r="G252" s="978"/>
      <c r="H252" s="956"/>
      <c r="J252" s="316">
        <f t="shared" si="10"/>
        <v>0</v>
      </c>
    </row>
    <row r="253" spans="1:10" ht="15.75" customHeight="1">
      <c r="A253" s="278"/>
      <c r="B253" s="278" t="s">
        <v>1500</v>
      </c>
      <c r="C253" s="533">
        <f>SUM(C247:C252)-C251</f>
        <v>292837847</v>
      </c>
      <c r="D253" s="533">
        <f>SUM(D247:D252)-D251</f>
        <v>3820495585</v>
      </c>
      <c r="E253" s="930"/>
      <c r="F253" s="930"/>
      <c r="G253" s="979"/>
      <c r="H253" s="957"/>
    </row>
    <row r="254" spans="1:10" ht="15.75" customHeight="1"/>
    <row r="255" spans="1:10" ht="15.75" customHeight="1">
      <c r="A255" s="296"/>
      <c r="B255" s="296"/>
      <c r="C255" s="609"/>
      <c r="D255" s="609"/>
      <c r="E255" s="609"/>
      <c r="F255" s="609"/>
      <c r="G255" s="609"/>
      <c r="H255" s="609"/>
    </row>
    <row r="256" spans="1:10" ht="15.75" customHeight="1">
      <c r="A256" s="297"/>
      <c r="B256" s="297"/>
      <c r="C256" s="610"/>
      <c r="D256" s="610"/>
      <c r="E256" s="610"/>
      <c r="F256" s="610"/>
      <c r="G256" s="610"/>
      <c r="H256" s="610"/>
    </row>
    <row r="257" spans="1:10" ht="15.75" customHeight="1"/>
    <row r="258" spans="1:10" ht="15.75" customHeight="1">
      <c r="A258" s="976" t="s">
        <v>1639</v>
      </c>
      <c r="B258" s="976"/>
      <c r="C258" s="976"/>
      <c r="D258" s="976"/>
      <c r="E258" s="976"/>
      <c r="F258" s="976"/>
      <c r="G258" s="976"/>
      <c r="H258" s="976"/>
    </row>
    <row r="259" spans="1:10" ht="15.75" customHeight="1"/>
    <row r="260" spans="1:10" ht="15.75" customHeight="1">
      <c r="A260" s="78"/>
      <c r="B260" s="78"/>
      <c r="C260" s="78"/>
      <c r="D260" s="78"/>
      <c r="E260" s="78"/>
      <c r="F260" s="78"/>
      <c r="G260" s="78"/>
      <c r="H260" s="78"/>
    </row>
    <row r="261" spans="1:10" ht="15.75" customHeight="1">
      <c r="A261" s="950" t="s">
        <v>1640</v>
      </c>
      <c r="B261" s="950"/>
      <c r="C261" s="950"/>
      <c r="D261" s="950"/>
      <c r="E261" s="950"/>
      <c r="F261" s="950"/>
      <c r="G261" s="950"/>
      <c r="H261" s="950"/>
    </row>
    <row r="262" spans="1:10" ht="15.75" customHeight="1">
      <c r="A262" s="951" t="s">
        <v>1484</v>
      </c>
      <c r="B262" s="951"/>
      <c r="C262" s="951"/>
      <c r="D262" s="951"/>
      <c r="E262" s="590"/>
      <c r="F262" s="590"/>
      <c r="G262" s="590"/>
      <c r="H262" s="590"/>
    </row>
    <row r="263" spans="1:10" ht="15.75" customHeight="1">
      <c r="A263" s="271" t="s">
        <v>1485</v>
      </c>
      <c r="B263" s="272" t="s">
        <v>1641</v>
      </c>
      <c r="C263" s="210" t="str">
        <f>C$6</f>
        <v>Montant N-1</v>
      </c>
      <c r="D263" s="210" t="str">
        <f>D$6</f>
        <v>Montant N</v>
      </c>
      <c r="E263" s="210" t="str">
        <f>E$6</f>
        <v>Résultat N-1</v>
      </c>
      <c r="F263" s="210" t="str">
        <f>F$6</f>
        <v>Résultat N</v>
      </c>
      <c r="G263" s="271" t="s">
        <v>1488</v>
      </c>
      <c r="H263" s="273" t="s">
        <v>1489</v>
      </c>
    </row>
    <row r="264" spans="1:10" ht="15.75" customHeight="1">
      <c r="A264" s="304"/>
      <c r="B264" s="304" t="s">
        <v>1642</v>
      </c>
      <c r="C264" s="532">
        <f>Retraitement!C79</f>
        <v>4608650000</v>
      </c>
      <c r="D264" s="532">
        <f>Retraitement!D79</f>
        <v>4642545000</v>
      </c>
      <c r="E264" s="967">
        <f>IF(C268&lt;&gt;0,C264/C268,0)</f>
        <v>1466321.9853643016</v>
      </c>
      <c r="F264" s="967">
        <f>IF(D268&lt;&gt;0,D264/D268,0)</f>
        <v>1243316.8184252812</v>
      </c>
      <c r="G264" s="970" t="s">
        <v>1643</v>
      </c>
      <c r="H264" s="973"/>
      <c r="J264" s="316">
        <f>IF(ISBLANK(D264),1,0)</f>
        <v>0</v>
      </c>
    </row>
    <row r="265" spans="1:10" ht="15.75" customHeight="1">
      <c r="A265" s="285"/>
      <c r="B265" s="306" t="s">
        <v>1644</v>
      </c>
      <c r="C265" s="286"/>
      <c r="D265" s="286"/>
      <c r="E265" s="968"/>
      <c r="F265" s="968"/>
      <c r="G265" s="971"/>
      <c r="H265" s="974"/>
    </row>
    <row r="266" spans="1:10" ht="15.75" customHeight="1">
      <c r="A266" s="617"/>
      <c r="B266" s="618"/>
      <c r="C266" s="619"/>
      <c r="D266" s="619"/>
      <c r="E266" s="968"/>
      <c r="F266" s="968"/>
      <c r="G266" s="971"/>
      <c r="H266" s="974"/>
    </row>
    <row r="267" spans="1:10" ht="15.75" customHeight="1">
      <c r="A267" s="271"/>
      <c r="B267" s="272" t="s">
        <v>1645</v>
      </c>
      <c r="C267" s="536"/>
      <c r="D267" s="536"/>
      <c r="E267" s="968"/>
      <c r="F267" s="968"/>
      <c r="G267" s="971"/>
      <c r="H267" s="974"/>
    </row>
    <row r="268" spans="1:10" ht="15.75" customHeight="1">
      <c r="A268" s="304"/>
      <c r="B268" s="304" t="s">
        <v>798</v>
      </c>
      <c r="C268" s="532">
        <f>Retraitement!C83</f>
        <v>3143</v>
      </c>
      <c r="D268" s="532">
        <f>Retraitement!D83</f>
        <v>3734</v>
      </c>
      <c r="E268" s="969"/>
      <c r="F268" s="969"/>
      <c r="G268" s="972"/>
      <c r="H268" s="975"/>
      <c r="J268" s="316">
        <f>IF(ISBLANK(D268),1,0)</f>
        <v>0</v>
      </c>
    </row>
    <row r="269" spans="1:10" ht="15.75" customHeight="1">
      <c r="A269" s="78"/>
      <c r="B269" s="78"/>
      <c r="C269" s="78"/>
      <c r="D269" s="78"/>
      <c r="E269" s="78"/>
      <c r="F269" s="78"/>
      <c r="G269" s="78"/>
      <c r="H269" s="78"/>
    </row>
    <row r="270" spans="1:10" ht="15.75" customHeight="1">
      <c r="A270" s="78"/>
      <c r="B270" s="78"/>
      <c r="C270" s="78"/>
      <c r="D270" s="78"/>
      <c r="E270" s="78"/>
      <c r="F270" s="78"/>
      <c r="G270" s="78"/>
      <c r="H270" s="78"/>
    </row>
    <row r="271" spans="1:10" ht="15.75" customHeight="1">
      <c r="A271" s="950" t="s">
        <v>1646</v>
      </c>
      <c r="B271" s="950"/>
      <c r="C271" s="950"/>
      <c r="D271" s="950"/>
      <c r="E271" s="950"/>
      <c r="F271" s="950"/>
      <c r="G271" s="950"/>
      <c r="H271" s="950"/>
    </row>
    <row r="272" spans="1:10" ht="15.75" customHeight="1">
      <c r="A272" s="951" t="s">
        <v>1484</v>
      </c>
      <c r="B272" s="951"/>
      <c r="C272" s="951"/>
      <c r="D272" s="951"/>
      <c r="E272" s="590"/>
      <c r="F272" s="590"/>
      <c r="G272" s="590"/>
      <c r="H272" s="590"/>
    </row>
    <row r="273" spans="1:10" ht="15.75" customHeight="1">
      <c r="A273" s="271" t="s">
        <v>1485</v>
      </c>
      <c r="B273" s="272" t="s">
        <v>1647</v>
      </c>
      <c r="C273" s="210" t="str">
        <f>C$6</f>
        <v>Montant N-1</v>
      </c>
      <c r="D273" s="210" t="str">
        <f>D$6</f>
        <v>Montant N</v>
      </c>
      <c r="E273" s="210" t="str">
        <f>E$6</f>
        <v>Résultat N-1</v>
      </c>
      <c r="F273" s="210" t="str">
        <f>F$6</f>
        <v>Résultat N</v>
      </c>
      <c r="G273" s="271" t="s">
        <v>1488</v>
      </c>
      <c r="H273" s="273" t="s">
        <v>1489</v>
      </c>
    </row>
    <row r="274" spans="1:10" ht="15.75" customHeight="1">
      <c r="A274" s="299" t="s">
        <v>30</v>
      </c>
      <c r="B274" s="307" t="s">
        <v>221</v>
      </c>
      <c r="C274" s="544">
        <f>'Bilan et Hors Bilan'!J36</f>
        <v>433732307</v>
      </c>
      <c r="D274" s="544">
        <f>'Bilan et Hors Bilan'!I36</f>
        <v>574911991</v>
      </c>
      <c r="E274" s="967">
        <f>IF(C284&lt;&gt;0,C282/C284,0)</f>
        <v>66925.942878338275</v>
      </c>
      <c r="F274" s="967">
        <f>IF(D284&lt;&gt;0,D282/D284,0)</f>
        <v>83255.240398963317</v>
      </c>
      <c r="G274" s="970" t="s">
        <v>1643</v>
      </c>
      <c r="H274" s="973"/>
      <c r="J274" s="316">
        <f>IF(ISBLANK(D274),1,0)</f>
        <v>0</v>
      </c>
    </row>
    <row r="275" spans="1:10" ht="15.75" customHeight="1">
      <c r="A275" s="299" t="s">
        <v>31</v>
      </c>
      <c r="B275" s="307" t="s">
        <v>143</v>
      </c>
      <c r="C275" s="544">
        <f>'Bilan et Hors Bilan'!J37</f>
        <v>8506367</v>
      </c>
      <c r="D275" s="544">
        <f>'Bilan et Hors Bilan'!I37</f>
        <v>4790840</v>
      </c>
      <c r="E275" s="968"/>
      <c r="F275" s="968"/>
      <c r="G275" s="971"/>
      <c r="H275" s="974"/>
      <c r="J275" s="316">
        <f>IF(ISBLANK(D275),1,0)</f>
        <v>0</v>
      </c>
    </row>
    <row r="276" spans="1:10" ht="15.75" customHeight="1">
      <c r="A276" s="299" t="s">
        <v>28</v>
      </c>
      <c r="B276" s="307" t="s">
        <v>460</v>
      </c>
      <c r="C276" s="544">
        <f>'Bilan et Hors Bilan'!J38</f>
        <v>34852232</v>
      </c>
      <c r="D276" s="544">
        <f>'Bilan et Hors Bilan'!I38</f>
        <v>35421524</v>
      </c>
      <c r="E276" s="968"/>
      <c r="F276" s="968"/>
      <c r="G276" s="971"/>
      <c r="H276" s="974"/>
      <c r="J276" s="316">
        <f>IF(ISBLANK(D276),1,0)</f>
        <v>0</v>
      </c>
    </row>
    <row r="277" spans="1:10" ht="15.75" customHeight="1">
      <c r="A277" s="299" t="s">
        <v>43</v>
      </c>
      <c r="B277" s="307" t="s">
        <v>237</v>
      </c>
      <c r="C277" s="544">
        <f>'Bilan et Hors Bilan'!J40</f>
        <v>244638462</v>
      </c>
      <c r="D277" s="544">
        <f>'Bilan et Hors Bilan'!I40</f>
        <v>444964621</v>
      </c>
      <c r="E277" s="968"/>
      <c r="F277" s="968"/>
      <c r="G277" s="971"/>
      <c r="H277" s="974"/>
      <c r="J277" s="316">
        <f>IF(ISBLANK(D277),1,0)</f>
        <v>0</v>
      </c>
    </row>
    <row r="278" spans="1:10" ht="15.75" customHeight="1">
      <c r="A278" s="299" t="s">
        <v>32</v>
      </c>
      <c r="B278" s="307" t="s">
        <v>145</v>
      </c>
      <c r="C278" s="544">
        <f>'Bilan et Hors Bilan'!J41</f>
        <v>0</v>
      </c>
      <c r="D278" s="544">
        <f>'Bilan et Hors Bilan'!I41</f>
        <v>0</v>
      </c>
      <c r="E278" s="968"/>
      <c r="F278" s="968"/>
      <c r="G278" s="971"/>
      <c r="H278" s="974"/>
      <c r="J278" s="316">
        <f>IF(ISBLANK(D278),1,0)</f>
        <v>0</v>
      </c>
    </row>
    <row r="279" spans="1:10" ht="15.75" customHeight="1">
      <c r="A279" s="624"/>
      <c r="B279" s="625"/>
      <c r="C279" s="626"/>
      <c r="D279" s="626"/>
      <c r="E279" s="968"/>
      <c r="F279" s="968"/>
      <c r="G279" s="971"/>
      <c r="H279" s="974"/>
    </row>
    <row r="280" spans="1:10" ht="15.75" customHeight="1">
      <c r="A280" s="627"/>
      <c r="B280" s="628"/>
      <c r="C280" s="629"/>
      <c r="D280" s="629"/>
      <c r="E280" s="968"/>
      <c r="F280" s="968"/>
      <c r="G280" s="971"/>
      <c r="H280" s="974"/>
    </row>
    <row r="281" spans="1:10" ht="15.75" customHeight="1">
      <c r="A281" s="630"/>
      <c r="B281" s="631"/>
      <c r="C281" s="632"/>
      <c r="D281" s="632"/>
      <c r="E281" s="968"/>
      <c r="F281" s="968"/>
      <c r="G281" s="971"/>
      <c r="H281" s="974"/>
    </row>
    <row r="282" spans="1:10" ht="15.75" customHeight="1">
      <c r="A282" s="533"/>
      <c r="B282" s="533" t="s">
        <v>1495</v>
      </c>
      <c r="C282" s="533">
        <f>SUM(C274:C281)</f>
        <v>721729368</v>
      </c>
      <c r="D282" s="533">
        <f>SUM(D274:D281)</f>
        <v>1060088976</v>
      </c>
      <c r="E282" s="968"/>
      <c r="F282" s="968"/>
      <c r="G282" s="971"/>
      <c r="H282" s="974"/>
    </row>
    <row r="283" spans="1:10" ht="15.75" customHeight="1">
      <c r="A283" s="271" t="s">
        <v>1485</v>
      </c>
      <c r="B283" s="272" t="s">
        <v>1648</v>
      </c>
      <c r="C283" s="210" t="str">
        <f>C$6</f>
        <v>Montant N-1</v>
      </c>
      <c r="D283" s="210" t="str">
        <f>D$6</f>
        <v>Montant N</v>
      </c>
      <c r="E283" s="968"/>
      <c r="F283" s="968"/>
      <c r="G283" s="971"/>
      <c r="H283" s="974"/>
    </row>
    <row r="284" spans="1:10" ht="15.75" customHeight="1">
      <c r="A284" s="304"/>
      <c r="B284" s="304" t="s">
        <v>799</v>
      </c>
      <c r="C284" s="532">
        <f>Retraitement!C90</f>
        <v>10784</v>
      </c>
      <c r="D284" s="532">
        <f>Retraitement!D90</f>
        <v>12733</v>
      </c>
      <c r="E284" s="969"/>
      <c r="F284" s="969"/>
      <c r="G284" s="972"/>
      <c r="H284" s="975"/>
      <c r="J284" s="316">
        <f>IF(ISBLANK(D284),1,0)</f>
        <v>0</v>
      </c>
    </row>
    <row r="285" spans="1:10" ht="15.75" customHeight="1">
      <c r="A285" s="78"/>
      <c r="B285" s="78"/>
      <c r="C285" s="78"/>
      <c r="D285" s="78"/>
      <c r="E285" s="78"/>
      <c r="F285" s="78"/>
      <c r="G285" s="78"/>
      <c r="H285" s="78"/>
    </row>
    <row r="286" spans="1:10" ht="15.75" customHeight="1">
      <c r="A286" s="78"/>
      <c r="B286" s="78"/>
      <c r="C286" s="78"/>
      <c r="D286" s="78"/>
      <c r="E286" s="78"/>
      <c r="F286" s="78"/>
      <c r="G286" s="78"/>
      <c r="H286" s="78"/>
    </row>
    <row r="287" spans="1:10" ht="15.75" customHeight="1">
      <c r="A287" s="950" t="s">
        <v>1649</v>
      </c>
      <c r="B287" s="950"/>
      <c r="C287" s="950"/>
      <c r="D287" s="950"/>
      <c r="E287" s="950"/>
      <c r="F287" s="950"/>
      <c r="G287" s="950"/>
      <c r="H287" s="950"/>
    </row>
    <row r="288" spans="1:10" ht="15.75" customHeight="1">
      <c r="A288" s="951" t="s">
        <v>1484</v>
      </c>
      <c r="B288" s="951"/>
      <c r="C288" s="951"/>
      <c r="D288" s="951"/>
      <c r="E288" s="590"/>
      <c r="F288" s="590"/>
      <c r="G288" s="590"/>
      <c r="H288" s="590"/>
    </row>
    <row r="289" spans="1:10" ht="15.75" customHeight="1">
      <c r="A289" s="271" t="s">
        <v>1485</v>
      </c>
      <c r="B289" s="272" t="s">
        <v>1650</v>
      </c>
      <c r="C289" s="210" t="str">
        <f>C$6</f>
        <v>Montant N-1</v>
      </c>
      <c r="D289" s="210" t="str">
        <f>D$6</f>
        <v>Montant N</v>
      </c>
      <c r="E289" s="210" t="str">
        <f>E$6</f>
        <v>Résultat N-1</v>
      </c>
      <c r="F289" s="210" t="str">
        <f>F$6</f>
        <v>Résultat N</v>
      </c>
      <c r="G289" s="271" t="s">
        <v>1488</v>
      </c>
      <c r="H289" s="273" t="s">
        <v>1489</v>
      </c>
    </row>
    <row r="290" spans="1:10" ht="15.75" customHeight="1">
      <c r="A290" s="300" t="s">
        <v>6</v>
      </c>
      <c r="B290" s="300" t="s">
        <v>131</v>
      </c>
      <c r="C290" s="284">
        <f t="shared" ref="C290:C295" si="11">C218</f>
        <v>0</v>
      </c>
      <c r="D290" s="284">
        <f t="shared" ref="D290:D295" si="12">D218</f>
        <v>1159316767</v>
      </c>
      <c r="E290" s="967">
        <f>IF(C300&lt;&gt;0,C296/C300,0)</f>
        <v>47546.330086052927</v>
      </c>
      <c r="F290" s="967">
        <f>IF(D300&lt;&gt;0,D296/D300,0)</f>
        <v>497525.14455007162</v>
      </c>
      <c r="G290" s="970" t="s">
        <v>1643</v>
      </c>
      <c r="H290" s="973"/>
    </row>
    <row r="291" spans="1:10" ht="15.75" customHeight="1">
      <c r="A291" s="300" t="s">
        <v>8</v>
      </c>
      <c r="B291" s="300" t="s">
        <v>225</v>
      </c>
      <c r="C291" s="284">
        <f t="shared" si="11"/>
        <v>0</v>
      </c>
      <c r="D291" s="284">
        <f t="shared" si="12"/>
        <v>0</v>
      </c>
      <c r="E291" s="968"/>
      <c r="F291" s="968"/>
      <c r="G291" s="971"/>
      <c r="H291" s="974"/>
    </row>
    <row r="292" spans="1:10" ht="15.75" customHeight="1">
      <c r="A292" s="300" t="s">
        <v>10</v>
      </c>
      <c r="B292" s="300" t="s">
        <v>105</v>
      </c>
      <c r="C292" s="284">
        <f t="shared" si="11"/>
        <v>0</v>
      </c>
      <c r="D292" s="284">
        <f t="shared" si="12"/>
        <v>2252399149</v>
      </c>
      <c r="E292" s="968"/>
      <c r="F292" s="968"/>
      <c r="G292" s="971"/>
      <c r="H292" s="974"/>
    </row>
    <row r="293" spans="1:10" ht="15.75" customHeight="1">
      <c r="A293" s="300" t="s">
        <v>12</v>
      </c>
      <c r="B293" s="300" t="s">
        <v>474</v>
      </c>
      <c r="C293" s="284">
        <f t="shared" si="11"/>
        <v>0</v>
      </c>
      <c r="D293" s="284">
        <f t="shared" si="12"/>
        <v>20619813</v>
      </c>
      <c r="E293" s="968"/>
      <c r="F293" s="968"/>
      <c r="G293" s="971"/>
      <c r="H293" s="974"/>
    </row>
    <row r="294" spans="1:10" ht="15.75" customHeight="1">
      <c r="A294" s="300" t="s">
        <v>114</v>
      </c>
      <c r="B294" s="300" t="s">
        <v>112</v>
      </c>
      <c r="C294" s="284">
        <f t="shared" si="11"/>
        <v>65175236</v>
      </c>
      <c r="D294" s="284">
        <f t="shared" si="12"/>
        <v>100119415</v>
      </c>
      <c r="E294" s="968"/>
      <c r="F294" s="968"/>
      <c r="G294" s="971"/>
      <c r="H294" s="974"/>
    </row>
    <row r="295" spans="1:10" ht="15.75" customHeight="1">
      <c r="A295" s="300" t="s">
        <v>49</v>
      </c>
      <c r="B295" s="300" t="s">
        <v>438</v>
      </c>
      <c r="C295" s="284">
        <f t="shared" si="11"/>
        <v>292837847</v>
      </c>
      <c r="D295" s="284">
        <f t="shared" si="12"/>
        <v>388159856</v>
      </c>
      <c r="E295" s="968"/>
      <c r="F295" s="968"/>
      <c r="G295" s="971"/>
      <c r="H295" s="974"/>
    </row>
    <row r="296" spans="1:10" ht="15.75" customHeight="1">
      <c r="A296" s="278"/>
      <c r="B296" s="278" t="s">
        <v>1495</v>
      </c>
      <c r="C296" s="533">
        <f>SUM(C290:C295)-C294</f>
        <v>292837847</v>
      </c>
      <c r="D296" s="533">
        <f>SUM(D290:D295)-D294</f>
        <v>3820495585</v>
      </c>
      <c r="E296" s="968"/>
      <c r="F296" s="968"/>
      <c r="G296" s="971"/>
      <c r="H296" s="974"/>
    </row>
    <row r="297" spans="1:10" ht="15.75" customHeight="1">
      <c r="A297" s="611"/>
      <c r="B297" s="612"/>
      <c r="C297" s="613"/>
      <c r="D297" s="613"/>
      <c r="E297" s="968"/>
      <c r="F297" s="968"/>
      <c r="G297" s="971"/>
      <c r="H297" s="974"/>
    </row>
    <row r="298" spans="1:10" ht="15.75" customHeight="1">
      <c r="A298" s="614"/>
      <c r="B298" s="615"/>
      <c r="C298" s="616"/>
      <c r="D298" s="616"/>
      <c r="E298" s="968"/>
      <c r="F298" s="968"/>
      <c r="G298" s="971"/>
      <c r="H298" s="974"/>
    </row>
    <row r="299" spans="1:10" ht="15.75" customHeight="1">
      <c r="A299" s="271"/>
      <c r="B299" s="272" t="s">
        <v>1651</v>
      </c>
      <c r="C299" s="536"/>
      <c r="D299" s="536"/>
      <c r="E299" s="968"/>
      <c r="F299" s="968"/>
      <c r="G299" s="971"/>
      <c r="H299" s="974"/>
    </row>
    <row r="300" spans="1:10" ht="15.75" customHeight="1">
      <c r="A300" s="304"/>
      <c r="B300" s="304" t="s">
        <v>1652</v>
      </c>
      <c r="C300" s="532">
        <f>Retraitement!C96</f>
        <v>6159</v>
      </c>
      <c r="D300" s="532">
        <f>Retraitement!D96</f>
        <v>7679</v>
      </c>
      <c r="E300" s="968"/>
      <c r="F300" s="968"/>
      <c r="G300" s="971"/>
      <c r="H300" s="974"/>
      <c r="J300" s="316">
        <f>IF(ISBLANK(D300),1,0)</f>
        <v>0</v>
      </c>
    </row>
    <row r="301" spans="1:10" ht="15.75" customHeight="1">
      <c r="A301" s="285"/>
      <c r="B301" s="306" t="s">
        <v>1653</v>
      </c>
      <c r="C301" s="286"/>
      <c r="D301" s="286"/>
      <c r="E301" s="969"/>
      <c r="F301" s="969"/>
      <c r="G301" s="972"/>
      <c r="H301" s="975"/>
    </row>
    <row r="302" spans="1:10" ht="15.75" customHeight="1">
      <c r="A302" s="78"/>
      <c r="B302" s="78"/>
      <c r="C302" s="78"/>
      <c r="D302" s="78"/>
      <c r="E302" s="78"/>
      <c r="F302" s="78"/>
      <c r="G302" s="78"/>
      <c r="H302" s="78"/>
    </row>
    <row r="303" spans="1:10" ht="15.75" customHeight="1"/>
    <row r="304" spans="1:10" ht="15.75" customHeight="1">
      <c r="A304" s="296"/>
      <c r="B304" s="296"/>
      <c r="C304" s="609"/>
      <c r="D304" s="609"/>
      <c r="E304" s="609"/>
      <c r="F304" s="609"/>
      <c r="G304" s="609"/>
      <c r="H304" s="609"/>
    </row>
    <row r="305" spans="1:10" ht="15.75" customHeight="1">
      <c r="A305" s="297"/>
      <c r="B305" s="297"/>
      <c r="C305" s="610"/>
      <c r="D305" s="610"/>
      <c r="E305" s="610"/>
      <c r="F305" s="610"/>
      <c r="G305" s="610"/>
      <c r="H305" s="610"/>
    </row>
    <row r="306" spans="1:10" ht="15.75" customHeight="1"/>
    <row r="307" spans="1:10" ht="15.75" customHeight="1">
      <c r="A307" s="976" t="s">
        <v>1654</v>
      </c>
      <c r="B307" s="976"/>
      <c r="C307" s="976"/>
      <c r="D307" s="976"/>
      <c r="E307" s="976"/>
      <c r="F307" s="976"/>
      <c r="G307" s="976"/>
      <c r="H307" s="976"/>
    </row>
    <row r="308" spans="1:10" ht="15.75" customHeight="1"/>
    <row r="309" spans="1:10" ht="15.75" customHeight="1">
      <c r="A309" s="964" t="s">
        <v>1655</v>
      </c>
      <c r="B309" s="964"/>
      <c r="C309" s="964"/>
      <c r="D309" s="964"/>
      <c r="E309" s="964"/>
      <c r="F309" s="964"/>
      <c r="G309" s="964"/>
      <c r="H309" s="964"/>
    </row>
    <row r="310" spans="1:10" ht="15.75" customHeight="1">
      <c r="A310" s="965" t="s">
        <v>1484</v>
      </c>
      <c r="B310" s="966"/>
      <c r="C310" s="210" t="str">
        <f>C$6</f>
        <v>Montant N-1</v>
      </c>
      <c r="D310" s="210" t="str">
        <f>D$6</f>
        <v>Montant N</v>
      </c>
      <c r="E310" s="210" t="str">
        <f>E$6</f>
        <v>Résultat N-1</v>
      </c>
      <c r="F310" s="210" t="str">
        <f>F$6</f>
        <v>Résultat N</v>
      </c>
      <c r="G310" s="271" t="s">
        <v>1488</v>
      </c>
      <c r="H310" s="273" t="s">
        <v>1489</v>
      </c>
    </row>
    <row r="311" spans="1:10" ht="15.75" customHeight="1">
      <c r="A311" s="271" t="s">
        <v>1485</v>
      </c>
      <c r="B311" s="272" t="s">
        <v>1656</v>
      </c>
      <c r="C311" s="210"/>
      <c r="D311" s="210"/>
      <c r="E311" s="961">
        <f>IF(C315&gt;0,C312/C315,0)</f>
        <v>328.6</v>
      </c>
      <c r="F311" s="961">
        <f>IF(D315&gt;0,D312/D315,0)</f>
        <v>411.1</v>
      </c>
      <c r="G311" s="958" t="s">
        <v>1789</v>
      </c>
      <c r="H311" s="955" t="str">
        <f>IF(D315&gt;0,IF(F311&lt;=130%,"La norme n'est pas respectée","La norme est respectée"),"")</f>
        <v>La norme est respectée</v>
      </c>
    </row>
    <row r="312" spans="1:10" ht="15.75" customHeight="1">
      <c r="A312" s="304"/>
      <c r="B312" s="304" t="s">
        <v>800</v>
      </c>
      <c r="C312" s="532">
        <f>Retraitement!C101</f>
        <v>3286</v>
      </c>
      <c r="D312" s="532">
        <f>Retraitement!D101</f>
        <v>4111</v>
      </c>
      <c r="E312" s="962"/>
      <c r="F312" s="962"/>
      <c r="G312" s="959"/>
      <c r="H312" s="956"/>
      <c r="J312" s="316">
        <f>IF(ISBLANK(D312),1,0)</f>
        <v>0</v>
      </c>
    </row>
    <row r="313" spans="1:10" ht="15.75" customHeight="1">
      <c r="A313" s="617"/>
      <c r="B313" s="618"/>
      <c r="C313" s="619"/>
      <c r="D313" s="619"/>
      <c r="E313" s="962"/>
      <c r="F313" s="962"/>
      <c r="G313" s="959"/>
      <c r="H313" s="956"/>
    </row>
    <row r="314" spans="1:10" ht="15.75" customHeight="1">
      <c r="A314" s="271"/>
      <c r="B314" s="272" t="s">
        <v>1657</v>
      </c>
      <c r="C314" s="273"/>
      <c r="D314" s="273"/>
      <c r="E314" s="962"/>
      <c r="F314" s="962"/>
      <c r="G314" s="959"/>
      <c r="H314" s="956"/>
    </row>
    <row r="315" spans="1:10" ht="15.75" customHeight="1">
      <c r="A315" s="304"/>
      <c r="B315" s="308" t="s">
        <v>801</v>
      </c>
      <c r="C315" s="532">
        <f>Retraitement!C105</f>
        <v>10</v>
      </c>
      <c r="D315" s="532">
        <f>Retraitement!D105</f>
        <v>10</v>
      </c>
      <c r="E315" s="963"/>
      <c r="F315" s="963"/>
      <c r="G315" s="960"/>
      <c r="H315" s="957"/>
      <c r="J315" s="316">
        <f>IF(ISBLANK(D315),1,0)</f>
        <v>0</v>
      </c>
    </row>
    <row r="316" spans="1:10" ht="15.75" customHeight="1"/>
    <row r="317" spans="1:10" ht="15.75" customHeight="1"/>
    <row r="318" spans="1:10" ht="15.75" customHeight="1">
      <c r="A318" s="964" t="s">
        <v>1658</v>
      </c>
      <c r="B318" s="964"/>
      <c r="C318" s="964"/>
      <c r="D318" s="964"/>
      <c r="E318" s="964"/>
      <c r="F318" s="964"/>
      <c r="G318" s="964"/>
      <c r="H318" s="964"/>
    </row>
    <row r="319" spans="1:10" ht="15.75" customHeight="1">
      <c r="A319" s="965" t="s">
        <v>1484</v>
      </c>
      <c r="B319" s="966"/>
      <c r="C319" s="210" t="str">
        <f>C$6</f>
        <v>Montant N-1</v>
      </c>
      <c r="D319" s="210" t="str">
        <f>D$6</f>
        <v>Montant N</v>
      </c>
      <c r="E319" s="210" t="str">
        <f>E$6</f>
        <v>Résultat N-1</v>
      </c>
      <c r="F319" s="210" t="str">
        <f>F$6</f>
        <v>Résultat N</v>
      </c>
      <c r="G319" s="271" t="s">
        <v>1488</v>
      </c>
      <c r="H319" s="273" t="s">
        <v>1489</v>
      </c>
    </row>
    <row r="320" spans="1:10" ht="15.75" customHeight="1">
      <c r="A320" s="271" t="s">
        <v>1485</v>
      </c>
      <c r="B320" s="272" t="s">
        <v>1659</v>
      </c>
      <c r="C320" s="210"/>
      <c r="D320" s="210"/>
      <c r="E320" s="961">
        <f>IF(C323&gt;0,C321/C323,0)</f>
        <v>245.2258064516129</v>
      </c>
      <c r="F320" s="961">
        <f>IF(D323&gt;0,D321/D323,0)</f>
        <v>287.67741935483872</v>
      </c>
      <c r="G320" s="958" t="s">
        <v>1790</v>
      </c>
      <c r="H320" s="955" t="str">
        <f>IF(D323&gt;0,IF(F320&lt;115%,"La norme n'est pas respectée","La norme est respectée"),"")</f>
        <v>La norme est respectée</v>
      </c>
    </row>
    <row r="321" spans="1:10" ht="15.75" customHeight="1">
      <c r="A321" s="304"/>
      <c r="B321" s="304" t="s">
        <v>802</v>
      </c>
      <c r="C321" s="532">
        <f>Retraitement!C111</f>
        <v>7602</v>
      </c>
      <c r="D321" s="532">
        <f>Retraitement!D111</f>
        <v>8918</v>
      </c>
      <c r="E321" s="962"/>
      <c r="F321" s="962"/>
      <c r="G321" s="959"/>
      <c r="H321" s="956"/>
      <c r="J321" s="316">
        <f>IF(ISBLANK(D321),1,0)</f>
        <v>0</v>
      </c>
    </row>
    <row r="322" spans="1:10" ht="15.75" customHeight="1">
      <c r="A322" s="271"/>
      <c r="B322" s="272" t="s">
        <v>1660</v>
      </c>
      <c r="C322" s="273"/>
      <c r="D322" s="273"/>
      <c r="E322" s="962"/>
      <c r="F322" s="962"/>
      <c r="G322" s="959"/>
      <c r="H322" s="956"/>
    </row>
    <row r="323" spans="1:10" ht="15.75" customHeight="1">
      <c r="A323" s="304"/>
      <c r="B323" s="304" t="s">
        <v>803</v>
      </c>
      <c r="C323" s="532">
        <f>Retraitement!C115</f>
        <v>31</v>
      </c>
      <c r="D323" s="532">
        <f>Retraitement!D115</f>
        <v>31</v>
      </c>
      <c r="E323" s="963"/>
      <c r="F323" s="963"/>
      <c r="G323" s="960"/>
      <c r="H323" s="957"/>
      <c r="J323" s="316">
        <f>IF(ISBLANK(D323),1,0)</f>
        <v>0</v>
      </c>
    </row>
    <row r="324" spans="1:10" ht="15.75" customHeight="1"/>
    <row r="325" spans="1:10" ht="15.75" customHeight="1"/>
    <row r="326" spans="1:10" ht="15.75" customHeight="1">
      <c r="A326" s="950" t="s">
        <v>1661</v>
      </c>
      <c r="B326" s="950"/>
      <c r="C326" s="950"/>
      <c r="D326" s="950"/>
      <c r="E326" s="950"/>
      <c r="F326" s="950"/>
      <c r="G326" s="950"/>
      <c r="H326" s="950"/>
    </row>
    <row r="327" spans="1:10" ht="15.75" customHeight="1">
      <c r="A327" s="951" t="s">
        <v>1484</v>
      </c>
      <c r="B327" s="951"/>
      <c r="C327" s="951"/>
      <c r="D327" s="951"/>
      <c r="E327" s="590"/>
      <c r="F327" s="590"/>
      <c r="G327" s="590"/>
      <c r="H327" s="590"/>
    </row>
    <row r="328" spans="1:10" ht="15.75" customHeight="1">
      <c r="A328" s="271" t="s">
        <v>1485</v>
      </c>
      <c r="B328" s="272" t="s">
        <v>1662</v>
      </c>
      <c r="C328" s="210" t="str">
        <f>C$6</f>
        <v>Montant N-1</v>
      </c>
      <c r="D328" s="210" t="str">
        <f>D$6</f>
        <v>Montant N</v>
      </c>
      <c r="E328" s="210" t="str">
        <f>E$6</f>
        <v>Résultat N-1</v>
      </c>
      <c r="F328" s="210" t="str">
        <f>F$6</f>
        <v>Résultat N</v>
      </c>
      <c r="G328" s="271" t="s">
        <v>1488</v>
      </c>
      <c r="H328" s="273" t="s">
        <v>1489</v>
      </c>
    </row>
    <row r="329" spans="1:10" ht="15.75" customHeight="1">
      <c r="A329" s="165" t="s">
        <v>191</v>
      </c>
      <c r="B329" s="165" t="s">
        <v>276</v>
      </c>
      <c r="C329" s="284">
        <f t="shared" ref="C329:D344" si="13">C26</f>
        <v>0</v>
      </c>
      <c r="D329" s="284">
        <f t="shared" si="13"/>
        <v>243810803</v>
      </c>
      <c r="E329" s="928">
        <f>IF(C354&lt;&gt;0,C345/C354,0)</f>
        <v>0.27470234940019267</v>
      </c>
      <c r="F329" s="928">
        <f>IF(D354&lt;&gt;0,D345/D354,0)</f>
        <v>0.22560569505810593</v>
      </c>
      <c r="G329" s="958" t="s">
        <v>1795</v>
      </c>
      <c r="H329" s="955" t="str">
        <f>IF(D354&lt;&gt;0,IF(F329&gt;=35%,"La norme n'est pas respectée","La norme est respectée"),"")</f>
        <v>La norme est respectée</v>
      </c>
    </row>
    <row r="330" spans="1:10" ht="15.75" customHeight="1">
      <c r="A330" s="165" t="s">
        <v>194</v>
      </c>
      <c r="B330" s="165" t="s">
        <v>279</v>
      </c>
      <c r="C330" s="284">
        <f t="shared" si="13"/>
        <v>2480126</v>
      </c>
      <c r="D330" s="284">
        <f t="shared" si="13"/>
        <v>1815156</v>
      </c>
      <c r="E330" s="929"/>
      <c r="F330" s="929"/>
      <c r="G330" s="959"/>
      <c r="H330" s="956"/>
    </row>
    <row r="331" spans="1:10" ht="15.75" customHeight="1">
      <c r="A331" s="165" t="s">
        <v>204</v>
      </c>
      <c r="B331" s="165" t="s">
        <v>210</v>
      </c>
      <c r="C331" s="284">
        <f t="shared" si="13"/>
        <v>0</v>
      </c>
      <c r="D331" s="284">
        <f t="shared" si="13"/>
        <v>0</v>
      </c>
      <c r="E331" s="929"/>
      <c r="F331" s="929"/>
      <c r="G331" s="959"/>
      <c r="H331" s="956"/>
    </row>
    <row r="332" spans="1:10" ht="15.75" customHeight="1">
      <c r="A332" s="165" t="s">
        <v>208</v>
      </c>
      <c r="B332" s="283" t="s">
        <v>211</v>
      </c>
      <c r="C332" s="284">
        <f t="shared" si="13"/>
        <v>0</v>
      </c>
      <c r="D332" s="284">
        <f t="shared" si="13"/>
        <v>0</v>
      </c>
      <c r="E332" s="929"/>
      <c r="F332" s="929"/>
      <c r="G332" s="959"/>
      <c r="H332" s="956"/>
    </row>
    <row r="333" spans="1:10" ht="15.75" customHeight="1">
      <c r="A333" s="165" t="s">
        <v>564</v>
      </c>
      <c r="B333" s="288" t="s">
        <v>565</v>
      </c>
      <c r="C333" s="284">
        <f t="shared" si="13"/>
        <v>0</v>
      </c>
      <c r="D333" s="284">
        <f t="shared" si="13"/>
        <v>0</v>
      </c>
      <c r="E333" s="929"/>
      <c r="F333" s="929"/>
      <c r="G333" s="959"/>
      <c r="H333" s="956"/>
    </row>
    <row r="334" spans="1:10" ht="15.75" customHeight="1">
      <c r="A334" s="165" t="s">
        <v>566</v>
      </c>
      <c r="B334" s="283" t="s">
        <v>568</v>
      </c>
      <c r="C334" s="284">
        <f t="shared" si="13"/>
        <v>0</v>
      </c>
      <c r="D334" s="284">
        <f t="shared" si="13"/>
        <v>0</v>
      </c>
      <c r="E334" s="929"/>
      <c r="F334" s="929"/>
      <c r="G334" s="959"/>
      <c r="H334" s="956"/>
    </row>
    <row r="335" spans="1:10" ht="15.75" customHeight="1">
      <c r="A335" s="165" t="s">
        <v>567</v>
      </c>
      <c r="B335" s="283" t="s">
        <v>657</v>
      </c>
      <c r="C335" s="284">
        <f t="shared" si="13"/>
        <v>0</v>
      </c>
      <c r="D335" s="284">
        <f t="shared" si="13"/>
        <v>0</v>
      </c>
      <c r="E335" s="929"/>
      <c r="F335" s="929"/>
      <c r="G335" s="959"/>
      <c r="H335" s="956"/>
    </row>
    <row r="336" spans="1:10" ht="15.75" customHeight="1">
      <c r="A336" s="166" t="s">
        <v>290</v>
      </c>
      <c r="B336" s="283" t="s">
        <v>291</v>
      </c>
      <c r="C336" s="284">
        <f t="shared" si="13"/>
        <v>1044595</v>
      </c>
      <c r="D336" s="284">
        <f t="shared" si="13"/>
        <v>0</v>
      </c>
      <c r="E336" s="929"/>
      <c r="F336" s="929"/>
      <c r="G336" s="959"/>
      <c r="H336" s="956"/>
    </row>
    <row r="337" spans="1:10" ht="15.75" customHeight="1">
      <c r="A337" s="166" t="s">
        <v>294</v>
      </c>
      <c r="B337" s="283" t="s">
        <v>295</v>
      </c>
      <c r="C337" s="284">
        <f t="shared" si="13"/>
        <v>0</v>
      </c>
      <c r="D337" s="284">
        <f t="shared" si="13"/>
        <v>0</v>
      </c>
      <c r="E337" s="929"/>
      <c r="F337" s="929"/>
      <c r="G337" s="959"/>
      <c r="H337" s="956"/>
    </row>
    <row r="338" spans="1:10" ht="15.75" customHeight="1">
      <c r="A338" s="166" t="s">
        <v>307</v>
      </c>
      <c r="B338" s="283" t="s">
        <v>797</v>
      </c>
      <c r="C338" s="284">
        <f t="shared" si="13"/>
        <v>0</v>
      </c>
      <c r="D338" s="284">
        <f t="shared" si="13"/>
        <v>0</v>
      </c>
      <c r="E338" s="929"/>
      <c r="F338" s="929"/>
      <c r="G338" s="959"/>
      <c r="H338" s="956"/>
      <c r="J338" s="160"/>
    </row>
    <row r="339" spans="1:10" ht="15.75" customHeight="1">
      <c r="A339" s="283" t="s">
        <v>313</v>
      </c>
      <c r="B339" s="165" t="s">
        <v>314</v>
      </c>
      <c r="C339" s="284">
        <f t="shared" si="13"/>
        <v>180566754</v>
      </c>
      <c r="D339" s="284">
        <f t="shared" si="13"/>
        <v>200864603</v>
      </c>
      <c r="E339" s="929"/>
      <c r="F339" s="929"/>
      <c r="G339" s="959"/>
      <c r="H339" s="956"/>
      <c r="J339" s="160"/>
    </row>
    <row r="340" spans="1:10" ht="15.75" customHeight="1">
      <c r="A340" s="283" t="s">
        <v>675</v>
      </c>
      <c r="B340" s="165" t="s">
        <v>318</v>
      </c>
      <c r="C340" s="284">
        <f t="shared" si="13"/>
        <v>4440799</v>
      </c>
      <c r="D340" s="284">
        <f t="shared" si="13"/>
        <v>5017992</v>
      </c>
      <c r="E340" s="929"/>
      <c r="F340" s="929"/>
      <c r="G340" s="959"/>
      <c r="H340" s="956"/>
      <c r="J340" s="160"/>
    </row>
    <row r="341" spans="1:10" ht="15.75" customHeight="1">
      <c r="A341" s="166" t="s">
        <v>332</v>
      </c>
      <c r="B341" s="288" t="s">
        <v>333</v>
      </c>
      <c r="C341" s="284">
        <f t="shared" si="13"/>
        <v>99936132</v>
      </c>
      <c r="D341" s="284">
        <f t="shared" si="13"/>
        <v>96501158</v>
      </c>
      <c r="E341" s="929"/>
      <c r="F341" s="929"/>
      <c r="G341" s="959"/>
      <c r="H341" s="956"/>
      <c r="J341" s="160"/>
    </row>
    <row r="342" spans="1:10" ht="15.75" customHeight="1">
      <c r="A342" s="283" t="s">
        <v>388</v>
      </c>
      <c r="B342" s="283" t="s">
        <v>389</v>
      </c>
      <c r="C342" s="284">
        <f t="shared" si="13"/>
        <v>0</v>
      </c>
      <c r="D342" s="284">
        <f t="shared" si="13"/>
        <v>0</v>
      </c>
      <c r="E342" s="929"/>
      <c r="F342" s="929"/>
      <c r="G342" s="959"/>
      <c r="H342" s="956"/>
      <c r="J342" s="160"/>
    </row>
    <row r="343" spans="1:10" ht="15.75" customHeight="1">
      <c r="A343" s="283" t="s">
        <v>390</v>
      </c>
      <c r="B343" s="283" t="s">
        <v>391</v>
      </c>
      <c r="C343" s="284">
        <f t="shared" si="13"/>
        <v>0</v>
      </c>
      <c r="D343" s="284">
        <f t="shared" si="13"/>
        <v>35007261</v>
      </c>
      <c r="E343" s="929"/>
      <c r="F343" s="929"/>
      <c r="G343" s="959"/>
      <c r="H343" s="956"/>
      <c r="J343" s="160"/>
    </row>
    <row r="344" spans="1:10" ht="15.75" customHeight="1">
      <c r="A344" s="283" t="s">
        <v>398</v>
      </c>
      <c r="B344" s="283" t="s">
        <v>399</v>
      </c>
      <c r="C344" s="284">
        <f t="shared" si="13"/>
        <v>697452317</v>
      </c>
      <c r="D344" s="284">
        <f t="shared" si="13"/>
        <v>226693357</v>
      </c>
      <c r="E344" s="929"/>
      <c r="F344" s="929"/>
      <c r="G344" s="959"/>
      <c r="H344" s="956"/>
      <c r="J344" s="160"/>
    </row>
    <row r="345" spans="1:10" ht="15.75" customHeight="1">
      <c r="A345" s="309"/>
      <c r="B345" s="309" t="s">
        <v>1495</v>
      </c>
      <c r="C345" s="537">
        <f>SUM(C329:C344)</f>
        <v>985920723</v>
      </c>
      <c r="D345" s="537">
        <f>SUM(D329:D344)</f>
        <v>809710330</v>
      </c>
      <c r="E345" s="929"/>
      <c r="F345" s="929"/>
      <c r="G345" s="959"/>
      <c r="H345" s="956"/>
      <c r="J345" s="160"/>
    </row>
    <row r="346" spans="1:10" ht="15.75" customHeight="1">
      <c r="A346" s="617"/>
      <c r="B346" s="618"/>
      <c r="C346" s="619"/>
      <c r="D346" s="619"/>
      <c r="E346" s="929"/>
      <c r="F346" s="929"/>
      <c r="G346" s="959"/>
      <c r="H346" s="956"/>
      <c r="J346" s="160"/>
    </row>
    <row r="347" spans="1:10" ht="15.75" customHeight="1">
      <c r="A347" s="271"/>
      <c r="B347" s="272" t="s">
        <v>1663</v>
      </c>
      <c r="C347" s="273"/>
      <c r="D347" s="273"/>
      <c r="E347" s="929"/>
      <c r="F347" s="929"/>
      <c r="G347" s="959"/>
      <c r="H347" s="956"/>
      <c r="J347" s="160"/>
    </row>
    <row r="348" spans="1:10" ht="15.75" customHeight="1">
      <c r="A348" s="299" t="s">
        <v>6</v>
      </c>
      <c r="B348" s="299" t="s">
        <v>131</v>
      </c>
      <c r="C348" s="544">
        <f>D348</f>
        <v>717591315</v>
      </c>
      <c r="D348" s="544">
        <f>AVERAGE('Bilan et Hors Bilan'!E36:F36)</f>
        <v>717591315</v>
      </c>
      <c r="E348" s="929"/>
      <c r="F348" s="929"/>
      <c r="G348" s="959"/>
      <c r="H348" s="956"/>
      <c r="J348" s="160"/>
    </row>
    <row r="349" spans="1:10" ht="15.75" customHeight="1">
      <c r="A349" s="299" t="s">
        <v>8</v>
      </c>
      <c r="B349" s="299" t="s">
        <v>225</v>
      </c>
      <c r="C349" s="544">
        <f t="shared" ref="C349:C353" si="14">D349</f>
        <v>0</v>
      </c>
      <c r="D349" s="544">
        <f>AVERAGE('Bilan et Hors Bilan'!E37:F37)</f>
        <v>0</v>
      </c>
      <c r="E349" s="929"/>
      <c r="F349" s="929"/>
      <c r="G349" s="959"/>
      <c r="H349" s="956"/>
      <c r="J349" s="160"/>
    </row>
    <row r="350" spans="1:10" ht="15.75" customHeight="1">
      <c r="A350" s="299" t="s">
        <v>10</v>
      </c>
      <c r="B350" s="299" t="s">
        <v>105</v>
      </c>
      <c r="C350" s="544">
        <f t="shared" si="14"/>
        <v>2689510360</v>
      </c>
      <c r="D350" s="544">
        <f>AVERAGE('Bilan et Hors Bilan'!E40:F40)</f>
        <v>2689510360</v>
      </c>
      <c r="E350" s="929"/>
      <c r="F350" s="929"/>
      <c r="G350" s="959"/>
      <c r="H350" s="956"/>
      <c r="J350" s="160"/>
    </row>
    <row r="351" spans="1:10" ht="15.75" customHeight="1">
      <c r="A351" s="299" t="s">
        <v>12</v>
      </c>
      <c r="B351" s="299" t="s">
        <v>474</v>
      </c>
      <c r="C351" s="544">
        <f t="shared" si="14"/>
        <v>33380509.5</v>
      </c>
      <c r="D351" s="544">
        <f>AVERAGE('Bilan et Hors Bilan'!E41:F41)</f>
        <v>33380509.5</v>
      </c>
      <c r="E351" s="929"/>
      <c r="F351" s="929"/>
      <c r="G351" s="959"/>
      <c r="H351" s="956"/>
      <c r="J351" s="160"/>
    </row>
    <row r="352" spans="1:10" ht="15.75" customHeight="1">
      <c r="A352" s="299" t="s">
        <v>114</v>
      </c>
      <c r="B352" s="299" t="s">
        <v>112</v>
      </c>
      <c r="C352" s="544">
        <f t="shared" si="14"/>
        <v>82647325.5</v>
      </c>
      <c r="D352" s="544">
        <f>AVERAGE('Bilan et Hors Bilan'!E44:F44)</f>
        <v>82647325.5</v>
      </c>
      <c r="E352" s="929"/>
      <c r="F352" s="929"/>
      <c r="G352" s="959"/>
      <c r="H352" s="956"/>
      <c r="J352" s="160"/>
    </row>
    <row r="353" spans="1:10" ht="15.75" customHeight="1">
      <c r="A353" s="299" t="s">
        <v>49</v>
      </c>
      <c r="B353" s="299" t="s">
        <v>438</v>
      </c>
      <c r="C353" s="544">
        <f t="shared" si="14"/>
        <v>65921421.5</v>
      </c>
      <c r="D353" s="544">
        <f>AVERAGE('Bilan et Hors Bilan'!E45:F45)</f>
        <v>65921421.5</v>
      </c>
      <c r="E353" s="929"/>
      <c r="F353" s="929"/>
      <c r="G353" s="959"/>
      <c r="H353" s="956"/>
      <c r="J353" s="160"/>
    </row>
    <row r="354" spans="1:10" ht="15.75" customHeight="1">
      <c r="A354" s="310"/>
      <c r="B354" s="310" t="s">
        <v>1500</v>
      </c>
      <c r="C354" s="538">
        <f>SUM(C348:C353)</f>
        <v>3589050931.5</v>
      </c>
      <c r="D354" s="538">
        <f>SUM(D348:D353)</f>
        <v>3589050931.5</v>
      </c>
      <c r="E354" s="930"/>
      <c r="F354" s="930"/>
      <c r="G354" s="960"/>
      <c r="H354" s="957"/>
    </row>
    <row r="355" spans="1:10" ht="15.75" customHeight="1"/>
    <row r="356" spans="1:10" ht="15.75" customHeight="1">
      <c r="A356" s="78"/>
      <c r="B356" s="78"/>
      <c r="C356" s="78"/>
      <c r="D356" s="78"/>
      <c r="E356" s="78"/>
      <c r="F356" s="78"/>
      <c r="G356" s="78"/>
      <c r="H356" s="78"/>
    </row>
    <row r="357" spans="1:10" s="316" customFormat="1" ht="15.75" customHeight="1">
      <c r="A357" s="950" t="s">
        <v>1664</v>
      </c>
      <c r="B357" s="950"/>
      <c r="C357" s="950"/>
      <c r="D357" s="950"/>
      <c r="E357" s="950"/>
      <c r="F357" s="950"/>
      <c r="G357" s="950"/>
      <c r="H357" s="950"/>
      <c r="I357" s="160"/>
      <c r="J357" s="160"/>
    </row>
    <row r="358" spans="1:10" s="316" customFormat="1" ht="15.75" customHeight="1">
      <c r="A358" s="951" t="s">
        <v>1484</v>
      </c>
      <c r="B358" s="951"/>
      <c r="C358" s="951"/>
      <c r="D358" s="951"/>
      <c r="E358" s="590"/>
      <c r="F358" s="590"/>
      <c r="G358" s="590"/>
      <c r="H358" s="590"/>
      <c r="I358" s="160"/>
      <c r="J358" s="160"/>
    </row>
    <row r="359" spans="1:10" s="316" customFormat="1" ht="15.75" customHeight="1">
      <c r="A359" s="271" t="s">
        <v>1485</v>
      </c>
      <c r="B359" s="272" t="s">
        <v>1665</v>
      </c>
      <c r="C359" s="210" t="str">
        <f>C$6</f>
        <v>Montant N-1</v>
      </c>
      <c r="D359" s="210" t="str">
        <f>D$6</f>
        <v>Montant N</v>
      </c>
      <c r="E359" s="210" t="str">
        <f>E$6</f>
        <v>Résultat N-1</v>
      </c>
      <c r="F359" s="210" t="str">
        <f>F$6</f>
        <v>Résultat N</v>
      </c>
      <c r="G359" s="540" t="s">
        <v>1488</v>
      </c>
      <c r="H359" s="273" t="s">
        <v>1489</v>
      </c>
      <c r="I359" s="160"/>
      <c r="J359" s="160"/>
    </row>
    <row r="360" spans="1:10" s="316" customFormat="1" ht="15.75" customHeight="1">
      <c r="A360" s="166" t="s">
        <v>313</v>
      </c>
      <c r="B360" s="166" t="s">
        <v>314</v>
      </c>
      <c r="C360" s="284">
        <f t="shared" ref="C360:D363" si="15">C36</f>
        <v>180566754</v>
      </c>
      <c r="D360" s="284">
        <f t="shared" si="15"/>
        <v>200864603</v>
      </c>
      <c r="E360" s="928">
        <f>IF(C373&lt;&gt;0,C364/C373,0)</f>
        <v>7.9392488554324098E-2</v>
      </c>
      <c r="F360" s="928">
        <f>IF(D373&lt;&gt;0,D364/D373,0)</f>
        <v>8.4251730825570206E-2</v>
      </c>
      <c r="G360" s="952" t="s">
        <v>1666</v>
      </c>
      <c r="H360" s="955" t="str">
        <f>IF(D373&lt;&gt;0,IF(F360&gt;=15%,"La norme n'est pas respectée pour les structures de crédit direct","La norme est respectée pour les structures de crédit direct"),"")</f>
        <v>La norme est respectée pour les structures de crédit direct</v>
      </c>
      <c r="I360" s="160"/>
      <c r="J360" s="160"/>
    </row>
    <row r="361" spans="1:10" s="316" customFormat="1" ht="15.75" customHeight="1">
      <c r="A361" s="166" t="s">
        <v>675</v>
      </c>
      <c r="B361" s="166" t="s">
        <v>318</v>
      </c>
      <c r="C361" s="284">
        <f t="shared" si="15"/>
        <v>4440799</v>
      </c>
      <c r="D361" s="284">
        <f t="shared" si="15"/>
        <v>5017992</v>
      </c>
      <c r="E361" s="929"/>
      <c r="F361" s="929"/>
      <c r="G361" s="953"/>
      <c r="H361" s="956"/>
      <c r="I361" s="160"/>
      <c r="J361" s="160"/>
    </row>
    <row r="362" spans="1:10" s="316" customFormat="1" ht="15.75" customHeight="1">
      <c r="A362" s="166" t="s">
        <v>332</v>
      </c>
      <c r="B362" s="166" t="s">
        <v>333</v>
      </c>
      <c r="C362" s="284">
        <f t="shared" si="15"/>
        <v>99936132</v>
      </c>
      <c r="D362" s="284">
        <f t="shared" si="15"/>
        <v>96501158</v>
      </c>
      <c r="E362" s="929"/>
      <c r="F362" s="929"/>
      <c r="G362" s="953"/>
      <c r="H362" s="956"/>
      <c r="I362" s="160"/>
      <c r="J362" s="160"/>
    </row>
    <row r="363" spans="1:10" s="316" customFormat="1" ht="15.75" customHeight="1">
      <c r="A363" s="166" t="s">
        <v>388</v>
      </c>
      <c r="B363" s="166" t="s">
        <v>389</v>
      </c>
      <c r="C363" s="284">
        <f t="shared" si="15"/>
        <v>0</v>
      </c>
      <c r="D363" s="284">
        <f t="shared" si="15"/>
        <v>0</v>
      </c>
      <c r="E363" s="929"/>
      <c r="F363" s="929"/>
      <c r="G363" s="953"/>
      <c r="H363" s="956"/>
      <c r="I363" s="160"/>
      <c r="J363" s="160"/>
    </row>
    <row r="364" spans="1:10" s="316" customFormat="1" ht="15.75" customHeight="1">
      <c r="A364" s="311"/>
      <c r="B364" s="311" t="s">
        <v>1668</v>
      </c>
      <c r="C364" s="539">
        <f>SUM(C360:C363)</f>
        <v>284943685</v>
      </c>
      <c r="D364" s="539">
        <f>SUM(D360:D363)</f>
        <v>302383753</v>
      </c>
      <c r="E364" s="929"/>
      <c r="F364" s="929"/>
      <c r="G364" s="953"/>
      <c r="H364" s="956"/>
      <c r="I364" s="160"/>
      <c r="J364" s="160"/>
    </row>
    <row r="365" spans="1:10" s="316" customFormat="1" ht="15.75" customHeight="1">
      <c r="A365" s="617"/>
      <c r="B365" s="618"/>
      <c r="C365" s="619"/>
      <c r="D365" s="619"/>
      <c r="E365" s="929"/>
      <c r="F365" s="929"/>
      <c r="G365" s="953"/>
      <c r="H365" s="956"/>
      <c r="I365" s="160"/>
      <c r="J365" s="160"/>
    </row>
    <row r="366" spans="1:10" s="316" customFormat="1" ht="15.75" customHeight="1">
      <c r="A366" s="271"/>
      <c r="B366" s="272" t="s">
        <v>1663</v>
      </c>
      <c r="C366" s="536"/>
      <c r="D366" s="536"/>
      <c r="E366" s="929"/>
      <c r="F366" s="929"/>
      <c r="G366" s="954"/>
      <c r="H366" s="957"/>
      <c r="I366" s="160"/>
      <c r="J366" s="160"/>
    </row>
    <row r="367" spans="1:10" s="316" customFormat="1" ht="15.75" customHeight="1">
      <c r="A367" s="300" t="s">
        <v>6</v>
      </c>
      <c r="B367" s="300" t="s">
        <v>131</v>
      </c>
      <c r="C367" s="284">
        <f t="shared" ref="C367:C372" si="16">C348</f>
        <v>717591315</v>
      </c>
      <c r="D367" s="284">
        <f t="shared" ref="D367:D372" si="17">D348</f>
        <v>717591315</v>
      </c>
      <c r="E367" s="929"/>
      <c r="F367" s="929"/>
      <c r="G367" s="952" t="s">
        <v>1667</v>
      </c>
      <c r="H367" s="955" t="str">
        <f>IF(D373&lt;&gt;0,IF(F360&gt;=20%,"La norme n'est pas respectée pour les structures d'épargne et de crédit","La norme est respectée pour les structures d'épargne et de crédit"),"")</f>
        <v>La norme est respectée pour les structures d'épargne et de crédit</v>
      </c>
      <c r="I367" s="160"/>
      <c r="J367" s="160"/>
    </row>
    <row r="368" spans="1:10" s="316" customFormat="1" ht="15.75" customHeight="1">
      <c r="A368" s="300" t="s">
        <v>8</v>
      </c>
      <c r="B368" s="300" t="s">
        <v>225</v>
      </c>
      <c r="C368" s="284">
        <f t="shared" si="16"/>
        <v>0</v>
      </c>
      <c r="D368" s="284">
        <f t="shared" si="17"/>
        <v>0</v>
      </c>
      <c r="E368" s="929"/>
      <c r="F368" s="929"/>
      <c r="G368" s="953"/>
      <c r="H368" s="956"/>
      <c r="I368" s="160"/>
      <c r="J368" s="160"/>
    </row>
    <row r="369" spans="1:10" s="316" customFormat="1" ht="15.75" customHeight="1">
      <c r="A369" s="300" t="s">
        <v>10</v>
      </c>
      <c r="B369" s="300" t="s">
        <v>105</v>
      </c>
      <c r="C369" s="284">
        <f t="shared" si="16"/>
        <v>2689510360</v>
      </c>
      <c r="D369" s="284">
        <f t="shared" si="17"/>
        <v>2689510360</v>
      </c>
      <c r="E369" s="929"/>
      <c r="F369" s="929"/>
      <c r="G369" s="953"/>
      <c r="H369" s="956"/>
      <c r="I369" s="160"/>
      <c r="J369" s="160"/>
    </row>
    <row r="370" spans="1:10" s="316" customFormat="1" ht="15.75" customHeight="1">
      <c r="A370" s="300" t="s">
        <v>12</v>
      </c>
      <c r="B370" s="300" t="s">
        <v>474</v>
      </c>
      <c r="C370" s="284">
        <f t="shared" si="16"/>
        <v>33380509.5</v>
      </c>
      <c r="D370" s="284">
        <f t="shared" si="17"/>
        <v>33380509.5</v>
      </c>
      <c r="E370" s="929"/>
      <c r="F370" s="929"/>
      <c r="G370" s="953"/>
      <c r="H370" s="956"/>
      <c r="I370" s="160"/>
      <c r="J370" s="160"/>
    </row>
    <row r="371" spans="1:10" s="316" customFormat="1" ht="15.75" customHeight="1">
      <c r="A371" s="300" t="s">
        <v>114</v>
      </c>
      <c r="B371" s="300" t="s">
        <v>112</v>
      </c>
      <c r="C371" s="284">
        <f t="shared" si="16"/>
        <v>82647325.5</v>
      </c>
      <c r="D371" s="284">
        <f t="shared" si="17"/>
        <v>82647325.5</v>
      </c>
      <c r="E371" s="929"/>
      <c r="F371" s="929"/>
      <c r="G371" s="953"/>
      <c r="H371" s="956"/>
      <c r="I371" s="160"/>
      <c r="J371" s="160"/>
    </row>
    <row r="372" spans="1:10" s="316" customFormat="1" ht="15.75" customHeight="1">
      <c r="A372" s="300" t="s">
        <v>49</v>
      </c>
      <c r="B372" s="300" t="s">
        <v>438</v>
      </c>
      <c r="C372" s="284">
        <f t="shared" si="16"/>
        <v>65921421.5</v>
      </c>
      <c r="D372" s="284">
        <f t="shared" si="17"/>
        <v>65921421.5</v>
      </c>
      <c r="E372" s="929"/>
      <c r="F372" s="929"/>
      <c r="G372" s="953"/>
      <c r="H372" s="956"/>
      <c r="I372" s="160"/>
      <c r="J372" s="160"/>
    </row>
    <row r="373" spans="1:10" s="316" customFormat="1" ht="15.75" customHeight="1">
      <c r="A373" s="310"/>
      <c r="B373" s="310" t="s">
        <v>1500</v>
      </c>
      <c r="C373" s="538">
        <f>SUM(C367:C372)</f>
        <v>3589050931.5</v>
      </c>
      <c r="D373" s="538">
        <f>SUM(D367:D372)</f>
        <v>3589050931.5</v>
      </c>
      <c r="E373" s="930"/>
      <c r="F373" s="930"/>
      <c r="G373" s="954"/>
      <c r="H373" s="957"/>
      <c r="I373" s="160"/>
      <c r="J373" s="160"/>
    </row>
    <row r="374" spans="1:10" ht="15.75" customHeight="1">
      <c r="A374" s="78"/>
      <c r="B374" s="78"/>
      <c r="C374" s="78"/>
      <c r="D374" s="78"/>
      <c r="E374" s="78"/>
      <c r="F374" s="78"/>
      <c r="G374" s="78"/>
      <c r="H374" s="78"/>
    </row>
    <row r="375" spans="1:10" ht="15.75" customHeight="1"/>
    <row r="376" spans="1:10" s="316" customFormat="1" ht="15.75" customHeight="1">
      <c r="A376" s="950" t="s">
        <v>1669</v>
      </c>
      <c r="B376" s="950"/>
      <c r="C376" s="950"/>
      <c r="D376" s="950"/>
      <c r="E376" s="950"/>
      <c r="F376" s="950"/>
      <c r="G376" s="950"/>
      <c r="H376" s="950"/>
      <c r="I376" s="160"/>
      <c r="J376" s="160"/>
    </row>
    <row r="377" spans="1:10" s="316" customFormat="1" ht="15.75" customHeight="1">
      <c r="A377" s="951" t="s">
        <v>1484</v>
      </c>
      <c r="B377" s="951"/>
      <c r="C377" s="951"/>
      <c r="D377" s="951"/>
      <c r="E377" s="590"/>
      <c r="F377" s="590"/>
      <c r="G377" s="590"/>
      <c r="H377" s="590"/>
      <c r="I377" s="160"/>
      <c r="J377" s="160"/>
    </row>
    <row r="378" spans="1:10" s="316" customFormat="1" ht="15.75" customHeight="1">
      <c r="A378" s="271" t="s">
        <v>1485</v>
      </c>
      <c r="B378" s="272" t="s">
        <v>1670</v>
      </c>
      <c r="C378" s="210" t="str">
        <f>C$6</f>
        <v>Montant N-1</v>
      </c>
      <c r="D378" s="210" t="str">
        <f>D$6</f>
        <v>Montant N</v>
      </c>
      <c r="E378" s="210" t="str">
        <f>E$6</f>
        <v>Résultat N-1</v>
      </c>
      <c r="F378" s="210" t="str">
        <f>F$6</f>
        <v>Résultat N</v>
      </c>
      <c r="G378" s="271" t="s">
        <v>1488</v>
      </c>
      <c r="H378" s="273" t="s">
        <v>1489</v>
      </c>
      <c r="I378" s="160"/>
      <c r="J378" s="160"/>
    </row>
    <row r="379" spans="1:10" s="316" customFormat="1" ht="15.75" customHeight="1">
      <c r="A379" s="166" t="s">
        <v>313</v>
      </c>
      <c r="B379" s="166" t="s">
        <v>314</v>
      </c>
      <c r="C379" s="284">
        <f>C36</f>
        <v>180566754</v>
      </c>
      <c r="D379" s="284">
        <f>D36</f>
        <v>200864603</v>
      </c>
      <c r="E379" s="928">
        <f>IF(C389&lt;&gt;0,C380/C389,0)</f>
        <v>5.0310446256201312E-2</v>
      </c>
      <c r="F379" s="928">
        <f>IF(D389&lt;&gt;0,D380/D389,0)</f>
        <v>5.5965938303375116E-2</v>
      </c>
      <c r="G379" s="952" t="s">
        <v>1671</v>
      </c>
      <c r="H379" s="955" t="str">
        <f>IF(D389&lt;&gt;0,IF(F379&gt;5%,"La norme n'est pas respectée pour les structures de crédit direct","La norme est respectée pour les structures de crédit direct"),"")</f>
        <v>La norme n'est pas respectée pour les structures de crédit direct</v>
      </c>
      <c r="I379" s="160"/>
      <c r="J379" s="160"/>
    </row>
    <row r="380" spans="1:10" s="316" customFormat="1" ht="15.75" customHeight="1">
      <c r="A380" s="311"/>
      <c r="B380" s="311" t="s">
        <v>1668</v>
      </c>
      <c r="C380" s="539">
        <f>C379</f>
        <v>180566754</v>
      </c>
      <c r="D380" s="539">
        <f>D379</f>
        <v>200864603</v>
      </c>
      <c r="E380" s="929"/>
      <c r="F380" s="929"/>
      <c r="G380" s="953"/>
      <c r="H380" s="956"/>
      <c r="I380" s="160"/>
      <c r="J380" s="160"/>
    </row>
    <row r="381" spans="1:10" s="316" customFormat="1" ht="15.75" customHeight="1">
      <c r="A381" s="617"/>
      <c r="B381" s="618"/>
      <c r="C381" s="619"/>
      <c r="D381" s="619"/>
      <c r="E381" s="929"/>
      <c r="F381" s="929"/>
      <c r="G381" s="953"/>
      <c r="H381" s="956"/>
      <c r="I381" s="160"/>
      <c r="J381" s="160"/>
    </row>
    <row r="382" spans="1:10" s="316" customFormat="1" ht="15.75" customHeight="1">
      <c r="A382" s="271"/>
      <c r="B382" s="272" t="s">
        <v>1663</v>
      </c>
      <c r="C382" s="536"/>
      <c r="D382" s="536"/>
      <c r="E382" s="929"/>
      <c r="F382" s="929"/>
      <c r="G382" s="953"/>
      <c r="H382" s="956"/>
      <c r="I382" s="160"/>
      <c r="J382" s="160"/>
    </row>
    <row r="383" spans="1:10" s="316" customFormat="1" ht="15.75" customHeight="1">
      <c r="A383" s="300" t="s">
        <v>6</v>
      </c>
      <c r="B383" s="300" t="s">
        <v>131</v>
      </c>
      <c r="C383" s="284">
        <f t="shared" ref="C383:C388" si="18">C348</f>
        <v>717591315</v>
      </c>
      <c r="D383" s="284">
        <f t="shared" ref="D383:D388" si="19">D348</f>
        <v>717591315</v>
      </c>
      <c r="E383" s="929"/>
      <c r="F383" s="929"/>
      <c r="G383" s="953"/>
      <c r="H383" s="956"/>
      <c r="I383" s="160"/>
      <c r="J383" s="160"/>
    </row>
    <row r="384" spans="1:10" s="316" customFormat="1" ht="15.75" customHeight="1">
      <c r="A384" s="300" t="s">
        <v>8</v>
      </c>
      <c r="B384" s="300" t="s">
        <v>225</v>
      </c>
      <c r="C384" s="284">
        <f t="shared" si="18"/>
        <v>0</v>
      </c>
      <c r="D384" s="284">
        <f t="shared" si="19"/>
        <v>0</v>
      </c>
      <c r="E384" s="929"/>
      <c r="F384" s="929"/>
      <c r="G384" s="954"/>
      <c r="H384" s="957"/>
      <c r="I384" s="160"/>
      <c r="J384" s="160"/>
    </row>
    <row r="385" spans="1:10" s="316" customFormat="1" ht="15.75" customHeight="1">
      <c r="A385" s="300" t="s">
        <v>10</v>
      </c>
      <c r="B385" s="300" t="s">
        <v>105</v>
      </c>
      <c r="C385" s="284">
        <f t="shared" si="18"/>
        <v>2689510360</v>
      </c>
      <c r="D385" s="284">
        <f t="shared" si="19"/>
        <v>2689510360</v>
      </c>
      <c r="E385" s="929"/>
      <c r="F385" s="929"/>
      <c r="G385" s="952" t="s">
        <v>1672</v>
      </c>
      <c r="H385" s="955" t="str">
        <f>IF(D389&lt;&gt;0,IF(F379&gt;10%,"La norme n'est pas respectée pour les structures de crédit direct","La norme est respectée pour les structures de crédit direct"),"")</f>
        <v>La norme est respectée pour les structures de crédit direct</v>
      </c>
      <c r="I385" s="160"/>
      <c r="J385" s="160"/>
    </row>
    <row r="386" spans="1:10" s="316" customFormat="1" ht="15.75" customHeight="1">
      <c r="A386" s="300" t="s">
        <v>12</v>
      </c>
      <c r="B386" s="300" t="s">
        <v>474</v>
      </c>
      <c r="C386" s="284">
        <f t="shared" si="18"/>
        <v>33380509.5</v>
      </c>
      <c r="D386" s="284">
        <f t="shared" si="19"/>
        <v>33380509.5</v>
      </c>
      <c r="E386" s="929"/>
      <c r="F386" s="929"/>
      <c r="G386" s="953"/>
      <c r="H386" s="956"/>
      <c r="I386" s="160"/>
      <c r="J386" s="160"/>
    </row>
    <row r="387" spans="1:10" s="316" customFormat="1" ht="15.75" customHeight="1">
      <c r="A387" s="300" t="s">
        <v>114</v>
      </c>
      <c r="B387" s="300" t="s">
        <v>112</v>
      </c>
      <c r="C387" s="284">
        <f t="shared" si="18"/>
        <v>82647325.5</v>
      </c>
      <c r="D387" s="284">
        <f t="shared" si="19"/>
        <v>82647325.5</v>
      </c>
      <c r="E387" s="929"/>
      <c r="F387" s="929"/>
      <c r="G387" s="953"/>
      <c r="H387" s="956"/>
      <c r="I387" s="160"/>
      <c r="J387" s="160"/>
    </row>
    <row r="388" spans="1:10" s="316" customFormat="1" ht="15.75" customHeight="1">
      <c r="A388" s="300" t="s">
        <v>49</v>
      </c>
      <c r="B388" s="300" t="s">
        <v>438</v>
      </c>
      <c r="C388" s="284">
        <f t="shared" si="18"/>
        <v>65921421.5</v>
      </c>
      <c r="D388" s="284">
        <f t="shared" si="19"/>
        <v>65921421.5</v>
      </c>
      <c r="E388" s="929"/>
      <c r="F388" s="929"/>
      <c r="G388" s="953"/>
      <c r="H388" s="956"/>
      <c r="I388" s="160"/>
      <c r="J388" s="160"/>
    </row>
    <row r="389" spans="1:10" s="316" customFormat="1" ht="15.75" customHeight="1">
      <c r="A389" s="310"/>
      <c r="B389" s="310" t="s">
        <v>1500</v>
      </c>
      <c r="C389" s="538">
        <f>SUM(C383:C388)</f>
        <v>3589050931.5</v>
      </c>
      <c r="D389" s="538">
        <f>SUM(D383:D388)</f>
        <v>3589050931.5</v>
      </c>
      <c r="E389" s="930"/>
      <c r="F389" s="930"/>
      <c r="G389" s="954"/>
      <c r="H389" s="957"/>
      <c r="I389" s="160"/>
      <c r="J389" s="160"/>
    </row>
    <row r="390" spans="1:10" ht="15.75" customHeight="1">
      <c r="A390" s="78"/>
      <c r="B390" s="78"/>
      <c r="C390" s="78"/>
      <c r="D390" s="78"/>
      <c r="E390" s="78"/>
      <c r="F390" s="78"/>
      <c r="G390" s="78"/>
      <c r="H390" s="78"/>
    </row>
    <row r="391" spans="1:10" ht="15.75" customHeight="1"/>
    <row r="392" spans="1:10" ht="15.75" customHeight="1"/>
    <row r="393" spans="1:10" ht="15.75" customHeight="1"/>
    <row r="394" spans="1:10" ht="15.75" customHeight="1"/>
    <row r="395" spans="1:10" ht="15.75" customHeight="1"/>
    <row r="396" spans="1:10" ht="15.75" customHeight="1"/>
    <row r="397" spans="1:10" ht="15.75" customHeight="1"/>
    <row r="398" spans="1:10" ht="15.75" customHeight="1"/>
    <row r="399" spans="1:10" ht="15.75" customHeight="1"/>
    <row r="400" spans="1:10" ht="15.75" customHeight="1"/>
    <row r="401" spans="10:10" ht="15.75" customHeight="1"/>
    <row r="402" spans="10:10" ht="15.75" customHeight="1">
      <c r="J402" s="160"/>
    </row>
    <row r="403" spans="10:10" ht="15.75" customHeight="1">
      <c r="J403" s="160"/>
    </row>
    <row r="404" spans="10:10" ht="15.75" customHeight="1">
      <c r="J404" s="160"/>
    </row>
  </sheetData>
  <sheetProtection password="D15A" sheet="1" objects="1" scenarios="1" selectLockedCells="1"/>
  <sortState ref="A13:B73">
    <sortCondition ref="A13:A73"/>
  </sortState>
  <customSheetViews>
    <customSheetView guid="{2ECB5001-E624-4860-8EDC-E7BEEAA78E29}" topLeftCell="A153">
      <selection activeCell="H632" sqref="H632"/>
    </customSheetView>
  </customSheetViews>
  <mergeCells count="135">
    <mergeCell ref="E220:E224"/>
    <mergeCell ref="F220:F224"/>
    <mergeCell ref="G220:G224"/>
    <mergeCell ref="H220:H224"/>
    <mergeCell ref="A227:H227"/>
    <mergeCell ref="A228:D228"/>
    <mergeCell ref="E230:E237"/>
    <mergeCell ref="F230:F237"/>
    <mergeCell ref="G230:G237"/>
    <mergeCell ref="H230:H237"/>
    <mergeCell ref="A207:H207"/>
    <mergeCell ref="A209:H209"/>
    <mergeCell ref="A210:D210"/>
    <mergeCell ref="E212:E215"/>
    <mergeCell ref="F212:F215"/>
    <mergeCell ref="G212:G215"/>
    <mergeCell ref="H212:H215"/>
    <mergeCell ref="E216:E219"/>
    <mergeCell ref="F216:F219"/>
    <mergeCell ref="G216:G219"/>
    <mergeCell ref="H216:H219"/>
    <mergeCell ref="E182:E190"/>
    <mergeCell ref="F182:F190"/>
    <mergeCell ref="G182:G185"/>
    <mergeCell ref="H182:H185"/>
    <mergeCell ref="G186:G190"/>
    <mergeCell ref="H186:H190"/>
    <mergeCell ref="A193:H193"/>
    <mergeCell ref="A194:D194"/>
    <mergeCell ref="E196:E200"/>
    <mergeCell ref="F196:F200"/>
    <mergeCell ref="G196:G200"/>
    <mergeCell ref="H196:H200"/>
    <mergeCell ref="A147:H147"/>
    <mergeCell ref="A149:H149"/>
    <mergeCell ref="A150:D150"/>
    <mergeCell ref="E152:E176"/>
    <mergeCell ref="F152:F176"/>
    <mergeCell ref="G152:G176"/>
    <mergeCell ref="H152:H176"/>
    <mergeCell ref="A179:H179"/>
    <mergeCell ref="A180:D180"/>
    <mergeCell ref="A101:H101"/>
    <mergeCell ref="A102:D102"/>
    <mergeCell ref="E104:E110"/>
    <mergeCell ref="F104:F110"/>
    <mergeCell ref="G104:G110"/>
    <mergeCell ref="H104:H110"/>
    <mergeCell ref="A114:H114"/>
    <mergeCell ref="A115:D115"/>
    <mergeCell ref="E117:E142"/>
    <mergeCell ref="F117:F142"/>
    <mergeCell ref="G117:G128"/>
    <mergeCell ref="H117:H128"/>
    <mergeCell ref="G129:G142"/>
    <mergeCell ref="H129:H142"/>
    <mergeCell ref="E51:E56"/>
    <mergeCell ref="F51:F56"/>
    <mergeCell ref="G51:G56"/>
    <mergeCell ref="H51:H56"/>
    <mergeCell ref="A60:D60"/>
    <mergeCell ref="E62:E98"/>
    <mergeCell ref="F62:F98"/>
    <mergeCell ref="G62:G98"/>
    <mergeCell ref="H62:H98"/>
    <mergeCell ref="B59:G59"/>
    <mergeCell ref="A1:H1"/>
    <mergeCell ref="A3:H3"/>
    <mergeCell ref="A4:H4"/>
    <mergeCell ref="E7:E45"/>
    <mergeCell ref="F7:F45"/>
    <mergeCell ref="G7:G45"/>
    <mergeCell ref="H7:H45"/>
    <mergeCell ref="A48:H48"/>
    <mergeCell ref="A49:D49"/>
    <mergeCell ref="A240:H240"/>
    <mergeCell ref="A241:D241"/>
    <mergeCell ref="E243:E253"/>
    <mergeCell ref="F243:F253"/>
    <mergeCell ref="G243:G253"/>
    <mergeCell ref="H243:H253"/>
    <mergeCell ref="A258:H258"/>
    <mergeCell ref="A261:H261"/>
    <mergeCell ref="A262:D262"/>
    <mergeCell ref="E264:E268"/>
    <mergeCell ref="F264:F268"/>
    <mergeCell ref="G264:G268"/>
    <mergeCell ref="H264:H268"/>
    <mergeCell ref="A271:H271"/>
    <mergeCell ref="A272:D272"/>
    <mergeCell ref="E274:E284"/>
    <mergeCell ref="F274:F284"/>
    <mergeCell ref="G274:G284"/>
    <mergeCell ref="H274:H284"/>
    <mergeCell ref="A287:H287"/>
    <mergeCell ref="A288:D288"/>
    <mergeCell ref="E290:E301"/>
    <mergeCell ref="F290:F301"/>
    <mergeCell ref="G290:G301"/>
    <mergeCell ref="H290:H301"/>
    <mergeCell ref="A307:H307"/>
    <mergeCell ref="A309:H309"/>
    <mergeCell ref="A310:B310"/>
    <mergeCell ref="E311:E315"/>
    <mergeCell ref="F311:F315"/>
    <mergeCell ref="G311:G315"/>
    <mergeCell ref="H311:H315"/>
    <mergeCell ref="A318:H318"/>
    <mergeCell ref="A319:B319"/>
    <mergeCell ref="E320:E323"/>
    <mergeCell ref="F320:F323"/>
    <mergeCell ref="G320:G323"/>
    <mergeCell ref="H320:H323"/>
    <mergeCell ref="A376:H376"/>
    <mergeCell ref="A377:D377"/>
    <mergeCell ref="E379:E389"/>
    <mergeCell ref="F379:F389"/>
    <mergeCell ref="G379:G384"/>
    <mergeCell ref="H379:H384"/>
    <mergeCell ref="G385:G389"/>
    <mergeCell ref="H385:H389"/>
    <mergeCell ref="A326:H326"/>
    <mergeCell ref="A327:D327"/>
    <mergeCell ref="E329:E354"/>
    <mergeCell ref="F329:F354"/>
    <mergeCell ref="G329:G354"/>
    <mergeCell ref="H329:H354"/>
    <mergeCell ref="A357:H357"/>
    <mergeCell ref="A358:D358"/>
    <mergeCell ref="E360:E373"/>
    <mergeCell ref="F360:F373"/>
    <mergeCell ref="G360:G366"/>
    <mergeCell ref="H360:H366"/>
    <mergeCell ref="G367:G373"/>
    <mergeCell ref="H367:H373"/>
  </mergeCells>
  <conditionalFormatting sqref="E196:F196 E117:F117 E152:F152 E7:F7">
    <cfRule type="cellIs" dxfId="16" priority="13" operator="greaterThan">
      <formula>0.6</formula>
    </cfRule>
  </conditionalFormatting>
  <conditionalFormatting sqref="E51:F51">
    <cfRule type="cellIs" dxfId="15" priority="12" operator="lessThanOrEqual">
      <formula>0.03</formula>
    </cfRule>
  </conditionalFormatting>
  <conditionalFormatting sqref="E62:F62">
    <cfRule type="cellIs" dxfId="14" priority="11" operator="lessThanOrEqual">
      <formula>1.3</formula>
    </cfRule>
  </conditionalFormatting>
  <conditionalFormatting sqref="E104:F104">
    <cfRule type="cellIs" dxfId="13" priority="10" operator="lessThan">
      <formula>"0.2"</formula>
    </cfRule>
  </conditionalFormatting>
  <conditionalFormatting sqref="E230:F230">
    <cfRule type="cellIs" dxfId="12" priority="9" operator="lessThan">
      <formula>0.4</formula>
    </cfRule>
  </conditionalFormatting>
  <conditionalFormatting sqref="E243:F243 E182:F182">
    <cfRule type="cellIs" dxfId="11" priority="8" operator="greaterThanOrEqual">
      <formula>0.02</formula>
    </cfRule>
  </conditionalFormatting>
  <conditionalFormatting sqref="E311:F311 E320:F320">
    <cfRule type="cellIs" dxfId="10" priority="7" operator="lessThan">
      <formula>1.3</formula>
    </cfRule>
  </conditionalFormatting>
  <conditionalFormatting sqref="E320:F320">
    <cfRule type="cellIs" dxfId="9" priority="6" operator="lessThanOrEqual">
      <formula>1.15</formula>
    </cfRule>
  </conditionalFormatting>
  <conditionalFormatting sqref="E329:F329">
    <cfRule type="cellIs" dxfId="8" priority="5" operator="greaterThan">
      <formula>0.35</formula>
    </cfRule>
  </conditionalFormatting>
  <conditionalFormatting sqref="E360:F360">
    <cfRule type="cellIs" dxfId="7" priority="4" operator="greaterThanOrEqual">
      <formula>0.15</formula>
    </cfRule>
  </conditionalFormatting>
  <conditionalFormatting sqref="E379:F379">
    <cfRule type="cellIs" dxfId="6" priority="3" operator="greaterThanOrEqual">
      <formula>0.05</formula>
    </cfRule>
  </conditionalFormatting>
  <conditionalFormatting sqref="H7 H51 H62 H104 H117 H152">
    <cfRule type="cellIs" dxfId="5" priority="2" operator="equal">
      <formula>"La norme n'est pas respectée"</formula>
    </cfRule>
  </conditionalFormatting>
  <conditionalFormatting sqref="C44:D44 C55:D55 C107:D107 C230:D230 C7:D24 C26:D41 C166:D175 C243:D244 C274:D278 C348:D353 C196:D196 C183:D186 C189:D189 C218:D221 C223:D223 C212:D214 C264:D264 C268:D268 C284:D284 C300:D300 C312:D312 C315:D315 C321:D321 C323:D323">
    <cfRule type="cellIs" dxfId="4" priority="1" operator="equal">
      <formula>""</formula>
    </cfRule>
  </conditionalFormatting>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enableFormatConditionsCalculation="0">
    <tabColor theme="7" tint="0.79998168889431442"/>
  </sheetPr>
  <dimension ref="A1:M384"/>
  <sheetViews>
    <sheetView showGridLines="0" topLeftCell="A362" workbookViewId="0">
      <selection activeCell="G305" sqref="G305:H305"/>
    </sheetView>
  </sheetViews>
  <sheetFormatPr baseColWidth="10" defaultColWidth="10.83203125" defaultRowHeight="14" x14ac:dyDescent="0"/>
  <cols>
    <col min="1" max="1" width="10.83203125" style="4"/>
    <col min="2" max="2" width="14.6640625" style="4" customWidth="1"/>
    <col min="3" max="3" width="10.83203125" style="4"/>
    <col min="4" max="4" width="18.1640625" style="4" customWidth="1"/>
    <col min="5" max="5" width="13.33203125" style="4" customWidth="1"/>
    <col min="6" max="6" width="14.83203125" style="4" customWidth="1"/>
    <col min="7" max="7" width="12.6640625" style="4" customWidth="1"/>
    <col min="8" max="8" width="12.33203125" style="4" customWidth="1"/>
    <col min="9" max="9" width="10.83203125" style="4"/>
    <col min="10" max="10" width="16.6640625" style="4" customWidth="1"/>
    <col min="11" max="16384" width="10.83203125" style="4"/>
  </cols>
  <sheetData>
    <row r="1" spans="1:11">
      <c r="C1" s="19"/>
    </row>
    <row r="2" spans="1:11" ht="15" customHeight="1">
      <c r="B2" s="1191" t="s">
        <v>1116</v>
      </c>
      <c r="C2" s="1191"/>
      <c r="D2" s="1191"/>
      <c r="E2" s="1191"/>
      <c r="F2" s="1191"/>
      <c r="G2" s="1191"/>
      <c r="H2" s="1191"/>
      <c r="I2" s="96"/>
      <c r="J2" s="96"/>
      <c r="K2" s="81"/>
    </row>
    <row r="3" spans="1:11" ht="15" customHeight="1">
      <c r="B3" s="1116" t="s">
        <v>808</v>
      </c>
      <c r="C3" s="1116"/>
      <c r="D3" s="1116"/>
      <c r="E3" s="1116"/>
      <c r="F3" s="1116"/>
      <c r="G3" s="1116"/>
      <c r="H3" s="1116"/>
      <c r="I3" s="96"/>
      <c r="J3" s="96"/>
    </row>
    <row r="4" spans="1:11">
      <c r="B4" s="27"/>
      <c r="C4" s="24"/>
      <c r="D4" s="128"/>
      <c r="E4" s="128"/>
    </row>
    <row r="5" spans="1:11" ht="15" customHeight="1">
      <c r="B5" s="827" t="s">
        <v>1103</v>
      </c>
      <c r="C5" s="827"/>
      <c r="D5" s="827"/>
      <c r="E5" s="827"/>
      <c r="F5" s="827"/>
      <c r="G5" s="827"/>
      <c r="H5" s="827"/>
      <c r="I5" s="161"/>
      <c r="J5" s="161"/>
      <c r="K5" s="161"/>
    </row>
    <row r="6" spans="1:11">
      <c r="A6" s="19"/>
      <c r="B6" s="855" t="s">
        <v>809</v>
      </c>
      <c r="C6" s="1068"/>
      <c r="D6" s="1068"/>
      <c r="E6" s="855" t="str">
        <f>'Indicateurs Financiers'!C$6</f>
        <v>Montant N-1</v>
      </c>
      <c r="F6" s="856" t="e">
        <f>IF(SOMMAIRE!#REF!="Mensuelle","M-1","N-1")</f>
        <v>#REF!</v>
      </c>
      <c r="G6" s="855" t="str">
        <f>'Indicateurs Financiers'!D$6</f>
        <v>Montant N</v>
      </c>
      <c r="H6" s="856" t="e">
        <f>IF(SOMMAIRE!#REF!="Mensuelle","M-1","N-1")</f>
        <v>#REF!</v>
      </c>
    </row>
    <row r="7" spans="1:11" ht="26.25" customHeight="1">
      <c r="A7" s="82"/>
      <c r="B7" s="1167" t="s">
        <v>824</v>
      </c>
      <c r="C7" s="1167"/>
      <c r="D7" s="1167"/>
      <c r="E7" s="1168">
        <f>E8+E11</f>
        <v>9102</v>
      </c>
      <c r="F7" s="1169"/>
      <c r="G7" s="1193">
        <f>G8+G11</f>
        <v>10848</v>
      </c>
      <c r="H7" s="1194"/>
      <c r="J7" s="96"/>
    </row>
    <row r="8" spans="1:11" ht="27.75" customHeight="1">
      <c r="A8" s="82"/>
      <c r="B8" s="1064" t="s">
        <v>810</v>
      </c>
      <c r="C8" s="1065"/>
      <c r="D8" s="1066"/>
      <c r="E8" s="1171">
        <f>E9+E10</f>
        <v>8206</v>
      </c>
      <c r="F8" s="1172"/>
      <c r="G8" s="1171">
        <f>G9+G10</f>
        <v>9860</v>
      </c>
      <c r="H8" s="1172"/>
    </row>
    <row r="9" spans="1:11">
      <c r="A9" s="82"/>
      <c r="B9" s="1044" t="s">
        <v>811</v>
      </c>
      <c r="C9" s="1045"/>
      <c r="D9" s="1046"/>
      <c r="E9" s="1173">
        <v>5921</v>
      </c>
      <c r="F9" s="1174"/>
      <c r="G9" s="1187">
        <v>6682</v>
      </c>
      <c r="H9" s="1188"/>
    </row>
    <row r="10" spans="1:11">
      <c r="A10" s="82"/>
      <c r="B10" s="1044" t="s">
        <v>812</v>
      </c>
      <c r="C10" s="1045"/>
      <c r="D10" s="1046"/>
      <c r="E10" s="1175">
        <v>2285</v>
      </c>
      <c r="F10" s="1176"/>
      <c r="G10" s="1181">
        <v>3178</v>
      </c>
      <c r="H10" s="1182"/>
    </row>
    <row r="11" spans="1:11" ht="28.5" customHeight="1">
      <c r="A11" s="82"/>
      <c r="B11" s="1123" t="s">
        <v>825</v>
      </c>
      <c r="C11" s="1123"/>
      <c r="D11" s="1123"/>
      <c r="E11" s="1177">
        <v>896</v>
      </c>
      <c r="F11" s="1178"/>
      <c r="G11" s="1187">
        <v>988</v>
      </c>
      <c r="H11" s="1188"/>
    </row>
    <row r="12" spans="1:11" ht="25.5" customHeight="1">
      <c r="A12" s="82"/>
      <c r="B12" s="1044" t="s">
        <v>872</v>
      </c>
      <c r="C12" s="1045"/>
      <c r="D12" s="1046"/>
      <c r="E12" s="1173"/>
      <c r="F12" s="1174"/>
      <c r="G12" s="1179"/>
      <c r="H12" s="1180"/>
    </row>
    <row r="13" spans="1:11" ht="22.5" customHeight="1">
      <c r="A13" s="82"/>
      <c r="B13" s="1064" t="s">
        <v>873</v>
      </c>
      <c r="C13" s="1065"/>
      <c r="D13" s="1066"/>
      <c r="E13" s="1185">
        <f>E14+E15</f>
        <v>6205</v>
      </c>
      <c r="F13" s="1186"/>
      <c r="G13" s="1185">
        <f>G14+G15</f>
        <v>7459</v>
      </c>
      <c r="H13" s="1186"/>
    </row>
    <row r="14" spans="1:11">
      <c r="A14" s="82"/>
      <c r="B14" s="1123" t="s">
        <v>813</v>
      </c>
      <c r="C14" s="1123"/>
      <c r="D14" s="1123"/>
      <c r="E14" s="1175">
        <v>698</v>
      </c>
      <c r="F14" s="1176"/>
      <c r="G14" s="1187">
        <v>708</v>
      </c>
      <c r="H14" s="1188"/>
    </row>
    <row r="15" spans="1:11">
      <c r="A15" s="19"/>
      <c r="B15" s="1047" t="s">
        <v>814</v>
      </c>
      <c r="C15" s="1048"/>
      <c r="D15" s="1049"/>
      <c r="E15" s="1189">
        <v>5507</v>
      </c>
      <c r="F15" s="1190"/>
      <c r="G15" s="1183">
        <v>6751</v>
      </c>
      <c r="H15" s="1184"/>
    </row>
    <row r="16" spans="1:11">
      <c r="A16" s="19"/>
      <c r="B16" s="29"/>
      <c r="C16" s="29"/>
      <c r="D16" s="29"/>
      <c r="E16" s="83"/>
      <c r="F16" s="83"/>
      <c r="G16" s="84"/>
      <c r="H16" s="84"/>
      <c r="I16" s="84"/>
      <c r="J16" s="84"/>
    </row>
    <row r="17" spans="2:12" ht="15" customHeight="1">
      <c r="B17" s="131"/>
      <c r="C17" s="167" t="s">
        <v>1104</v>
      </c>
      <c r="D17" s="167"/>
      <c r="E17" s="167"/>
      <c r="F17" s="167"/>
      <c r="G17" s="167"/>
      <c r="H17" s="167"/>
      <c r="I17" s="161"/>
      <c r="J17" s="161"/>
      <c r="K17" s="161"/>
      <c r="L17" s="161"/>
    </row>
    <row r="18" spans="2:12">
      <c r="B18" s="1067" t="s">
        <v>809</v>
      </c>
      <c r="C18" s="1068"/>
      <c r="D18" s="1068"/>
      <c r="E18" s="855" t="str">
        <f>'Indicateurs Financiers'!C$6</f>
        <v>Montant N-1</v>
      </c>
      <c r="F18" s="856" t="e">
        <f>IF(SOMMAIRE!#REF!="Mensuelle","M-1","N-1")</f>
        <v>#REF!</v>
      </c>
      <c r="G18" s="855" t="str">
        <f>'Indicateurs Financiers'!D$6</f>
        <v>Montant N</v>
      </c>
      <c r="H18" s="856" t="e">
        <f>IF(SOMMAIRE!#REF!="Mensuelle","M-1","N-1")</f>
        <v>#REF!</v>
      </c>
    </row>
    <row r="19" spans="2:12" ht="27.75" customHeight="1">
      <c r="B19" s="1122" t="s">
        <v>815</v>
      </c>
      <c r="C19" s="1123"/>
      <c r="D19" s="1123"/>
      <c r="E19" s="1096">
        <v>7</v>
      </c>
      <c r="F19" s="1097"/>
      <c r="G19" s="1073">
        <v>7</v>
      </c>
      <c r="H19" s="1074"/>
    </row>
    <row r="20" spans="2:12">
      <c r="B20" s="1121" t="s">
        <v>1961</v>
      </c>
      <c r="C20" s="1045"/>
      <c r="D20" s="1046"/>
      <c r="E20" s="1042">
        <v>5</v>
      </c>
      <c r="F20" s="1043"/>
      <c r="G20" s="1034">
        <v>5</v>
      </c>
      <c r="H20" s="1035"/>
    </row>
    <row r="21" spans="2:12" ht="15" customHeight="1">
      <c r="B21" s="1121" t="s">
        <v>1962</v>
      </c>
      <c r="C21" s="1045"/>
      <c r="D21" s="1046"/>
      <c r="E21" s="1040">
        <v>5</v>
      </c>
      <c r="F21" s="1041"/>
      <c r="G21" s="1034">
        <v>5</v>
      </c>
      <c r="H21" s="1035"/>
    </row>
    <row r="22" spans="2:12" ht="15" customHeight="1">
      <c r="B22" s="1121" t="s">
        <v>1963</v>
      </c>
      <c r="C22" s="1045"/>
      <c r="D22" s="1046"/>
      <c r="E22" s="1096"/>
      <c r="F22" s="1097"/>
      <c r="G22" s="1131"/>
      <c r="H22" s="1192"/>
    </row>
    <row r="23" spans="2:12">
      <c r="B23" s="1166" t="s">
        <v>816</v>
      </c>
      <c r="C23" s="1167"/>
      <c r="D23" s="1167"/>
      <c r="E23" s="1056">
        <f>SUM(E24,E27)</f>
        <v>33</v>
      </c>
      <c r="F23" s="1057"/>
      <c r="G23" s="1056">
        <f>SUM(G24,G27)</f>
        <v>33</v>
      </c>
      <c r="H23" s="1057"/>
    </row>
    <row r="24" spans="2:12" ht="25.5" customHeight="1">
      <c r="B24" s="1170" t="s">
        <v>1965</v>
      </c>
      <c r="C24" s="1065"/>
      <c r="D24" s="1066"/>
      <c r="E24" s="1195">
        <v>2</v>
      </c>
      <c r="F24" s="1196"/>
      <c r="G24" s="1152">
        <v>2</v>
      </c>
      <c r="H24" s="1153"/>
    </row>
    <row r="25" spans="2:12">
      <c r="B25" s="657" t="s">
        <v>1964</v>
      </c>
      <c r="C25" s="655" t="s">
        <v>1108</v>
      </c>
      <c r="D25" s="656"/>
      <c r="E25" s="1139">
        <v>2</v>
      </c>
      <c r="F25" s="1140"/>
      <c r="G25" s="997">
        <v>2</v>
      </c>
      <c r="H25" s="998"/>
    </row>
    <row r="26" spans="2:12" ht="15" customHeight="1">
      <c r="B26" s="657"/>
      <c r="C26" s="655" t="s">
        <v>1005</v>
      </c>
      <c r="D26" s="656"/>
      <c r="E26" s="1139"/>
      <c r="F26" s="1140"/>
      <c r="G26" s="997"/>
      <c r="H26" s="998"/>
    </row>
    <row r="27" spans="2:12" ht="15" customHeight="1">
      <c r="B27" s="1170" t="s">
        <v>1109</v>
      </c>
      <c r="C27" s="1065"/>
      <c r="D27" s="1066"/>
      <c r="E27" s="1155">
        <f>E28+E29+E30</f>
        <v>31</v>
      </c>
      <c r="F27" s="1156"/>
      <c r="G27" s="1155">
        <f>G28+G29+G30</f>
        <v>31</v>
      </c>
      <c r="H27" s="1156"/>
    </row>
    <row r="28" spans="2:12" ht="15" customHeight="1">
      <c r="B28" s="1122" t="s">
        <v>817</v>
      </c>
      <c r="C28" s="1123"/>
      <c r="D28" s="1123"/>
      <c r="E28" s="1096">
        <v>19</v>
      </c>
      <c r="F28" s="1097"/>
      <c r="G28" s="1036">
        <v>24</v>
      </c>
      <c r="H28" s="1037"/>
    </row>
    <row r="29" spans="2:12" ht="15" customHeight="1">
      <c r="B29" s="1160" t="s">
        <v>818</v>
      </c>
      <c r="C29" s="1161"/>
      <c r="D29" s="1162"/>
      <c r="E29" s="1163">
        <v>12</v>
      </c>
      <c r="F29" s="1164"/>
      <c r="G29" s="1036">
        <v>7</v>
      </c>
      <c r="H29" s="1037"/>
    </row>
    <row r="30" spans="2:12" ht="15" customHeight="1">
      <c r="B30" s="1011" t="s">
        <v>1107</v>
      </c>
      <c r="C30" s="1012"/>
      <c r="D30" s="1013"/>
      <c r="E30" s="1117"/>
      <c r="F30" s="1118"/>
      <c r="G30" s="1119"/>
      <c r="H30" s="1120"/>
    </row>
    <row r="31" spans="2:12" ht="15" customHeight="1">
      <c r="B31" s="29"/>
      <c r="C31" s="29"/>
      <c r="D31" s="29"/>
      <c r="E31" s="83"/>
      <c r="F31" s="83"/>
      <c r="G31" s="84"/>
      <c r="H31" s="84"/>
      <c r="I31" s="84"/>
      <c r="J31" s="84"/>
    </row>
    <row r="32" spans="2:12" ht="15" customHeight="1">
      <c r="B32" s="1070" t="s">
        <v>826</v>
      </c>
      <c r="C32" s="1071"/>
      <c r="D32" s="1071"/>
      <c r="E32" s="1071"/>
      <c r="F32" s="1071"/>
      <c r="G32" s="1071"/>
      <c r="H32" s="1072"/>
      <c r="I32" s="161"/>
      <c r="J32" s="161"/>
      <c r="K32" s="161"/>
    </row>
    <row r="34" spans="2:13" ht="15">
      <c r="B34" s="827" t="s">
        <v>1105</v>
      </c>
      <c r="C34" s="827"/>
      <c r="D34" s="827"/>
      <c r="E34" s="827"/>
      <c r="F34" s="827"/>
      <c r="G34" s="827"/>
      <c r="H34" s="827"/>
      <c r="I34" s="161"/>
      <c r="J34" s="161"/>
    </row>
    <row r="35" spans="2:13">
      <c r="B35" s="1067" t="s">
        <v>819</v>
      </c>
      <c r="C35" s="1068"/>
      <c r="D35" s="1068"/>
      <c r="E35" s="855" t="str">
        <f>'Indicateurs Financiers'!C$6</f>
        <v>Montant N-1</v>
      </c>
      <c r="F35" s="856" t="e">
        <f>IF(SOMMAIRE!#REF!="Mensuelle","M-1","N-1")</f>
        <v>#REF!</v>
      </c>
      <c r="G35" s="855" t="str">
        <f>'Indicateurs Financiers'!D$6</f>
        <v>Montant N</v>
      </c>
      <c r="H35" s="856" t="e">
        <f>IF(SOMMAIRE!#REF!="Mensuelle","M-1","N-1")</f>
        <v>#REF!</v>
      </c>
    </row>
    <row r="36" spans="2:13" s="85" customFormat="1">
      <c r="B36" s="1157" t="s">
        <v>846</v>
      </c>
      <c r="C36" s="1158"/>
      <c r="D36" s="1159"/>
      <c r="E36" s="1060">
        <f>SUM(E37:F38)</f>
        <v>0</v>
      </c>
      <c r="F36" s="1061"/>
      <c r="G36" s="1060">
        <f>SUM(G37:H38)</f>
        <v>0</v>
      </c>
      <c r="H36" s="1061"/>
    </row>
    <row r="37" spans="2:13" s="85" customFormat="1" ht="26.25" customHeight="1">
      <c r="B37" s="1008" t="s">
        <v>1084</v>
      </c>
      <c r="C37" s="1009"/>
      <c r="D37" s="1010"/>
      <c r="E37" s="668"/>
      <c r="F37" s="669"/>
      <c r="G37" s="668"/>
      <c r="H37" s="669"/>
    </row>
    <row r="38" spans="2:13" s="85" customFormat="1">
      <c r="B38" s="1008" t="s">
        <v>1085</v>
      </c>
      <c r="C38" s="1009"/>
      <c r="D38" s="1010"/>
      <c r="E38" s="1201"/>
      <c r="F38" s="1202"/>
      <c r="G38" s="1207"/>
      <c r="H38" s="1208"/>
    </row>
    <row r="39" spans="2:13">
      <c r="B39" s="1121" t="s">
        <v>820</v>
      </c>
      <c r="C39" s="1045"/>
      <c r="D39" s="1046"/>
      <c r="E39" s="1042"/>
      <c r="F39" s="1043"/>
      <c r="G39" s="1034"/>
      <c r="H39" s="1035"/>
      <c r="I39" s="86"/>
      <c r="J39" s="86"/>
      <c r="K39" s="87"/>
    </row>
    <row r="40" spans="2:13">
      <c r="B40" s="1170" t="s">
        <v>821</v>
      </c>
      <c r="C40" s="1065"/>
      <c r="D40" s="1066"/>
      <c r="E40" s="1205">
        <f>IF(E39=0,0,E36/E39)</f>
        <v>0</v>
      </c>
      <c r="F40" s="1206"/>
      <c r="G40" s="1205">
        <f>IF(G39=0,0,G36/G39)</f>
        <v>0</v>
      </c>
      <c r="H40" s="1206"/>
      <c r="I40" s="88"/>
      <c r="J40" s="88"/>
      <c r="K40" s="88"/>
    </row>
    <row r="41" spans="2:13" ht="25.5" customHeight="1">
      <c r="B41" s="1011" t="s">
        <v>822</v>
      </c>
      <c r="C41" s="1012"/>
      <c r="D41" s="1013"/>
      <c r="E41" s="1197"/>
      <c r="F41" s="1198"/>
      <c r="G41" s="1199"/>
      <c r="H41" s="1200"/>
      <c r="I41" s="83"/>
      <c r="J41" s="83"/>
      <c r="K41" s="83"/>
    </row>
    <row r="42" spans="2:13">
      <c r="B42" s="89"/>
      <c r="C42" s="90"/>
      <c r="D42" s="88"/>
      <c r="E42" s="90"/>
      <c r="H42" s="25"/>
      <c r="I42" s="25"/>
      <c r="J42" s="25"/>
      <c r="K42" s="25"/>
      <c r="L42" s="83"/>
      <c r="M42" s="83"/>
    </row>
    <row r="43" spans="2:13" ht="15">
      <c r="B43" s="827" t="s">
        <v>1115</v>
      </c>
      <c r="C43" s="827"/>
      <c r="D43" s="827"/>
      <c r="E43" s="827"/>
      <c r="F43" s="827"/>
      <c r="G43" s="827"/>
      <c r="H43" s="827"/>
      <c r="I43" s="161"/>
      <c r="J43" s="161"/>
      <c r="K43" s="161"/>
      <c r="L43" s="83"/>
      <c r="M43" s="83"/>
    </row>
    <row r="44" spans="2:13">
      <c r="B44" s="1067" t="s">
        <v>819</v>
      </c>
      <c r="C44" s="1068"/>
      <c r="D44" s="1068"/>
      <c r="E44" s="855" t="str">
        <f>'Indicateurs Financiers'!C$6</f>
        <v>Montant N-1</v>
      </c>
      <c r="F44" s="856" t="e">
        <f>IF(SOMMAIRE!#REF!="Mensuelle","M-1","N-1")</f>
        <v>#REF!</v>
      </c>
      <c r="G44" s="855" t="str">
        <f>'Indicateurs Financiers'!D$6</f>
        <v>Montant N</v>
      </c>
      <c r="H44" s="856" t="e">
        <f>IF(SOMMAIRE!#REF!="Mensuelle","M-1","N-1")</f>
        <v>#REF!</v>
      </c>
      <c r="I44" s="25"/>
      <c r="J44" s="83"/>
      <c r="K44" s="83"/>
    </row>
    <row r="45" spans="2:13" ht="25.5" customHeight="1">
      <c r="B45" s="1240" t="s">
        <v>823</v>
      </c>
      <c r="C45" s="1108"/>
      <c r="D45" s="1109"/>
      <c r="E45" s="1241"/>
      <c r="F45" s="1242"/>
      <c r="G45" s="1203"/>
      <c r="H45" s="1204"/>
      <c r="I45" s="90"/>
      <c r="J45" s="83"/>
      <c r="K45" s="83"/>
    </row>
    <row r="46" spans="2:13" ht="21.75" customHeight="1">
      <c r="B46" s="1212" t="s">
        <v>847</v>
      </c>
      <c r="C46" s="1213"/>
      <c r="D46" s="1214"/>
      <c r="E46" s="1215">
        <f>SUM(E47:F52)</f>
        <v>1276074</v>
      </c>
      <c r="F46" s="1216"/>
      <c r="G46" s="1215">
        <f>SUM(G47:H52)</f>
        <v>310000</v>
      </c>
      <c r="H46" s="1216"/>
      <c r="I46" s="90"/>
      <c r="J46" s="83"/>
      <c r="K46" s="83"/>
    </row>
    <row r="47" spans="2:13">
      <c r="B47" s="1209" t="s">
        <v>848</v>
      </c>
      <c r="C47" s="1210"/>
      <c r="D47" s="1211"/>
      <c r="E47" s="1219">
        <v>642500</v>
      </c>
      <c r="F47" s="1220"/>
      <c r="G47" s="1217">
        <v>30000</v>
      </c>
      <c r="H47" s="1218"/>
      <c r="I47" s="90"/>
      <c r="J47" s="83"/>
      <c r="K47" s="83"/>
    </row>
    <row r="48" spans="2:13">
      <c r="B48" s="1209" t="s">
        <v>849</v>
      </c>
      <c r="C48" s="1210"/>
      <c r="D48" s="1211"/>
      <c r="E48" s="1219">
        <v>279000</v>
      </c>
      <c r="F48" s="1220"/>
      <c r="G48" s="1217">
        <v>275000</v>
      </c>
      <c r="H48" s="1218"/>
      <c r="I48" s="90"/>
      <c r="J48" s="83"/>
      <c r="K48" s="83"/>
    </row>
    <row r="49" spans="1:11">
      <c r="B49" s="1209" t="s">
        <v>850</v>
      </c>
      <c r="C49" s="1210"/>
      <c r="D49" s="1211"/>
      <c r="E49" s="1219">
        <v>135000</v>
      </c>
      <c r="F49" s="1220"/>
      <c r="G49" s="1217"/>
      <c r="H49" s="1218"/>
      <c r="I49" s="90"/>
      <c r="J49" s="83"/>
      <c r="K49" s="83"/>
    </row>
    <row r="50" spans="1:11">
      <c r="B50" s="1209" t="s">
        <v>851</v>
      </c>
      <c r="C50" s="1210"/>
      <c r="D50" s="1211"/>
      <c r="E50" s="1219">
        <v>15000</v>
      </c>
      <c r="F50" s="1220"/>
      <c r="G50" s="1235">
        <v>5000</v>
      </c>
      <c r="H50" s="1236"/>
      <c r="I50" s="90"/>
      <c r="J50" s="83"/>
      <c r="K50" s="83"/>
    </row>
    <row r="51" spans="1:11">
      <c r="B51" s="1237" t="s">
        <v>852</v>
      </c>
      <c r="C51" s="1238"/>
      <c r="D51" s="1239"/>
      <c r="E51" s="1096">
        <v>204574</v>
      </c>
      <c r="F51" s="1097"/>
      <c r="G51" s="1217"/>
      <c r="H51" s="1218"/>
      <c r="I51" s="90"/>
      <c r="J51" s="83"/>
      <c r="K51" s="83"/>
    </row>
    <row r="52" spans="1:11">
      <c r="B52" s="1247" t="s">
        <v>431</v>
      </c>
      <c r="C52" s="1248"/>
      <c r="D52" s="1249"/>
      <c r="E52" s="1245"/>
      <c r="F52" s="1246"/>
      <c r="G52" s="1119"/>
      <c r="H52" s="1120"/>
      <c r="I52" s="83"/>
    </row>
    <row r="53" spans="1:11" s="92" customFormat="1">
      <c r="A53" s="61"/>
      <c r="B53" s="29"/>
      <c r="C53" s="29"/>
      <c r="D53" s="29"/>
      <c r="E53" s="29"/>
      <c r="F53" s="29"/>
      <c r="G53" s="91"/>
      <c r="H53" s="91"/>
      <c r="I53" s="91"/>
      <c r="J53" s="91"/>
      <c r="K53" s="43"/>
    </row>
    <row r="54" spans="1:11" s="92" customFormat="1" ht="15" customHeight="1">
      <c r="A54" s="61"/>
      <c r="B54" s="1070" t="s">
        <v>827</v>
      </c>
      <c r="C54" s="1071"/>
      <c r="D54" s="1071"/>
      <c r="E54" s="1071"/>
      <c r="F54" s="1071"/>
      <c r="G54" s="1071"/>
      <c r="H54" s="1072"/>
      <c r="I54" s="161"/>
      <c r="J54" s="161"/>
      <c r="K54" s="43"/>
    </row>
    <row r="55" spans="1:11">
      <c r="H55" s="93"/>
      <c r="I55" s="83"/>
      <c r="J55" s="83"/>
      <c r="K55" s="83"/>
    </row>
    <row r="56" spans="1:11" ht="15">
      <c r="B56" s="131"/>
      <c r="C56" s="167" t="s">
        <v>828</v>
      </c>
      <c r="D56" s="167"/>
      <c r="E56" s="167"/>
      <c r="F56" s="167"/>
      <c r="G56" s="167"/>
      <c r="H56" s="167"/>
      <c r="I56" s="161"/>
      <c r="J56" s="161"/>
      <c r="K56" s="83"/>
    </row>
    <row r="57" spans="1:11">
      <c r="B57" s="1067" t="s">
        <v>829</v>
      </c>
      <c r="C57" s="1068"/>
      <c r="D57" s="1068"/>
      <c r="E57" s="855" t="str">
        <f>'Indicateurs Financiers'!C$6</f>
        <v>Montant N-1</v>
      </c>
      <c r="F57" s="856" t="e">
        <f>IF(SOMMAIRE!#REF!="Mensuelle","M-1","N-1")</f>
        <v>#REF!</v>
      </c>
      <c r="G57" s="855" t="str">
        <f>'Indicateurs Financiers'!D$6</f>
        <v>Montant N</v>
      </c>
      <c r="H57" s="856" t="e">
        <f>IF(SOMMAIRE!#REF!="Mensuelle","M-1","N-1")</f>
        <v>#REF!</v>
      </c>
    </row>
    <row r="58" spans="1:11" s="653" customFormat="1">
      <c r="B58" s="1014" t="s">
        <v>1953</v>
      </c>
      <c r="C58" s="1015"/>
      <c r="D58" s="1016"/>
      <c r="E58" s="1017">
        <f>E59+E60+E61</f>
        <v>10</v>
      </c>
      <c r="F58" s="1018"/>
      <c r="G58" s="1017">
        <f>G59+G60+G61</f>
        <v>10</v>
      </c>
      <c r="H58" s="1018"/>
    </row>
    <row r="59" spans="1:11">
      <c r="B59" s="1240" t="s">
        <v>1954</v>
      </c>
      <c r="C59" s="1108"/>
      <c r="D59" s="1109"/>
      <c r="E59" s="1223">
        <v>1</v>
      </c>
      <c r="F59" s="1224"/>
      <c r="G59" s="1223">
        <v>1</v>
      </c>
      <c r="H59" s="1224"/>
    </row>
    <row r="60" spans="1:11" s="653" customFormat="1">
      <c r="B60" s="1011" t="s">
        <v>1952</v>
      </c>
      <c r="C60" s="1012"/>
      <c r="D60" s="1013"/>
      <c r="E60" s="1019">
        <v>9</v>
      </c>
      <c r="F60" s="1020"/>
      <c r="G60" s="1019">
        <v>9</v>
      </c>
      <c r="H60" s="1020"/>
    </row>
    <row r="61" spans="1:11">
      <c r="B61" s="1011" t="s">
        <v>1951</v>
      </c>
      <c r="C61" s="1012"/>
      <c r="D61" s="1013"/>
      <c r="E61" s="1225"/>
      <c r="F61" s="1226"/>
      <c r="G61" s="1225"/>
      <c r="H61" s="1226"/>
    </row>
    <row r="62" spans="1:11" s="660" customFormat="1" ht="11">
      <c r="B62" s="660" t="s">
        <v>1955</v>
      </c>
    </row>
    <row r="64" spans="1:11" ht="15" customHeight="1">
      <c r="B64" s="1070" t="s">
        <v>836</v>
      </c>
      <c r="C64" s="1071"/>
      <c r="D64" s="1071"/>
      <c r="E64" s="1071"/>
      <c r="F64" s="1071"/>
      <c r="G64" s="1071"/>
      <c r="H64" s="1072"/>
      <c r="I64" s="161"/>
      <c r="J64" s="161"/>
    </row>
    <row r="66" spans="2:11" ht="15">
      <c r="B66" s="827" t="s">
        <v>1950</v>
      </c>
      <c r="C66" s="827"/>
      <c r="D66" s="827"/>
      <c r="E66" s="827"/>
      <c r="F66" s="827"/>
      <c r="G66" s="827"/>
      <c r="H66" s="827"/>
      <c r="I66" s="161"/>
      <c r="J66" s="161"/>
    </row>
    <row r="67" spans="2:11">
      <c r="B67" s="855" t="s">
        <v>809</v>
      </c>
      <c r="C67" s="1068"/>
      <c r="D67" s="1068"/>
      <c r="E67" s="855" t="str">
        <f>'Indicateurs Financiers'!C$6</f>
        <v>Montant N-1</v>
      </c>
      <c r="F67" s="856" t="e">
        <f>IF(SOMMAIRE!#REF!="Mensuelle","M-1","N-1")</f>
        <v>#REF!</v>
      </c>
      <c r="G67" s="855" t="str">
        <f>'Indicateurs Financiers'!D$6</f>
        <v>Montant N</v>
      </c>
      <c r="H67" s="856" t="e">
        <f>IF(SOMMAIRE!#REF!="Mensuelle","M-1","N-1")</f>
        <v>#REF!</v>
      </c>
    </row>
    <row r="68" spans="2:11" ht="26.25" customHeight="1">
      <c r="B68" s="1003" t="s">
        <v>912</v>
      </c>
      <c r="C68" s="1004"/>
      <c r="D68" s="1005"/>
      <c r="E68" s="1060">
        <f>E69+E72</f>
        <v>721767</v>
      </c>
      <c r="F68" s="1061"/>
      <c r="G68" s="1060">
        <f>G69+G72</f>
        <v>1060090</v>
      </c>
      <c r="H68" s="1061"/>
    </row>
    <row r="69" spans="2:11" ht="27.75" customHeight="1">
      <c r="B69" s="1064" t="s">
        <v>913</v>
      </c>
      <c r="C69" s="1065"/>
      <c r="D69" s="1066"/>
      <c r="E69" s="1056">
        <f>E70+E71</f>
        <v>656449</v>
      </c>
      <c r="F69" s="1057"/>
      <c r="G69" s="1056">
        <f>G70+G71</f>
        <v>902649</v>
      </c>
      <c r="H69" s="1057"/>
    </row>
    <row r="70" spans="2:11">
      <c r="B70" s="1044" t="s">
        <v>914</v>
      </c>
      <c r="C70" s="1045"/>
      <c r="D70" s="1046"/>
      <c r="E70" s="1040">
        <v>542599</v>
      </c>
      <c r="F70" s="1041"/>
      <c r="G70" s="1036">
        <v>724928</v>
      </c>
      <c r="H70" s="1037"/>
    </row>
    <row r="71" spans="2:11">
      <c r="B71" s="1044" t="s">
        <v>915</v>
      </c>
      <c r="C71" s="1045"/>
      <c r="D71" s="1046"/>
      <c r="E71" s="1096">
        <v>113850</v>
      </c>
      <c r="F71" s="1097"/>
      <c r="G71" s="1036">
        <v>177721</v>
      </c>
      <c r="H71" s="1037"/>
    </row>
    <row r="72" spans="2:11" ht="27.75" customHeight="1">
      <c r="B72" s="1047" t="s">
        <v>916</v>
      </c>
      <c r="C72" s="1048"/>
      <c r="D72" s="1049"/>
      <c r="E72" s="1030">
        <v>65318</v>
      </c>
      <c r="F72" s="1031"/>
      <c r="G72" s="1032">
        <v>157441</v>
      </c>
      <c r="H72" s="1033"/>
    </row>
    <row r="73" spans="2:11">
      <c r="B73" s="94"/>
      <c r="C73" s="88"/>
      <c r="D73" s="88"/>
      <c r="E73" s="88"/>
      <c r="I73" s="653"/>
    </row>
    <row r="74" spans="2:11" ht="15" customHeight="1">
      <c r="B74" s="167" t="s">
        <v>1960</v>
      </c>
      <c r="C74" s="167"/>
      <c r="D74" s="167"/>
      <c r="E74" s="167"/>
      <c r="F74" s="167"/>
      <c r="G74" s="167"/>
      <c r="H74" s="167"/>
      <c r="I74" s="653"/>
      <c r="J74" s="653"/>
    </row>
    <row r="75" spans="2:11" ht="15" customHeight="1">
      <c r="B75" s="1024" t="s">
        <v>809</v>
      </c>
      <c r="C75" s="1025"/>
      <c r="D75" s="1026"/>
      <c r="E75" s="855" t="str">
        <f>'Indicateurs Financiers'!C$6</f>
        <v>Montant N-1</v>
      </c>
      <c r="F75" s="856" t="e">
        <f>IF(SOMMAIRE!#REF!="Mensuelle","M-1","N-1")</f>
        <v>#REF!</v>
      </c>
      <c r="G75" s="855" t="str">
        <f>'Indicateurs Financiers'!D$6</f>
        <v>Montant N</v>
      </c>
      <c r="H75" s="856" t="e">
        <f>IF(SOMMAIRE!#REF!="Mensuelle","M-1","N-1")</f>
        <v>#REF!</v>
      </c>
      <c r="I75" s="653"/>
      <c r="J75" s="653"/>
    </row>
    <row r="76" spans="2:11" s="653" customFormat="1" ht="15" customHeight="1">
      <c r="B76" s="1027"/>
      <c r="C76" s="1028"/>
      <c r="D76" s="1029"/>
      <c r="E76" s="664" t="s">
        <v>1958</v>
      </c>
      <c r="F76" s="664" t="s">
        <v>1959</v>
      </c>
      <c r="G76" s="664" t="s">
        <v>1958</v>
      </c>
      <c r="H76" s="664" t="s">
        <v>1959</v>
      </c>
    </row>
    <row r="77" spans="2:11">
      <c r="B77" s="1021" t="s">
        <v>917</v>
      </c>
      <c r="C77" s="1022"/>
      <c r="D77" s="1023"/>
      <c r="E77" s="665">
        <v>468622</v>
      </c>
      <c r="F77" s="709">
        <v>0.64927061310335543</v>
      </c>
      <c r="G77" s="665">
        <v>610334</v>
      </c>
      <c r="H77" s="709">
        <f>+G77/($G$77+$G$78+$G$79)</f>
        <v>0.57573790904545841</v>
      </c>
      <c r="I77" s="653"/>
      <c r="J77" s="653"/>
      <c r="K77" s="653"/>
    </row>
    <row r="78" spans="2:11" s="653" customFormat="1">
      <c r="B78" s="1021" t="s">
        <v>1957</v>
      </c>
      <c r="C78" s="1022"/>
      <c r="D78" s="1023"/>
      <c r="E78" s="666">
        <v>8506</v>
      </c>
      <c r="F78" s="709">
        <v>1.1785478275078056E-2</v>
      </c>
      <c r="G78" s="666">
        <v>4791</v>
      </c>
      <c r="H78" s="709">
        <f t="shared" ref="H78:H79" si="0">+G78/($G$77+$G$78+$G$79)</f>
        <v>4.5194275957701705E-3</v>
      </c>
    </row>
    <row r="79" spans="2:11" s="653" customFormat="1">
      <c r="B79" s="1021" t="s">
        <v>830</v>
      </c>
      <c r="C79" s="1022"/>
      <c r="D79" s="1023"/>
      <c r="E79" s="667">
        <v>244638</v>
      </c>
      <c r="F79" s="709">
        <v>0.33894390862156648</v>
      </c>
      <c r="G79" s="667">
        <v>444965</v>
      </c>
      <c r="H79" s="709">
        <f t="shared" si="0"/>
        <v>0.41974266335877142</v>
      </c>
    </row>
    <row r="80" spans="2:11" s="653" customFormat="1">
      <c r="B80" s="659"/>
      <c r="C80" s="659"/>
      <c r="D80" s="662"/>
      <c r="E80" s="575"/>
      <c r="F80" s="575"/>
      <c r="G80" s="663"/>
      <c r="H80" s="576"/>
      <c r="I80" s="576"/>
      <c r="J80" s="663"/>
    </row>
    <row r="81" spans="2:10" s="653" customFormat="1">
      <c r="B81" s="659"/>
      <c r="C81" s="659"/>
      <c r="D81" s="662"/>
      <c r="E81" s="575"/>
      <c r="F81" s="575"/>
      <c r="G81" s="663"/>
      <c r="H81" s="576"/>
      <c r="I81" s="576"/>
      <c r="J81" s="663"/>
    </row>
    <row r="82" spans="2:10" ht="15" customHeight="1"/>
    <row r="83" spans="2:10" ht="33" customHeight="1">
      <c r="B83" s="1069" t="s">
        <v>1949</v>
      </c>
      <c r="C83" s="1069"/>
      <c r="D83" s="1069"/>
      <c r="E83" s="1069"/>
      <c r="F83" s="1069"/>
      <c r="G83" s="1069"/>
      <c r="H83" s="1069"/>
      <c r="I83" s="161"/>
      <c r="J83" s="161"/>
    </row>
    <row r="84" spans="2:10">
      <c r="B84" s="1067" t="s">
        <v>809</v>
      </c>
      <c r="C84" s="1068"/>
      <c r="D84" s="1068"/>
      <c r="E84" s="855" t="str">
        <f>'Indicateurs Financiers'!C$6</f>
        <v>Montant N-1</v>
      </c>
      <c r="F84" s="856" t="e">
        <f>IF(SOMMAIRE!#REF!="Mensuelle","M-1","N-1")</f>
        <v>#REF!</v>
      </c>
      <c r="G84" s="855" t="str">
        <f>'Indicateurs Financiers'!D$6</f>
        <v>Montant N</v>
      </c>
      <c r="H84" s="856" t="e">
        <f>IF(SOMMAIRE!#REF!="Mensuelle","M-1","N-1")</f>
        <v>#REF!</v>
      </c>
    </row>
    <row r="85" spans="2:10">
      <c r="B85" s="1166" t="s">
        <v>918</v>
      </c>
      <c r="C85" s="1167"/>
      <c r="D85" s="1167"/>
      <c r="E85" s="1060">
        <f>E86+E89</f>
        <v>10784</v>
      </c>
      <c r="F85" s="1061"/>
      <c r="G85" s="1060">
        <f>G86+G89</f>
        <v>12733</v>
      </c>
      <c r="H85" s="1061"/>
    </row>
    <row r="86" spans="2:10" ht="26.25" customHeight="1">
      <c r="B86" s="1170" t="s">
        <v>919</v>
      </c>
      <c r="C86" s="1065"/>
      <c r="D86" s="1066"/>
      <c r="E86" s="1056">
        <f>E87+E88</f>
        <v>9395</v>
      </c>
      <c r="F86" s="1057"/>
      <c r="G86" s="1056">
        <f>G87+G88</f>
        <v>11404</v>
      </c>
      <c r="H86" s="1057"/>
    </row>
    <row r="87" spans="2:10">
      <c r="B87" s="1121" t="s">
        <v>831</v>
      </c>
      <c r="C87" s="1045"/>
      <c r="D87" s="1046"/>
      <c r="E87" s="1040">
        <v>6551</v>
      </c>
      <c r="F87" s="1041"/>
      <c r="G87" s="1148">
        <v>7205</v>
      </c>
      <c r="H87" s="1149"/>
    </row>
    <row r="88" spans="2:10">
      <c r="B88" s="1121" t="s">
        <v>832</v>
      </c>
      <c r="C88" s="1045"/>
      <c r="D88" s="1046"/>
      <c r="E88" s="1096">
        <v>2844</v>
      </c>
      <c r="F88" s="1097"/>
      <c r="G88" s="1148">
        <v>4199</v>
      </c>
      <c r="H88" s="1149"/>
    </row>
    <row r="89" spans="2:10" ht="26.25" customHeight="1">
      <c r="B89" s="1122" t="s">
        <v>920</v>
      </c>
      <c r="C89" s="1123"/>
      <c r="D89" s="1123"/>
      <c r="E89" s="1042">
        <v>1389</v>
      </c>
      <c r="F89" s="1043"/>
      <c r="G89" s="1036">
        <v>1329</v>
      </c>
      <c r="H89" s="1037"/>
    </row>
    <row r="90" spans="2:10">
      <c r="B90" s="1098" t="s">
        <v>833</v>
      </c>
      <c r="C90" s="1099"/>
      <c r="D90" s="1100"/>
      <c r="E90" s="1040"/>
      <c r="F90" s="1041"/>
      <c r="G90" s="1148"/>
      <c r="H90" s="1149"/>
    </row>
    <row r="91" spans="2:10">
      <c r="B91" s="1121" t="s">
        <v>921</v>
      </c>
      <c r="C91" s="1045"/>
      <c r="D91" s="1046"/>
      <c r="E91" s="1040"/>
      <c r="F91" s="1041"/>
      <c r="G91" s="1036"/>
      <c r="H91" s="1037"/>
    </row>
    <row r="92" spans="2:10">
      <c r="B92" s="1011" t="s">
        <v>922</v>
      </c>
      <c r="C92" s="1012"/>
      <c r="D92" s="1013"/>
      <c r="E92" s="1117"/>
      <c r="F92" s="1118"/>
      <c r="G92" s="1119"/>
      <c r="H92" s="1120"/>
    </row>
    <row r="94" spans="2:10" ht="15">
      <c r="B94" s="827" t="s">
        <v>834</v>
      </c>
      <c r="C94" s="827"/>
      <c r="D94" s="827"/>
      <c r="E94" s="827"/>
      <c r="F94" s="827"/>
      <c r="G94" s="827"/>
      <c r="H94" s="827"/>
      <c r="I94" s="161"/>
      <c r="J94" s="161"/>
    </row>
    <row r="95" spans="2:10">
      <c r="B95" s="1067" t="s">
        <v>809</v>
      </c>
      <c r="C95" s="1068"/>
      <c r="D95" s="1068"/>
      <c r="E95" s="855" t="str">
        <f>'Indicateurs Financiers'!C$6</f>
        <v>Montant N-1</v>
      </c>
      <c r="F95" s="856" t="e">
        <f>IF(SOMMAIRE!#REF!="Mensuelle","M-1","N-1")</f>
        <v>#REF!</v>
      </c>
      <c r="G95" s="855" t="str">
        <f>'Indicateurs Financiers'!D$6</f>
        <v>Montant N</v>
      </c>
      <c r="H95" s="856" t="e">
        <f>IF(SOMMAIRE!#REF!="Mensuelle","M-1","N-1")</f>
        <v>#REF!</v>
      </c>
    </row>
    <row r="96" spans="2:10" ht="30" customHeight="1">
      <c r="B96" s="1011" t="s">
        <v>1098</v>
      </c>
      <c r="C96" s="1012"/>
      <c r="D96" s="1013"/>
      <c r="E96" s="1117"/>
      <c r="F96" s="1118"/>
      <c r="G96" s="1150"/>
      <c r="H96" s="1151"/>
    </row>
    <row r="97" spans="2:12">
      <c r="B97" s="66"/>
    </row>
    <row r="98" spans="2:12" ht="15.75" customHeight="1">
      <c r="B98" s="137"/>
      <c r="C98" s="1069" t="s">
        <v>835</v>
      </c>
      <c r="D98" s="1069"/>
      <c r="E98" s="1069"/>
      <c r="F98" s="1069"/>
      <c r="G98" s="1069"/>
      <c r="H98" s="1069"/>
      <c r="I98" s="1069"/>
      <c r="J98" s="1069"/>
      <c r="K98" s="1069"/>
      <c r="L98" s="1069"/>
    </row>
    <row r="99" spans="2:12" ht="27" customHeight="1">
      <c r="B99" s="1067" t="s">
        <v>1006</v>
      </c>
      <c r="C99" s="1068"/>
      <c r="D99" s="1068"/>
      <c r="E99" s="855" t="s">
        <v>1007</v>
      </c>
      <c r="F99" s="856"/>
      <c r="G99" s="855" t="s">
        <v>1008</v>
      </c>
      <c r="H99" s="856"/>
      <c r="I99" s="855" t="s">
        <v>1009</v>
      </c>
      <c r="J99" s="872"/>
      <c r="K99" s="855" t="s">
        <v>1010</v>
      </c>
      <c r="L99" s="872"/>
    </row>
    <row r="100" spans="2:12">
      <c r="B100" s="1135"/>
      <c r="C100" s="1136"/>
      <c r="D100" s="1136"/>
      <c r="E100" s="1096"/>
      <c r="F100" s="1097"/>
      <c r="G100" s="1133"/>
      <c r="H100" s="1134"/>
      <c r="I100" s="1073"/>
      <c r="J100" s="1154"/>
      <c r="K100" s="1133"/>
      <c r="L100" s="1165"/>
    </row>
    <row r="101" spans="2:12">
      <c r="B101" s="899"/>
      <c r="C101" s="1145"/>
      <c r="D101" s="900"/>
      <c r="E101" s="1042"/>
      <c r="F101" s="1043"/>
      <c r="G101" s="1129"/>
      <c r="H101" s="1130"/>
      <c r="I101" s="1131"/>
      <c r="J101" s="1132"/>
      <c r="K101" s="1146"/>
      <c r="L101" s="1147"/>
    </row>
    <row r="102" spans="2:12">
      <c r="B102" s="899"/>
      <c r="C102" s="1145"/>
      <c r="D102" s="900"/>
      <c r="E102" s="1040"/>
      <c r="F102" s="1041"/>
      <c r="G102" s="1129"/>
      <c r="H102" s="1130"/>
      <c r="I102" s="1036"/>
      <c r="J102" s="1124"/>
      <c r="K102" s="997"/>
      <c r="L102" s="1143"/>
    </row>
    <row r="103" spans="2:12">
      <c r="B103" s="899"/>
      <c r="C103" s="1145"/>
      <c r="D103" s="900"/>
      <c r="E103" s="1040"/>
      <c r="F103" s="1041"/>
      <c r="G103" s="997"/>
      <c r="H103" s="998"/>
      <c r="I103" s="1036"/>
      <c r="J103" s="1124"/>
      <c r="K103" s="997"/>
      <c r="L103" s="1143"/>
    </row>
    <row r="104" spans="2:12">
      <c r="B104" s="1125"/>
      <c r="C104" s="849"/>
      <c r="D104" s="850"/>
      <c r="E104" s="1117"/>
      <c r="F104" s="1118"/>
      <c r="G104" s="1126"/>
      <c r="H104" s="1127"/>
      <c r="I104" s="1119"/>
      <c r="J104" s="1128"/>
      <c r="K104" s="1126"/>
      <c r="L104" s="1144"/>
    </row>
    <row r="106" spans="2:12" ht="15" customHeight="1">
      <c r="B106" s="1070" t="s">
        <v>837</v>
      </c>
      <c r="C106" s="1071"/>
      <c r="D106" s="1071"/>
      <c r="E106" s="1071"/>
      <c r="F106" s="1071"/>
      <c r="G106" s="1071"/>
      <c r="H106" s="1072"/>
      <c r="I106" s="161"/>
      <c r="J106" s="161"/>
    </row>
    <row r="108" spans="2:12" ht="15">
      <c r="B108" s="827" t="s">
        <v>1947</v>
      </c>
      <c r="C108" s="827"/>
      <c r="D108" s="827"/>
      <c r="E108" s="827"/>
      <c r="F108" s="827"/>
      <c r="G108" s="827"/>
      <c r="H108" s="827"/>
      <c r="I108" s="161"/>
      <c r="J108" s="161"/>
    </row>
    <row r="109" spans="2:12">
      <c r="B109" s="855" t="s">
        <v>809</v>
      </c>
      <c r="C109" s="1068"/>
      <c r="D109" s="1068"/>
      <c r="E109" s="855" t="str">
        <f>'Indicateurs Financiers'!C$6</f>
        <v>Montant N-1</v>
      </c>
      <c r="F109" s="856" t="e">
        <f>IF(SOMMAIRE!#REF!="Mensuelle","M-1","N-1")</f>
        <v>#REF!</v>
      </c>
      <c r="G109" s="855" t="str">
        <f>'Indicateurs Financiers'!D$6</f>
        <v>Montant N</v>
      </c>
      <c r="H109" s="856" t="e">
        <f>IF(SOMMAIRE!#REF!="Mensuelle","M-1","N-1")</f>
        <v>#REF!</v>
      </c>
    </row>
    <row r="110" spans="2:12" ht="16.5" customHeight="1">
      <c r="B110" s="1003" t="s">
        <v>838</v>
      </c>
      <c r="C110" s="1004"/>
      <c r="D110" s="1005"/>
      <c r="E110" s="1060">
        <f>E111+E114</f>
        <v>4608650</v>
      </c>
      <c r="F110" s="1061"/>
      <c r="G110" s="1060">
        <f>G111+G114</f>
        <v>4642545</v>
      </c>
      <c r="H110" s="1061"/>
    </row>
    <row r="111" spans="2:12" ht="21.75" customHeight="1">
      <c r="B111" s="1064" t="s">
        <v>924</v>
      </c>
      <c r="C111" s="1065"/>
      <c r="D111" s="1066"/>
      <c r="E111" s="1056">
        <f>E112+E113</f>
        <v>4019150</v>
      </c>
      <c r="F111" s="1057"/>
      <c r="G111" s="1056">
        <f>G112+G113</f>
        <v>3984450</v>
      </c>
      <c r="H111" s="1057"/>
    </row>
    <row r="112" spans="2:12">
      <c r="B112" s="1044" t="s">
        <v>923</v>
      </c>
      <c r="C112" s="1045"/>
      <c r="D112" s="1046"/>
      <c r="E112" s="1040">
        <v>3404640</v>
      </c>
      <c r="F112" s="1041"/>
      <c r="G112" s="1036">
        <v>3226300</v>
      </c>
      <c r="H112" s="1037"/>
    </row>
    <row r="113" spans="2:10">
      <c r="B113" s="1044" t="s">
        <v>925</v>
      </c>
      <c r="C113" s="1045"/>
      <c r="D113" s="1046"/>
      <c r="E113" s="1096">
        <v>614510</v>
      </c>
      <c r="F113" s="1097"/>
      <c r="G113" s="1036">
        <v>758150</v>
      </c>
      <c r="H113" s="1037"/>
    </row>
    <row r="114" spans="2:10" ht="36" customHeight="1">
      <c r="B114" s="1047" t="s">
        <v>926</v>
      </c>
      <c r="C114" s="1048"/>
      <c r="D114" s="1049"/>
      <c r="E114" s="1030">
        <v>589500</v>
      </c>
      <c r="F114" s="1031"/>
      <c r="G114" s="1032">
        <v>658095</v>
      </c>
      <c r="H114" s="1033"/>
    </row>
    <row r="116" spans="2:10" ht="15">
      <c r="B116" s="827" t="s">
        <v>1948</v>
      </c>
      <c r="C116" s="827"/>
      <c r="D116" s="827"/>
      <c r="E116" s="827"/>
      <c r="F116" s="827"/>
      <c r="G116" s="827"/>
      <c r="H116" s="827"/>
      <c r="I116" s="161"/>
      <c r="J116" s="161"/>
    </row>
    <row r="117" spans="2:10">
      <c r="B117" s="855" t="s">
        <v>809</v>
      </c>
      <c r="C117" s="1068"/>
      <c r="D117" s="1068"/>
      <c r="E117" s="855" t="str">
        <f>'Indicateurs Financiers'!C$6</f>
        <v>Montant N-1</v>
      </c>
      <c r="F117" s="856" t="e">
        <f>IF(SOMMAIRE!#REF!="Mensuelle","M-1","N-1")</f>
        <v>#REF!</v>
      </c>
      <c r="G117" s="855" t="str">
        <f>'Indicateurs Financiers'!D$6</f>
        <v>Montant N</v>
      </c>
      <c r="H117" s="856" t="e">
        <f>IF(SOMMAIRE!#REF!="Mensuelle","M-1","N-1")</f>
        <v>#REF!</v>
      </c>
    </row>
    <row r="118" spans="2:10" ht="15" customHeight="1">
      <c r="B118" s="1003" t="s">
        <v>1087</v>
      </c>
      <c r="C118" s="1004"/>
      <c r="D118" s="1005"/>
      <c r="E118" s="1060">
        <f>E119+E122</f>
        <v>3143</v>
      </c>
      <c r="F118" s="1061"/>
      <c r="G118" s="1060">
        <f>G119+G122</f>
        <v>3734</v>
      </c>
      <c r="H118" s="1061"/>
    </row>
    <row r="119" spans="2:10" ht="24.75" customHeight="1">
      <c r="B119" s="1064" t="s">
        <v>1088</v>
      </c>
      <c r="C119" s="1065"/>
      <c r="D119" s="1066"/>
      <c r="E119" s="1056">
        <f>E120+E121</f>
        <v>2606</v>
      </c>
      <c r="F119" s="1057"/>
      <c r="G119" s="1056">
        <f>G120+G121</f>
        <v>3261</v>
      </c>
      <c r="H119" s="1057"/>
    </row>
    <row r="120" spans="2:10" ht="15" customHeight="1">
      <c r="B120" s="1044" t="s">
        <v>1089</v>
      </c>
      <c r="C120" s="1045"/>
      <c r="D120" s="1046"/>
      <c r="E120" s="1139">
        <v>1751</v>
      </c>
      <c r="F120" s="1140"/>
      <c r="G120" s="1036">
        <v>1795</v>
      </c>
      <c r="H120" s="1037"/>
    </row>
    <row r="121" spans="2:10" ht="15" customHeight="1">
      <c r="B121" s="1044" t="s">
        <v>1090</v>
      </c>
      <c r="C121" s="1045"/>
      <c r="D121" s="1046"/>
      <c r="E121" s="1141">
        <v>855</v>
      </c>
      <c r="F121" s="1142"/>
      <c r="G121" s="997">
        <v>1466</v>
      </c>
      <c r="H121" s="998"/>
    </row>
    <row r="122" spans="2:10" ht="22.5" customHeight="1">
      <c r="B122" s="1044" t="s">
        <v>1091</v>
      </c>
      <c r="C122" s="1045"/>
      <c r="D122" s="1046"/>
      <c r="E122" s="1137">
        <v>537</v>
      </c>
      <c r="F122" s="1138"/>
      <c r="G122" s="1001">
        <v>473</v>
      </c>
      <c r="H122" s="1002"/>
    </row>
    <row r="123" spans="2:10" ht="22.5" customHeight="1">
      <c r="B123" s="1232" t="s">
        <v>1086</v>
      </c>
      <c r="C123" s="1233"/>
      <c r="D123" s="1234"/>
      <c r="E123" s="1230">
        <f>IF(E118&lt;&gt;0,(E110/E118)*1000,0)</f>
        <v>1466321.9853643016</v>
      </c>
      <c r="F123" s="1231"/>
      <c r="G123" s="1230">
        <f>IF(G118&lt;&gt;0,(G110/G118)*1000,0)</f>
        <v>1243316.8184252812</v>
      </c>
      <c r="H123" s="1231"/>
    </row>
    <row r="125" spans="2:10" ht="15">
      <c r="B125" s="827" t="s">
        <v>1924</v>
      </c>
      <c r="C125" s="827"/>
      <c r="D125" s="827"/>
      <c r="E125" s="827"/>
      <c r="F125" s="827"/>
      <c r="G125" s="827"/>
      <c r="H125" s="827"/>
      <c r="I125" s="161"/>
      <c r="J125" s="161"/>
    </row>
    <row r="126" spans="2:10">
      <c r="B126" s="855" t="s">
        <v>839</v>
      </c>
      <c r="C126" s="1068"/>
      <c r="D126" s="1068"/>
      <c r="E126" s="855" t="str">
        <f>'Indicateurs Financiers'!C$6</f>
        <v>Montant N-1</v>
      </c>
      <c r="F126" s="856" t="e">
        <f>IF(SOMMAIRE!#REF!="Mensuelle","M-1","N-1")</f>
        <v>#REF!</v>
      </c>
      <c r="G126" s="855" t="str">
        <f>'Indicateurs Financiers'!D$6</f>
        <v>Montant N</v>
      </c>
      <c r="H126" s="856" t="e">
        <f>IF(SOMMAIRE!#REF!="Mensuelle","M-1","N-1")</f>
        <v>#REF!</v>
      </c>
    </row>
    <row r="127" spans="2:10" ht="24" customHeight="1">
      <c r="B127" s="1227" t="s">
        <v>927</v>
      </c>
      <c r="C127" s="1228"/>
      <c r="D127" s="1229"/>
      <c r="E127" s="1141"/>
      <c r="F127" s="1142"/>
      <c r="G127" s="1133"/>
      <c r="H127" s="1134"/>
    </row>
    <row r="128" spans="2:10" ht="24.75" customHeight="1">
      <c r="B128" s="1044" t="s">
        <v>1945</v>
      </c>
      <c r="C128" s="1045"/>
      <c r="D128" s="1046"/>
      <c r="E128" s="1221"/>
      <c r="F128" s="1222"/>
      <c r="G128" s="1129"/>
      <c r="H128" s="1130"/>
    </row>
    <row r="129" spans="2:10">
      <c r="B129" s="1044" t="s">
        <v>1946</v>
      </c>
      <c r="C129" s="1045"/>
      <c r="D129" s="1046"/>
      <c r="E129" s="1139"/>
      <c r="F129" s="1140"/>
      <c r="G129" s="1129"/>
      <c r="H129" s="1130"/>
    </row>
    <row r="130" spans="2:10" ht="22.5" customHeight="1">
      <c r="B130" s="1047" t="s">
        <v>928</v>
      </c>
      <c r="C130" s="1048"/>
      <c r="D130" s="1049"/>
      <c r="E130" s="1137"/>
      <c r="F130" s="1138"/>
      <c r="G130" s="1243"/>
      <c r="H130" s="1244"/>
    </row>
    <row r="132" spans="2:10" ht="15">
      <c r="B132" s="827" t="s">
        <v>1925</v>
      </c>
      <c r="C132" s="827"/>
      <c r="D132" s="827"/>
      <c r="E132" s="827"/>
      <c r="F132" s="827"/>
      <c r="G132" s="827"/>
      <c r="H132" s="827"/>
      <c r="I132" s="161"/>
      <c r="J132" s="161"/>
    </row>
    <row r="133" spans="2:10" ht="15" customHeight="1">
      <c r="B133" s="855" t="s">
        <v>809</v>
      </c>
      <c r="C133" s="1068"/>
      <c r="D133" s="1068"/>
      <c r="E133" s="855" t="str">
        <f>'Indicateurs Financiers'!C$6</f>
        <v>Montant N-1</v>
      </c>
      <c r="F133" s="856" t="e">
        <f>IF(SOMMAIRE!#REF!="Mensuelle","M-1","N-1")</f>
        <v>#REF!</v>
      </c>
      <c r="G133" s="855" t="str">
        <f>'Indicateurs Financiers'!D$6</f>
        <v>Montant N</v>
      </c>
      <c r="H133" s="856" t="e">
        <f>IF(SOMMAIRE!#REF!="Mensuelle","M-1","N-1")</f>
        <v>#REF!</v>
      </c>
    </row>
    <row r="134" spans="2:10">
      <c r="B134" s="1003" t="s">
        <v>929</v>
      </c>
      <c r="C134" s="1004"/>
      <c r="D134" s="1005"/>
      <c r="E134" s="1060">
        <f>E135+E138</f>
        <v>3692249</v>
      </c>
      <c r="F134" s="1061"/>
      <c r="G134" s="1062">
        <f>G135+G138</f>
        <v>3920615</v>
      </c>
      <c r="H134" s="1063"/>
    </row>
    <row r="135" spans="2:10" ht="26.25" customHeight="1">
      <c r="B135" s="1064" t="s">
        <v>930</v>
      </c>
      <c r="C135" s="1065"/>
      <c r="D135" s="1066"/>
      <c r="E135" s="1056">
        <f>E136+E137</f>
        <v>3036192</v>
      </c>
      <c r="F135" s="1057"/>
      <c r="G135" s="1058">
        <f>G136+G137</f>
        <v>3169498</v>
      </c>
      <c r="H135" s="1059"/>
    </row>
    <row r="136" spans="2:10">
      <c r="B136" s="1044" t="s">
        <v>931</v>
      </c>
      <c r="C136" s="1045"/>
      <c r="D136" s="1046"/>
      <c r="E136" s="1040">
        <v>2589280</v>
      </c>
      <c r="F136" s="1041"/>
      <c r="G136" s="1036">
        <v>2597385</v>
      </c>
      <c r="H136" s="1037"/>
    </row>
    <row r="137" spans="2:10">
      <c r="B137" s="1044" t="s">
        <v>932</v>
      </c>
      <c r="C137" s="1045"/>
      <c r="D137" s="1046"/>
      <c r="E137" s="1040">
        <v>446912</v>
      </c>
      <c r="F137" s="1041"/>
      <c r="G137" s="1036">
        <v>572113</v>
      </c>
      <c r="H137" s="1037"/>
    </row>
    <row r="138" spans="2:10" ht="25.5" customHeight="1">
      <c r="B138" s="1047" t="s">
        <v>933</v>
      </c>
      <c r="C138" s="1048"/>
      <c r="D138" s="1049"/>
      <c r="E138" s="1030">
        <v>656057</v>
      </c>
      <c r="F138" s="1031"/>
      <c r="G138" s="1032">
        <v>751117</v>
      </c>
      <c r="H138" s="1033"/>
    </row>
    <row r="140" spans="2:10" ht="15">
      <c r="B140" s="827" t="s">
        <v>1926</v>
      </c>
      <c r="C140" s="827"/>
      <c r="D140" s="827"/>
      <c r="E140" s="827"/>
      <c r="F140" s="827"/>
      <c r="G140" s="827"/>
      <c r="H140" s="827"/>
      <c r="I140" s="161"/>
      <c r="J140" s="161"/>
    </row>
    <row r="141" spans="2:10">
      <c r="B141" s="855" t="s">
        <v>809</v>
      </c>
      <c r="C141" s="1068"/>
      <c r="D141" s="1068"/>
      <c r="E141" s="855" t="str">
        <f>'Indicateurs Financiers'!C$6</f>
        <v>Montant N-1</v>
      </c>
      <c r="F141" s="856" t="e">
        <f>IF(SOMMAIRE!#REF!="Mensuelle","M-1","N-1")</f>
        <v>#REF!</v>
      </c>
      <c r="G141" s="855" t="str">
        <f>'Indicateurs Financiers'!D$6</f>
        <v>Montant N</v>
      </c>
      <c r="H141" s="856" t="e">
        <f>IF(SOMMAIRE!#REF!="Mensuelle","M-1","N-1")</f>
        <v>#REF!</v>
      </c>
    </row>
    <row r="142" spans="2:10">
      <c r="B142" s="1003" t="s">
        <v>934</v>
      </c>
      <c r="C142" s="1004"/>
      <c r="D142" s="1005"/>
      <c r="E142" s="1060">
        <f>E143+E146</f>
        <v>3286</v>
      </c>
      <c r="F142" s="1061"/>
      <c r="G142" s="1062">
        <f>G143+G146</f>
        <v>4111</v>
      </c>
      <c r="H142" s="1063"/>
    </row>
    <row r="143" spans="2:10" ht="25.5" customHeight="1">
      <c r="B143" s="1064" t="s">
        <v>935</v>
      </c>
      <c r="C143" s="1065"/>
      <c r="D143" s="1066"/>
      <c r="E143" s="1056">
        <f>E144+E145</f>
        <v>2704</v>
      </c>
      <c r="F143" s="1057"/>
      <c r="G143" s="1058">
        <f>G144+G145</f>
        <v>3545</v>
      </c>
      <c r="H143" s="1059"/>
    </row>
    <row r="144" spans="2:10">
      <c r="B144" s="1044" t="s">
        <v>936</v>
      </c>
      <c r="C144" s="1045"/>
      <c r="D144" s="1046"/>
      <c r="E144" s="1040">
        <v>1822</v>
      </c>
      <c r="F144" s="1041"/>
      <c r="G144" s="1036">
        <v>2030</v>
      </c>
      <c r="H144" s="1037"/>
    </row>
    <row r="145" spans="2:12">
      <c r="B145" s="1044" t="s">
        <v>937</v>
      </c>
      <c r="C145" s="1045"/>
      <c r="D145" s="1046"/>
      <c r="E145" s="1040">
        <v>882</v>
      </c>
      <c r="F145" s="1041"/>
      <c r="G145" s="1034">
        <v>1515</v>
      </c>
      <c r="H145" s="1035"/>
    </row>
    <row r="146" spans="2:12" ht="37.5" customHeight="1">
      <c r="B146" s="1047" t="s">
        <v>938</v>
      </c>
      <c r="C146" s="1048"/>
      <c r="D146" s="1049"/>
      <c r="E146" s="1030">
        <v>582</v>
      </c>
      <c r="F146" s="1031"/>
      <c r="G146" s="1032">
        <v>566</v>
      </c>
      <c r="H146" s="1033"/>
    </row>
    <row r="148" spans="2:12" ht="15">
      <c r="B148" s="827" t="s">
        <v>1928</v>
      </c>
      <c r="C148" s="827"/>
      <c r="D148" s="827"/>
      <c r="E148" s="827"/>
      <c r="F148" s="827"/>
      <c r="G148" s="827"/>
      <c r="H148" s="827"/>
      <c r="I148" s="161"/>
      <c r="J148" s="161"/>
    </row>
    <row r="149" spans="2:12" ht="26.25" customHeight="1">
      <c r="B149" s="855" t="s">
        <v>809</v>
      </c>
      <c r="C149" s="1068"/>
      <c r="D149" s="1068"/>
      <c r="E149" s="855" t="str">
        <f>'Indicateurs Financiers'!C$6</f>
        <v>Montant N-1</v>
      </c>
      <c r="F149" s="856" t="e">
        <f>IF(SOMMAIRE!#REF!="Mensuelle","M-1","N-1")</f>
        <v>#REF!</v>
      </c>
      <c r="G149" s="855" t="str">
        <f>'Indicateurs Financiers'!D$6</f>
        <v>Montant N</v>
      </c>
      <c r="H149" s="856" t="e">
        <f>IF(SOMMAIRE!#REF!="Mensuelle","M-1","N-1")</f>
        <v>#REF!</v>
      </c>
    </row>
    <row r="150" spans="2:12" ht="15" customHeight="1">
      <c r="B150" s="1050" t="s">
        <v>840</v>
      </c>
      <c r="C150" s="1051"/>
      <c r="D150" s="1052" t="s">
        <v>841</v>
      </c>
      <c r="E150" s="1056">
        <f>SUM(E151:F153)</f>
        <v>0</v>
      </c>
      <c r="F150" s="1057"/>
      <c r="G150" s="1058">
        <f>SUM(G151:H153)</f>
        <v>0</v>
      </c>
      <c r="H150" s="1059"/>
    </row>
    <row r="151" spans="2:12" s="653" customFormat="1" ht="15" customHeight="1">
      <c r="B151" s="1044" t="s">
        <v>936</v>
      </c>
      <c r="C151" s="1045"/>
      <c r="D151" s="1046"/>
      <c r="E151" s="1038"/>
      <c r="F151" s="1039"/>
      <c r="G151" s="1038"/>
      <c r="H151" s="1039"/>
    </row>
    <row r="152" spans="2:12" s="653" customFormat="1" ht="15" customHeight="1">
      <c r="B152" s="1044" t="s">
        <v>937</v>
      </c>
      <c r="C152" s="1045"/>
      <c r="D152" s="1046"/>
      <c r="E152" s="1040"/>
      <c r="F152" s="1041"/>
      <c r="G152" s="1038"/>
      <c r="H152" s="1039"/>
    </row>
    <row r="153" spans="2:12" s="653" customFormat="1" ht="22.5" customHeight="1">
      <c r="B153" s="1047" t="s">
        <v>938</v>
      </c>
      <c r="C153" s="1048"/>
      <c r="D153" s="1049"/>
      <c r="E153" s="1042"/>
      <c r="F153" s="1043"/>
      <c r="G153" s="1042"/>
      <c r="H153" s="1043"/>
    </row>
    <row r="154" spans="2:12" ht="15" customHeight="1">
      <c r="B154" s="1053" t="s">
        <v>1927</v>
      </c>
      <c r="C154" s="1054"/>
      <c r="D154" s="1055"/>
      <c r="E154" s="1056">
        <f>SUM(E155:F157)</f>
        <v>0</v>
      </c>
      <c r="F154" s="1057"/>
      <c r="G154" s="1058">
        <f>SUM(G155:H157)</f>
        <v>0</v>
      </c>
      <c r="H154" s="1059"/>
    </row>
    <row r="155" spans="2:12" s="653" customFormat="1" ht="15" customHeight="1">
      <c r="B155" s="1044" t="s">
        <v>936</v>
      </c>
      <c r="C155" s="1045"/>
      <c r="D155" s="1046"/>
      <c r="E155" s="1038"/>
      <c r="F155" s="1039"/>
      <c r="G155" s="1034"/>
      <c r="H155" s="1035"/>
    </row>
    <row r="156" spans="2:12" s="653" customFormat="1" ht="15" customHeight="1">
      <c r="B156" s="1044" t="s">
        <v>937</v>
      </c>
      <c r="C156" s="1045"/>
      <c r="D156" s="1046"/>
      <c r="E156" s="1040"/>
      <c r="F156" s="1041"/>
      <c r="G156" s="1036"/>
      <c r="H156" s="1037"/>
    </row>
    <row r="157" spans="2:12" s="653" customFormat="1" ht="24" customHeight="1">
      <c r="B157" s="1047" t="s">
        <v>938</v>
      </c>
      <c r="C157" s="1048"/>
      <c r="D157" s="1049"/>
      <c r="E157" s="1030"/>
      <c r="F157" s="1031"/>
      <c r="G157" s="1032"/>
      <c r="H157" s="1033"/>
    </row>
    <row r="159" spans="2:12" ht="30.75" customHeight="1">
      <c r="B159" s="137"/>
      <c r="C159" s="1250" t="s">
        <v>1944</v>
      </c>
      <c r="D159" s="1250"/>
      <c r="E159" s="1250"/>
      <c r="F159" s="1250"/>
      <c r="G159" s="1250"/>
      <c r="H159" s="1250"/>
      <c r="I159" s="1250"/>
      <c r="J159" s="1250"/>
      <c r="K159" s="95"/>
      <c r="L159" s="95"/>
    </row>
    <row r="160" spans="2:12" ht="15" customHeight="1">
      <c r="B160" s="1275" t="s">
        <v>1000</v>
      </c>
      <c r="C160" s="1255"/>
      <c r="D160" s="1276"/>
      <c r="E160" s="1254" t="s">
        <v>1001</v>
      </c>
      <c r="F160" s="1255"/>
      <c r="G160" s="1256"/>
      <c r="H160" s="1267" t="s">
        <v>1002</v>
      </c>
      <c r="I160" s="1255"/>
      <c r="J160" s="1268"/>
    </row>
    <row r="161" spans="2:10">
      <c r="B161" s="1272"/>
      <c r="C161" s="1273"/>
      <c r="D161" s="1274"/>
      <c r="E161" s="1257"/>
      <c r="F161" s="1258"/>
      <c r="G161" s="1259"/>
      <c r="H161" s="1264"/>
      <c r="I161" s="1265"/>
      <c r="J161" s="1266"/>
    </row>
    <row r="162" spans="2:10">
      <c r="B162" s="1269"/>
      <c r="C162" s="1270"/>
      <c r="D162" s="1271"/>
      <c r="E162" s="1040"/>
      <c r="F162" s="1260"/>
      <c r="G162" s="1261"/>
      <c r="H162" s="1277"/>
      <c r="I162" s="1278"/>
      <c r="J162" s="1279"/>
    </row>
    <row r="163" spans="2:10">
      <c r="B163" s="1269"/>
      <c r="C163" s="1270"/>
      <c r="D163" s="1271"/>
      <c r="E163" s="1040"/>
      <c r="F163" s="1260"/>
      <c r="G163" s="1261"/>
      <c r="H163" s="1277"/>
      <c r="I163" s="1278"/>
      <c r="J163" s="1279"/>
    </row>
    <row r="164" spans="2:10">
      <c r="B164" s="1269"/>
      <c r="C164" s="1270"/>
      <c r="D164" s="1271"/>
      <c r="E164" s="1040"/>
      <c r="F164" s="1260"/>
      <c r="G164" s="1261"/>
      <c r="H164" s="1277"/>
      <c r="I164" s="1278"/>
      <c r="J164" s="1279"/>
    </row>
    <row r="165" spans="2:10">
      <c r="B165" s="1251"/>
      <c r="C165" s="1252"/>
      <c r="D165" s="1253"/>
      <c r="E165" s="1117"/>
      <c r="F165" s="1262"/>
      <c r="G165" s="1263"/>
      <c r="H165" s="1280"/>
      <c r="I165" s="1281"/>
      <c r="J165" s="1282"/>
    </row>
    <row r="167" spans="2:10" ht="15">
      <c r="B167" s="167" t="s">
        <v>1929</v>
      </c>
      <c r="C167" s="167"/>
      <c r="D167" s="167"/>
      <c r="E167" s="167"/>
      <c r="F167" s="167"/>
      <c r="G167" s="167"/>
      <c r="H167" s="167"/>
      <c r="I167" s="161"/>
      <c r="J167" s="161"/>
    </row>
    <row r="168" spans="2:10">
      <c r="B168" s="855" t="s">
        <v>809</v>
      </c>
      <c r="C168" s="1068"/>
      <c r="D168" s="1068"/>
      <c r="E168" s="855" t="str">
        <f>'Indicateurs Financiers'!C$6</f>
        <v>Montant N-1</v>
      </c>
      <c r="F168" s="856" t="e">
        <f>IF(SOMMAIRE!#REF!="Mensuelle","M-1","N-1")</f>
        <v>#REF!</v>
      </c>
      <c r="G168" s="855" t="str">
        <f>'Indicateurs Financiers'!D$6</f>
        <v>Montant N</v>
      </c>
      <c r="H168" s="856" t="e">
        <f>IF(SOMMAIRE!#REF!="Mensuelle","M-1","N-1")</f>
        <v>#REF!</v>
      </c>
      <c r="J168" s="161"/>
    </row>
    <row r="169" spans="2:10">
      <c r="B169" s="1003" t="s">
        <v>948</v>
      </c>
      <c r="C169" s="1004"/>
      <c r="D169" s="1005"/>
      <c r="E169" s="1006"/>
      <c r="F169" s="1007"/>
      <c r="G169" s="1006"/>
      <c r="H169" s="1007"/>
    </row>
    <row r="170" spans="2:10" s="653" customFormat="1">
      <c r="B170" s="670" t="s">
        <v>1939</v>
      </c>
      <c r="C170" s="995" t="s">
        <v>1940</v>
      </c>
      <c r="D170" s="996"/>
      <c r="E170" s="997"/>
      <c r="F170" s="998"/>
      <c r="G170" s="997"/>
      <c r="H170" s="998"/>
    </row>
    <row r="171" spans="2:10" s="653" customFormat="1">
      <c r="B171" s="671"/>
      <c r="C171" s="995" t="s">
        <v>1941</v>
      </c>
      <c r="D171" s="996"/>
      <c r="E171" s="997"/>
      <c r="F171" s="998"/>
      <c r="G171" s="997"/>
      <c r="H171" s="998"/>
    </row>
    <row r="172" spans="2:10" s="653" customFormat="1">
      <c r="B172" s="671"/>
      <c r="C172" s="995" t="s">
        <v>1942</v>
      </c>
      <c r="D172" s="996"/>
      <c r="E172" s="997"/>
      <c r="F172" s="998"/>
      <c r="G172" s="997"/>
      <c r="H172" s="998"/>
    </row>
    <row r="173" spans="2:10" s="653" customFormat="1">
      <c r="B173" s="671"/>
      <c r="C173" s="995" t="s">
        <v>1943</v>
      </c>
      <c r="D173" s="996"/>
      <c r="E173" s="997"/>
      <c r="F173" s="998"/>
      <c r="G173" s="997"/>
      <c r="H173" s="998"/>
    </row>
    <row r="174" spans="2:10" s="653" customFormat="1">
      <c r="B174" s="671"/>
      <c r="C174" s="995" t="s">
        <v>1966</v>
      </c>
      <c r="D174" s="996"/>
      <c r="E174" s="997"/>
      <c r="F174" s="998"/>
      <c r="G174" s="997"/>
      <c r="H174" s="998"/>
    </row>
    <row r="175" spans="2:10" s="653" customFormat="1">
      <c r="B175" s="671"/>
      <c r="C175" s="995" t="s">
        <v>966</v>
      </c>
      <c r="D175" s="996"/>
      <c r="E175" s="997"/>
      <c r="F175" s="998"/>
      <c r="G175" s="997"/>
      <c r="H175" s="998"/>
    </row>
    <row r="176" spans="2:10" s="653" customFormat="1">
      <c r="B176" s="671"/>
      <c r="C176" s="999" t="s">
        <v>1967</v>
      </c>
      <c r="D176" s="1000"/>
      <c r="E176" s="997"/>
      <c r="F176" s="998"/>
      <c r="G176" s="997"/>
      <c r="H176" s="998"/>
    </row>
    <row r="177" spans="2:8" s="653" customFormat="1">
      <c r="B177" s="671"/>
      <c r="C177" s="999" t="s">
        <v>1968</v>
      </c>
      <c r="D177" s="1000"/>
      <c r="E177" s="997"/>
      <c r="F177" s="998"/>
      <c r="G177" s="997"/>
      <c r="H177" s="998"/>
    </row>
    <row r="178" spans="2:8" s="653" customFormat="1">
      <c r="B178" s="671"/>
      <c r="C178" s="999" t="s">
        <v>1969</v>
      </c>
      <c r="D178" s="1000"/>
      <c r="E178" s="997"/>
      <c r="F178" s="998"/>
      <c r="G178" s="997"/>
      <c r="H178" s="998"/>
    </row>
    <row r="179" spans="2:8" s="653" customFormat="1">
      <c r="B179" s="671"/>
      <c r="C179" s="999" t="s">
        <v>1970</v>
      </c>
      <c r="D179" s="1000"/>
      <c r="E179" s="997"/>
      <c r="F179" s="998"/>
      <c r="G179" s="997"/>
      <c r="H179" s="998"/>
    </row>
    <row r="180" spans="2:8" s="653" customFormat="1">
      <c r="B180" s="672"/>
      <c r="C180" s="999" t="s">
        <v>1971</v>
      </c>
      <c r="D180" s="1000"/>
      <c r="E180" s="1001"/>
      <c r="F180" s="1002"/>
      <c r="G180" s="1001"/>
      <c r="H180" s="1002"/>
    </row>
    <row r="181" spans="2:8" s="653" customFormat="1" ht="22.5" customHeight="1">
      <c r="B181" s="1003" t="s">
        <v>949</v>
      </c>
      <c r="C181" s="1004"/>
      <c r="D181" s="1005"/>
      <c r="E181" s="1006"/>
      <c r="F181" s="1007"/>
      <c r="G181" s="1006"/>
      <c r="H181" s="1007"/>
    </row>
    <row r="182" spans="2:8" s="653" customFormat="1">
      <c r="B182" s="670" t="s">
        <v>1939</v>
      </c>
      <c r="C182" s="995" t="s">
        <v>1940</v>
      </c>
      <c r="D182" s="996"/>
      <c r="E182" s="997"/>
      <c r="F182" s="998"/>
      <c r="G182" s="997"/>
      <c r="H182" s="998"/>
    </row>
    <row r="183" spans="2:8" s="653" customFormat="1">
      <c r="B183" s="671"/>
      <c r="C183" s="995" t="s">
        <v>1941</v>
      </c>
      <c r="D183" s="996"/>
      <c r="E183" s="997"/>
      <c r="F183" s="998"/>
      <c r="G183" s="997"/>
      <c r="H183" s="998"/>
    </row>
    <row r="184" spans="2:8" s="653" customFormat="1">
      <c r="B184" s="671"/>
      <c r="C184" s="995" t="s">
        <v>1942</v>
      </c>
      <c r="D184" s="996"/>
      <c r="E184" s="997"/>
      <c r="F184" s="998"/>
      <c r="G184" s="997"/>
      <c r="H184" s="998"/>
    </row>
    <row r="185" spans="2:8" s="653" customFormat="1">
      <c r="B185" s="671"/>
      <c r="C185" s="995" t="s">
        <v>1943</v>
      </c>
      <c r="D185" s="996"/>
      <c r="E185" s="997"/>
      <c r="F185" s="998"/>
      <c r="G185" s="997"/>
      <c r="H185" s="998"/>
    </row>
    <row r="186" spans="2:8" s="653" customFormat="1">
      <c r="B186" s="671"/>
      <c r="C186" s="995" t="s">
        <v>1966</v>
      </c>
      <c r="D186" s="996"/>
      <c r="E186" s="997"/>
      <c r="F186" s="998"/>
      <c r="G186" s="997"/>
      <c r="H186" s="998"/>
    </row>
    <row r="187" spans="2:8" s="653" customFormat="1">
      <c r="B187" s="671"/>
      <c r="C187" s="995" t="s">
        <v>966</v>
      </c>
      <c r="D187" s="996"/>
      <c r="E187" s="997"/>
      <c r="F187" s="998"/>
      <c r="G187" s="997"/>
      <c r="H187" s="998"/>
    </row>
    <row r="188" spans="2:8" s="653" customFormat="1">
      <c r="B188" s="671"/>
      <c r="C188" s="999" t="s">
        <v>1967</v>
      </c>
      <c r="D188" s="1000"/>
      <c r="E188" s="997"/>
      <c r="F188" s="998"/>
      <c r="G188" s="997"/>
      <c r="H188" s="998"/>
    </row>
    <row r="189" spans="2:8" s="653" customFormat="1">
      <c r="B189" s="671"/>
      <c r="C189" s="999" t="s">
        <v>1968</v>
      </c>
      <c r="D189" s="1000"/>
      <c r="E189" s="997"/>
      <c r="F189" s="998"/>
      <c r="G189" s="997"/>
      <c r="H189" s="998"/>
    </row>
    <row r="190" spans="2:8" s="653" customFormat="1">
      <c r="B190" s="671"/>
      <c r="C190" s="999" t="s">
        <v>1969</v>
      </c>
      <c r="D190" s="1000"/>
      <c r="E190" s="997"/>
      <c r="F190" s="998"/>
      <c r="G190" s="997"/>
      <c r="H190" s="998"/>
    </row>
    <row r="191" spans="2:8" s="653" customFormat="1">
      <c r="B191" s="671"/>
      <c r="C191" s="999" t="s">
        <v>1970</v>
      </c>
      <c r="D191" s="1000"/>
      <c r="E191" s="997"/>
      <c r="F191" s="998"/>
      <c r="G191" s="997"/>
      <c r="H191" s="998"/>
    </row>
    <row r="192" spans="2:8" s="653" customFormat="1">
      <c r="B192" s="672"/>
      <c r="C192" s="999" t="s">
        <v>1971</v>
      </c>
      <c r="D192" s="1000"/>
      <c r="E192" s="1001"/>
      <c r="F192" s="1002"/>
      <c r="G192" s="1001"/>
      <c r="H192" s="1002"/>
    </row>
    <row r="193" spans="2:8" s="653" customFormat="1">
      <c r="B193" s="1003" t="s">
        <v>950</v>
      </c>
      <c r="C193" s="1004"/>
      <c r="D193" s="1005"/>
      <c r="E193" s="1006"/>
      <c r="F193" s="1007"/>
      <c r="G193" s="1006"/>
      <c r="H193" s="1007"/>
    </row>
    <row r="194" spans="2:8" s="653" customFormat="1">
      <c r="B194" s="670" t="s">
        <v>1939</v>
      </c>
      <c r="C194" s="995" t="s">
        <v>1940</v>
      </c>
      <c r="D194" s="996"/>
      <c r="E194" s="997"/>
      <c r="F194" s="998"/>
      <c r="G194" s="997"/>
      <c r="H194" s="998"/>
    </row>
    <row r="195" spans="2:8" s="653" customFormat="1">
      <c r="B195" s="671"/>
      <c r="C195" s="995" t="s">
        <v>1941</v>
      </c>
      <c r="D195" s="996"/>
      <c r="E195" s="997"/>
      <c r="F195" s="998"/>
      <c r="G195" s="997"/>
      <c r="H195" s="998"/>
    </row>
    <row r="196" spans="2:8" s="653" customFormat="1">
      <c r="B196" s="671"/>
      <c r="C196" s="995" t="s">
        <v>1942</v>
      </c>
      <c r="D196" s="996"/>
      <c r="E196" s="997"/>
      <c r="F196" s="998"/>
      <c r="G196" s="997"/>
      <c r="H196" s="998"/>
    </row>
    <row r="197" spans="2:8" s="653" customFormat="1">
      <c r="B197" s="671"/>
      <c r="C197" s="995" t="s">
        <v>1943</v>
      </c>
      <c r="D197" s="996"/>
      <c r="E197" s="997"/>
      <c r="F197" s="998"/>
      <c r="G197" s="997"/>
      <c r="H197" s="998"/>
    </row>
    <row r="198" spans="2:8" s="653" customFormat="1">
      <c r="B198" s="671"/>
      <c r="C198" s="995" t="s">
        <v>1966</v>
      </c>
      <c r="D198" s="996"/>
      <c r="E198" s="997"/>
      <c r="F198" s="998"/>
      <c r="G198" s="997"/>
      <c r="H198" s="998"/>
    </row>
    <row r="199" spans="2:8" s="653" customFormat="1">
      <c r="B199" s="671"/>
      <c r="C199" s="995" t="s">
        <v>966</v>
      </c>
      <c r="D199" s="996"/>
      <c r="E199" s="997"/>
      <c r="F199" s="998"/>
      <c r="G199" s="997"/>
      <c r="H199" s="998"/>
    </row>
    <row r="200" spans="2:8" s="653" customFormat="1">
      <c r="B200" s="671"/>
      <c r="C200" s="999" t="s">
        <v>1967</v>
      </c>
      <c r="D200" s="1000"/>
      <c r="E200" s="997"/>
      <c r="F200" s="998"/>
      <c r="G200" s="997"/>
      <c r="H200" s="998"/>
    </row>
    <row r="201" spans="2:8" s="653" customFormat="1">
      <c r="B201" s="671"/>
      <c r="C201" s="999" t="s">
        <v>1968</v>
      </c>
      <c r="D201" s="1000"/>
      <c r="E201" s="997"/>
      <c r="F201" s="998"/>
      <c r="G201" s="997"/>
      <c r="H201" s="998"/>
    </row>
    <row r="202" spans="2:8" s="653" customFormat="1">
      <c r="B202" s="671"/>
      <c r="C202" s="999" t="s">
        <v>1969</v>
      </c>
      <c r="D202" s="1000"/>
      <c r="E202" s="997"/>
      <c r="F202" s="998"/>
      <c r="G202" s="997"/>
      <c r="H202" s="998"/>
    </row>
    <row r="203" spans="2:8" s="653" customFormat="1">
      <c r="B203" s="671"/>
      <c r="C203" s="999" t="s">
        <v>1970</v>
      </c>
      <c r="D203" s="1000"/>
      <c r="E203" s="997"/>
      <c r="F203" s="998"/>
      <c r="G203" s="997"/>
      <c r="H203" s="998"/>
    </row>
    <row r="204" spans="2:8" s="653" customFormat="1">
      <c r="B204" s="672"/>
      <c r="C204" s="999" t="s">
        <v>1971</v>
      </c>
      <c r="D204" s="1000"/>
      <c r="E204" s="1001"/>
      <c r="F204" s="1002"/>
      <c r="G204" s="1001"/>
      <c r="H204" s="1002"/>
    </row>
    <row r="205" spans="2:8" s="653" customFormat="1" ht="22.5" customHeight="1">
      <c r="B205" s="1003" t="s">
        <v>951</v>
      </c>
      <c r="C205" s="1004"/>
      <c r="D205" s="1005"/>
      <c r="E205" s="1006"/>
      <c r="F205" s="1007"/>
      <c r="G205" s="1006"/>
      <c r="H205" s="1007"/>
    </row>
    <row r="206" spans="2:8" s="653" customFormat="1">
      <c r="B206" s="670" t="s">
        <v>1939</v>
      </c>
      <c r="C206" s="995" t="s">
        <v>1940</v>
      </c>
      <c r="D206" s="996"/>
      <c r="E206" s="997"/>
      <c r="F206" s="998"/>
      <c r="G206" s="997"/>
      <c r="H206" s="998"/>
    </row>
    <row r="207" spans="2:8" s="653" customFormat="1">
      <c r="B207" s="671"/>
      <c r="C207" s="995" t="s">
        <v>1941</v>
      </c>
      <c r="D207" s="996"/>
      <c r="E207" s="997"/>
      <c r="F207" s="998"/>
      <c r="G207" s="997"/>
      <c r="H207" s="998"/>
    </row>
    <row r="208" spans="2:8" s="653" customFormat="1">
      <c r="B208" s="671"/>
      <c r="C208" s="995" t="s">
        <v>1942</v>
      </c>
      <c r="D208" s="996"/>
      <c r="E208" s="997"/>
      <c r="F208" s="998"/>
      <c r="G208" s="997"/>
      <c r="H208" s="998"/>
    </row>
    <row r="209" spans="2:10" s="653" customFormat="1">
      <c r="B209" s="671"/>
      <c r="C209" s="995" t="s">
        <v>1943</v>
      </c>
      <c r="D209" s="996"/>
      <c r="E209" s="997"/>
      <c r="F209" s="998"/>
      <c r="G209" s="997"/>
      <c r="H209" s="998"/>
    </row>
    <row r="210" spans="2:10" s="653" customFormat="1">
      <c r="B210" s="671"/>
      <c r="C210" s="995" t="s">
        <v>1966</v>
      </c>
      <c r="D210" s="996"/>
      <c r="E210" s="997"/>
      <c r="F210" s="998"/>
      <c r="G210" s="997"/>
      <c r="H210" s="998"/>
    </row>
    <row r="211" spans="2:10" s="653" customFormat="1">
      <c r="B211" s="671"/>
      <c r="C211" s="995" t="s">
        <v>966</v>
      </c>
      <c r="D211" s="996"/>
      <c r="E211" s="997"/>
      <c r="F211" s="998"/>
      <c r="G211" s="997"/>
      <c r="H211" s="998"/>
    </row>
    <row r="212" spans="2:10" s="653" customFormat="1">
      <c r="B212" s="671"/>
      <c r="C212" s="999" t="s">
        <v>1967</v>
      </c>
      <c r="D212" s="1000"/>
      <c r="E212" s="997"/>
      <c r="F212" s="998"/>
      <c r="G212" s="997"/>
      <c r="H212" s="998"/>
    </row>
    <row r="213" spans="2:10" s="653" customFormat="1">
      <c r="B213" s="671"/>
      <c r="C213" s="999" t="s">
        <v>1968</v>
      </c>
      <c r="D213" s="1000"/>
      <c r="E213" s="997"/>
      <c r="F213" s="998"/>
      <c r="G213" s="997"/>
      <c r="H213" s="998"/>
    </row>
    <row r="214" spans="2:10" s="653" customFormat="1">
      <c r="B214" s="671"/>
      <c r="C214" s="999" t="s">
        <v>1969</v>
      </c>
      <c r="D214" s="1000"/>
      <c r="E214" s="997"/>
      <c r="F214" s="998"/>
      <c r="G214" s="997"/>
      <c r="H214" s="998"/>
    </row>
    <row r="215" spans="2:10" s="653" customFormat="1">
      <c r="B215" s="671"/>
      <c r="C215" s="999" t="s">
        <v>1970</v>
      </c>
      <c r="D215" s="1000"/>
      <c r="E215" s="997"/>
      <c r="F215" s="998"/>
      <c r="G215" s="997"/>
      <c r="H215" s="998"/>
    </row>
    <row r="216" spans="2:10" s="653" customFormat="1">
      <c r="B216" s="672"/>
      <c r="C216" s="1283" t="s">
        <v>1971</v>
      </c>
      <c r="D216" s="1284"/>
      <c r="E216" s="1001"/>
      <c r="F216" s="1002"/>
      <c r="G216" s="1001"/>
      <c r="H216" s="1002"/>
    </row>
    <row r="218" spans="2:10" ht="15">
      <c r="B218" s="131"/>
      <c r="C218" s="167" t="s">
        <v>1106</v>
      </c>
      <c r="D218" s="167"/>
      <c r="E218" s="167"/>
      <c r="F218" s="167"/>
      <c r="G218" s="167"/>
      <c r="H218" s="167"/>
      <c r="I218" s="161"/>
      <c r="J218" s="161"/>
    </row>
    <row r="219" spans="2:10">
      <c r="B219" s="1067" t="s">
        <v>809</v>
      </c>
      <c r="C219" s="1068"/>
      <c r="D219" s="1068"/>
      <c r="E219" s="855" t="str">
        <f>IF(SOMMAIRE!$I$2="Mensuelle","M-1","N-1")</f>
        <v>N-1</v>
      </c>
      <c r="F219" s="856" t="e">
        <f>IF(SOMMAIRE!#REF!="Mensuelle","M-1","N-1")</f>
        <v>#REF!</v>
      </c>
      <c r="G219" s="855" t="str">
        <f>IF(SOMMAIRE!$I$2="Mensuelle","M","N")</f>
        <v>N</v>
      </c>
      <c r="H219" s="856"/>
    </row>
    <row r="220" spans="2:10" hidden="1">
      <c r="B220" s="1122" t="s">
        <v>939</v>
      </c>
      <c r="C220" s="1123"/>
      <c r="D220" s="1123"/>
      <c r="E220" s="1096"/>
      <c r="F220" s="1097"/>
      <c r="G220" s="1073"/>
      <c r="H220" s="1074"/>
    </row>
    <row r="221" spans="2:10">
      <c r="B221" s="1121" t="s">
        <v>940</v>
      </c>
      <c r="C221" s="1045"/>
      <c r="D221" s="1046"/>
      <c r="E221" s="1101">
        <v>4.8300000000000003E-2</v>
      </c>
      <c r="F221" s="1102"/>
      <c r="G221" s="1285">
        <v>9.9000000000000005E-2</v>
      </c>
      <c r="H221" s="1286"/>
    </row>
    <row r="222" spans="2:10">
      <c r="B222" s="1121" t="s">
        <v>941</v>
      </c>
      <c r="C222" s="1045"/>
      <c r="D222" s="1046"/>
      <c r="E222" s="1105">
        <v>0.73909999999999998</v>
      </c>
      <c r="F222" s="1106"/>
      <c r="G222" s="1285">
        <v>0.88460000000000005</v>
      </c>
      <c r="H222" s="1286"/>
    </row>
    <row r="223" spans="2:10">
      <c r="B223" s="1121" t="s">
        <v>942</v>
      </c>
      <c r="C223" s="1045"/>
      <c r="D223" s="1046"/>
      <c r="E223" s="1110">
        <v>0.62629999999999997</v>
      </c>
      <c r="F223" s="1111"/>
      <c r="G223" s="1291">
        <v>0.1681</v>
      </c>
      <c r="H223" s="1292"/>
    </row>
    <row r="224" spans="2:10" ht="24.75" customHeight="1">
      <c r="B224" s="1122" t="s">
        <v>943</v>
      </c>
      <c r="C224" s="1123"/>
      <c r="D224" s="1123"/>
      <c r="E224" s="1042"/>
      <c r="F224" s="1043"/>
      <c r="G224" s="1036"/>
      <c r="H224" s="1037"/>
    </row>
    <row r="225" spans="2:8">
      <c r="B225" s="1121" t="s">
        <v>944</v>
      </c>
      <c r="C225" s="1045"/>
      <c r="D225" s="1046"/>
      <c r="E225" s="1105"/>
      <c r="F225" s="1106"/>
      <c r="G225" s="1287"/>
      <c r="H225" s="1288"/>
    </row>
    <row r="226" spans="2:8" ht="25.5" customHeight="1">
      <c r="B226" s="1121" t="s">
        <v>945</v>
      </c>
      <c r="C226" s="1045"/>
      <c r="D226" s="1046"/>
      <c r="E226" s="1105"/>
      <c r="F226" s="1106"/>
      <c r="G226" s="1289"/>
      <c r="H226" s="1290"/>
    </row>
    <row r="227" spans="2:8" ht="25.5" customHeight="1">
      <c r="B227" s="890" t="s">
        <v>1092</v>
      </c>
      <c r="C227" s="1081"/>
      <c r="D227" s="843"/>
      <c r="E227" s="1105"/>
      <c r="F227" s="1106"/>
      <c r="G227" s="1289"/>
      <c r="H227" s="1290"/>
    </row>
    <row r="228" spans="2:8">
      <c r="B228" s="1160" t="s">
        <v>946</v>
      </c>
      <c r="C228" s="1161"/>
      <c r="D228" s="1162"/>
      <c r="E228" s="1163"/>
      <c r="F228" s="1164"/>
      <c r="G228" s="1036"/>
      <c r="H228" s="1037"/>
    </row>
    <row r="229" spans="2:8">
      <c r="B229" s="1011" t="s">
        <v>947</v>
      </c>
      <c r="C229" s="1012"/>
      <c r="D229" s="1013"/>
      <c r="E229" s="1197"/>
      <c r="F229" s="1198"/>
      <c r="G229" s="1199"/>
      <c r="H229" s="1200"/>
    </row>
    <row r="230" spans="2:8" s="549" customFormat="1"/>
    <row r="231" spans="2:8" s="549" customFormat="1" ht="15">
      <c r="B231" s="827" t="s">
        <v>1902</v>
      </c>
      <c r="C231" s="827"/>
      <c r="D231" s="827"/>
      <c r="E231" s="827"/>
      <c r="F231" s="827"/>
      <c r="G231" s="827"/>
      <c r="H231" s="827"/>
    </row>
    <row r="232" spans="2:8" s="549" customFormat="1" ht="15" customHeight="1">
      <c r="B232" s="855" t="s">
        <v>809</v>
      </c>
      <c r="C232" s="1068"/>
      <c r="D232" s="1068"/>
      <c r="E232" s="855" t="str">
        <f>'Indicateurs Financiers'!C$6</f>
        <v>Montant N-1</v>
      </c>
      <c r="F232" s="856" t="e">
        <f>IF(SOMMAIRE!#REF!="Mensuelle","M-1","N-1")</f>
        <v>#REF!</v>
      </c>
      <c r="G232" s="855" t="str">
        <f>'Indicateurs Financiers'!D$6</f>
        <v>Montant N</v>
      </c>
      <c r="H232" s="856" t="e">
        <f>IF(SOMMAIRE!#REF!="Mensuelle","M-1","N-1")</f>
        <v>#REF!</v>
      </c>
    </row>
    <row r="233" spans="2:8" s="549" customFormat="1">
      <c r="B233" s="1003" t="s">
        <v>929</v>
      </c>
      <c r="C233" s="1004"/>
      <c r="D233" s="1005"/>
      <c r="E233" s="1060">
        <f>E234+E237</f>
        <v>0</v>
      </c>
      <c r="F233" s="1061"/>
      <c r="G233" s="1062">
        <f>G234+G237</f>
        <v>0</v>
      </c>
      <c r="H233" s="1063"/>
    </row>
    <row r="234" spans="2:8" s="549" customFormat="1" ht="26.25" customHeight="1">
      <c r="B234" s="1064" t="s">
        <v>930</v>
      </c>
      <c r="C234" s="1065"/>
      <c r="D234" s="1066"/>
      <c r="E234" s="1056">
        <f>E235+E236</f>
        <v>0</v>
      </c>
      <c r="F234" s="1057"/>
      <c r="G234" s="1058">
        <f>G235+G236</f>
        <v>0</v>
      </c>
      <c r="H234" s="1059"/>
    </row>
    <row r="235" spans="2:8" s="549" customFormat="1">
      <c r="B235" s="1044" t="s">
        <v>931</v>
      </c>
      <c r="C235" s="1045"/>
      <c r="D235" s="1046"/>
      <c r="E235" s="1040"/>
      <c r="F235" s="1041"/>
      <c r="G235" s="1036"/>
      <c r="H235" s="1037"/>
    </row>
    <row r="236" spans="2:8" s="549" customFormat="1">
      <c r="B236" s="1044" t="s">
        <v>932</v>
      </c>
      <c r="C236" s="1045"/>
      <c r="D236" s="1046"/>
      <c r="E236" s="1040"/>
      <c r="F236" s="1041"/>
      <c r="G236" s="1034"/>
      <c r="H236" s="1035"/>
    </row>
    <row r="237" spans="2:8" s="549" customFormat="1" ht="25.5" customHeight="1">
      <c r="B237" s="1047" t="s">
        <v>933</v>
      </c>
      <c r="C237" s="1048"/>
      <c r="D237" s="1049"/>
      <c r="E237" s="1030"/>
      <c r="F237" s="1031"/>
      <c r="G237" s="1032"/>
      <c r="H237" s="1033"/>
    </row>
    <row r="238" spans="2:8" s="549" customFormat="1"/>
    <row r="239" spans="2:8" s="549" customFormat="1" ht="15">
      <c r="B239" s="827" t="s">
        <v>1903</v>
      </c>
      <c r="C239" s="827"/>
      <c r="D239" s="827"/>
      <c r="E239" s="827"/>
      <c r="F239" s="827"/>
      <c r="G239" s="827"/>
      <c r="H239" s="827"/>
    </row>
    <row r="240" spans="2:8" s="549" customFormat="1" ht="15" customHeight="1">
      <c r="B240" s="855" t="s">
        <v>809</v>
      </c>
      <c r="C240" s="1068"/>
      <c r="D240" s="1068"/>
      <c r="E240" s="855" t="str">
        <f>'Indicateurs Financiers'!C$6</f>
        <v>Montant N-1</v>
      </c>
      <c r="F240" s="856" t="e">
        <f>IF(SOMMAIRE!#REF!="Mensuelle","M-1","N-1")</f>
        <v>#REF!</v>
      </c>
      <c r="G240" s="855" t="str">
        <f>'Indicateurs Financiers'!D$6</f>
        <v>Montant N</v>
      </c>
      <c r="H240" s="856" t="e">
        <f>IF(SOMMAIRE!#REF!="Mensuelle","M-1","N-1")</f>
        <v>#REF!</v>
      </c>
    </row>
    <row r="241" spans="2:8" s="549" customFormat="1">
      <c r="B241" s="1003" t="s">
        <v>929</v>
      </c>
      <c r="C241" s="1004"/>
      <c r="D241" s="1005"/>
      <c r="E241" s="1060">
        <f>E242+E245</f>
        <v>0</v>
      </c>
      <c r="F241" s="1061"/>
      <c r="G241" s="1062">
        <f>G242+G245</f>
        <v>0</v>
      </c>
      <c r="H241" s="1063"/>
    </row>
    <row r="242" spans="2:8" s="549" customFormat="1" ht="26.25" customHeight="1">
      <c r="B242" s="1064" t="s">
        <v>930</v>
      </c>
      <c r="C242" s="1065"/>
      <c r="D242" s="1066"/>
      <c r="E242" s="1056">
        <f>E243+E244</f>
        <v>0</v>
      </c>
      <c r="F242" s="1057"/>
      <c r="G242" s="1058">
        <f>G243+G244</f>
        <v>0</v>
      </c>
      <c r="H242" s="1059"/>
    </row>
    <row r="243" spans="2:8" s="549" customFormat="1">
      <c r="B243" s="1044" t="s">
        <v>931</v>
      </c>
      <c r="C243" s="1045"/>
      <c r="D243" s="1046"/>
      <c r="E243" s="1040"/>
      <c r="F243" s="1041"/>
      <c r="G243" s="1036"/>
      <c r="H243" s="1037"/>
    </row>
    <row r="244" spans="2:8" s="549" customFormat="1">
      <c r="B244" s="1044" t="s">
        <v>932</v>
      </c>
      <c r="C244" s="1045"/>
      <c r="D244" s="1046"/>
      <c r="E244" s="1040"/>
      <c r="F244" s="1041"/>
      <c r="G244" s="1034"/>
      <c r="H244" s="1035"/>
    </row>
    <row r="245" spans="2:8" s="549" customFormat="1" ht="25.5" customHeight="1">
      <c r="B245" s="1047" t="s">
        <v>933</v>
      </c>
      <c r="C245" s="1048"/>
      <c r="D245" s="1049"/>
      <c r="E245" s="1030"/>
      <c r="F245" s="1031"/>
      <c r="G245" s="1032"/>
      <c r="H245" s="1033"/>
    </row>
    <row r="246" spans="2:8" s="549" customFormat="1" ht="25.5" customHeight="1">
      <c r="B246" s="562"/>
      <c r="C246" s="562"/>
      <c r="D246" s="562"/>
      <c r="E246" s="575"/>
      <c r="F246" s="575"/>
      <c r="G246" s="576"/>
      <c r="H246" s="576"/>
    </row>
    <row r="247" spans="2:8" s="549" customFormat="1" ht="15">
      <c r="B247" s="827" t="s">
        <v>1930</v>
      </c>
      <c r="C247" s="827"/>
      <c r="D247" s="827"/>
      <c r="E247" s="827"/>
      <c r="F247" s="827"/>
      <c r="G247" s="827"/>
      <c r="H247" s="827"/>
    </row>
    <row r="248" spans="2:8" s="549" customFormat="1" ht="15" customHeight="1">
      <c r="B248" s="855" t="s">
        <v>809</v>
      </c>
      <c r="C248" s="1068"/>
      <c r="D248" s="1068"/>
      <c r="E248" s="855" t="str">
        <f>'Indicateurs Financiers'!C$6</f>
        <v>Montant N-1</v>
      </c>
      <c r="F248" s="856" t="e">
        <f>IF(SOMMAIRE!#REF!="Mensuelle","M-1","N-1")</f>
        <v>#REF!</v>
      </c>
      <c r="G248" s="855" t="str">
        <f>'Indicateurs Financiers'!D$6</f>
        <v>Montant N</v>
      </c>
      <c r="H248" s="856" t="e">
        <f>IF(SOMMAIRE!#REF!="Mensuelle","M-1","N-1")</f>
        <v>#REF!</v>
      </c>
    </row>
    <row r="249" spans="2:8" s="549" customFormat="1">
      <c r="B249" s="1003" t="s">
        <v>929</v>
      </c>
      <c r="C249" s="1004"/>
      <c r="D249" s="1005"/>
      <c r="E249" s="1060">
        <f>E250+E253</f>
        <v>187180</v>
      </c>
      <c r="F249" s="1061"/>
      <c r="G249" s="1062">
        <f>G250+G253</f>
        <v>388160</v>
      </c>
      <c r="H249" s="1063"/>
    </row>
    <row r="250" spans="2:8" s="549" customFormat="1" ht="26.25" customHeight="1">
      <c r="B250" s="1064" t="s">
        <v>930</v>
      </c>
      <c r="C250" s="1065"/>
      <c r="D250" s="1066"/>
      <c r="E250" s="1056">
        <f>E251+E252</f>
        <v>180073</v>
      </c>
      <c r="F250" s="1057"/>
      <c r="G250" s="1058">
        <f>G251+G252</f>
        <v>379654</v>
      </c>
      <c r="H250" s="1059"/>
    </row>
    <row r="251" spans="2:8" s="549" customFormat="1">
      <c r="B251" s="1044" t="s">
        <v>931</v>
      </c>
      <c r="C251" s="1045"/>
      <c r="D251" s="1046"/>
      <c r="E251" s="1040">
        <v>165967</v>
      </c>
      <c r="F251" s="1041"/>
      <c r="G251" s="1036">
        <v>339556</v>
      </c>
      <c r="H251" s="1037"/>
    </row>
    <row r="252" spans="2:8" s="549" customFormat="1">
      <c r="B252" s="1044" t="s">
        <v>932</v>
      </c>
      <c r="C252" s="1045"/>
      <c r="D252" s="1046"/>
      <c r="E252" s="1040">
        <v>14106</v>
      </c>
      <c r="F252" s="1041"/>
      <c r="G252" s="1034">
        <v>40098</v>
      </c>
      <c r="H252" s="1035"/>
    </row>
    <row r="253" spans="2:8" s="549" customFormat="1" ht="25.5" customHeight="1">
      <c r="B253" s="1047" t="s">
        <v>933</v>
      </c>
      <c r="C253" s="1048"/>
      <c r="D253" s="1049"/>
      <c r="E253" s="1030">
        <v>7107</v>
      </c>
      <c r="F253" s="1031"/>
      <c r="G253" s="1032">
        <v>8506</v>
      </c>
      <c r="H253" s="1033"/>
    </row>
    <row r="254" spans="2:8" s="549" customFormat="1"/>
    <row r="255" spans="2:8" s="549" customFormat="1" ht="15">
      <c r="B255" s="827" t="s">
        <v>1931</v>
      </c>
      <c r="C255" s="827"/>
      <c r="D255" s="827"/>
      <c r="E255" s="827"/>
      <c r="F255" s="827"/>
      <c r="G255" s="827"/>
      <c r="H255" s="827"/>
    </row>
    <row r="256" spans="2:8" s="549" customFormat="1">
      <c r="B256" s="855" t="s">
        <v>809</v>
      </c>
      <c r="C256" s="1068"/>
      <c r="D256" s="1068"/>
      <c r="E256" s="855" t="str">
        <f>'Indicateurs Financiers'!C$6</f>
        <v>Montant N-1</v>
      </c>
      <c r="F256" s="856" t="e">
        <f>IF(SOMMAIRE!#REF!="Mensuelle","M-1","N-1")</f>
        <v>#REF!</v>
      </c>
      <c r="G256" s="855" t="str">
        <f>'Indicateurs Financiers'!D$6</f>
        <v>Montant N</v>
      </c>
      <c r="H256" s="856" t="e">
        <f>IF(SOMMAIRE!#REF!="Mensuelle","M-1","N-1")</f>
        <v>#REF!</v>
      </c>
    </row>
    <row r="257" spans="2:10" s="549" customFormat="1">
      <c r="B257" s="1003" t="s">
        <v>934</v>
      </c>
      <c r="C257" s="1004"/>
      <c r="D257" s="1005"/>
      <c r="E257" s="1060">
        <f>E258+E261</f>
        <v>265</v>
      </c>
      <c r="F257" s="1061"/>
      <c r="G257" s="1062">
        <f>G258+G261</f>
        <v>480</v>
      </c>
      <c r="H257" s="1063"/>
    </row>
    <row r="258" spans="2:10" s="549" customFormat="1" ht="25.5" customHeight="1">
      <c r="B258" s="1064" t="s">
        <v>935</v>
      </c>
      <c r="C258" s="1065"/>
      <c r="D258" s="1066"/>
      <c r="E258" s="1056">
        <f>E259+E260</f>
        <v>238</v>
      </c>
      <c r="F258" s="1057"/>
      <c r="G258" s="1058">
        <f>G259+G260</f>
        <v>409</v>
      </c>
      <c r="H258" s="1059"/>
    </row>
    <row r="259" spans="2:10" s="549" customFormat="1">
      <c r="B259" s="1044" t="s">
        <v>936</v>
      </c>
      <c r="C259" s="1045"/>
      <c r="D259" s="1046"/>
      <c r="E259" s="1040">
        <v>186</v>
      </c>
      <c r="F259" s="1041"/>
      <c r="G259" s="1036">
        <v>304</v>
      </c>
      <c r="H259" s="1037"/>
    </row>
    <row r="260" spans="2:10" s="549" customFormat="1">
      <c r="B260" s="1044" t="s">
        <v>937</v>
      </c>
      <c r="C260" s="1045"/>
      <c r="D260" s="1046"/>
      <c r="E260" s="1040">
        <v>52</v>
      </c>
      <c r="F260" s="1041"/>
      <c r="G260" s="1034">
        <v>105</v>
      </c>
      <c r="H260" s="1035"/>
    </row>
    <row r="261" spans="2:10" s="549" customFormat="1" ht="37.5" customHeight="1">
      <c r="B261" s="1047" t="s">
        <v>938</v>
      </c>
      <c r="C261" s="1048"/>
      <c r="D261" s="1049"/>
      <c r="E261" s="1030">
        <v>27</v>
      </c>
      <c r="F261" s="1031"/>
      <c r="G261" s="1032">
        <v>71</v>
      </c>
      <c r="H261" s="1033"/>
    </row>
    <row r="263" spans="2:10" ht="15" customHeight="1">
      <c r="B263" s="1070" t="s">
        <v>842</v>
      </c>
      <c r="C263" s="1071"/>
      <c r="D263" s="1071"/>
      <c r="E263" s="1071"/>
      <c r="F263" s="1071"/>
      <c r="G263" s="1071"/>
      <c r="H263" s="1072"/>
      <c r="I263" s="161"/>
      <c r="J263" s="161"/>
    </row>
    <row r="264" spans="2:10">
      <c r="I264" s="161"/>
      <c r="J264" s="161"/>
    </row>
    <row r="265" spans="2:10" ht="15">
      <c r="B265" s="827" t="s">
        <v>1932</v>
      </c>
      <c r="C265" s="827"/>
      <c r="D265" s="827"/>
      <c r="E265" s="827"/>
      <c r="F265" s="827"/>
      <c r="G265" s="827"/>
      <c r="H265" s="827"/>
      <c r="I265" s="161"/>
      <c r="J265" s="161"/>
    </row>
    <row r="266" spans="2:10">
      <c r="B266" s="1067" t="s">
        <v>819</v>
      </c>
      <c r="C266" s="1068"/>
      <c r="D266" s="1068"/>
      <c r="E266" s="855" t="str">
        <f>'Indicateurs Financiers'!C$6</f>
        <v>Montant N-1</v>
      </c>
      <c r="F266" s="856" t="e">
        <f>IF(SOMMAIRE!#REF!="Mensuelle","M-1","N-1")</f>
        <v>#REF!</v>
      </c>
      <c r="G266" s="855" t="str">
        <f>'Indicateurs Financiers'!D$6</f>
        <v>Montant N</v>
      </c>
      <c r="H266" s="856" t="e">
        <f>IF(SOMMAIRE!#REF!="Mensuelle","M-1","N-1")</f>
        <v>#REF!</v>
      </c>
    </row>
    <row r="267" spans="2:10">
      <c r="B267" s="1157" t="s">
        <v>952</v>
      </c>
      <c r="C267" s="1158"/>
      <c r="D267" s="1159"/>
      <c r="E267" s="1060">
        <f>SUM(E268:F272)</f>
        <v>0</v>
      </c>
      <c r="F267" s="1061"/>
      <c r="G267" s="1060">
        <f>SUM(G268:H272)</f>
        <v>0</v>
      </c>
      <c r="H267" s="1061"/>
    </row>
    <row r="268" spans="2:10">
      <c r="B268" s="1008" t="s">
        <v>843</v>
      </c>
      <c r="C268" s="1009"/>
      <c r="D268" s="1010"/>
      <c r="E268" s="1042"/>
      <c r="F268" s="1043"/>
      <c r="G268" s="1036"/>
      <c r="H268" s="1037"/>
    </row>
    <row r="269" spans="2:10">
      <c r="B269" s="1008" t="s">
        <v>953</v>
      </c>
      <c r="C269" s="1009"/>
      <c r="D269" s="1010"/>
      <c r="E269" s="1040"/>
      <c r="F269" s="1041"/>
      <c r="G269" s="1034"/>
      <c r="H269" s="1035"/>
    </row>
    <row r="270" spans="2:10">
      <c r="B270" s="1008" t="s">
        <v>954</v>
      </c>
      <c r="C270" s="1009"/>
      <c r="D270" s="1010"/>
      <c r="E270" s="1096"/>
      <c r="F270" s="1097"/>
      <c r="G270" s="1131"/>
      <c r="H270" s="1192"/>
    </row>
    <row r="271" spans="2:10">
      <c r="B271" s="1296" t="s">
        <v>955</v>
      </c>
      <c r="C271" s="1297"/>
      <c r="D271" s="1297"/>
      <c r="E271" s="1042"/>
      <c r="F271" s="1043"/>
      <c r="G271" s="1036"/>
      <c r="H271" s="1037"/>
    </row>
    <row r="272" spans="2:10">
      <c r="B272" s="1008" t="s">
        <v>956</v>
      </c>
      <c r="C272" s="1009"/>
      <c r="D272" s="1010"/>
      <c r="E272" s="1040"/>
      <c r="F272" s="1041"/>
      <c r="G272" s="1148"/>
      <c r="H272" s="1149"/>
    </row>
    <row r="273" spans="2:10" ht="15" customHeight="1">
      <c r="B273" s="885" t="s">
        <v>999</v>
      </c>
      <c r="C273" s="1298"/>
      <c r="D273" s="845"/>
      <c r="E273" s="1155">
        <f>SUM(E274:F278)</f>
        <v>0</v>
      </c>
      <c r="F273" s="1156"/>
      <c r="G273" s="1155">
        <f>SUM(G274:H278)</f>
        <v>0</v>
      </c>
      <c r="H273" s="1156"/>
    </row>
    <row r="274" spans="2:10">
      <c r="B274" s="1008" t="s">
        <v>843</v>
      </c>
      <c r="C274" s="1009"/>
      <c r="D274" s="1010"/>
      <c r="E274" s="1042"/>
      <c r="F274" s="1043"/>
      <c r="G274" s="1036"/>
      <c r="H274" s="1037"/>
    </row>
    <row r="275" spans="2:10">
      <c r="B275" s="1008" t="s">
        <v>953</v>
      </c>
      <c r="C275" s="1009"/>
      <c r="D275" s="1010"/>
      <c r="E275" s="1040"/>
      <c r="F275" s="1041"/>
      <c r="G275" s="1036"/>
      <c r="H275" s="1037"/>
    </row>
    <row r="276" spans="2:10" ht="15" customHeight="1">
      <c r="B276" s="1008" t="s">
        <v>954</v>
      </c>
      <c r="C276" s="1009"/>
      <c r="D276" s="1010"/>
      <c r="E276" s="1096"/>
      <c r="F276" s="1097"/>
      <c r="G276" s="1036"/>
      <c r="H276" s="1037"/>
    </row>
    <row r="277" spans="2:10" ht="15" customHeight="1">
      <c r="B277" s="1296" t="s">
        <v>955</v>
      </c>
      <c r="C277" s="1297"/>
      <c r="D277" s="1297"/>
      <c r="E277" s="1042"/>
      <c r="F277" s="1043"/>
      <c r="G277" s="1036"/>
      <c r="H277" s="1037"/>
    </row>
    <row r="278" spans="2:10" ht="15" customHeight="1">
      <c r="B278" s="1008" t="s">
        <v>956</v>
      </c>
      <c r="C278" s="1009"/>
      <c r="D278" s="1010"/>
      <c r="E278" s="1163"/>
      <c r="F278" s="1164"/>
      <c r="G278" s="1036"/>
      <c r="H278" s="1037"/>
    </row>
    <row r="279" spans="2:10" ht="15" customHeight="1">
      <c r="B279" s="846" t="s">
        <v>968</v>
      </c>
      <c r="C279" s="1299"/>
      <c r="D279" s="847"/>
      <c r="E279" s="1300">
        <f>E267-E273</f>
        <v>0</v>
      </c>
      <c r="F279" s="1301"/>
      <c r="G279" s="1300">
        <f>G267-G273</f>
        <v>0</v>
      </c>
      <c r="H279" s="1301"/>
    </row>
    <row r="280" spans="2:10">
      <c r="B280" s="96"/>
      <c r="C280" s="96"/>
      <c r="D280" s="96"/>
      <c r="E280" s="96"/>
      <c r="F280" s="96"/>
      <c r="G280" s="96"/>
      <c r="H280" s="96"/>
      <c r="I280" s="96"/>
      <c r="J280" s="96"/>
    </row>
    <row r="281" spans="2:10" ht="15">
      <c r="B281" s="1089" t="s">
        <v>1114</v>
      </c>
      <c r="C281" s="1089"/>
      <c r="D281" s="1089"/>
      <c r="E281" s="1089"/>
      <c r="F281" s="1089"/>
      <c r="G281" s="1089"/>
      <c r="H281" s="1089"/>
      <c r="I281" s="161"/>
      <c r="J281" s="161"/>
    </row>
    <row r="282" spans="2:10">
      <c r="B282" s="855" t="s">
        <v>819</v>
      </c>
      <c r="C282" s="1068"/>
      <c r="D282" s="1068"/>
      <c r="E282" s="855" t="str">
        <f>'Indicateurs Financiers'!C$6</f>
        <v>Montant N-1</v>
      </c>
      <c r="F282" s="856" t="e">
        <f>IF(SOMMAIRE!#REF!="Mensuelle","M-1","N-1")</f>
        <v>#REF!</v>
      </c>
      <c r="G282" s="855" t="str">
        <f>'Indicateurs Financiers'!D$6</f>
        <v>Montant N</v>
      </c>
      <c r="H282" s="856" t="e">
        <f>IF(SOMMAIRE!#REF!="Mensuelle","M-1","N-1")</f>
        <v>#REF!</v>
      </c>
    </row>
    <row r="283" spans="2:10">
      <c r="B283" s="1293" t="s">
        <v>961</v>
      </c>
      <c r="C283" s="1294"/>
      <c r="D283" s="1295"/>
      <c r="E283" s="1096"/>
      <c r="F283" s="1097"/>
      <c r="G283" s="1073"/>
      <c r="H283" s="1074"/>
    </row>
    <row r="284" spans="2:10">
      <c r="B284" s="1092" t="s">
        <v>960</v>
      </c>
      <c r="C284" s="1009"/>
      <c r="D284" s="1010"/>
      <c r="E284" s="1042"/>
      <c r="F284" s="1043"/>
      <c r="G284" s="1036"/>
      <c r="H284" s="1037"/>
    </row>
    <row r="285" spans="2:10">
      <c r="B285" s="1092" t="s">
        <v>959</v>
      </c>
      <c r="C285" s="1009"/>
      <c r="D285" s="1010"/>
      <c r="E285" s="1042"/>
      <c r="F285" s="1043"/>
      <c r="G285" s="1034"/>
      <c r="H285" s="1035"/>
    </row>
    <row r="286" spans="2:10">
      <c r="B286" s="1092" t="s">
        <v>958</v>
      </c>
      <c r="C286" s="1009"/>
      <c r="D286" s="1010"/>
      <c r="E286" s="1040"/>
      <c r="F286" s="1041"/>
      <c r="G286" s="1034"/>
      <c r="H286" s="1035"/>
    </row>
    <row r="287" spans="2:10">
      <c r="B287" s="1093" t="s">
        <v>957</v>
      </c>
      <c r="C287" s="1094"/>
      <c r="D287" s="1095"/>
      <c r="E287" s="1030"/>
      <c r="F287" s="1031"/>
      <c r="G287" s="1032"/>
      <c r="H287" s="1033"/>
    </row>
    <row r="288" spans="2:10">
      <c r="B288" s="96"/>
      <c r="C288" s="96"/>
      <c r="D288" s="96"/>
      <c r="E288" s="96"/>
      <c r="F288" s="96"/>
      <c r="G288" s="96"/>
      <c r="H288" s="96"/>
      <c r="I288" s="96"/>
      <c r="J288" s="96"/>
    </row>
    <row r="289" spans="2:13" ht="15">
      <c r="B289" s="131"/>
      <c r="C289" s="827" t="s">
        <v>844</v>
      </c>
      <c r="D289" s="827"/>
      <c r="E289" s="827"/>
      <c r="F289" s="827"/>
      <c r="G289" s="827"/>
      <c r="H289" s="827"/>
      <c r="I289" s="827"/>
      <c r="J289" s="827"/>
    </row>
    <row r="290" spans="2:13" ht="23.25" customHeight="1">
      <c r="B290" s="101" t="s">
        <v>845</v>
      </c>
      <c r="C290" s="1302" t="s">
        <v>854</v>
      </c>
      <c r="D290" s="856"/>
      <c r="E290" s="855" t="s">
        <v>969</v>
      </c>
      <c r="F290" s="856"/>
      <c r="G290" s="855" t="s">
        <v>970</v>
      </c>
      <c r="H290" s="856"/>
      <c r="I290" s="855" t="s">
        <v>971</v>
      </c>
      <c r="J290" s="856"/>
    </row>
    <row r="291" spans="2:13" ht="15" customHeight="1">
      <c r="B291" s="97" t="s">
        <v>962</v>
      </c>
      <c r="C291" s="1303"/>
      <c r="D291" s="1304"/>
      <c r="E291" s="1096"/>
      <c r="F291" s="1097"/>
      <c r="G291" s="1073"/>
      <c r="H291" s="1074"/>
      <c r="I291" s="1073"/>
      <c r="J291" s="1074"/>
    </row>
    <row r="292" spans="2:13" ht="15" customHeight="1">
      <c r="B292" s="98" t="s">
        <v>963</v>
      </c>
      <c r="C292" s="1075"/>
      <c r="D292" s="1076"/>
      <c r="E292" s="1042"/>
      <c r="F292" s="1043"/>
      <c r="G292" s="1036"/>
      <c r="H292" s="1037"/>
      <c r="I292" s="1036"/>
      <c r="J292" s="1037"/>
    </row>
    <row r="293" spans="2:13" ht="15" customHeight="1">
      <c r="B293" s="98" t="s">
        <v>964</v>
      </c>
      <c r="C293" s="1075"/>
      <c r="D293" s="1076"/>
      <c r="E293" s="1042"/>
      <c r="F293" s="1043"/>
      <c r="G293" s="1034"/>
      <c r="H293" s="1035"/>
      <c r="I293" s="1036"/>
      <c r="J293" s="1037"/>
    </row>
    <row r="294" spans="2:13" ht="15" customHeight="1">
      <c r="B294" s="98" t="s">
        <v>965</v>
      </c>
      <c r="C294" s="1075"/>
      <c r="D294" s="1076"/>
      <c r="E294" s="1040"/>
      <c r="F294" s="1041"/>
      <c r="G294" s="1034"/>
      <c r="H294" s="1035"/>
      <c r="I294" s="1036"/>
      <c r="J294" s="1037"/>
    </row>
    <row r="295" spans="2:13" ht="15" customHeight="1">
      <c r="B295" s="99" t="s">
        <v>966</v>
      </c>
      <c r="C295" s="1075"/>
      <c r="D295" s="1076"/>
      <c r="E295" s="1075"/>
      <c r="F295" s="1076"/>
      <c r="G295" s="1075"/>
      <c r="H295" s="1076"/>
      <c r="I295" s="1075"/>
      <c r="J295" s="1076"/>
    </row>
    <row r="296" spans="2:13" ht="15" customHeight="1">
      <c r="B296" s="170" t="s">
        <v>881</v>
      </c>
      <c r="C296" s="1305"/>
      <c r="D296" s="1306"/>
      <c r="E296" s="1077">
        <f>SUM(E291:F295)</f>
        <v>0</v>
      </c>
      <c r="F296" s="1078"/>
      <c r="G296" s="1079"/>
      <c r="H296" s="1080"/>
      <c r="I296" s="1090">
        <f>SUM(I291:J295)</f>
        <v>0</v>
      </c>
      <c r="J296" s="1091"/>
    </row>
    <row r="298" spans="2:13" ht="15" customHeight="1">
      <c r="B298" s="1070" t="s">
        <v>853</v>
      </c>
      <c r="C298" s="1071"/>
      <c r="D298" s="1071"/>
      <c r="E298" s="1071"/>
      <c r="F298" s="1071"/>
      <c r="G298" s="1071"/>
      <c r="H298" s="1071"/>
      <c r="I298" s="161"/>
      <c r="J298" s="161"/>
    </row>
    <row r="300" spans="2:13" ht="15">
      <c r="B300" s="827" t="s">
        <v>855</v>
      </c>
      <c r="C300" s="827"/>
      <c r="D300" s="827"/>
      <c r="E300" s="827"/>
      <c r="F300" s="827"/>
      <c r="G300" s="827"/>
      <c r="H300" s="827"/>
      <c r="I300" s="161"/>
      <c r="J300" s="161"/>
      <c r="K300" s="161"/>
      <c r="L300" s="161"/>
      <c r="M300" s="161"/>
    </row>
    <row r="301" spans="2:13">
      <c r="B301" s="855" t="s">
        <v>809</v>
      </c>
      <c r="C301" s="1068"/>
      <c r="D301" s="1068"/>
      <c r="E301" s="855" t="str">
        <f>'Indicateurs Financiers'!C$6</f>
        <v>Montant N-1</v>
      </c>
      <c r="F301" s="856" t="e">
        <f>IF(SOMMAIRE!#REF!="Mensuelle","M-1","N-1")</f>
        <v>#REF!</v>
      </c>
      <c r="G301" s="855" t="str">
        <f>'Indicateurs Financiers'!D$6</f>
        <v>Montant N</v>
      </c>
      <c r="H301" s="856" t="e">
        <f>IF(SOMMAIRE!#REF!="Mensuelle","M-1","N-1")</f>
        <v>#REF!</v>
      </c>
    </row>
    <row r="302" spans="2:13" ht="24.75" customHeight="1">
      <c r="B302" s="1107" t="s">
        <v>967</v>
      </c>
      <c r="C302" s="1108"/>
      <c r="D302" s="1109"/>
      <c r="E302" s="1110">
        <v>0.02</v>
      </c>
      <c r="F302" s="1111"/>
      <c r="G302" s="1112">
        <v>0.02</v>
      </c>
      <c r="H302" s="1113"/>
    </row>
    <row r="303" spans="2:13" ht="24" customHeight="1">
      <c r="B303" s="842" t="s">
        <v>973</v>
      </c>
      <c r="C303" s="1081"/>
      <c r="D303" s="843"/>
      <c r="E303" s="1101">
        <v>0.04</v>
      </c>
      <c r="F303" s="1102"/>
      <c r="G303" s="1114">
        <v>0.04</v>
      </c>
      <c r="H303" s="1115"/>
    </row>
    <row r="304" spans="2:13" ht="24" customHeight="1">
      <c r="B304" s="842" t="s">
        <v>972</v>
      </c>
      <c r="C304" s="1081"/>
      <c r="D304" s="843"/>
      <c r="E304" s="1101">
        <v>0.1</v>
      </c>
      <c r="F304" s="1102"/>
      <c r="G304" s="1103">
        <v>0.06</v>
      </c>
      <c r="H304" s="1104"/>
    </row>
    <row r="305" spans="2:11" ht="23.25" customHeight="1">
      <c r="B305" s="842" t="s">
        <v>974</v>
      </c>
      <c r="C305" s="1081"/>
      <c r="D305" s="843"/>
      <c r="E305" s="1105">
        <v>0.12</v>
      </c>
      <c r="F305" s="1106"/>
      <c r="G305" s="1103">
        <v>0.15</v>
      </c>
      <c r="H305" s="1104"/>
    </row>
    <row r="306" spans="2:11">
      <c r="B306" s="1086" t="s">
        <v>1933</v>
      </c>
      <c r="C306" s="1087"/>
      <c r="D306" s="1088"/>
      <c r="E306" s="1082"/>
      <c r="F306" s="1083"/>
      <c r="G306" s="1084"/>
      <c r="H306" s="1085"/>
    </row>
    <row r="308" spans="2:11" ht="15">
      <c r="B308" s="827" t="s">
        <v>1922</v>
      </c>
      <c r="C308" s="827"/>
      <c r="D308" s="827"/>
      <c r="E308" s="827"/>
      <c r="F308" s="827"/>
      <c r="G308" s="827"/>
      <c r="H308" s="827"/>
      <c r="I308" s="161"/>
      <c r="J308" s="161"/>
      <c r="K308" s="161"/>
    </row>
    <row r="309" spans="2:11">
      <c r="B309" s="855" t="s">
        <v>809</v>
      </c>
      <c r="C309" s="1068"/>
      <c r="D309" s="1068"/>
      <c r="E309" s="855" t="str">
        <f>'Indicateurs Financiers'!C$6</f>
        <v>Montant N-1</v>
      </c>
      <c r="F309" s="856" t="e">
        <f>IF(SOMMAIRE!#REF!="Mensuelle","M-1","N-1")</f>
        <v>#REF!</v>
      </c>
      <c r="G309" s="855" t="str">
        <f>'Indicateurs Financiers'!D$6</f>
        <v>Montant N</v>
      </c>
      <c r="H309" s="856" t="e">
        <f>IF(SOMMAIRE!#REF!="Mensuelle","M-1","N-1")</f>
        <v>#REF!</v>
      </c>
    </row>
    <row r="310" spans="2:11">
      <c r="B310" s="1107" t="s">
        <v>975</v>
      </c>
      <c r="C310" s="1108"/>
      <c r="D310" s="1109"/>
      <c r="E310" s="1096"/>
      <c r="F310" s="1097"/>
      <c r="G310" s="1073"/>
      <c r="H310" s="1074"/>
    </row>
    <row r="311" spans="2:11">
      <c r="B311" s="842" t="s">
        <v>976</v>
      </c>
      <c r="C311" s="1081"/>
      <c r="D311" s="843"/>
      <c r="E311" s="1042">
        <v>24000</v>
      </c>
      <c r="F311" s="1043"/>
      <c r="G311" s="1036"/>
      <c r="H311" s="1037"/>
    </row>
    <row r="312" spans="2:11">
      <c r="B312" s="842" t="s">
        <v>977</v>
      </c>
      <c r="C312" s="1081"/>
      <c r="D312" s="843"/>
      <c r="E312" s="1042">
        <v>31520</v>
      </c>
      <c r="F312" s="1043"/>
      <c r="G312" s="1034">
        <v>36500</v>
      </c>
      <c r="H312" s="1035"/>
    </row>
    <row r="313" spans="2:11">
      <c r="B313" s="842" t="s">
        <v>978</v>
      </c>
      <c r="C313" s="1081"/>
      <c r="D313" s="843"/>
      <c r="E313" s="1040">
        <v>4561180</v>
      </c>
      <c r="F313" s="1041"/>
      <c r="G313" s="1034">
        <v>4616995</v>
      </c>
      <c r="H313" s="1035"/>
    </row>
    <row r="314" spans="2:11">
      <c r="B314" s="1086" t="s">
        <v>966</v>
      </c>
      <c r="C314" s="1087"/>
      <c r="D314" s="1088"/>
      <c r="E314" s="1030"/>
      <c r="F314" s="1031"/>
      <c r="G314" s="1032"/>
      <c r="H314" s="1033"/>
    </row>
    <row r="315" spans="2:11">
      <c r="B315" s="661" t="s">
        <v>1923</v>
      </c>
    </row>
    <row r="316" spans="2:11" s="653" customFormat="1"/>
    <row r="317" spans="2:11" ht="15">
      <c r="B317" s="131"/>
      <c r="C317" s="827" t="s">
        <v>856</v>
      </c>
      <c r="D317" s="827"/>
      <c r="E317" s="827"/>
      <c r="F317" s="827"/>
      <c r="G317" s="827"/>
      <c r="H317" s="827"/>
      <c r="I317" s="827"/>
      <c r="J317" s="827"/>
    </row>
    <row r="318" spans="2:11" ht="15" customHeight="1">
      <c r="B318" s="855" t="s">
        <v>979</v>
      </c>
      <c r="C318" s="1068"/>
      <c r="D318" s="1068"/>
      <c r="E318" s="855" t="s">
        <v>980</v>
      </c>
      <c r="F318" s="1068"/>
      <c r="G318" s="1068"/>
      <c r="H318" s="1267" t="s">
        <v>981</v>
      </c>
      <c r="I318" s="1255"/>
      <c r="J318" s="1276"/>
    </row>
    <row r="319" spans="2:11">
      <c r="B319" s="1327"/>
      <c r="C319" s="1273"/>
      <c r="D319" s="1274"/>
      <c r="E319" s="1310"/>
      <c r="F319" s="1311"/>
      <c r="G319" s="1312"/>
      <c r="H319" s="1319"/>
      <c r="I319" s="1320"/>
      <c r="J319" s="1074"/>
    </row>
    <row r="320" spans="2:11">
      <c r="B320" s="1326"/>
      <c r="C320" s="1270"/>
      <c r="D320" s="1271"/>
      <c r="E320" s="1313"/>
      <c r="F320" s="1314"/>
      <c r="G320" s="1315"/>
      <c r="H320" s="1321"/>
      <c r="I320" s="1322"/>
      <c r="J320" s="1037"/>
    </row>
    <row r="321" spans="2:11">
      <c r="B321" s="1326"/>
      <c r="C321" s="1270"/>
      <c r="D321" s="1271"/>
      <c r="E321" s="1313"/>
      <c r="F321" s="1314"/>
      <c r="G321" s="1315"/>
      <c r="H321" s="1321"/>
      <c r="I321" s="1322"/>
      <c r="J321" s="1037"/>
    </row>
    <row r="322" spans="2:11">
      <c r="B322" s="1326"/>
      <c r="C322" s="1270"/>
      <c r="D322" s="1271"/>
      <c r="E322" s="1313"/>
      <c r="F322" s="1314"/>
      <c r="G322" s="1315"/>
      <c r="H322" s="1321"/>
      <c r="I322" s="1322"/>
      <c r="J322" s="1037"/>
    </row>
    <row r="323" spans="2:11">
      <c r="B323" s="1307"/>
      <c r="C323" s="1308"/>
      <c r="D323" s="1309"/>
      <c r="E323" s="1316"/>
      <c r="F323" s="1317"/>
      <c r="G323" s="1318"/>
      <c r="H323" s="1323"/>
      <c r="I323" s="1324"/>
      <c r="J323" s="1325"/>
    </row>
    <row r="325" spans="2:11" ht="15">
      <c r="B325" s="827" t="s">
        <v>1935</v>
      </c>
      <c r="C325" s="827"/>
      <c r="D325" s="827"/>
      <c r="E325" s="827"/>
      <c r="F325" s="827"/>
      <c r="G325" s="827"/>
      <c r="H325" s="827"/>
      <c r="I325" s="161"/>
      <c r="J325" s="161"/>
      <c r="K325" s="161"/>
    </row>
    <row r="326" spans="2:11">
      <c r="B326" s="1067" t="s">
        <v>1004</v>
      </c>
      <c r="C326" s="1068"/>
      <c r="D326" s="1068"/>
      <c r="E326" s="855" t="str">
        <f>'Indicateurs Financiers'!C$6</f>
        <v>Montant N-1</v>
      </c>
      <c r="F326" s="856" t="e">
        <f>IF(SOMMAIRE!#REF!="Mensuelle","M-1","N-1")</f>
        <v>#REF!</v>
      </c>
      <c r="G326" s="855" t="str">
        <f>'Indicateurs Financiers'!D$6</f>
        <v>Montant N</v>
      </c>
      <c r="H326" s="856" t="e">
        <f>IF(SOMMAIRE!#REF!="Mensuelle","M-1","N-1")</f>
        <v>#REF!</v>
      </c>
    </row>
    <row r="327" spans="2:11">
      <c r="B327" s="1122" t="s">
        <v>982</v>
      </c>
      <c r="C327" s="1123"/>
      <c r="D327" s="1123"/>
      <c r="E327" s="1096">
        <v>1385450</v>
      </c>
      <c r="F327" s="1097"/>
      <c r="G327" s="1073">
        <v>1206420</v>
      </c>
      <c r="H327" s="1074"/>
    </row>
    <row r="328" spans="2:11">
      <c r="B328" s="1121" t="s">
        <v>983</v>
      </c>
      <c r="C328" s="1045"/>
      <c r="D328" s="1046"/>
      <c r="E328" s="1042">
        <v>700</v>
      </c>
      <c r="F328" s="1043"/>
      <c r="G328" s="1034"/>
      <c r="H328" s="1035"/>
    </row>
    <row r="329" spans="2:11">
      <c r="B329" s="1121" t="s">
        <v>984</v>
      </c>
      <c r="C329" s="1045"/>
      <c r="D329" s="1046"/>
      <c r="E329" s="1040">
        <v>36850</v>
      </c>
      <c r="F329" s="1041"/>
      <c r="G329" s="1034">
        <v>80825</v>
      </c>
      <c r="H329" s="1035"/>
    </row>
    <row r="330" spans="2:11">
      <c r="B330" s="1121" t="s">
        <v>985</v>
      </c>
      <c r="C330" s="1045"/>
      <c r="D330" s="1046"/>
      <c r="E330" s="1096">
        <v>300</v>
      </c>
      <c r="F330" s="1097"/>
      <c r="G330" s="1131">
        <v>3750</v>
      </c>
      <c r="H330" s="1192"/>
    </row>
    <row r="331" spans="2:11">
      <c r="B331" s="1121" t="s">
        <v>857</v>
      </c>
      <c r="C331" s="1045"/>
      <c r="D331" s="1046"/>
      <c r="E331" s="1042">
        <v>2869070</v>
      </c>
      <c r="F331" s="1043"/>
      <c r="G331" s="1036">
        <v>2935450</v>
      </c>
      <c r="H331" s="1037"/>
    </row>
    <row r="332" spans="2:11">
      <c r="B332" s="1121" t="s">
        <v>858</v>
      </c>
      <c r="C332" s="1045"/>
      <c r="D332" s="1046"/>
      <c r="E332" s="1040">
        <v>2500</v>
      </c>
      <c r="F332" s="1041"/>
      <c r="G332" s="1148">
        <v>1950</v>
      </c>
      <c r="H332" s="1149"/>
    </row>
    <row r="333" spans="2:11">
      <c r="B333" s="1121" t="s">
        <v>859</v>
      </c>
      <c r="C333" s="1045"/>
      <c r="D333" s="1046"/>
      <c r="E333" s="1040">
        <v>260650</v>
      </c>
      <c r="F333" s="1041"/>
      <c r="G333" s="1036">
        <v>358700</v>
      </c>
      <c r="H333" s="1037"/>
    </row>
    <row r="334" spans="2:11">
      <c r="B334" s="1121" t="s">
        <v>860</v>
      </c>
      <c r="C334" s="1045"/>
      <c r="D334" s="1046"/>
      <c r="E334" s="1163">
        <v>1000</v>
      </c>
      <c r="F334" s="1164"/>
      <c r="G334" s="1036">
        <v>400</v>
      </c>
      <c r="H334" s="1037"/>
    </row>
    <row r="335" spans="2:11">
      <c r="B335" s="1121" t="s">
        <v>861</v>
      </c>
      <c r="C335" s="1045"/>
      <c r="D335" s="1046"/>
      <c r="E335" s="1163">
        <v>7550</v>
      </c>
      <c r="F335" s="1164"/>
      <c r="G335" s="1036">
        <v>8050</v>
      </c>
      <c r="H335" s="1037"/>
    </row>
    <row r="336" spans="2:11">
      <c r="B336" s="1328" t="s">
        <v>862</v>
      </c>
      <c r="C336" s="1329"/>
      <c r="D336" s="1330"/>
      <c r="E336" s="1117">
        <v>44580</v>
      </c>
      <c r="F336" s="1118"/>
      <c r="G336" s="1119">
        <v>47000</v>
      </c>
      <c r="H336" s="1120"/>
    </row>
    <row r="337" spans="2:11">
      <c r="B337" s="661" t="s">
        <v>1934</v>
      </c>
    </row>
    <row r="338" spans="2:11" ht="15" customHeight="1">
      <c r="B338" s="1070" t="s">
        <v>863</v>
      </c>
      <c r="C338" s="1071"/>
      <c r="D338" s="1071"/>
      <c r="E338" s="1071"/>
      <c r="F338" s="1071"/>
      <c r="G338" s="1071"/>
      <c r="H338" s="1072"/>
      <c r="I338" s="161"/>
      <c r="J338" s="161"/>
    </row>
    <row r="340" spans="2:11" ht="36" customHeight="1">
      <c r="B340" s="1069" t="s">
        <v>1956</v>
      </c>
      <c r="C340" s="1069"/>
      <c r="D340" s="1069"/>
      <c r="E340" s="1069"/>
      <c r="F340" s="1069"/>
      <c r="G340" s="1069"/>
      <c r="H340" s="1069"/>
      <c r="I340" s="161"/>
      <c r="J340" s="161"/>
    </row>
    <row r="341" spans="2:11">
      <c r="B341" s="1067" t="s">
        <v>809</v>
      </c>
      <c r="C341" s="1068"/>
      <c r="D341" s="1068"/>
      <c r="E341" s="855" t="str">
        <f>'Indicateurs Financiers'!C$6</f>
        <v>Montant N-1</v>
      </c>
      <c r="F341" s="856" t="e">
        <f>IF(SOMMAIRE!#REF!="Mensuelle","M-1","N-1")</f>
        <v>#REF!</v>
      </c>
      <c r="G341" s="855" t="str">
        <f>'Indicateurs Financiers'!D$6</f>
        <v>Montant N</v>
      </c>
      <c r="H341" s="856" t="e">
        <f>IF(SOMMAIRE!#REF!="Mensuelle","M-1","N-1")</f>
        <v>#REF!</v>
      </c>
    </row>
    <row r="342" spans="2:11" ht="25.5" customHeight="1">
      <c r="B342" s="1240" t="s">
        <v>864</v>
      </c>
      <c r="C342" s="1108"/>
      <c r="D342" s="1109"/>
      <c r="E342" s="1096"/>
      <c r="F342" s="1097"/>
      <c r="G342" s="1073"/>
      <c r="H342" s="1074"/>
    </row>
    <row r="343" spans="2:11" ht="27" customHeight="1">
      <c r="B343" s="890" t="s">
        <v>865</v>
      </c>
      <c r="C343" s="1081"/>
      <c r="D343" s="843"/>
      <c r="E343" s="1042"/>
      <c r="F343" s="1043"/>
      <c r="G343" s="1034"/>
      <c r="H343" s="1035"/>
    </row>
    <row r="344" spans="2:11" ht="27" customHeight="1">
      <c r="B344" s="890" t="s">
        <v>1936</v>
      </c>
      <c r="C344" s="1081"/>
      <c r="D344" s="843"/>
      <c r="E344" s="1040"/>
      <c r="F344" s="1041"/>
      <c r="G344" s="1034"/>
      <c r="H344" s="1035"/>
    </row>
    <row r="345" spans="2:11" ht="24.75" customHeight="1">
      <c r="B345" s="890" t="s">
        <v>1937</v>
      </c>
      <c r="C345" s="1081"/>
      <c r="D345" s="843"/>
      <c r="E345" s="1110"/>
      <c r="F345" s="1111"/>
      <c r="G345" s="1291"/>
      <c r="H345" s="1292"/>
    </row>
    <row r="346" spans="2:11" ht="15" customHeight="1">
      <c r="B346" s="890" t="s">
        <v>866</v>
      </c>
      <c r="C346" s="1081"/>
      <c r="D346" s="843"/>
      <c r="E346" s="1042"/>
      <c r="F346" s="1043"/>
      <c r="G346" s="1036"/>
      <c r="H346" s="1037"/>
    </row>
    <row r="347" spans="2:11">
      <c r="B347" s="890" t="s">
        <v>867</v>
      </c>
      <c r="C347" s="1081"/>
      <c r="D347" s="843"/>
      <c r="E347" s="1040"/>
      <c r="F347" s="1041"/>
      <c r="G347" s="1148"/>
      <c r="H347" s="1149"/>
    </row>
    <row r="348" spans="2:11" ht="15" customHeight="1">
      <c r="B348" s="1331" t="s">
        <v>868</v>
      </c>
      <c r="C348" s="1332"/>
      <c r="D348" s="1333"/>
      <c r="E348" s="1334"/>
      <c r="F348" s="1335"/>
      <c r="G348" s="1336"/>
      <c r="H348" s="1337"/>
    </row>
    <row r="350" spans="2:11" ht="15" customHeight="1">
      <c r="B350" s="1070" t="s">
        <v>871</v>
      </c>
      <c r="C350" s="1071"/>
      <c r="D350" s="1071"/>
      <c r="E350" s="1071"/>
      <c r="F350" s="1071"/>
      <c r="G350" s="1071"/>
      <c r="H350" s="1072"/>
      <c r="I350" s="161"/>
      <c r="J350" s="161"/>
      <c r="K350" s="161"/>
    </row>
    <row r="352" spans="2:11" ht="15.75" customHeight="1">
      <c r="B352" s="1069" t="s">
        <v>870</v>
      </c>
      <c r="C352" s="1069"/>
      <c r="D352" s="1069"/>
      <c r="E352" s="1069"/>
      <c r="F352" s="1069"/>
      <c r="G352" s="1069"/>
      <c r="H352" s="1069"/>
      <c r="I352" s="161"/>
      <c r="J352" s="161"/>
      <c r="K352" s="161"/>
    </row>
    <row r="353" spans="2:11">
      <c r="B353" s="1067" t="s">
        <v>809</v>
      </c>
      <c r="C353" s="1068"/>
      <c r="D353" s="1068"/>
      <c r="E353" s="855" t="str">
        <f>'Indicateurs Financiers'!C$6</f>
        <v>Montant N-1</v>
      </c>
      <c r="F353" s="856" t="e">
        <f>IF(SOMMAIRE!#REF!="Mensuelle","M-1","N-1")</f>
        <v>#REF!</v>
      </c>
      <c r="G353" s="855" t="str">
        <f>'Indicateurs Financiers'!D$6</f>
        <v>Montant N</v>
      </c>
      <c r="H353" s="856" t="e">
        <f>IF(SOMMAIRE!#REF!="Mensuelle","M-1","N-1")</f>
        <v>#REF!</v>
      </c>
      <c r="I353" s="161"/>
      <c r="J353" s="161"/>
      <c r="K353" s="161"/>
    </row>
    <row r="354" spans="2:11">
      <c r="B354" s="1240" t="s">
        <v>986</v>
      </c>
      <c r="C354" s="1108"/>
      <c r="D354" s="1109"/>
      <c r="E354" s="1096"/>
      <c r="F354" s="1097"/>
      <c r="G354" s="1073"/>
      <c r="H354" s="1074"/>
    </row>
    <row r="355" spans="2:11" ht="23.25" customHeight="1">
      <c r="B355" s="890" t="s">
        <v>987</v>
      </c>
      <c r="C355" s="1081"/>
      <c r="D355" s="843"/>
      <c r="E355" s="1042"/>
      <c r="F355" s="1043"/>
      <c r="G355" s="1034"/>
      <c r="H355" s="1035"/>
    </row>
    <row r="356" spans="2:11">
      <c r="B356" s="890" t="s">
        <v>988</v>
      </c>
      <c r="C356" s="1081"/>
      <c r="D356" s="843"/>
      <c r="E356" s="1040"/>
      <c r="F356" s="1041"/>
      <c r="G356" s="1034"/>
      <c r="H356" s="1035"/>
    </row>
    <row r="357" spans="2:11" ht="25.5" customHeight="1">
      <c r="B357" s="1331" t="s">
        <v>989</v>
      </c>
      <c r="C357" s="1332"/>
      <c r="D357" s="1333"/>
      <c r="E357" s="1334"/>
      <c r="F357" s="1335"/>
      <c r="G357" s="1336"/>
      <c r="H357" s="1337"/>
    </row>
    <row r="358" spans="2:11" s="549" customFormat="1"/>
    <row r="359" spans="2:11" ht="15" customHeight="1">
      <c r="B359" s="1070" t="s">
        <v>869</v>
      </c>
      <c r="C359" s="1071"/>
      <c r="D359" s="1071"/>
      <c r="E359" s="1071"/>
      <c r="F359" s="1071"/>
      <c r="G359" s="1071"/>
      <c r="H359" s="1072"/>
      <c r="I359" s="161"/>
      <c r="J359" s="161"/>
    </row>
    <row r="360" spans="2:11">
      <c r="I360" s="161"/>
      <c r="J360" s="161"/>
    </row>
    <row r="361" spans="2:11" ht="15.75" customHeight="1">
      <c r="B361" s="1069" t="s">
        <v>1904</v>
      </c>
      <c r="C361" s="1069"/>
      <c r="D361" s="1069"/>
      <c r="E361" s="1069"/>
      <c r="F361" s="1069"/>
      <c r="G361" s="1069"/>
      <c r="H361" s="1069"/>
      <c r="I361" s="161"/>
      <c r="J361" s="161"/>
    </row>
    <row r="362" spans="2:11">
      <c r="B362" s="1067" t="s">
        <v>809</v>
      </c>
      <c r="C362" s="1068"/>
      <c r="D362" s="1068"/>
      <c r="E362" s="855" t="str">
        <f>'Indicateurs Financiers'!C$6</f>
        <v>Montant N-1</v>
      </c>
      <c r="F362" s="856" t="e">
        <f>IF(SOMMAIRE!#REF!="Mensuelle","M-1","N-1")</f>
        <v>#REF!</v>
      </c>
      <c r="G362" s="855" t="str">
        <f>'Indicateurs Financiers'!D$6</f>
        <v>Montant N</v>
      </c>
      <c r="H362" s="856" t="e">
        <f>IF(SOMMAIRE!#REF!="Mensuelle","M-1","N-1")</f>
        <v>#REF!</v>
      </c>
      <c r="I362" s="161"/>
      <c r="J362" s="161"/>
    </row>
    <row r="363" spans="2:11">
      <c r="B363" s="1240" t="s">
        <v>990</v>
      </c>
      <c r="C363" s="1108"/>
      <c r="D363" s="1109"/>
      <c r="E363" s="1338">
        <v>1</v>
      </c>
      <c r="F363" s="1339"/>
      <c r="G363" s="1340">
        <v>1</v>
      </c>
      <c r="H363" s="1341"/>
      <c r="I363" s="161"/>
      <c r="J363" s="161"/>
    </row>
    <row r="364" spans="2:11">
      <c r="B364" s="890" t="s">
        <v>991</v>
      </c>
      <c r="C364" s="1081"/>
      <c r="D364" s="843"/>
      <c r="E364" s="1342">
        <v>4</v>
      </c>
      <c r="F364" s="1343"/>
      <c r="G364" s="1344">
        <v>4</v>
      </c>
      <c r="H364" s="1345"/>
      <c r="I364" s="161"/>
      <c r="J364" s="161"/>
    </row>
    <row r="365" spans="2:11">
      <c r="B365" s="890" t="s">
        <v>992</v>
      </c>
      <c r="C365" s="1081"/>
      <c r="D365" s="843"/>
      <c r="E365" s="1342">
        <v>4</v>
      </c>
      <c r="F365" s="1343"/>
      <c r="G365" s="1344">
        <v>4</v>
      </c>
      <c r="H365" s="1345"/>
      <c r="I365" s="161"/>
      <c r="J365" s="161"/>
    </row>
    <row r="366" spans="2:11">
      <c r="B366" s="890" t="s">
        <v>993</v>
      </c>
      <c r="C366" s="1081"/>
      <c r="D366" s="843"/>
      <c r="E366" s="1346">
        <v>12</v>
      </c>
      <c r="F366" s="1347"/>
      <c r="G366" s="1344">
        <v>12</v>
      </c>
      <c r="H366" s="1345"/>
      <c r="I366" s="161"/>
      <c r="J366" s="161"/>
    </row>
    <row r="367" spans="2:11">
      <c r="B367" s="1331" t="s">
        <v>994</v>
      </c>
      <c r="C367" s="1332"/>
      <c r="D367" s="1333"/>
      <c r="E367" s="1348"/>
      <c r="F367" s="1349"/>
      <c r="G367" s="1350"/>
      <c r="H367" s="1351"/>
      <c r="I367" s="161"/>
      <c r="J367" s="161"/>
    </row>
    <row r="368" spans="2:11" s="549" customFormat="1"/>
    <row r="369" spans="2:10" s="549" customFormat="1" ht="15.75" customHeight="1">
      <c r="B369" s="1069" t="s">
        <v>1938</v>
      </c>
      <c r="C369" s="1069"/>
      <c r="D369" s="1069"/>
      <c r="E369" s="1069"/>
      <c r="F369" s="1069"/>
      <c r="G369" s="1069"/>
      <c r="H369" s="1069"/>
    </row>
    <row r="370" spans="2:10" s="549" customFormat="1">
      <c r="B370" s="1067" t="s">
        <v>809</v>
      </c>
      <c r="C370" s="1068"/>
      <c r="D370" s="1068"/>
      <c r="E370" s="855" t="str">
        <f>'Indicateurs Financiers'!C$6</f>
        <v>Montant N-1</v>
      </c>
      <c r="F370" s="856" t="e">
        <f>IF(SOMMAIRE!#REF!="Mensuelle","M-1","N-1")</f>
        <v>#REF!</v>
      </c>
      <c r="G370" s="855" t="str">
        <f>'Indicateurs Financiers'!D$6</f>
        <v>Montant N</v>
      </c>
      <c r="H370" s="856" t="e">
        <f>IF(SOMMAIRE!#REF!="Mensuelle","M-1","N-1")</f>
        <v>#REF!</v>
      </c>
    </row>
    <row r="371" spans="2:10" s="549" customFormat="1">
      <c r="B371" s="1240" t="s">
        <v>1897</v>
      </c>
      <c r="C371" s="1108"/>
      <c r="D371" s="1109"/>
      <c r="E371" s="1042"/>
      <c r="F371" s="1043"/>
      <c r="G371" s="1073"/>
      <c r="H371" s="1074"/>
    </row>
    <row r="372" spans="2:10" s="549" customFormat="1" ht="22.5" customHeight="1">
      <c r="B372" s="577"/>
      <c r="C372" s="1081" t="s">
        <v>1898</v>
      </c>
      <c r="D372" s="843"/>
      <c r="E372" s="1042"/>
      <c r="F372" s="1043"/>
      <c r="G372" s="560"/>
      <c r="H372" s="561"/>
    </row>
    <row r="373" spans="2:10" s="549" customFormat="1" ht="23.25" customHeight="1">
      <c r="B373" s="890" t="s">
        <v>1899</v>
      </c>
      <c r="C373" s="1081"/>
      <c r="D373" s="843"/>
      <c r="E373" s="1042"/>
      <c r="F373" s="1043"/>
      <c r="G373" s="1034"/>
      <c r="H373" s="1035"/>
    </row>
    <row r="374" spans="2:10" s="549" customFormat="1" ht="15" customHeight="1">
      <c r="B374" s="890" t="s">
        <v>1900</v>
      </c>
      <c r="C374" s="1081"/>
      <c r="D374" s="843"/>
      <c r="E374" s="1056">
        <f>E365</f>
        <v>4</v>
      </c>
      <c r="F374" s="1057"/>
      <c r="G374" s="1058">
        <f>G365</f>
        <v>4</v>
      </c>
      <c r="H374" s="1059"/>
    </row>
    <row r="375" spans="2:10" s="549" customFormat="1" ht="25.5" customHeight="1">
      <c r="B375" s="1331" t="s">
        <v>1901</v>
      </c>
      <c r="C375" s="1332"/>
      <c r="D375" s="1333"/>
      <c r="E375" s="1334"/>
      <c r="F375" s="1335"/>
      <c r="G375" s="1336"/>
      <c r="H375" s="1337"/>
    </row>
    <row r="376" spans="2:10">
      <c r="I376" s="161"/>
      <c r="J376" s="161"/>
    </row>
    <row r="377" spans="2:10" ht="15" customHeight="1">
      <c r="B377" s="1070" t="s">
        <v>875</v>
      </c>
      <c r="C377" s="1071"/>
      <c r="D377" s="1071"/>
      <c r="E377" s="1071"/>
      <c r="F377" s="1071"/>
      <c r="G377" s="1071"/>
      <c r="H377" s="1072"/>
      <c r="I377" s="161"/>
      <c r="J377" s="161"/>
    </row>
    <row r="378" spans="2:10">
      <c r="I378" s="161"/>
      <c r="J378" s="161"/>
    </row>
    <row r="379" spans="2:10" ht="15.75" customHeight="1">
      <c r="B379" s="1069" t="s">
        <v>876</v>
      </c>
      <c r="C379" s="1069"/>
      <c r="D379" s="1069"/>
      <c r="E379" s="1069"/>
      <c r="F379" s="1069"/>
      <c r="G379" s="1069"/>
      <c r="H379" s="1069"/>
      <c r="I379" s="161"/>
      <c r="J379" s="161"/>
    </row>
    <row r="380" spans="2:10">
      <c r="B380" s="1067" t="s">
        <v>809</v>
      </c>
      <c r="C380" s="1068"/>
      <c r="D380" s="1068"/>
      <c r="E380" s="855" t="str">
        <f>'Indicateurs Financiers'!C$6</f>
        <v>Montant N-1</v>
      </c>
      <c r="F380" s="856" t="e">
        <f>IF(SOMMAIRE!#REF!="Mensuelle","M-1","N-1")</f>
        <v>#REF!</v>
      </c>
      <c r="G380" s="855" t="str">
        <f>'Indicateurs Financiers'!D$6</f>
        <v>Montant N</v>
      </c>
      <c r="H380" s="856" t="e">
        <f>IF(SOMMAIRE!#REF!="Mensuelle","M-1","N-1")</f>
        <v>#REF!</v>
      </c>
      <c r="I380" s="161"/>
      <c r="J380" s="161"/>
    </row>
    <row r="381" spans="2:10">
      <c r="B381" s="1240" t="s">
        <v>995</v>
      </c>
      <c r="C381" s="1108"/>
      <c r="D381" s="1109"/>
      <c r="E381" s="1346">
        <v>656854</v>
      </c>
      <c r="F381" s="1347"/>
      <c r="G381" s="1344">
        <v>419213</v>
      </c>
      <c r="H381" s="1345"/>
    </row>
    <row r="382" spans="2:10">
      <c r="B382" s="890" t="s">
        <v>996</v>
      </c>
      <c r="C382" s="1081"/>
      <c r="D382" s="843"/>
      <c r="E382" s="1346">
        <v>655809</v>
      </c>
      <c r="F382" s="1347"/>
      <c r="G382" s="1344">
        <v>664839</v>
      </c>
      <c r="H382" s="1345"/>
    </row>
    <row r="383" spans="2:10">
      <c r="B383" s="890" t="s">
        <v>997</v>
      </c>
      <c r="C383" s="1081"/>
      <c r="D383" s="843"/>
      <c r="E383" s="1346">
        <v>333057</v>
      </c>
      <c r="F383" s="1347"/>
      <c r="G383" s="1344">
        <v>36543</v>
      </c>
      <c r="H383" s="1345"/>
    </row>
    <row r="384" spans="2:10">
      <c r="B384" s="1331" t="s">
        <v>998</v>
      </c>
      <c r="C384" s="1332"/>
      <c r="D384" s="1333"/>
      <c r="E384" s="1197">
        <v>0.50790000000000002</v>
      </c>
      <c r="F384" s="1198"/>
      <c r="G384" s="1199">
        <f>+G383/G381</f>
        <v>8.7170483739769516E-2</v>
      </c>
      <c r="H384" s="1200"/>
    </row>
  </sheetData>
  <sheetProtection password="D15A" sheet="1" objects="1" scenarios="1" selectLockedCells="1"/>
  <mergeCells count="908">
    <mergeCell ref="B380:D380"/>
    <mergeCell ref="E380:F380"/>
    <mergeCell ref="G380:H380"/>
    <mergeCell ref="B366:D366"/>
    <mergeCell ref="E366:F366"/>
    <mergeCell ref="G366:H366"/>
    <mergeCell ref="B367:D367"/>
    <mergeCell ref="E367:F367"/>
    <mergeCell ref="G367:H367"/>
    <mergeCell ref="B375:D375"/>
    <mergeCell ref="E375:F375"/>
    <mergeCell ref="G375:H375"/>
    <mergeCell ref="B371:D371"/>
    <mergeCell ref="E371:F371"/>
    <mergeCell ref="G371:H371"/>
    <mergeCell ref="C372:D372"/>
    <mergeCell ref="E372:F372"/>
    <mergeCell ref="B373:D373"/>
    <mergeCell ref="E373:F373"/>
    <mergeCell ref="G373:H373"/>
    <mergeCell ref="B374:D374"/>
    <mergeCell ref="E374:F374"/>
    <mergeCell ref="G374:H374"/>
    <mergeCell ref="B377:H377"/>
    <mergeCell ref="B384:D384"/>
    <mergeCell ref="E384:F384"/>
    <mergeCell ref="G384:H384"/>
    <mergeCell ref="B383:D383"/>
    <mergeCell ref="E383:F383"/>
    <mergeCell ref="G383:H383"/>
    <mergeCell ref="B381:D381"/>
    <mergeCell ref="E381:F381"/>
    <mergeCell ref="G381:H381"/>
    <mergeCell ref="B382:D382"/>
    <mergeCell ref="E382:F382"/>
    <mergeCell ref="G382:H382"/>
    <mergeCell ref="B363:D363"/>
    <mergeCell ref="E363:F363"/>
    <mergeCell ref="G363:H363"/>
    <mergeCell ref="B365:D365"/>
    <mergeCell ref="E365:F365"/>
    <mergeCell ref="G365:H365"/>
    <mergeCell ref="B364:D364"/>
    <mergeCell ref="E364:F364"/>
    <mergeCell ref="G364:H364"/>
    <mergeCell ref="B362:D362"/>
    <mergeCell ref="E362:F362"/>
    <mergeCell ref="G362:H362"/>
    <mergeCell ref="B357:D357"/>
    <mergeCell ref="E357:F357"/>
    <mergeCell ref="G357:H357"/>
    <mergeCell ref="B356:D356"/>
    <mergeCell ref="E356:F356"/>
    <mergeCell ref="G356:H356"/>
    <mergeCell ref="B354:D354"/>
    <mergeCell ref="E354:F354"/>
    <mergeCell ref="G354:H354"/>
    <mergeCell ref="B355:D355"/>
    <mergeCell ref="E355:F355"/>
    <mergeCell ref="G355:H355"/>
    <mergeCell ref="B353:D353"/>
    <mergeCell ref="E353:F353"/>
    <mergeCell ref="G353:H353"/>
    <mergeCell ref="B348:D348"/>
    <mergeCell ref="E348:F348"/>
    <mergeCell ref="G348:H348"/>
    <mergeCell ref="B346:D346"/>
    <mergeCell ref="E346:F346"/>
    <mergeCell ref="G346:H346"/>
    <mergeCell ref="B347:D347"/>
    <mergeCell ref="E347:F347"/>
    <mergeCell ref="G347:H347"/>
    <mergeCell ref="B344:D344"/>
    <mergeCell ref="E344:F344"/>
    <mergeCell ref="G344:H344"/>
    <mergeCell ref="B345:D345"/>
    <mergeCell ref="E345:F345"/>
    <mergeCell ref="G345:H345"/>
    <mergeCell ref="B342:D342"/>
    <mergeCell ref="E342:F342"/>
    <mergeCell ref="G342:H342"/>
    <mergeCell ref="B343:D343"/>
    <mergeCell ref="E343:F343"/>
    <mergeCell ref="G343:H343"/>
    <mergeCell ref="B341:D341"/>
    <mergeCell ref="E341:F341"/>
    <mergeCell ref="G341:H341"/>
    <mergeCell ref="E336:F336"/>
    <mergeCell ref="G336:H336"/>
    <mergeCell ref="B335:D335"/>
    <mergeCell ref="E335:F335"/>
    <mergeCell ref="G335:H335"/>
    <mergeCell ref="B336:D336"/>
    <mergeCell ref="B338:H338"/>
    <mergeCell ref="B340:H340"/>
    <mergeCell ref="B333:D333"/>
    <mergeCell ref="E333:F333"/>
    <mergeCell ref="G333:H333"/>
    <mergeCell ref="B334:D334"/>
    <mergeCell ref="E334:F334"/>
    <mergeCell ref="G334:H334"/>
    <mergeCell ref="B331:D331"/>
    <mergeCell ref="E331:F331"/>
    <mergeCell ref="G331:H331"/>
    <mergeCell ref="B332:D332"/>
    <mergeCell ref="E332:F332"/>
    <mergeCell ref="G332:H332"/>
    <mergeCell ref="B329:D329"/>
    <mergeCell ref="E329:F329"/>
    <mergeCell ref="G329:H329"/>
    <mergeCell ref="B330:D330"/>
    <mergeCell ref="E330:F330"/>
    <mergeCell ref="G330:H330"/>
    <mergeCell ref="B327:D327"/>
    <mergeCell ref="E327:F327"/>
    <mergeCell ref="G327:H327"/>
    <mergeCell ref="B328:D328"/>
    <mergeCell ref="E328:F328"/>
    <mergeCell ref="G328:H328"/>
    <mergeCell ref="B306:D306"/>
    <mergeCell ref="B326:D326"/>
    <mergeCell ref="E326:F326"/>
    <mergeCell ref="G326:H326"/>
    <mergeCell ref="B323:D323"/>
    <mergeCell ref="E318:G318"/>
    <mergeCell ref="H318:J318"/>
    <mergeCell ref="E319:G319"/>
    <mergeCell ref="E320:G320"/>
    <mergeCell ref="E321:G321"/>
    <mergeCell ref="E322:G322"/>
    <mergeCell ref="E323:G323"/>
    <mergeCell ref="H319:J319"/>
    <mergeCell ref="H320:J320"/>
    <mergeCell ref="H321:J321"/>
    <mergeCell ref="H322:J322"/>
    <mergeCell ref="H323:J323"/>
    <mergeCell ref="B321:D321"/>
    <mergeCell ref="B322:D322"/>
    <mergeCell ref="B319:D319"/>
    <mergeCell ref="B320:D320"/>
    <mergeCell ref="B318:D318"/>
    <mergeCell ref="B325:H325"/>
    <mergeCell ref="G314:H314"/>
    <mergeCell ref="B311:D311"/>
    <mergeCell ref="E311:F311"/>
    <mergeCell ref="G311:H311"/>
    <mergeCell ref="B312:D312"/>
    <mergeCell ref="E312:F312"/>
    <mergeCell ref="G312:H312"/>
    <mergeCell ref="B309:D309"/>
    <mergeCell ref="E309:F309"/>
    <mergeCell ref="G309:H309"/>
    <mergeCell ref="B310:D310"/>
    <mergeCell ref="E310:F310"/>
    <mergeCell ref="G310:H310"/>
    <mergeCell ref="C290:D290"/>
    <mergeCell ref="C291:D291"/>
    <mergeCell ref="C296:D296"/>
    <mergeCell ref="E292:F292"/>
    <mergeCell ref="G292:H292"/>
    <mergeCell ref="I292:J292"/>
    <mergeCell ref="E293:F293"/>
    <mergeCell ref="G293:H293"/>
    <mergeCell ref="I293:J293"/>
    <mergeCell ref="E294:F294"/>
    <mergeCell ref="G294:H294"/>
    <mergeCell ref="I294:J294"/>
    <mergeCell ref="C295:D295"/>
    <mergeCell ref="E295:F295"/>
    <mergeCell ref="G295:H295"/>
    <mergeCell ref="I295:J295"/>
    <mergeCell ref="E290:F290"/>
    <mergeCell ref="G290:H290"/>
    <mergeCell ref="I290:J290"/>
    <mergeCell ref="B282:D282"/>
    <mergeCell ref="E282:F282"/>
    <mergeCell ref="G282:H282"/>
    <mergeCell ref="B283:D283"/>
    <mergeCell ref="E283:F283"/>
    <mergeCell ref="G283:H283"/>
    <mergeCell ref="B271:D271"/>
    <mergeCell ref="E271:F271"/>
    <mergeCell ref="G271:H271"/>
    <mergeCell ref="B272:D272"/>
    <mergeCell ref="B273:D273"/>
    <mergeCell ref="E273:F273"/>
    <mergeCell ref="G273:H273"/>
    <mergeCell ref="B279:D279"/>
    <mergeCell ref="E279:F279"/>
    <mergeCell ref="G279:H279"/>
    <mergeCell ref="B278:D278"/>
    <mergeCell ref="E278:F278"/>
    <mergeCell ref="G278:H278"/>
    <mergeCell ref="B277:D277"/>
    <mergeCell ref="E277:F277"/>
    <mergeCell ref="G277:H277"/>
    <mergeCell ref="B267:D267"/>
    <mergeCell ref="E267:F267"/>
    <mergeCell ref="G267:H267"/>
    <mergeCell ref="E287:F287"/>
    <mergeCell ref="G287:H287"/>
    <mergeCell ref="B284:D284"/>
    <mergeCell ref="B285:D285"/>
    <mergeCell ref="E285:F285"/>
    <mergeCell ref="G285:H285"/>
    <mergeCell ref="E284:F284"/>
    <mergeCell ref="B270:D270"/>
    <mergeCell ref="E270:F270"/>
    <mergeCell ref="G270:H270"/>
    <mergeCell ref="E272:F272"/>
    <mergeCell ref="G272:H272"/>
    <mergeCell ref="B275:D275"/>
    <mergeCell ref="B276:D276"/>
    <mergeCell ref="E274:F274"/>
    <mergeCell ref="E275:F275"/>
    <mergeCell ref="G274:H274"/>
    <mergeCell ref="G275:H275"/>
    <mergeCell ref="G276:H276"/>
    <mergeCell ref="B274:D274"/>
    <mergeCell ref="E276:F276"/>
    <mergeCell ref="B229:D229"/>
    <mergeCell ref="E229:F229"/>
    <mergeCell ref="G229:H229"/>
    <mergeCell ref="B266:D266"/>
    <mergeCell ref="E266:F266"/>
    <mergeCell ref="G266:H266"/>
    <mergeCell ref="B247:H247"/>
    <mergeCell ref="B248:D248"/>
    <mergeCell ref="B226:D226"/>
    <mergeCell ref="E226:F226"/>
    <mergeCell ref="G226:H226"/>
    <mergeCell ref="B228:D228"/>
    <mergeCell ref="E228:F228"/>
    <mergeCell ref="G228:H228"/>
    <mergeCell ref="B231:H231"/>
    <mergeCell ref="B232:D232"/>
    <mergeCell ref="E232:F232"/>
    <mergeCell ref="G232:H232"/>
    <mergeCell ref="B233:D233"/>
    <mergeCell ref="G236:H236"/>
    <mergeCell ref="B237:D237"/>
    <mergeCell ref="E237:F237"/>
    <mergeCell ref="G237:H237"/>
    <mergeCell ref="B239:H239"/>
    <mergeCell ref="G221:H221"/>
    <mergeCell ref="B222:D222"/>
    <mergeCell ref="E222:F222"/>
    <mergeCell ref="G222:H222"/>
    <mergeCell ref="E225:F225"/>
    <mergeCell ref="G225:H225"/>
    <mergeCell ref="G227:H227"/>
    <mergeCell ref="E227:F227"/>
    <mergeCell ref="B227:D227"/>
    <mergeCell ref="B223:D223"/>
    <mergeCell ref="E223:F223"/>
    <mergeCell ref="G223:H223"/>
    <mergeCell ref="B224:D224"/>
    <mergeCell ref="E224:F224"/>
    <mergeCell ref="G224:H224"/>
    <mergeCell ref="B225:D225"/>
    <mergeCell ref="B219:D219"/>
    <mergeCell ref="E219:F219"/>
    <mergeCell ref="G219:H219"/>
    <mergeCell ref="C206:D206"/>
    <mergeCell ref="E206:F206"/>
    <mergeCell ref="G206:H206"/>
    <mergeCell ref="C207:D207"/>
    <mergeCell ref="E207:F207"/>
    <mergeCell ref="G207:H207"/>
    <mergeCell ref="C212:D212"/>
    <mergeCell ref="E212:F212"/>
    <mergeCell ref="G212:H212"/>
    <mergeCell ref="C213:D213"/>
    <mergeCell ref="E213:F213"/>
    <mergeCell ref="G213:H213"/>
    <mergeCell ref="C214:D214"/>
    <mergeCell ref="C215:D215"/>
    <mergeCell ref="C216:D216"/>
    <mergeCell ref="E216:F216"/>
    <mergeCell ref="G216:H216"/>
    <mergeCell ref="E214:F214"/>
    <mergeCell ref="G214:H214"/>
    <mergeCell ref="E215:F215"/>
    <mergeCell ref="G215:H215"/>
    <mergeCell ref="B220:D220"/>
    <mergeCell ref="E220:F220"/>
    <mergeCell ref="G220:H220"/>
    <mergeCell ref="B221:D221"/>
    <mergeCell ref="E221:F221"/>
    <mergeCell ref="B168:D168"/>
    <mergeCell ref="E168:F168"/>
    <mergeCell ref="G168:H168"/>
    <mergeCell ref="B169:D169"/>
    <mergeCell ref="E169:F169"/>
    <mergeCell ref="G169:H169"/>
    <mergeCell ref="G170:H170"/>
    <mergeCell ref="G171:H171"/>
    <mergeCell ref="G172:H172"/>
    <mergeCell ref="C170:D170"/>
    <mergeCell ref="C171:D171"/>
    <mergeCell ref="C172:D172"/>
    <mergeCell ref="G182:H182"/>
    <mergeCell ref="E170:F170"/>
    <mergeCell ref="E171:F171"/>
    <mergeCell ref="E172:F172"/>
    <mergeCell ref="E181:F181"/>
    <mergeCell ref="E182:F182"/>
    <mergeCell ref="C182:D182"/>
    <mergeCell ref="B146:D146"/>
    <mergeCell ref="E146:F146"/>
    <mergeCell ref="G146:H146"/>
    <mergeCell ref="B149:D149"/>
    <mergeCell ref="C159:J159"/>
    <mergeCell ref="B165:D165"/>
    <mergeCell ref="E160:G160"/>
    <mergeCell ref="E161:G161"/>
    <mergeCell ref="E162:G162"/>
    <mergeCell ref="E163:G163"/>
    <mergeCell ref="E164:G164"/>
    <mergeCell ref="E165:G165"/>
    <mergeCell ref="H161:J161"/>
    <mergeCell ref="H160:J160"/>
    <mergeCell ref="B163:D163"/>
    <mergeCell ref="B164:D164"/>
    <mergeCell ref="B161:D161"/>
    <mergeCell ref="B162:D162"/>
    <mergeCell ref="B160:D160"/>
    <mergeCell ref="E149:F149"/>
    <mergeCell ref="H162:J162"/>
    <mergeCell ref="H163:J163"/>
    <mergeCell ref="H164:J164"/>
    <mergeCell ref="H165:J165"/>
    <mergeCell ref="B143:D143"/>
    <mergeCell ref="E143:F143"/>
    <mergeCell ref="G143:H143"/>
    <mergeCell ref="B144:D144"/>
    <mergeCell ref="E144:F144"/>
    <mergeCell ref="G144:H144"/>
    <mergeCell ref="B145:D145"/>
    <mergeCell ref="E145:F145"/>
    <mergeCell ref="G145:H145"/>
    <mergeCell ref="B141:D141"/>
    <mergeCell ref="E141:F141"/>
    <mergeCell ref="G141:H141"/>
    <mergeCell ref="B142:D142"/>
    <mergeCell ref="E142:F142"/>
    <mergeCell ref="G142:H142"/>
    <mergeCell ref="B138:D138"/>
    <mergeCell ref="E138:F138"/>
    <mergeCell ref="G138:H138"/>
    <mergeCell ref="B140:H140"/>
    <mergeCell ref="B137:D137"/>
    <mergeCell ref="E137:F137"/>
    <mergeCell ref="G137:H137"/>
    <mergeCell ref="B136:D136"/>
    <mergeCell ref="E136:F136"/>
    <mergeCell ref="G136:H136"/>
    <mergeCell ref="B134:D134"/>
    <mergeCell ref="E134:F134"/>
    <mergeCell ref="G134:H134"/>
    <mergeCell ref="B135:D135"/>
    <mergeCell ref="E135:F135"/>
    <mergeCell ref="G135:H135"/>
    <mergeCell ref="E123:F123"/>
    <mergeCell ref="E52:F52"/>
    <mergeCell ref="G52:H52"/>
    <mergeCell ref="B59:D59"/>
    <mergeCell ref="E59:F59"/>
    <mergeCell ref="E102:F102"/>
    <mergeCell ref="G102:H102"/>
    <mergeCell ref="G126:H126"/>
    <mergeCell ref="B68:D68"/>
    <mergeCell ref="E68:F68"/>
    <mergeCell ref="B71:D71"/>
    <mergeCell ref="E71:F71"/>
    <mergeCell ref="B57:D57"/>
    <mergeCell ref="G57:H57"/>
    <mergeCell ref="B52:D52"/>
    <mergeCell ref="E57:F57"/>
    <mergeCell ref="B72:D72"/>
    <mergeCell ref="E72:F72"/>
    <mergeCell ref="E84:F84"/>
    <mergeCell ref="G84:H84"/>
    <mergeCell ref="E75:F75"/>
    <mergeCell ref="G90:H90"/>
    <mergeCell ref="B87:D87"/>
    <mergeCell ref="E87:F87"/>
    <mergeCell ref="B133:D133"/>
    <mergeCell ref="E133:F133"/>
    <mergeCell ref="G133:H133"/>
    <mergeCell ref="B129:D129"/>
    <mergeCell ref="E129:F129"/>
    <mergeCell ref="G129:H129"/>
    <mergeCell ref="B132:H132"/>
    <mergeCell ref="B130:D130"/>
    <mergeCell ref="E130:F130"/>
    <mergeCell ref="G130:H130"/>
    <mergeCell ref="G50:H50"/>
    <mergeCell ref="G44:H44"/>
    <mergeCell ref="G51:H51"/>
    <mergeCell ref="E18:F18"/>
    <mergeCell ref="G18:H18"/>
    <mergeCell ref="E23:F23"/>
    <mergeCell ref="G23:H23"/>
    <mergeCell ref="B20:D20"/>
    <mergeCell ref="E20:F20"/>
    <mergeCell ref="G20:H20"/>
    <mergeCell ref="B21:D21"/>
    <mergeCell ref="E21:F21"/>
    <mergeCell ref="G21:H21"/>
    <mergeCell ref="B50:D50"/>
    <mergeCell ref="B51:D51"/>
    <mergeCell ref="E51:F51"/>
    <mergeCell ref="B40:D40"/>
    <mergeCell ref="E40:F40"/>
    <mergeCell ref="B48:D48"/>
    <mergeCell ref="B49:D49"/>
    <mergeCell ref="B45:D45"/>
    <mergeCell ref="E45:F45"/>
    <mergeCell ref="E50:F50"/>
    <mergeCell ref="G46:H46"/>
    <mergeCell ref="E127:F127"/>
    <mergeCell ref="G127:H127"/>
    <mergeCell ref="B69:D69"/>
    <mergeCell ref="E69:F69"/>
    <mergeCell ref="G69:H69"/>
    <mergeCell ref="B67:D67"/>
    <mergeCell ref="E67:F67"/>
    <mergeCell ref="G67:H67"/>
    <mergeCell ref="G72:H72"/>
    <mergeCell ref="B70:D70"/>
    <mergeCell ref="E70:F70"/>
    <mergeCell ref="G70:H70"/>
    <mergeCell ref="B125:H125"/>
    <mergeCell ref="B123:D123"/>
    <mergeCell ref="B108:H108"/>
    <mergeCell ref="G85:H85"/>
    <mergeCell ref="B86:D86"/>
    <mergeCell ref="E86:F86"/>
    <mergeCell ref="G86:H86"/>
    <mergeCell ref="B102:D102"/>
    <mergeCell ref="G68:H68"/>
    <mergeCell ref="B126:D126"/>
    <mergeCell ref="E126:F126"/>
    <mergeCell ref="B110:D110"/>
    <mergeCell ref="B128:D128"/>
    <mergeCell ref="E128:F128"/>
    <mergeCell ref="G128:H128"/>
    <mergeCell ref="G59:H59"/>
    <mergeCell ref="B61:D61"/>
    <mergeCell ref="E61:F61"/>
    <mergeCell ref="G61:H61"/>
    <mergeCell ref="B88:D88"/>
    <mergeCell ref="E88:F88"/>
    <mergeCell ref="G88:H88"/>
    <mergeCell ref="B85:D85"/>
    <mergeCell ref="E85:F85"/>
    <mergeCell ref="G110:H110"/>
    <mergeCell ref="B111:D111"/>
    <mergeCell ref="E111:F111"/>
    <mergeCell ref="G111:H111"/>
    <mergeCell ref="B109:D109"/>
    <mergeCell ref="E109:F109"/>
    <mergeCell ref="G109:H109"/>
    <mergeCell ref="G114:H114"/>
    <mergeCell ref="B117:D117"/>
    <mergeCell ref="E117:F117"/>
    <mergeCell ref="B127:D127"/>
    <mergeCell ref="G123:H123"/>
    <mergeCell ref="B47:D47"/>
    <mergeCell ref="B46:D46"/>
    <mergeCell ref="E46:F46"/>
    <mergeCell ref="G49:H49"/>
    <mergeCell ref="E47:F47"/>
    <mergeCell ref="E48:F48"/>
    <mergeCell ref="E49:F49"/>
    <mergeCell ref="B44:D44"/>
    <mergeCell ref="E44:F44"/>
    <mergeCell ref="G47:H47"/>
    <mergeCell ref="G48:H48"/>
    <mergeCell ref="B41:D41"/>
    <mergeCell ref="E41:F41"/>
    <mergeCell ref="G41:H41"/>
    <mergeCell ref="B39:D39"/>
    <mergeCell ref="E39:F39"/>
    <mergeCell ref="G39:H39"/>
    <mergeCell ref="B38:D38"/>
    <mergeCell ref="E38:F38"/>
    <mergeCell ref="G45:H45"/>
    <mergeCell ref="G40:H40"/>
    <mergeCell ref="G38:H38"/>
    <mergeCell ref="B2:H2"/>
    <mergeCell ref="B22:D22"/>
    <mergeCell ref="E22:F22"/>
    <mergeCell ref="G22:H22"/>
    <mergeCell ref="G36:H36"/>
    <mergeCell ref="E26:F26"/>
    <mergeCell ref="B28:D28"/>
    <mergeCell ref="E28:F28"/>
    <mergeCell ref="G28:H28"/>
    <mergeCell ref="B24:D24"/>
    <mergeCell ref="B13:D13"/>
    <mergeCell ref="B14:D14"/>
    <mergeCell ref="B15:D15"/>
    <mergeCell ref="E25:F25"/>
    <mergeCell ref="G25:H25"/>
    <mergeCell ref="G26:H26"/>
    <mergeCell ref="G6:H6"/>
    <mergeCell ref="B7:D7"/>
    <mergeCell ref="G9:H9"/>
    <mergeCell ref="G7:H7"/>
    <mergeCell ref="B5:H5"/>
    <mergeCell ref="E24:F24"/>
    <mergeCell ref="G29:H29"/>
    <mergeCell ref="B35:D35"/>
    <mergeCell ref="G19:H19"/>
    <mergeCell ref="E8:F8"/>
    <mergeCell ref="E9:F9"/>
    <mergeCell ref="E10:F10"/>
    <mergeCell ref="E11:F11"/>
    <mergeCell ref="G12:H12"/>
    <mergeCell ref="B12:D12"/>
    <mergeCell ref="B18:D18"/>
    <mergeCell ref="G10:H10"/>
    <mergeCell ref="G8:H8"/>
    <mergeCell ref="G15:H15"/>
    <mergeCell ref="G13:H13"/>
    <mergeCell ref="G11:H11"/>
    <mergeCell ref="E12:F12"/>
    <mergeCell ref="E15:F15"/>
    <mergeCell ref="E13:F13"/>
    <mergeCell ref="E14:F14"/>
    <mergeCell ref="G14:H14"/>
    <mergeCell ref="B6:D6"/>
    <mergeCell ref="B8:D8"/>
    <mergeCell ref="B9:D9"/>
    <mergeCell ref="B10:D10"/>
    <mergeCell ref="B11:D11"/>
    <mergeCell ref="E6:F6"/>
    <mergeCell ref="B23:D23"/>
    <mergeCell ref="E7:F7"/>
    <mergeCell ref="B27:D27"/>
    <mergeCell ref="E27:F27"/>
    <mergeCell ref="B19:D19"/>
    <mergeCell ref="E19:F19"/>
    <mergeCell ref="G87:H87"/>
    <mergeCell ref="B84:D84"/>
    <mergeCell ref="B96:D96"/>
    <mergeCell ref="E96:F96"/>
    <mergeCell ref="G96:H96"/>
    <mergeCell ref="G24:H24"/>
    <mergeCell ref="B118:D118"/>
    <mergeCell ref="E118:F118"/>
    <mergeCell ref="C98:L98"/>
    <mergeCell ref="G118:H118"/>
    <mergeCell ref="I100:J100"/>
    <mergeCell ref="G71:H71"/>
    <mergeCell ref="G27:H27"/>
    <mergeCell ref="B36:D36"/>
    <mergeCell ref="E36:F36"/>
    <mergeCell ref="E35:F35"/>
    <mergeCell ref="G35:H35"/>
    <mergeCell ref="B30:D30"/>
    <mergeCell ref="E30:F30"/>
    <mergeCell ref="G30:H30"/>
    <mergeCell ref="B29:D29"/>
    <mergeCell ref="E29:F29"/>
    <mergeCell ref="K99:L99"/>
    <mergeCell ref="K100:L100"/>
    <mergeCell ref="B119:D119"/>
    <mergeCell ref="E119:F119"/>
    <mergeCell ref="G119:H119"/>
    <mergeCell ref="B114:D114"/>
    <mergeCell ref="E114:F114"/>
    <mergeCell ref="K103:L103"/>
    <mergeCell ref="K104:L104"/>
    <mergeCell ref="B101:D101"/>
    <mergeCell ref="G117:H117"/>
    <mergeCell ref="B112:D112"/>
    <mergeCell ref="E112:F112"/>
    <mergeCell ref="G112:H112"/>
    <mergeCell ref="B113:D113"/>
    <mergeCell ref="E113:F113"/>
    <mergeCell ref="G113:H113"/>
    <mergeCell ref="B116:H116"/>
    <mergeCell ref="I102:J102"/>
    <mergeCell ref="B106:H106"/>
    <mergeCell ref="E110:F110"/>
    <mergeCell ref="K101:L101"/>
    <mergeCell ref="K102:L102"/>
    <mergeCell ref="B103:D103"/>
    <mergeCell ref="E103:F103"/>
    <mergeCell ref="G103:H103"/>
    <mergeCell ref="B122:D122"/>
    <mergeCell ref="E122:F122"/>
    <mergeCell ref="G122:H122"/>
    <mergeCell ref="B120:D120"/>
    <mergeCell ref="E120:F120"/>
    <mergeCell ref="G120:H120"/>
    <mergeCell ref="B121:D121"/>
    <mergeCell ref="E121:F121"/>
    <mergeCell ref="G121:H121"/>
    <mergeCell ref="I103:J103"/>
    <mergeCell ref="B104:D104"/>
    <mergeCell ref="E104:F104"/>
    <mergeCell ref="G104:H104"/>
    <mergeCell ref="I104:J104"/>
    <mergeCell ref="E101:F101"/>
    <mergeCell ref="G101:H101"/>
    <mergeCell ref="I101:J101"/>
    <mergeCell ref="G100:H100"/>
    <mergeCell ref="B100:D100"/>
    <mergeCell ref="E100:F100"/>
    <mergeCell ref="B99:D99"/>
    <mergeCell ref="E99:F99"/>
    <mergeCell ref="G99:H99"/>
    <mergeCell ref="I99:J99"/>
    <mergeCell ref="B3:H3"/>
    <mergeCell ref="B32:H32"/>
    <mergeCell ref="B34:H34"/>
    <mergeCell ref="B43:H43"/>
    <mergeCell ref="B54:H54"/>
    <mergeCell ref="B64:H64"/>
    <mergeCell ref="B83:H83"/>
    <mergeCell ref="B94:H94"/>
    <mergeCell ref="B66:H66"/>
    <mergeCell ref="E95:F95"/>
    <mergeCell ref="G95:H95"/>
    <mergeCell ref="B92:D92"/>
    <mergeCell ref="E92:F92"/>
    <mergeCell ref="G92:H92"/>
    <mergeCell ref="B95:D95"/>
    <mergeCell ref="B91:D91"/>
    <mergeCell ref="E91:F91"/>
    <mergeCell ref="G91:H91"/>
    <mergeCell ref="B89:D89"/>
    <mergeCell ref="E89:F89"/>
    <mergeCell ref="G89:H89"/>
    <mergeCell ref="B90:D90"/>
    <mergeCell ref="E90:F90"/>
    <mergeCell ref="E304:F304"/>
    <mergeCell ref="G304:H304"/>
    <mergeCell ref="B305:D305"/>
    <mergeCell ref="E305:F305"/>
    <mergeCell ref="G305:H305"/>
    <mergeCell ref="B302:D302"/>
    <mergeCell ref="E302:F302"/>
    <mergeCell ref="G302:H302"/>
    <mergeCell ref="B303:D303"/>
    <mergeCell ref="E303:F303"/>
    <mergeCell ref="G303:H303"/>
    <mergeCell ref="E233:F233"/>
    <mergeCell ref="G233:H233"/>
    <mergeCell ref="B234:D234"/>
    <mergeCell ref="E234:F234"/>
    <mergeCell ref="G234:H234"/>
    <mergeCell ref="B235:D235"/>
    <mergeCell ref="E235:F235"/>
    <mergeCell ref="G235:H235"/>
    <mergeCell ref="B236:D236"/>
    <mergeCell ref="E236:F236"/>
    <mergeCell ref="B379:H379"/>
    <mergeCell ref="B281:H281"/>
    <mergeCell ref="B265:H265"/>
    <mergeCell ref="B263:H263"/>
    <mergeCell ref="C317:J317"/>
    <mergeCell ref="I291:J291"/>
    <mergeCell ref="I296:J296"/>
    <mergeCell ref="E268:F268"/>
    <mergeCell ref="G268:H268"/>
    <mergeCell ref="B269:D269"/>
    <mergeCell ref="E269:F269"/>
    <mergeCell ref="G269:H269"/>
    <mergeCell ref="B268:D268"/>
    <mergeCell ref="C289:J289"/>
    <mergeCell ref="G284:H284"/>
    <mergeCell ref="B286:D286"/>
    <mergeCell ref="E286:F286"/>
    <mergeCell ref="G286:H286"/>
    <mergeCell ref="B287:D287"/>
    <mergeCell ref="B298:H298"/>
    <mergeCell ref="B300:H300"/>
    <mergeCell ref="B308:H308"/>
    <mergeCell ref="E291:F291"/>
    <mergeCell ref="B369:H369"/>
    <mergeCell ref="E244:F244"/>
    <mergeCell ref="G244:H244"/>
    <mergeCell ref="B245:D245"/>
    <mergeCell ref="E245:F245"/>
    <mergeCell ref="G245:H245"/>
    <mergeCell ref="B240:D240"/>
    <mergeCell ref="E240:F240"/>
    <mergeCell ref="G240:H240"/>
    <mergeCell ref="B241:D241"/>
    <mergeCell ref="E241:F241"/>
    <mergeCell ref="G241:H241"/>
    <mergeCell ref="B242:D242"/>
    <mergeCell ref="E242:F242"/>
    <mergeCell ref="G242:H242"/>
    <mergeCell ref="B261:D261"/>
    <mergeCell ref="E261:F261"/>
    <mergeCell ref="G261:H261"/>
    <mergeCell ref="B255:H255"/>
    <mergeCell ref="B256:D256"/>
    <mergeCell ref="E256:F256"/>
    <mergeCell ref="G256:H256"/>
    <mergeCell ref="B257:D257"/>
    <mergeCell ref="E257:F257"/>
    <mergeCell ref="G257:H257"/>
    <mergeCell ref="B258:D258"/>
    <mergeCell ref="E258:F258"/>
    <mergeCell ref="G258:H258"/>
    <mergeCell ref="B259:D259"/>
    <mergeCell ref="E259:F259"/>
    <mergeCell ref="G259:H259"/>
    <mergeCell ref="B260:D260"/>
    <mergeCell ref="E260:F260"/>
    <mergeCell ref="B370:D370"/>
    <mergeCell ref="E370:F370"/>
    <mergeCell ref="G370:H370"/>
    <mergeCell ref="B352:H352"/>
    <mergeCell ref="B350:H350"/>
    <mergeCell ref="B359:H359"/>
    <mergeCell ref="B361:H361"/>
    <mergeCell ref="G291:H291"/>
    <mergeCell ref="C292:D292"/>
    <mergeCell ref="C293:D293"/>
    <mergeCell ref="C294:D294"/>
    <mergeCell ref="B301:D301"/>
    <mergeCell ref="E301:F301"/>
    <mergeCell ref="G301:H301"/>
    <mergeCell ref="E296:F296"/>
    <mergeCell ref="G296:H296"/>
    <mergeCell ref="B304:D304"/>
    <mergeCell ref="E306:F306"/>
    <mergeCell ref="G306:H306"/>
    <mergeCell ref="B313:D313"/>
    <mergeCell ref="E313:F313"/>
    <mergeCell ref="G313:H313"/>
    <mergeCell ref="B314:D314"/>
    <mergeCell ref="E314:F314"/>
    <mergeCell ref="E154:F154"/>
    <mergeCell ref="G154:H154"/>
    <mergeCell ref="B252:D252"/>
    <mergeCell ref="E252:F252"/>
    <mergeCell ref="G252:H252"/>
    <mergeCell ref="B253:D253"/>
    <mergeCell ref="E253:F253"/>
    <mergeCell ref="G253:H253"/>
    <mergeCell ref="G260:H260"/>
    <mergeCell ref="E248:F248"/>
    <mergeCell ref="G248:H248"/>
    <mergeCell ref="B249:D249"/>
    <mergeCell ref="E249:F249"/>
    <mergeCell ref="G249:H249"/>
    <mergeCell ref="B250:D250"/>
    <mergeCell ref="E250:F250"/>
    <mergeCell ref="G250:H250"/>
    <mergeCell ref="B251:D251"/>
    <mergeCell ref="E251:F251"/>
    <mergeCell ref="G251:H251"/>
    <mergeCell ref="B243:D243"/>
    <mergeCell ref="E243:F243"/>
    <mergeCell ref="G243:H243"/>
    <mergeCell ref="B244:D244"/>
    <mergeCell ref="B148:H148"/>
    <mergeCell ref="E157:F157"/>
    <mergeCell ref="G157:H157"/>
    <mergeCell ref="G155:H155"/>
    <mergeCell ref="G156:H156"/>
    <mergeCell ref="E155:F155"/>
    <mergeCell ref="E156:F156"/>
    <mergeCell ref="E151:F151"/>
    <mergeCell ref="E152:F152"/>
    <mergeCell ref="E153:F153"/>
    <mergeCell ref="G151:H151"/>
    <mergeCell ref="G152:H152"/>
    <mergeCell ref="G153:H153"/>
    <mergeCell ref="B155:D155"/>
    <mergeCell ref="B156:D156"/>
    <mergeCell ref="B157:D157"/>
    <mergeCell ref="B151:D151"/>
    <mergeCell ref="B152:D152"/>
    <mergeCell ref="B153:D153"/>
    <mergeCell ref="B150:D150"/>
    <mergeCell ref="B154:D154"/>
    <mergeCell ref="G149:H149"/>
    <mergeCell ref="E150:F150"/>
    <mergeCell ref="G150:H150"/>
    <mergeCell ref="G177:H177"/>
    <mergeCell ref="C178:D178"/>
    <mergeCell ref="C179:D179"/>
    <mergeCell ref="C180:D180"/>
    <mergeCell ref="E180:F180"/>
    <mergeCell ref="G180:H180"/>
    <mergeCell ref="B181:D181"/>
    <mergeCell ref="G181:H181"/>
    <mergeCell ref="C183:D183"/>
    <mergeCell ref="E183:F183"/>
    <mergeCell ref="G183:H183"/>
    <mergeCell ref="E178:F178"/>
    <mergeCell ref="G178:H178"/>
    <mergeCell ref="E179:F179"/>
    <mergeCell ref="G179:H179"/>
    <mergeCell ref="C185:D185"/>
    <mergeCell ref="E185:F185"/>
    <mergeCell ref="G185:H185"/>
    <mergeCell ref="C192:D192"/>
    <mergeCell ref="E192:F192"/>
    <mergeCell ref="C186:D186"/>
    <mergeCell ref="E186:F186"/>
    <mergeCell ref="G186:H186"/>
    <mergeCell ref="G192:H192"/>
    <mergeCell ref="C190:D190"/>
    <mergeCell ref="C191:D191"/>
    <mergeCell ref="E190:F190"/>
    <mergeCell ref="B60:D60"/>
    <mergeCell ref="B58:D58"/>
    <mergeCell ref="E58:F58"/>
    <mergeCell ref="G58:H58"/>
    <mergeCell ref="G60:H60"/>
    <mergeCell ref="E60:F60"/>
    <mergeCell ref="B77:D77"/>
    <mergeCell ref="B78:D78"/>
    <mergeCell ref="B79:D79"/>
    <mergeCell ref="G75:H75"/>
    <mergeCell ref="B75:D76"/>
    <mergeCell ref="C195:D195"/>
    <mergeCell ref="E195:F195"/>
    <mergeCell ref="G195:H195"/>
    <mergeCell ref="B193:D193"/>
    <mergeCell ref="E193:F193"/>
    <mergeCell ref="G193:H193"/>
    <mergeCell ref="B37:D37"/>
    <mergeCell ref="C187:D187"/>
    <mergeCell ref="E187:F187"/>
    <mergeCell ref="G187:H187"/>
    <mergeCell ref="C188:D188"/>
    <mergeCell ref="E188:F188"/>
    <mergeCell ref="G188:H188"/>
    <mergeCell ref="C189:D189"/>
    <mergeCell ref="E189:F189"/>
    <mergeCell ref="G189:H189"/>
    <mergeCell ref="C173:D173"/>
    <mergeCell ref="E173:F173"/>
    <mergeCell ref="G173:H173"/>
    <mergeCell ref="C174:D174"/>
    <mergeCell ref="E174:F174"/>
    <mergeCell ref="G174:H174"/>
    <mergeCell ref="C175:D175"/>
    <mergeCell ref="E175:F175"/>
    <mergeCell ref="C200:D200"/>
    <mergeCell ref="E200:F200"/>
    <mergeCell ref="G200:H200"/>
    <mergeCell ref="C201:D201"/>
    <mergeCell ref="E201:F201"/>
    <mergeCell ref="G201:H201"/>
    <mergeCell ref="G175:H175"/>
    <mergeCell ref="C176:D176"/>
    <mergeCell ref="E176:F176"/>
    <mergeCell ref="G176:H176"/>
    <mergeCell ref="C177:D177"/>
    <mergeCell ref="E177:F177"/>
    <mergeCell ref="C196:D196"/>
    <mergeCell ref="E196:F196"/>
    <mergeCell ref="G196:H196"/>
    <mergeCell ref="G190:H190"/>
    <mergeCell ref="E191:F191"/>
    <mergeCell ref="G191:H191"/>
    <mergeCell ref="C184:D184"/>
    <mergeCell ref="E184:F184"/>
    <mergeCell ref="G184:H184"/>
    <mergeCell ref="C194:D194"/>
    <mergeCell ref="E194:F194"/>
    <mergeCell ref="G194:H194"/>
    <mergeCell ref="C197:D197"/>
    <mergeCell ref="E197:F197"/>
    <mergeCell ref="G197:H197"/>
    <mergeCell ref="C198:D198"/>
    <mergeCell ref="E198:F198"/>
    <mergeCell ref="G198:H198"/>
    <mergeCell ref="C199:D199"/>
    <mergeCell ref="E199:F199"/>
    <mergeCell ref="G199:H199"/>
    <mergeCell ref="C211:D211"/>
    <mergeCell ref="E211:F211"/>
    <mergeCell ref="G211:H211"/>
    <mergeCell ref="C202:D202"/>
    <mergeCell ref="C203:D203"/>
    <mergeCell ref="C208:D208"/>
    <mergeCell ref="E208:F208"/>
    <mergeCell ref="G208:H208"/>
    <mergeCell ref="C209:D209"/>
    <mergeCell ref="E209:F209"/>
    <mergeCell ref="G209:H209"/>
    <mergeCell ref="C210:D210"/>
    <mergeCell ref="E210:F210"/>
    <mergeCell ref="G210:H210"/>
    <mergeCell ref="E202:F202"/>
    <mergeCell ref="C204:D204"/>
    <mergeCell ref="E204:F204"/>
    <mergeCell ref="G204:H204"/>
    <mergeCell ref="G202:H202"/>
    <mergeCell ref="E203:F203"/>
    <mergeCell ref="G203:H203"/>
    <mergeCell ref="B205:D205"/>
    <mergeCell ref="E205:F205"/>
    <mergeCell ref="G205:H205"/>
  </mergeCells>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enableFormatConditionsCalculation="0">
    <tabColor theme="6" tint="-0.499984740745262"/>
  </sheetPr>
  <dimension ref="B2:I328"/>
  <sheetViews>
    <sheetView showGridLines="0" workbookViewId="0">
      <pane ySplit="2" topLeftCell="A3" activePane="bottomLeft" state="frozen"/>
      <selection activeCell="E218" sqref="E218:F218"/>
      <selection pane="bottomLeft" activeCell="D233" sqref="D233"/>
    </sheetView>
  </sheetViews>
  <sheetFormatPr baseColWidth="10" defaultColWidth="10.83203125" defaultRowHeight="14" x14ac:dyDescent="0"/>
  <cols>
    <col min="1" max="1" width="10.83203125" style="4"/>
    <col min="2" max="2" width="12.1640625" style="4" customWidth="1"/>
    <col min="3" max="3" width="53.1640625" style="4" customWidth="1"/>
    <col min="4" max="4" width="27" style="4" customWidth="1"/>
    <col min="5" max="5" width="14" style="4" customWidth="1"/>
    <col min="6" max="7" width="13.5" style="4" customWidth="1"/>
    <col min="8" max="8" width="14" style="4" customWidth="1"/>
    <col min="9" max="9" width="15.33203125" style="4" customWidth="1"/>
    <col min="10" max="10" width="10.83203125" style="4"/>
    <col min="11" max="11" width="31" style="4" customWidth="1"/>
    <col min="12" max="16384" width="10.83203125" style="4"/>
  </cols>
  <sheetData>
    <row r="2" spans="2:8" ht="18">
      <c r="B2" s="919" t="s">
        <v>1905</v>
      </c>
      <c r="C2" s="919"/>
      <c r="D2" s="919"/>
      <c r="E2" s="919"/>
      <c r="F2" s="919"/>
      <c r="G2" s="919"/>
      <c r="H2" s="919"/>
    </row>
    <row r="3" spans="2:8">
      <c r="B3" s="27"/>
      <c r="C3" s="24"/>
      <c r="D3" s="128"/>
      <c r="E3" s="128"/>
    </row>
    <row r="4" spans="2:8" ht="15">
      <c r="B4" s="131"/>
      <c r="C4" s="862" t="s">
        <v>1907</v>
      </c>
      <c r="D4" s="862"/>
      <c r="E4" s="862"/>
      <c r="F4" s="862"/>
      <c r="G4" s="862"/>
      <c r="H4" s="862"/>
    </row>
    <row r="5" spans="2:8" ht="23.25" customHeight="1">
      <c r="B5" s="156" t="s">
        <v>1892</v>
      </c>
      <c r="C5" s="49" t="s">
        <v>1975</v>
      </c>
      <c r="D5" s="568" t="s">
        <v>1893</v>
      </c>
      <c r="E5" s="551" t="s">
        <v>1894</v>
      </c>
      <c r="F5" s="551" t="s">
        <v>1895</v>
      </c>
      <c r="G5" s="551" t="s">
        <v>1896</v>
      </c>
      <c r="H5" s="100" t="s">
        <v>521</v>
      </c>
    </row>
    <row r="6" spans="2:8">
      <c r="B6" s="640" t="str">
        <f>IF(OR('Annexes 4'!B127=0,'Annexes 4'!B127=""),"",'Annexes 4'!B127)</f>
        <v/>
      </c>
      <c r="C6" s="641" t="str">
        <f>IF(OR('Annexes 4'!C127=0,'Annexes 4'!C127=""),"",'Annexes 4'!C127)</f>
        <v>FATOU  DIEYE</v>
      </c>
      <c r="D6" s="642" t="str">
        <f>IF(OR('Annexes 4'!D127=0,'Annexes 4'!D127=""),"",'Annexes 4'!D127)</f>
        <v/>
      </c>
      <c r="E6" s="643">
        <f>IF(OR('Annexes 4'!E127=0,'Annexes 4'!E127=""),"",'Annexes 4'!E127)</f>
        <v>38095889</v>
      </c>
      <c r="F6" s="644" t="str">
        <f>IF(OR('Annexes 4'!F127=0,'Annexes 4'!F127=""),"",'Annexes 4'!F127)</f>
        <v/>
      </c>
      <c r="G6" s="644" t="str">
        <f>IF(OR('Annexes 4'!G127=0,'Annexes 4'!G127=""),"",'Annexes 4'!G127)</f>
        <v/>
      </c>
      <c r="H6" s="645" t="str">
        <f>IF(OR('Annexes 4'!H127=0,'Annexes 4'!H127=""),"",'Annexes 4'!H127)</f>
        <v/>
      </c>
    </row>
    <row r="7" spans="2:8">
      <c r="B7" s="646" t="str">
        <f>IF(OR('Annexes 4'!B128=0,'Annexes 4'!B128=""),"",'Annexes 4'!B128)</f>
        <v/>
      </c>
      <c r="C7" s="647" t="str">
        <f>IF(OR('Annexes 4'!C128=0,'Annexes 4'!C128=""),"",'Annexes 4'!C128)</f>
        <v>SIDY  DIEYE</v>
      </c>
      <c r="D7" s="648" t="str">
        <f>IF(OR('Annexes 4'!D128=0,'Annexes 4'!D128=""),"",'Annexes 4'!D128)</f>
        <v/>
      </c>
      <c r="E7" s="649">
        <f>IF(OR('Annexes 4'!E128=0,'Annexes 4'!E128=""),"",'Annexes 4'!E128)</f>
        <v>30086282</v>
      </c>
      <c r="F7" s="650" t="str">
        <f>IF(OR('Annexes 4'!F128=0,'Annexes 4'!F128=""),"",'Annexes 4'!F128)</f>
        <v/>
      </c>
      <c r="G7" s="650" t="str">
        <f>IF(OR('Annexes 4'!G128=0,'Annexes 4'!G128=""),"",'Annexes 4'!G128)</f>
        <v/>
      </c>
      <c r="H7" s="650" t="str">
        <f>IF(OR('Annexes 4'!H128=0,'Annexes 4'!H128=""),"",'Annexes 4'!H128)</f>
        <v/>
      </c>
    </row>
    <row r="8" spans="2:8">
      <c r="B8" s="646" t="str">
        <f>IF(OR('Annexes 4'!B129=0,'Annexes 4'!B129=""),"",'Annexes 4'!B129)</f>
        <v/>
      </c>
      <c r="C8" s="647" t="str">
        <f>IF(OR('Annexes 4'!C129=0,'Annexes 4'!C129=""),"",'Annexes 4'!C129)</f>
        <v>SALIMATA  MBAYE</v>
      </c>
      <c r="D8" s="648" t="str">
        <f>IF(OR('Annexes 4'!D129=0,'Annexes 4'!D129=""),"",'Annexes 4'!D129)</f>
        <v/>
      </c>
      <c r="E8" s="649">
        <f>IF(OR('Annexes 4'!E129=0,'Annexes 4'!E129=""),"",'Annexes 4'!E129)</f>
        <v>28032188</v>
      </c>
      <c r="F8" s="650" t="str">
        <f>IF(OR('Annexes 4'!F129=0,'Annexes 4'!F129=""),"",'Annexes 4'!F129)</f>
        <v/>
      </c>
      <c r="G8" s="650" t="str">
        <f>IF(OR('Annexes 4'!G129=0,'Annexes 4'!G129=""),"",'Annexes 4'!G129)</f>
        <v/>
      </c>
      <c r="H8" s="650" t="str">
        <f>IF(OR('Annexes 4'!H129=0,'Annexes 4'!H129=""),"",'Annexes 4'!H129)</f>
        <v/>
      </c>
    </row>
    <row r="9" spans="2:8">
      <c r="B9" s="651" t="str">
        <f>IF(OR('Annexes 4'!B130=0,'Annexes 4'!B130=""),"",'Annexes 4'!B130)</f>
        <v/>
      </c>
      <c r="C9" s="647" t="str">
        <f>IF(OR('Annexes 4'!C130=0,'Annexes 4'!C130=""),"",'Annexes 4'!C130)</f>
        <v>BABACAR  NDIAYE</v>
      </c>
      <c r="D9" s="648" t="str">
        <f>IF(OR('Annexes 4'!D130=0,'Annexes 4'!D130=""),"",'Annexes 4'!D130)</f>
        <v/>
      </c>
      <c r="E9" s="649">
        <f>IF(OR('Annexes 4'!E130=0,'Annexes 4'!E130=""),"",'Annexes 4'!E130)</f>
        <v>20619813</v>
      </c>
      <c r="F9" s="650" t="str">
        <f>IF(OR('Annexes 4'!F130=0,'Annexes 4'!F130=""),"",'Annexes 4'!F130)</f>
        <v/>
      </c>
      <c r="G9" s="650" t="str">
        <f>IF(OR('Annexes 4'!G130=0,'Annexes 4'!G130=""),"",'Annexes 4'!G130)</f>
        <v/>
      </c>
      <c r="H9" s="650" t="str">
        <f>IF(OR('Annexes 4'!H130=0,'Annexes 4'!H130=""),"",'Annexes 4'!H130)</f>
        <v/>
      </c>
    </row>
    <row r="10" spans="2:8">
      <c r="B10" s="651" t="str">
        <f>IF(OR('Annexes 4'!B131=0,'Annexes 4'!B131=""),"",'Annexes 4'!B131)</f>
        <v/>
      </c>
      <c r="C10" s="647" t="str">
        <f>IF(OR('Annexes 4'!C131=0,'Annexes 4'!C131=""),"",'Annexes 4'!C131)</f>
        <v>MADIOP  DIOP</v>
      </c>
      <c r="D10" s="648" t="str">
        <f>IF(OR('Annexes 4'!D131=0,'Annexes 4'!D131=""),"",'Annexes 4'!D131)</f>
        <v/>
      </c>
      <c r="E10" s="649">
        <f>IF(OR('Annexes 4'!E131=0,'Annexes 4'!E131=""),"",'Annexes 4'!E131)</f>
        <v>18483632</v>
      </c>
      <c r="F10" s="650" t="str">
        <f>IF(OR('Annexes 4'!F131=0,'Annexes 4'!F131=""),"",'Annexes 4'!F131)</f>
        <v/>
      </c>
      <c r="G10" s="650" t="str">
        <f>IF(OR('Annexes 4'!G131=0,'Annexes 4'!G131=""),"",'Annexes 4'!G131)</f>
        <v/>
      </c>
      <c r="H10" s="650" t="str">
        <f>IF(OR('Annexes 4'!H131=0,'Annexes 4'!H131=""),"",'Annexes 4'!H131)</f>
        <v/>
      </c>
    </row>
    <row r="11" spans="2:8">
      <c r="B11" s="651" t="str">
        <f>IF(OR('Annexes 4'!B132=0,'Annexes 4'!B132=""),"",'Annexes 4'!B132)</f>
        <v/>
      </c>
      <c r="C11" s="647" t="str">
        <f>IF(OR('Annexes 4'!C132=0,'Annexes 4'!C132=""),"",'Annexes 4'!C132)</f>
        <v>ABDOULAYE  SALL</v>
      </c>
      <c r="D11" s="648" t="str">
        <f>IF(OR('Annexes 4'!D132=0,'Annexes 4'!D132=""),"",'Annexes 4'!D132)</f>
        <v/>
      </c>
      <c r="E11" s="649">
        <f>IF(OR('Annexes 4'!E132=0,'Annexes 4'!E132=""),"",'Annexes 4'!E132)</f>
        <v>14500000</v>
      </c>
      <c r="F11" s="650" t="str">
        <f>IF(OR('Annexes 4'!F132=0,'Annexes 4'!F132=""),"",'Annexes 4'!F132)</f>
        <v/>
      </c>
      <c r="G11" s="650" t="str">
        <f>IF(OR('Annexes 4'!G132=0,'Annexes 4'!G132=""),"",'Annexes 4'!G132)</f>
        <v/>
      </c>
      <c r="H11" s="650" t="str">
        <f>IF(OR('Annexes 4'!H132=0,'Annexes 4'!H132=""),"",'Annexes 4'!H132)</f>
        <v/>
      </c>
    </row>
    <row r="12" spans="2:8">
      <c r="B12" s="651" t="str">
        <f>IF(OR('Annexes 4'!B133=0,'Annexes 4'!B133=""),"",'Annexes 4'!B133)</f>
        <v/>
      </c>
      <c r="C12" s="647" t="str">
        <f>IF(OR('Annexes 4'!C133=0,'Annexes 4'!C133=""),"",'Annexes 4'!C133)</f>
        <v>MAGATTE  SY</v>
      </c>
      <c r="D12" s="648" t="str">
        <f>IF(OR('Annexes 4'!D133=0,'Annexes 4'!D133=""),"",'Annexes 4'!D133)</f>
        <v/>
      </c>
      <c r="E12" s="649">
        <f>IF(OR('Annexes 4'!E133=0,'Annexes 4'!E133=""),"",'Annexes 4'!E133)</f>
        <v>14000000</v>
      </c>
      <c r="F12" s="650" t="str">
        <f>IF(OR('Annexes 4'!F133=0,'Annexes 4'!F133=""),"",'Annexes 4'!F133)</f>
        <v/>
      </c>
      <c r="G12" s="650" t="str">
        <f>IF(OR('Annexes 4'!G133=0,'Annexes 4'!G133=""),"",'Annexes 4'!G133)</f>
        <v/>
      </c>
      <c r="H12" s="650" t="str">
        <f>IF(OR('Annexes 4'!H133=0,'Annexes 4'!H133=""),"",'Annexes 4'!H133)</f>
        <v/>
      </c>
    </row>
    <row r="13" spans="2:8">
      <c r="B13" s="651" t="str">
        <f>IF(OR('Annexes 4'!B134=0,'Annexes 4'!B134=""),"",'Annexes 4'!B134)</f>
        <v/>
      </c>
      <c r="C13" s="647" t="str">
        <f>IF(OR('Annexes 4'!C134=0,'Annexes 4'!C134=""),"",'Annexes 4'!C134)</f>
        <v>ABOUBACAR  NDIAYE</v>
      </c>
      <c r="D13" s="648" t="str">
        <f>IF(OR('Annexes 4'!D134=0,'Annexes 4'!D134=""),"",'Annexes 4'!D134)</f>
        <v/>
      </c>
      <c r="E13" s="649">
        <f>IF(OR('Annexes 4'!E134=0,'Annexes 4'!E134=""),"",'Annexes 4'!E134)</f>
        <v>13741004</v>
      </c>
      <c r="F13" s="650" t="str">
        <f>IF(OR('Annexes 4'!F134=0,'Annexes 4'!F134=""),"",'Annexes 4'!F134)</f>
        <v/>
      </c>
      <c r="G13" s="650" t="str">
        <f>IF(OR('Annexes 4'!G134=0,'Annexes 4'!G134=""),"",'Annexes 4'!G134)</f>
        <v/>
      </c>
      <c r="H13" s="650" t="str">
        <f>IF(OR('Annexes 4'!H134=0,'Annexes 4'!H134=""),"",'Annexes 4'!H134)</f>
        <v/>
      </c>
    </row>
    <row r="14" spans="2:8">
      <c r="B14" s="651" t="str">
        <f>IF(OR('Annexes 4'!B135=0,'Annexes 4'!B135=""),"",'Annexes 4'!B135)</f>
        <v/>
      </c>
      <c r="C14" s="647" t="str">
        <f>IF(OR('Annexes 4'!C135=0,'Annexes 4'!C135=""),"",'Annexes 4'!C135)</f>
        <v>ABDOU  MARONE</v>
      </c>
      <c r="D14" s="648" t="str">
        <f>IF(OR('Annexes 4'!D135=0,'Annexes 4'!D135=""),"",'Annexes 4'!D135)</f>
        <v/>
      </c>
      <c r="E14" s="649">
        <f>IF(OR('Annexes 4'!E135=0,'Annexes 4'!E135=""),"",'Annexes 4'!E135)</f>
        <v>13500000</v>
      </c>
      <c r="F14" s="652" t="str">
        <f>IF(OR('Annexes 4'!F135=0,'Annexes 4'!F135=""),"",'Annexes 4'!F135)</f>
        <v/>
      </c>
      <c r="G14" s="652" t="str">
        <f>IF(OR('Annexes 4'!G135=0,'Annexes 4'!G135=""),"",'Annexes 4'!G135)</f>
        <v/>
      </c>
      <c r="H14" s="652" t="str">
        <f>IF(OR('Annexes 4'!H135=0,'Annexes 4'!H135=""),"",'Annexes 4'!H135)</f>
        <v/>
      </c>
    </row>
    <row r="15" spans="2:8">
      <c r="B15" s="646" t="str">
        <f>IF(OR('Annexes 4'!B136=0,'Annexes 4'!B136=""),"",'Annexes 4'!B136)</f>
        <v/>
      </c>
      <c r="C15" s="647" t="str">
        <f>IF(OR('Annexes 4'!C136=0,'Annexes 4'!C136=""),"",'Annexes 4'!C136)</f>
        <v>ELHADJI MALICK  SALL</v>
      </c>
      <c r="D15" s="648" t="str">
        <f>IF(OR('Annexes 4'!D136=0,'Annexes 4'!D136=""),"",'Annexes 4'!D136)</f>
        <v/>
      </c>
      <c r="E15" s="649">
        <f>IF(OR('Annexes 4'!E136=0,'Annexes 4'!E136=""),"",'Annexes 4'!E136)</f>
        <v>13396712</v>
      </c>
      <c r="F15" s="652" t="str">
        <f>IF(OR('Annexes 4'!F136=0,'Annexes 4'!F136=""),"",'Annexes 4'!F136)</f>
        <v/>
      </c>
      <c r="G15" s="652" t="str">
        <f>IF(OR('Annexes 4'!G136=0,'Annexes 4'!G136=""),"",'Annexes 4'!G136)</f>
        <v/>
      </c>
      <c r="H15" s="652" t="str">
        <f>IF(OR('Annexes 4'!H136=0,'Annexes 4'!H136=""),"",'Annexes 4'!H136)</f>
        <v/>
      </c>
    </row>
    <row r="16" spans="2:8" s="549" customFormat="1">
      <c r="B16" s="179"/>
      <c r="C16" s="566" t="s">
        <v>2430</v>
      </c>
      <c r="D16" s="572"/>
      <c r="E16" s="574">
        <v>13396431</v>
      </c>
      <c r="F16" s="119"/>
      <c r="G16" s="119"/>
      <c r="H16" s="119"/>
    </row>
    <row r="17" spans="2:8" s="549" customFormat="1">
      <c r="B17" s="179"/>
      <c r="C17" s="566" t="s">
        <v>2431</v>
      </c>
      <c r="D17" s="572"/>
      <c r="E17" s="574">
        <v>13000000</v>
      </c>
      <c r="F17" s="119"/>
      <c r="G17" s="119"/>
      <c r="H17" s="119"/>
    </row>
    <row r="18" spans="2:8" s="549" customFormat="1">
      <c r="B18" s="179"/>
      <c r="C18" s="566" t="s">
        <v>2432</v>
      </c>
      <c r="D18" s="572"/>
      <c r="E18" s="574">
        <v>12935027</v>
      </c>
      <c r="F18" s="119"/>
      <c r="G18" s="119"/>
      <c r="H18" s="119"/>
    </row>
    <row r="19" spans="2:8" s="549" customFormat="1">
      <c r="B19" s="179"/>
      <c r="C19" s="566" t="s">
        <v>2433</v>
      </c>
      <c r="D19" s="572"/>
      <c r="E19" s="574">
        <v>12000000</v>
      </c>
      <c r="F19" s="119"/>
      <c r="G19" s="119"/>
      <c r="H19" s="119"/>
    </row>
    <row r="20" spans="2:8" s="549" customFormat="1">
      <c r="B20" s="179"/>
      <c r="C20" s="566" t="s">
        <v>2434</v>
      </c>
      <c r="D20" s="572"/>
      <c r="E20" s="574">
        <v>11142463</v>
      </c>
      <c r="F20" s="119"/>
      <c r="G20" s="119"/>
      <c r="H20" s="119"/>
    </row>
    <row r="21" spans="2:8" s="549" customFormat="1">
      <c r="B21" s="179"/>
      <c r="C21" s="566" t="s">
        <v>2435</v>
      </c>
      <c r="D21" s="572"/>
      <c r="E21" s="574">
        <v>11142463</v>
      </c>
      <c r="F21" s="119"/>
      <c r="G21" s="119"/>
      <c r="H21" s="119"/>
    </row>
    <row r="22" spans="2:8" s="549" customFormat="1">
      <c r="B22" s="179"/>
      <c r="C22" s="566" t="s">
        <v>2436</v>
      </c>
      <c r="D22" s="572"/>
      <c r="E22" s="574">
        <v>11090179</v>
      </c>
      <c r="F22" s="119"/>
      <c r="G22" s="119"/>
      <c r="H22" s="119"/>
    </row>
    <row r="23" spans="2:8" s="549" customFormat="1">
      <c r="B23" s="179"/>
      <c r="C23" s="566" t="s">
        <v>2437</v>
      </c>
      <c r="D23" s="572"/>
      <c r="E23" s="574">
        <v>11015525</v>
      </c>
      <c r="F23" s="119"/>
      <c r="G23" s="119"/>
      <c r="H23" s="119"/>
    </row>
    <row r="24" spans="2:8" s="549" customFormat="1">
      <c r="B24" s="179"/>
      <c r="C24" s="566" t="s">
        <v>2438</v>
      </c>
      <c r="D24" s="572"/>
      <c r="E24" s="574">
        <v>10748946</v>
      </c>
      <c r="F24" s="119"/>
      <c r="G24" s="119"/>
      <c r="H24" s="119"/>
    </row>
    <row r="25" spans="2:8" s="549" customFormat="1">
      <c r="B25" s="179"/>
      <c r="C25" s="566" t="s">
        <v>2439</v>
      </c>
      <c r="D25" s="572"/>
      <c r="E25" s="574">
        <v>10602794</v>
      </c>
      <c r="F25" s="119"/>
      <c r="G25" s="119"/>
      <c r="H25" s="119"/>
    </row>
    <row r="26" spans="2:8" s="549" customFormat="1">
      <c r="B26" s="179"/>
      <c r="C26" s="566" t="s">
        <v>2440</v>
      </c>
      <c r="D26" s="572"/>
      <c r="E26" s="574">
        <v>10167756</v>
      </c>
      <c r="F26" s="119"/>
      <c r="G26" s="119"/>
      <c r="H26" s="119"/>
    </row>
    <row r="27" spans="2:8" s="549" customFormat="1">
      <c r="B27" s="179"/>
      <c r="C27" s="566" t="s">
        <v>2441</v>
      </c>
      <c r="D27" s="572"/>
      <c r="E27" s="574">
        <v>9626808</v>
      </c>
      <c r="F27" s="119"/>
      <c r="G27" s="119"/>
      <c r="H27" s="119"/>
    </row>
    <row r="28" spans="2:8" s="549" customFormat="1">
      <c r="B28" s="179"/>
      <c r="C28" s="566" t="s">
        <v>2442</v>
      </c>
      <c r="D28" s="572"/>
      <c r="E28" s="574">
        <v>9500000</v>
      </c>
      <c r="F28" s="119"/>
      <c r="G28" s="119"/>
      <c r="H28" s="119"/>
    </row>
    <row r="29" spans="2:8" s="549" customFormat="1">
      <c r="B29" s="179"/>
      <c r="C29" s="566" t="s">
        <v>2443</v>
      </c>
      <c r="D29" s="572"/>
      <c r="E29" s="574">
        <v>9500000</v>
      </c>
      <c r="F29" s="119"/>
      <c r="G29" s="119"/>
      <c r="H29" s="119"/>
    </row>
    <row r="30" spans="2:8" s="549" customFormat="1">
      <c r="B30" s="179"/>
      <c r="C30" s="566" t="s">
        <v>2444</v>
      </c>
      <c r="D30" s="572"/>
      <c r="E30" s="574">
        <v>9500000</v>
      </c>
      <c r="F30" s="119"/>
      <c r="G30" s="119"/>
      <c r="H30" s="119"/>
    </row>
    <row r="31" spans="2:8" s="549" customFormat="1">
      <c r="B31" s="179"/>
      <c r="C31" s="566" t="s">
        <v>2445</v>
      </c>
      <c r="D31" s="572"/>
      <c r="E31" s="574">
        <v>9240270</v>
      </c>
      <c r="F31" s="119"/>
      <c r="G31" s="119"/>
      <c r="H31" s="119"/>
    </row>
    <row r="32" spans="2:8" s="549" customFormat="1">
      <c r="B32" s="179"/>
      <c r="C32" s="566" t="s">
        <v>2423</v>
      </c>
      <c r="D32" s="572"/>
      <c r="E32" s="574">
        <v>9152420</v>
      </c>
      <c r="F32" s="119"/>
      <c r="G32" s="119"/>
      <c r="H32" s="119"/>
    </row>
    <row r="33" spans="2:8" s="549" customFormat="1">
      <c r="B33" s="179"/>
      <c r="C33" s="566" t="s">
        <v>2446</v>
      </c>
      <c r="D33" s="572"/>
      <c r="E33" s="574">
        <v>8802370</v>
      </c>
      <c r="F33" s="119"/>
      <c r="G33" s="119"/>
      <c r="H33" s="119"/>
    </row>
    <row r="34" spans="2:8" s="549" customFormat="1">
      <c r="B34" s="179"/>
      <c r="C34" s="566" t="s">
        <v>2447</v>
      </c>
      <c r="D34" s="572"/>
      <c r="E34" s="574">
        <v>8799696</v>
      </c>
      <c r="F34" s="119"/>
      <c r="G34" s="119"/>
      <c r="H34" s="119"/>
    </row>
    <row r="35" spans="2:8" s="549" customFormat="1">
      <c r="B35" s="179"/>
      <c r="C35" s="566" t="s">
        <v>2448</v>
      </c>
      <c r="D35" s="572"/>
      <c r="E35" s="574">
        <v>8783836</v>
      </c>
      <c r="F35" s="119"/>
      <c r="G35" s="119"/>
      <c r="H35" s="119"/>
    </row>
    <row r="36" spans="2:8" s="549" customFormat="1">
      <c r="B36" s="179"/>
      <c r="C36" s="566" t="s">
        <v>2449</v>
      </c>
      <c r="D36" s="572"/>
      <c r="E36" s="574">
        <v>8475787</v>
      </c>
      <c r="F36" s="119"/>
      <c r="G36" s="119"/>
      <c r="H36" s="119"/>
    </row>
    <row r="37" spans="2:8" s="549" customFormat="1">
      <c r="B37" s="179"/>
      <c r="C37" s="566" t="s">
        <v>2450</v>
      </c>
      <c r="D37" s="572"/>
      <c r="E37" s="574">
        <v>8260992</v>
      </c>
      <c r="F37" s="119"/>
      <c r="G37" s="119"/>
      <c r="H37" s="119"/>
    </row>
    <row r="38" spans="2:8" s="549" customFormat="1">
      <c r="B38" s="179"/>
      <c r="C38" s="566" t="s">
        <v>2451</v>
      </c>
      <c r="D38" s="572"/>
      <c r="E38" s="574">
        <v>8054797</v>
      </c>
      <c r="F38" s="119"/>
      <c r="G38" s="119"/>
      <c r="H38" s="119"/>
    </row>
    <row r="39" spans="2:8" s="549" customFormat="1">
      <c r="B39" s="179"/>
      <c r="C39" s="566" t="s">
        <v>2452</v>
      </c>
      <c r="D39" s="572"/>
      <c r="E39" s="574">
        <v>8000000</v>
      </c>
      <c r="F39" s="119"/>
      <c r="G39" s="119"/>
      <c r="H39" s="119"/>
    </row>
    <row r="40" spans="2:8" s="549" customFormat="1">
      <c r="B40" s="179"/>
      <c r="C40" s="566" t="s">
        <v>2453</v>
      </c>
      <c r="D40" s="572"/>
      <c r="E40" s="574">
        <v>8000000</v>
      </c>
      <c r="F40" s="119"/>
      <c r="G40" s="119"/>
      <c r="H40" s="119"/>
    </row>
    <row r="41" spans="2:8" s="549" customFormat="1">
      <c r="B41" s="179"/>
      <c r="C41" s="566" t="s">
        <v>2454</v>
      </c>
      <c r="D41" s="572"/>
      <c r="E41" s="574">
        <v>8000000</v>
      </c>
      <c r="F41" s="119"/>
      <c r="G41" s="119"/>
      <c r="H41" s="119"/>
    </row>
    <row r="42" spans="2:8" s="549" customFormat="1">
      <c r="B42" s="179"/>
      <c r="C42" s="566" t="s">
        <v>2455</v>
      </c>
      <c r="D42" s="572"/>
      <c r="E42" s="574">
        <v>8000000</v>
      </c>
      <c r="F42" s="119"/>
      <c r="G42" s="119"/>
      <c r="H42" s="119"/>
    </row>
    <row r="43" spans="2:8" s="549" customFormat="1">
      <c r="B43" s="179"/>
      <c r="C43" s="566" t="s">
        <v>2456</v>
      </c>
      <c r="D43" s="572"/>
      <c r="E43" s="574">
        <v>7632140</v>
      </c>
      <c r="F43" s="119"/>
      <c r="G43" s="119"/>
      <c r="H43" s="119"/>
    </row>
    <row r="44" spans="2:8" s="549" customFormat="1">
      <c r="B44" s="179"/>
      <c r="C44" s="566" t="s">
        <v>2457</v>
      </c>
      <c r="D44" s="572"/>
      <c r="E44" s="574">
        <v>7311317</v>
      </c>
      <c r="F44" s="119"/>
      <c r="G44" s="119"/>
      <c r="H44" s="119"/>
    </row>
    <row r="45" spans="2:8" s="549" customFormat="1">
      <c r="B45" s="179"/>
      <c r="C45" s="566" t="s">
        <v>2458</v>
      </c>
      <c r="D45" s="572"/>
      <c r="E45" s="574">
        <v>7311317</v>
      </c>
      <c r="F45" s="119"/>
      <c r="G45" s="119"/>
      <c r="H45" s="119"/>
    </row>
    <row r="46" spans="2:8" s="549" customFormat="1">
      <c r="B46" s="179"/>
      <c r="C46" s="566" t="s">
        <v>2459</v>
      </c>
      <c r="D46" s="572"/>
      <c r="E46" s="574">
        <v>7000000</v>
      </c>
      <c r="F46" s="119"/>
      <c r="G46" s="119"/>
      <c r="H46" s="119"/>
    </row>
    <row r="47" spans="2:8" s="549" customFormat="1">
      <c r="B47" s="179"/>
      <c r="C47" s="566" t="s">
        <v>2460</v>
      </c>
      <c r="D47" s="572"/>
      <c r="E47" s="574">
        <v>7000000</v>
      </c>
      <c r="F47" s="119"/>
      <c r="G47" s="119"/>
      <c r="H47" s="119"/>
    </row>
    <row r="48" spans="2:8" s="549" customFormat="1">
      <c r="B48" s="179"/>
      <c r="C48" s="566" t="s">
        <v>2461</v>
      </c>
      <c r="D48" s="572"/>
      <c r="E48" s="574">
        <v>6934608</v>
      </c>
      <c r="F48" s="119"/>
      <c r="G48" s="119"/>
      <c r="H48" s="119"/>
    </row>
    <row r="49" spans="2:8" s="549" customFormat="1">
      <c r="B49" s="179"/>
      <c r="C49" s="566" t="s">
        <v>2462</v>
      </c>
      <c r="D49" s="572"/>
      <c r="E49" s="574">
        <v>6926040</v>
      </c>
      <c r="F49" s="119"/>
      <c r="G49" s="119"/>
      <c r="H49" s="119"/>
    </row>
    <row r="50" spans="2:8" s="549" customFormat="1">
      <c r="B50" s="179"/>
      <c r="C50" s="566" t="s">
        <v>2463</v>
      </c>
      <c r="D50" s="572"/>
      <c r="E50" s="574">
        <v>6880226</v>
      </c>
      <c r="F50" s="119"/>
      <c r="G50" s="119"/>
      <c r="H50" s="119"/>
    </row>
    <row r="51" spans="2:8" s="549" customFormat="1">
      <c r="B51" s="179"/>
      <c r="C51" s="566" t="s">
        <v>2464</v>
      </c>
      <c r="D51" s="572"/>
      <c r="E51" s="574">
        <v>6784123</v>
      </c>
      <c r="F51" s="119"/>
      <c r="G51" s="119"/>
      <c r="H51" s="119"/>
    </row>
    <row r="52" spans="2:8" s="549" customFormat="1">
      <c r="B52" s="179"/>
      <c r="C52" s="566" t="s">
        <v>2465</v>
      </c>
      <c r="D52" s="572"/>
      <c r="E52" s="574">
        <v>6784123</v>
      </c>
      <c r="F52" s="119"/>
      <c r="G52" s="119"/>
      <c r="H52" s="119"/>
    </row>
    <row r="53" spans="2:8" s="549" customFormat="1">
      <c r="B53" s="179"/>
      <c r="C53" s="566" t="s">
        <v>2466</v>
      </c>
      <c r="D53" s="572"/>
      <c r="E53" s="574">
        <v>6701660</v>
      </c>
      <c r="F53" s="119"/>
      <c r="G53" s="119"/>
      <c r="H53" s="119"/>
    </row>
    <row r="54" spans="2:8" s="549" customFormat="1">
      <c r="B54" s="179"/>
      <c r="C54" s="566" t="s">
        <v>2467</v>
      </c>
      <c r="D54" s="572"/>
      <c r="E54" s="574">
        <v>6557090</v>
      </c>
      <c r="F54" s="119"/>
      <c r="G54" s="119"/>
      <c r="H54" s="119"/>
    </row>
    <row r="55" spans="2:8" s="549" customFormat="1">
      <c r="B55" s="570"/>
      <c r="C55" s="567" t="s">
        <v>2468</v>
      </c>
      <c r="D55" s="573"/>
      <c r="E55" s="574">
        <v>6500000</v>
      </c>
      <c r="F55" s="119"/>
      <c r="G55" s="119"/>
      <c r="H55" s="119"/>
    </row>
    <row r="56" spans="2:8">
      <c r="B56" s="852" t="s">
        <v>881</v>
      </c>
      <c r="C56" s="853"/>
      <c r="D56" s="854"/>
      <c r="E56" s="550">
        <f>SUM(E6:E55)</f>
        <v>561716724</v>
      </c>
      <c r="F56" s="195">
        <f>SUM(F6:F55)</f>
        <v>0</v>
      </c>
      <c r="G56" s="196">
        <f>SUM(G6:G55)</f>
        <v>0</v>
      </c>
      <c r="H56" s="345">
        <f>SUM(H6:H55)</f>
        <v>0</v>
      </c>
    </row>
    <row r="58" spans="2:8" s="549" customFormat="1" ht="15">
      <c r="B58" s="131"/>
      <c r="C58" s="862" t="s">
        <v>1906</v>
      </c>
      <c r="D58" s="862"/>
      <c r="E58" s="862"/>
      <c r="F58" s="862"/>
      <c r="G58" s="862"/>
      <c r="H58" s="862"/>
    </row>
    <row r="59" spans="2:8" s="549" customFormat="1" ht="23.25" customHeight="1">
      <c r="B59" s="156" t="s">
        <v>1892</v>
      </c>
      <c r="C59" s="49" t="s">
        <v>1975</v>
      </c>
      <c r="D59" s="568" t="s">
        <v>1893</v>
      </c>
      <c r="E59" s="551" t="s">
        <v>1894</v>
      </c>
      <c r="F59" s="551" t="s">
        <v>1908</v>
      </c>
      <c r="G59" s="551" t="s">
        <v>521</v>
      </c>
      <c r="H59" s="551" t="s">
        <v>1909</v>
      </c>
    </row>
    <row r="60" spans="2:8" s="549" customFormat="1">
      <c r="B60" s="569"/>
      <c r="C60" s="565" t="s">
        <v>2529</v>
      </c>
      <c r="D60" s="571" t="s">
        <v>2530</v>
      </c>
      <c r="E60" s="574">
        <v>12071376</v>
      </c>
      <c r="F60" s="140">
        <v>12071376</v>
      </c>
      <c r="G60" s="140"/>
      <c r="H60" s="141"/>
    </row>
    <row r="61" spans="2:8" s="549" customFormat="1">
      <c r="B61" s="179"/>
      <c r="C61" s="566" t="s">
        <v>2531</v>
      </c>
      <c r="D61" s="572" t="s">
        <v>2532</v>
      </c>
      <c r="E61" s="574">
        <v>7878213</v>
      </c>
      <c r="F61" s="118">
        <v>3151285</v>
      </c>
      <c r="G61" s="118"/>
      <c r="H61" s="118"/>
    </row>
    <row r="62" spans="2:8" s="549" customFormat="1">
      <c r="B62" s="179"/>
      <c r="C62" s="566" t="s">
        <v>2533</v>
      </c>
      <c r="D62" s="572" t="s">
        <v>2530</v>
      </c>
      <c r="E62" s="574">
        <v>6987794</v>
      </c>
      <c r="F62" s="118">
        <v>6987794</v>
      </c>
      <c r="G62" s="118"/>
      <c r="H62" s="118"/>
    </row>
    <row r="63" spans="2:8" s="549" customFormat="1">
      <c r="B63" s="180"/>
      <c r="C63" s="566" t="s">
        <v>2534</v>
      </c>
      <c r="D63" s="572" t="s">
        <v>2532</v>
      </c>
      <c r="E63" s="574">
        <v>4934170</v>
      </c>
      <c r="F63" s="118">
        <v>3947336</v>
      </c>
      <c r="G63" s="118"/>
      <c r="H63" s="118"/>
    </row>
    <row r="64" spans="2:8" s="549" customFormat="1">
      <c r="B64" s="180"/>
      <c r="C64" s="566" t="s">
        <v>2535</v>
      </c>
      <c r="D64" s="572" t="s">
        <v>2530</v>
      </c>
      <c r="E64" s="574">
        <v>4750600</v>
      </c>
      <c r="F64" s="118">
        <v>3800480</v>
      </c>
      <c r="G64" s="118"/>
      <c r="H64" s="118"/>
    </row>
    <row r="65" spans="2:8" s="549" customFormat="1">
      <c r="B65" s="180"/>
      <c r="C65" s="566" t="s">
        <v>2536</v>
      </c>
      <c r="D65" s="572" t="s">
        <v>2530</v>
      </c>
      <c r="E65" s="574">
        <v>4750600</v>
      </c>
      <c r="F65" s="118">
        <v>3800480</v>
      </c>
      <c r="G65" s="118"/>
      <c r="H65" s="118"/>
    </row>
    <row r="66" spans="2:8" s="549" customFormat="1">
      <c r="B66" s="180"/>
      <c r="C66" s="566" t="s">
        <v>2537</v>
      </c>
      <c r="D66" s="572" t="s">
        <v>2532</v>
      </c>
      <c r="E66" s="574">
        <v>4750600</v>
      </c>
      <c r="F66" s="118">
        <v>3800480</v>
      </c>
      <c r="G66" s="118"/>
      <c r="H66" s="118"/>
    </row>
    <row r="67" spans="2:8" s="549" customFormat="1">
      <c r="B67" s="180"/>
      <c r="C67" s="566" t="s">
        <v>2538</v>
      </c>
      <c r="D67" s="572" t="s">
        <v>2530</v>
      </c>
      <c r="E67" s="574">
        <v>4750600</v>
      </c>
      <c r="F67" s="118">
        <v>3800480</v>
      </c>
      <c r="G67" s="118"/>
      <c r="H67" s="118"/>
    </row>
    <row r="68" spans="2:8" s="549" customFormat="1">
      <c r="B68" s="180"/>
      <c r="C68" s="566" t="s">
        <v>2539</v>
      </c>
      <c r="D68" s="572" t="s">
        <v>2530</v>
      </c>
      <c r="E68" s="574">
        <v>4750600</v>
      </c>
      <c r="F68" s="119">
        <v>3800480</v>
      </c>
      <c r="G68" s="119"/>
      <c r="H68" s="119"/>
    </row>
    <row r="69" spans="2:8" s="549" customFormat="1">
      <c r="B69" s="179"/>
      <c r="C69" s="566" t="s">
        <v>2540</v>
      </c>
      <c r="D69" s="572" t="s">
        <v>2530</v>
      </c>
      <c r="E69" s="574">
        <v>4750600</v>
      </c>
      <c r="F69" s="119">
        <v>3800480</v>
      </c>
      <c r="G69" s="119"/>
      <c r="H69" s="119"/>
    </row>
    <row r="70" spans="2:8" s="549" customFormat="1">
      <c r="B70" s="179"/>
      <c r="C70" s="566" t="s">
        <v>2541</v>
      </c>
      <c r="D70" s="572" t="s">
        <v>2530</v>
      </c>
      <c r="E70" s="574">
        <v>4750600</v>
      </c>
      <c r="F70" s="119">
        <v>3800480</v>
      </c>
      <c r="G70" s="119"/>
      <c r="H70" s="119"/>
    </row>
    <row r="71" spans="2:8" s="549" customFormat="1">
      <c r="B71" s="179"/>
      <c r="C71" s="566" t="s">
        <v>2542</v>
      </c>
      <c r="D71" s="572" t="s">
        <v>2532</v>
      </c>
      <c r="E71" s="574">
        <v>4750600</v>
      </c>
      <c r="F71" s="119">
        <v>3800480</v>
      </c>
      <c r="G71" s="119"/>
      <c r="H71" s="119"/>
    </row>
    <row r="72" spans="2:8" s="549" customFormat="1">
      <c r="B72" s="179"/>
      <c r="C72" s="566" t="s">
        <v>2543</v>
      </c>
      <c r="D72" s="572" t="s">
        <v>2530</v>
      </c>
      <c r="E72" s="574">
        <v>4750300</v>
      </c>
      <c r="F72" s="119">
        <v>3800240</v>
      </c>
      <c r="G72" s="119"/>
      <c r="H72" s="119"/>
    </row>
    <row r="73" spans="2:8" s="549" customFormat="1">
      <c r="B73" s="179"/>
      <c r="C73" s="566" t="s">
        <v>2544</v>
      </c>
      <c r="D73" s="572" t="s">
        <v>2530</v>
      </c>
      <c r="E73" s="574">
        <v>4750300</v>
      </c>
      <c r="F73" s="119">
        <v>3800240</v>
      </c>
      <c r="G73" s="119"/>
      <c r="H73" s="119"/>
    </row>
    <row r="74" spans="2:8" s="549" customFormat="1">
      <c r="B74" s="179"/>
      <c r="C74" s="566" t="s">
        <v>2545</v>
      </c>
      <c r="D74" s="572" t="s">
        <v>2530</v>
      </c>
      <c r="E74" s="574">
        <v>4750300</v>
      </c>
      <c r="F74" s="119">
        <v>3800240</v>
      </c>
      <c r="G74" s="119"/>
      <c r="H74" s="119"/>
    </row>
    <row r="75" spans="2:8" s="549" customFormat="1">
      <c r="B75" s="179"/>
      <c r="C75" s="566" t="s">
        <v>2456</v>
      </c>
      <c r="D75" s="572" t="s">
        <v>2530</v>
      </c>
      <c r="E75" s="574">
        <v>4750150</v>
      </c>
      <c r="F75" s="119">
        <v>3800120</v>
      </c>
      <c r="G75" s="119"/>
      <c r="H75" s="119"/>
    </row>
    <row r="76" spans="2:8" s="549" customFormat="1">
      <c r="B76" s="179"/>
      <c r="C76" s="566" t="s">
        <v>2546</v>
      </c>
      <c r="D76" s="572" t="s">
        <v>2530</v>
      </c>
      <c r="E76" s="574">
        <v>4750150</v>
      </c>
      <c r="F76" s="119">
        <v>3800120</v>
      </c>
      <c r="G76" s="119"/>
      <c r="H76" s="119"/>
    </row>
    <row r="77" spans="2:8" s="549" customFormat="1">
      <c r="B77" s="179"/>
      <c r="C77" s="566" t="s">
        <v>2547</v>
      </c>
      <c r="D77" s="572" t="s">
        <v>2530</v>
      </c>
      <c r="E77" s="574">
        <v>4750000</v>
      </c>
      <c r="F77" s="119">
        <v>3800000</v>
      </c>
      <c r="G77" s="119"/>
      <c r="H77" s="119"/>
    </row>
    <row r="78" spans="2:8" s="549" customFormat="1">
      <c r="B78" s="179"/>
      <c r="C78" s="566" t="s">
        <v>2548</v>
      </c>
      <c r="D78" s="572" t="s">
        <v>2530</v>
      </c>
      <c r="E78" s="574">
        <v>4750000</v>
      </c>
      <c r="F78" s="119">
        <v>1900000</v>
      </c>
      <c r="G78" s="119"/>
      <c r="H78" s="119"/>
    </row>
    <row r="79" spans="2:8" s="549" customFormat="1">
      <c r="B79" s="179"/>
      <c r="C79" s="566" t="s">
        <v>2549</v>
      </c>
      <c r="D79" s="572" t="s">
        <v>2532</v>
      </c>
      <c r="E79" s="574">
        <v>4750000</v>
      </c>
      <c r="F79" s="119">
        <v>1900000</v>
      </c>
      <c r="G79" s="119"/>
      <c r="H79" s="119"/>
    </row>
    <row r="80" spans="2:8" s="549" customFormat="1">
      <c r="B80" s="179"/>
      <c r="C80" s="566" t="s">
        <v>2550</v>
      </c>
      <c r="D80" s="572" t="s">
        <v>2530</v>
      </c>
      <c r="E80" s="574">
        <v>4750000</v>
      </c>
      <c r="F80" s="119">
        <v>1900000</v>
      </c>
      <c r="G80" s="119"/>
      <c r="H80" s="119"/>
    </row>
    <row r="81" spans="2:8" s="549" customFormat="1">
      <c r="B81" s="179"/>
      <c r="C81" s="566" t="s">
        <v>2551</v>
      </c>
      <c r="D81" s="572" t="s">
        <v>2530</v>
      </c>
      <c r="E81" s="574">
        <v>4750000</v>
      </c>
      <c r="F81" s="119">
        <v>1900000</v>
      </c>
      <c r="G81" s="119"/>
      <c r="H81" s="119"/>
    </row>
    <row r="82" spans="2:8" s="549" customFormat="1">
      <c r="B82" s="179"/>
      <c r="C82" s="566" t="s">
        <v>2552</v>
      </c>
      <c r="D82" s="572" t="s">
        <v>2532</v>
      </c>
      <c r="E82" s="574">
        <v>4687054</v>
      </c>
      <c r="F82" s="119">
        <v>3749643</v>
      </c>
      <c r="G82" s="119"/>
      <c r="H82" s="119"/>
    </row>
    <row r="83" spans="2:8" s="549" customFormat="1">
      <c r="B83" s="179"/>
      <c r="C83" s="566" t="s">
        <v>2553</v>
      </c>
      <c r="D83" s="572" t="s">
        <v>2554</v>
      </c>
      <c r="E83" s="574">
        <v>4505157</v>
      </c>
      <c r="F83" s="119">
        <v>4333156</v>
      </c>
      <c r="G83" s="119"/>
      <c r="H83" s="119"/>
    </row>
    <row r="84" spans="2:8" s="549" customFormat="1">
      <c r="B84" s="179"/>
      <c r="C84" s="566" t="s">
        <v>2555</v>
      </c>
      <c r="D84" s="572" t="s">
        <v>2532</v>
      </c>
      <c r="E84" s="574">
        <v>4405660</v>
      </c>
      <c r="F84" s="119">
        <v>4405660</v>
      </c>
      <c r="G84" s="119"/>
      <c r="H84" s="119"/>
    </row>
    <row r="85" spans="2:8" s="549" customFormat="1">
      <c r="B85" s="179"/>
      <c r="C85" s="566" t="s">
        <v>2556</v>
      </c>
      <c r="D85" s="572" t="s">
        <v>2530</v>
      </c>
      <c r="E85" s="574">
        <v>4275600</v>
      </c>
      <c r="F85" s="119">
        <v>3420480</v>
      </c>
      <c r="G85" s="119"/>
      <c r="H85" s="119"/>
    </row>
    <row r="86" spans="2:8" s="549" customFormat="1">
      <c r="B86" s="179"/>
      <c r="C86" s="566" t="s">
        <v>2557</v>
      </c>
      <c r="D86" s="572" t="s">
        <v>2530</v>
      </c>
      <c r="E86" s="574">
        <v>4249800</v>
      </c>
      <c r="F86" s="119">
        <v>3399840</v>
      </c>
      <c r="G86" s="119"/>
      <c r="H86" s="119"/>
    </row>
    <row r="87" spans="2:8" s="549" customFormat="1">
      <c r="B87" s="179"/>
      <c r="C87" s="566" t="s">
        <v>2477</v>
      </c>
      <c r="D87" s="572" t="s">
        <v>2532</v>
      </c>
      <c r="E87" s="574">
        <v>3873017</v>
      </c>
      <c r="F87" s="119">
        <v>3098414</v>
      </c>
      <c r="G87" s="119"/>
      <c r="H87" s="119"/>
    </row>
    <row r="88" spans="2:8" s="549" customFormat="1">
      <c r="B88" s="179"/>
      <c r="C88" s="566" t="s">
        <v>2558</v>
      </c>
      <c r="D88" s="572" t="s">
        <v>2530</v>
      </c>
      <c r="E88" s="574">
        <v>3800857</v>
      </c>
      <c r="F88" s="119">
        <v>1520343</v>
      </c>
      <c r="G88" s="119"/>
      <c r="H88" s="119"/>
    </row>
    <row r="89" spans="2:8" s="549" customFormat="1">
      <c r="B89" s="179"/>
      <c r="C89" s="566" t="s">
        <v>2559</v>
      </c>
      <c r="D89" s="572" t="s">
        <v>2530</v>
      </c>
      <c r="E89" s="574">
        <v>3800804</v>
      </c>
      <c r="F89" s="119">
        <v>3040643</v>
      </c>
      <c r="G89" s="119"/>
      <c r="H89" s="119"/>
    </row>
    <row r="90" spans="2:8" s="549" customFormat="1">
      <c r="B90" s="179"/>
      <c r="C90" s="566" t="s">
        <v>2560</v>
      </c>
      <c r="D90" s="572" t="s">
        <v>2530</v>
      </c>
      <c r="E90" s="574">
        <v>3800600</v>
      </c>
      <c r="F90" s="119">
        <v>1520240</v>
      </c>
      <c r="G90" s="119"/>
      <c r="H90" s="119"/>
    </row>
    <row r="91" spans="2:8" s="549" customFormat="1">
      <c r="B91" s="179"/>
      <c r="C91" s="566" t="s">
        <v>2561</v>
      </c>
      <c r="D91" s="572" t="s">
        <v>2530</v>
      </c>
      <c r="E91" s="574">
        <v>3800600</v>
      </c>
      <c r="F91" s="119">
        <v>3800600</v>
      </c>
      <c r="G91" s="119"/>
      <c r="H91" s="119"/>
    </row>
    <row r="92" spans="2:8" s="549" customFormat="1">
      <c r="B92" s="179"/>
      <c r="C92" s="566" t="s">
        <v>2562</v>
      </c>
      <c r="D92" s="572" t="s">
        <v>2530</v>
      </c>
      <c r="E92" s="574">
        <v>3800600</v>
      </c>
      <c r="F92" s="119">
        <v>3040480</v>
      </c>
      <c r="G92" s="119"/>
      <c r="H92" s="119"/>
    </row>
    <row r="93" spans="2:8" s="549" customFormat="1">
      <c r="B93" s="179"/>
      <c r="C93" s="566" t="s">
        <v>2563</v>
      </c>
      <c r="D93" s="572" t="s">
        <v>2530</v>
      </c>
      <c r="E93" s="574">
        <v>3800600</v>
      </c>
      <c r="F93" s="119">
        <v>1520240</v>
      </c>
      <c r="G93" s="119"/>
      <c r="H93" s="119"/>
    </row>
    <row r="94" spans="2:8" s="549" customFormat="1">
      <c r="B94" s="179"/>
      <c r="C94" s="566" t="s">
        <v>2564</v>
      </c>
      <c r="D94" s="572" t="s">
        <v>2530</v>
      </c>
      <c r="E94" s="574">
        <v>3800300</v>
      </c>
      <c r="F94" s="119">
        <v>3040240</v>
      </c>
      <c r="G94" s="119"/>
      <c r="H94" s="119"/>
    </row>
    <row r="95" spans="2:8" s="549" customFormat="1">
      <c r="B95" s="179"/>
      <c r="C95" s="566" t="s">
        <v>2565</v>
      </c>
      <c r="D95" s="572" t="s">
        <v>2530</v>
      </c>
      <c r="E95" s="574">
        <v>3800300</v>
      </c>
      <c r="F95" s="119">
        <v>3040240</v>
      </c>
      <c r="G95" s="119"/>
      <c r="H95" s="119"/>
    </row>
    <row r="96" spans="2:8" s="549" customFormat="1">
      <c r="B96" s="179"/>
      <c r="C96" s="566" t="s">
        <v>2566</v>
      </c>
      <c r="D96" s="572" t="s">
        <v>2530</v>
      </c>
      <c r="E96" s="574">
        <v>3800000</v>
      </c>
      <c r="F96" s="119">
        <v>3040000</v>
      </c>
      <c r="G96" s="119"/>
      <c r="H96" s="119"/>
    </row>
    <row r="97" spans="2:8" s="549" customFormat="1">
      <c r="B97" s="179"/>
      <c r="C97" s="566" t="s">
        <v>2567</v>
      </c>
      <c r="D97" s="572" t="s">
        <v>2532</v>
      </c>
      <c r="E97" s="574">
        <v>3720235</v>
      </c>
      <c r="F97" s="119">
        <v>2976188</v>
      </c>
      <c r="G97" s="119"/>
      <c r="H97" s="119"/>
    </row>
    <row r="98" spans="2:8" s="549" customFormat="1">
      <c r="B98" s="179"/>
      <c r="C98" s="566" t="s">
        <v>2568</v>
      </c>
      <c r="D98" s="572" t="s">
        <v>2530</v>
      </c>
      <c r="E98" s="574">
        <v>3450639</v>
      </c>
      <c r="F98" s="119">
        <v>2760511</v>
      </c>
      <c r="G98" s="119"/>
      <c r="H98" s="119"/>
    </row>
    <row r="99" spans="2:8" s="549" customFormat="1">
      <c r="B99" s="179"/>
      <c r="C99" s="566" t="s">
        <v>2569</v>
      </c>
      <c r="D99" s="572" t="s">
        <v>2530</v>
      </c>
      <c r="E99" s="574">
        <v>3325000</v>
      </c>
      <c r="F99" s="119">
        <v>2660000</v>
      </c>
      <c r="G99" s="119"/>
      <c r="H99" s="119"/>
    </row>
    <row r="100" spans="2:8" s="549" customFormat="1">
      <c r="B100" s="179"/>
      <c r="C100" s="566" t="s">
        <v>2570</v>
      </c>
      <c r="D100" s="572" t="s">
        <v>2530</v>
      </c>
      <c r="E100" s="574">
        <v>3325000</v>
      </c>
      <c r="F100" s="119">
        <v>2660000</v>
      </c>
      <c r="G100" s="119"/>
      <c r="H100" s="119"/>
    </row>
    <row r="101" spans="2:8" s="549" customFormat="1">
      <c r="B101" s="179"/>
      <c r="C101" s="566" t="s">
        <v>2571</v>
      </c>
      <c r="D101" s="572" t="s">
        <v>2532</v>
      </c>
      <c r="E101" s="574">
        <v>3218716</v>
      </c>
      <c r="F101" s="119">
        <v>2574973</v>
      </c>
      <c r="G101" s="119"/>
      <c r="H101" s="119"/>
    </row>
    <row r="102" spans="2:8" s="549" customFormat="1">
      <c r="B102" s="179"/>
      <c r="C102" s="566" t="s">
        <v>2572</v>
      </c>
      <c r="D102" s="572" t="s">
        <v>2532</v>
      </c>
      <c r="E102" s="574">
        <v>3060733</v>
      </c>
      <c r="F102" s="119">
        <v>2448587</v>
      </c>
      <c r="G102" s="119"/>
      <c r="H102" s="119"/>
    </row>
    <row r="103" spans="2:8" s="549" customFormat="1">
      <c r="B103" s="179"/>
      <c r="C103" s="566" t="s">
        <v>2573</v>
      </c>
      <c r="D103" s="572" t="s">
        <v>2532</v>
      </c>
      <c r="E103" s="574">
        <v>3004935</v>
      </c>
      <c r="F103" s="119">
        <v>1201974</v>
      </c>
      <c r="G103" s="119"/>
      <c r="H103" s="119"/>
    </row>
    <row r="104" spans="2:8" s="549" customFormat="1">
      <c r="B104" s="179"/>
      <c r="C104" s="566" t="s">
        <v>2574</v>
      </c>
      <c r="D104" s="572" t="s">
        <v>2530</v>
      </c>
      <c r="E104" s="574">
        <v>2981611</v>
      </c>
      <c r="F104" s="119">
        <v>1192644</v>
      </c>
      <c r="G104" s="119"/>
      <c r="H104" s="119"/>
    </row>
    <row r="105" spans="2:8" s="549" customFormat="1">
      <c r="B105" s="179"/>
      <c r="C105" s="566" t="s">
        <v>2575</v>
      </c>
      <c r="D105" s="572" t="s">
        <v>2530</v>
      </c>
      <c r="E105" s="574">
        <v>2850450</v>
      </c>
      <c r="F105" s="119">
        <v>2280360</v>
      </c>
      <c r="G105" s="119"/>
      <c r="H105" s="119"/>
    </row>
    <row r="106" spans="2:8" s="549" customFormat="1">
      <c r="B106" s="179"/>
      <c r="C106" s="566" t="s">
        <v>2576</v>
      </c>
      <c r="D106" s="572" t="s">
        <v>2530</v>
      </c>
      <c r="E106" s="574">
        <v>2850000</v>
      </c>
      <c r="F106" s="119">
        <v>2280000</v>
      </c>
      <c r="G106" s="119"/>
      <c r="H106" s="119"/>
    </row>
    <row r="107" spans="2:8" s="549" customFormat="1">
      <c r="B107" s="179"/>
      <c r="C107" s="566" t="s">
        <v>2577</v>
      </c>
      <c r="D107" s="572" t="s">
        <v>2532</v>
      </c>
      <c r="E107" s="574">
        <v>2850000</v>
      </c>
      <c r="F107" s="119">
        <v>2280000</v>
      </c>
      <c r="G107" s="119"/>
      <c r="H107" s="119"/>
    </row>
    <row r="108" spans="2:8" s="549" customFormat="1">
      <c r="B108" s="179"/>
      <c r="C108" s="566" t="s">
        <v>2578</v>
      </c>
      <c r="D108" s="572" t="s">
        <v>2530</v>
      </c>
      <c r="E108" s="574">
        <v>2825150</v>
      </c>
      <c r="F108" s="119">
        <v>2260120</v>
      </c>
      <c r="G108" s="119"/>
      <c r="H108" s="119"/>
    </row>
    <row r="109" spans="2:8" s="549" customFormat="1">
      <c r="B109" s="570"/>
      <c r="C109" s="567" t="s">
        <v>2579</v>
      </c>
      <c r="D109" s="573" t="s">
        <v>2530</v>
      </c>
      <c r="E109" s="574">
        <v>2772535</v>
      </c>
      <c r="F109" s="119">
        <v>2218028</v>
      </c>
      <c r="G109" s="119"/>
      <c r="H109" s="119"/>
    </row>
    <row r="110" spans="2:8" s="549" customFormat="1">
      <c r="B110" s="852" t="s">
        <v>881</v>
      </c>
      <c r="C110" s="853"/>
      <c r="D110" s="854"/>
      <c r="E110" s="550">
        <f>SUM(E60:E109)</f>
        <v>217813506</v>
      </c>
      <c r="F110" s="195">
        <f>SUM(F60:F109)</f>
        <v>162726195</v>
      </c>
      <c r="G110" s="196">
        <f>SUM(G60:G109)</f>
        <v>0</v>
      </c>
      <c r="H110" s="345">
        <f>SUM(H60:H109)</f>
        <v>0</v>
      </c>
    </row>
    <row r="112" spans="2:8" s="549" customFormat="1" ht="15">
      <c r="B112" s="131"/>
      <c r="C112" s="862" t="s">
        <v>1910</v>
      </c>
      <c r="D112" s="862"/>
      <c r="E112" s="862"/>
      <c r="F112" s="862"/>
      <c r="G112" s="862"/>
      <c r="H112" s="862"/>
    </row>
    <row r="113" spans="2:8" s="549" customFormat="1" ht="23.25" customHeight="1">
      <c r="B113" s="156" t="s">
        <v>1892</v>
      </c>
      <c r="C113" s="49" t="s">
        <v>1975</v>
      </c>
      <c r="D113" s="568" t="s">
        <v>1893</v>
      </c>
      <c r="E113" s="551" t="s">
        <v>1894</v>
      </c>
      <c r="F113" s="551" t="s">
        <v>1895</v>
      </c>
      <c r="G113" s="551" t="s">
        <v>1896</v>
      </c>
      <c r="H113" s="551" t="s">
        <v>521</v>
      </c>
    </row>
    <row r="114" spans="2:8" s="549" customFormat="1">
      <c r="B114" s="569"/>
      <c r="C114" s="565"/>
      <c r="D114" s="571"/>
      <c r="E114" s="574"/>
      <c r="F114" s="140"/>
      <c r="G114" s="140"/>
      <c r="H114" s="141"/>
    </row>
    <row r="115" spans="2:8" s="549" customFormat="1">
      <c r="B115" s="179"/>
      <c r="C115" s="566"/>
      <c r="D115" s="572"/>
      <c r="E115" s="563"/>
      <c r="F115" s="118"/>
      <c r="G115" s="118"/>
      <c r="H115" s="118"/>
    </row>
    <row r="116" spans="2:8" s="549" customFormat="1">
      <c r="B116" s="179"/>
      <c r="C116" s="566"/>
      <c r="D116" s="572"/>
      <c r="E116" s="563"/>
      <c r="F116" s="118"/>
      <c r="G116" s="118"/>
      <c r="H116" s="118"/>
    </row>
    <row r="117" spans="2:8" s="549" customFormat="1">
      <c r="B117" s="180"/>
      <c r="C117" s="566"/>
      <c r="D117" s="572"/>
      <c r="E117" s="563"/>
      <c r="F117" s="118"/>
      <c r="G117" s="118"/>
      <c r="H117" s="118"/>
    </row>
    <row r="118" spans="2:8" s="549" customFormat="1">
      <c r="B118" s="180"/>
      <c r="C118" s="566"/>
      <c r="D118" s="572"/>
      <c r="E118" s="563"/>
      <c r="F118" s="118"/>
      <c r="G118" s="118"/>
      <c r="H118" s="118"/>
    </row>
    <row r="119" spans="2:8" s="549" customFormat="1">
      <c r="B119" s="180"/>
      <c r="C119" s="566"/>
      <c r="D119" s="572"/>
      <c r="E119" s="563"/>
      <c r="F119" s="118"/>
      <c r="G119" s="118"/>
      <c r="H119" s="118"/>
    </row>
    <row r="120" spans="2:8" s="549" customFormat="1">
      <c r="B120" s="180"/>
      <c r="C120" s="566"/>
      <c r="D120" s="572"/>
      <c r="E120" s="563"/>
      <c r="F120" s="118"/>
      <c r="G120" s="118"/>
      <c r="H120" s="118"/>
    </row>
    <row r="121" spans="2:8" s="549" customFormat="1">
      <c r="B121" s="180"/>
      <c r="C121" s="566"/>
      <c r="D121" s="572"/>
      <c r="E121" s="563"/>
      <c r="F121" s="118"/>
      <c r="G121" s="118"/>
      <c r="H121" s="118"/>
    </row>
    <row r="122" spans="2:8" s="549" customFormat="1">
      <c r="B122" s="180"/>
      <c r="C122" s="566"/>
      <c r="D122" s="572"/>
      <c r="E122" s="563"/>
      <c r="F122" s="119"/>
      <c r="G122" s="119"/>
      <c r="H122" s="119"/>
    </row>
    <row r="123" spans="2:8" s="549" customFormat="1">
      <c r="B123" s="179"/>
      <c r="C123" s="566"/>
      <c r="D123" s="572"/>
      <c r="E123" s="563"/>
      <c r="F123" s="119"/>
      <c r="G123" s="119"/>
      <c r="H123" s="119"/>
    </row>
    <row r="124" spans="2:8" s="549" customFormat="1">
      <c r="B124" s="179"/>
      <c r="C124" s="566"/>
      <c r="D124" s="572"/>
      <c r="E124" s="563"/>
      <c r="F124" s="119"/>
      <c r="G124" s="119"/>
      <c r="H124" s="119"/>
    </row>
    <row r="125" spans="2:8" s="549" customFormat="1">
      <c r="B125" s="179"/>
      <c r="C125" s="566"/>
      <c r="D125" s="572"/>
      <c r="E125" s="563"/>
      <c r="F125" s="119"/>
      <c r="G125" s="119"/>
      <c r="H125" s="119"/>
    </row>
    <row r="126" spans="2:8" s="549" customFormat="1">
      <c r="B126" s="179"/>
      <c r="C126" s="566"/>
      <c r="D126" s="572"/>
      <c r="E126" s="563"/>
      <c r="F126" s="119"/>
      <c r="G126" s="119"/>
      <c r="H126" s="119"/>
    </row>
    <row r="127" spans="2:8" s="549" customFormat="1">
      <c r="B127" s="179"/>
      <c r="C127" s="566"/>
      <c r="D127" s="572"/>
      <c r="E127" s="563"/>
      <c r="F127" s="119"/>
      <c r="G127" s="119"/>
      <c r="H127" s="119"/>
    </row>
    <row r="128" spans="2:8" s="549" customFormat="1">
      <c r="B128" s="179"/>
      <c r="C128" s="566"/>
      <c r="D128" s="572"/>
      <c r="E128" s="563"/>
      <c r="F128" s="119"/>
      <c r="G128" s="119"/>
      <c r="H128" s="119"/>
    </row>
    <row r="129" spans="2:8" s="549" customFormat="1">
      <c r="B129" s="179"/>
      <c r="C129" s="566"/>
      <c r="D129" s="572"/>
      <c r="E129" s="563"/>
      <c r="F129" s="119"/>
      <c r="G129" s="119"/>
      <c r="H129" s="119"/>
    </row>
    <row r="130" spans="2:8" s="549" customFormat="1">
      <c r="B130" s="179"/>
      <c r="C130" s="566"/>
      <c r="D130" s="572"/>
      <c r="E130" s="563"/>
      <c r="F130" s="119"/>
      <c r="G130" s="119"/>
      <c r="H130" s="119"/>
    </row>
    <row r="131" spans="2:8" s="549" customFormat="1">
      <c r="B131" s="179"/>
      <c r="C131" s="566"/>
      <c r="D131" s="572"/>
      <c r="E131" s="563"/>
      <c r="F131" s="119"/>
      <c r="G131" s="119"/>
      <c r="H131" s="119"/>
    </row>
    <row r="132" spans="2:8" s="549" customFormat="1">
      <c r="B132" s="179"/>
      <c r="C132" s="566"/>
      <c r="D132" s="572"/>
      <c r="E132" s="563"/>
      <c r="F132" s="119"/>
      <c r="G132" s="119"/>
      <c r="H132" s="119"/>
    </row>
    <row r="133" spans="2:8" s="549" customFormat="1">
      <c r="B133" s="179"/>
      <c r="C133" s="566"/>
      <c r="D133" s="572"/>
      <c r="E133" s="563"/>
      <c r="F133" s="119"/>
      <c r="G133" s="119"/>
      <c r="H133" s="119"/>
    </row>
    <row r="134" spans="2:8" s="549" customFormat="1">
      <c r="B134" s="179"/>
      <c r="C134" s="566"/>
      <c r="D134" s="572"/>
      <c r="E134" s="563"/>
      <c r="F134" s="119"/>
      <c r="G134" s="119"/>
      <c r="H134" s="119"/>
    </row>
    <row r="135" spans="2:8" s="549" customFormat="1">
      <c r="B135" s="179"/>
      <c r="C135" s="566"/>
      <c r="D135" s="572"/>
      <c r="E135" s="563"/>
      <c r="F135" s="119"/>
      <c r="G135" s="119"/>
      <c r="H135" s="119"/>
    </row>
    <row r="136" spans="2:8" s="549" customFormat="1">
      <c r="B136" s="179"/>
      <c r="C136" s="566"/>
      <c r="D136" s="572"/>
      <c r="E136" s="563"/>
      <c r="F136" s="119"/>
      <c r="G136" s="119"/>
      <c r="H136" s="119"/>
    </row>
    <row r="137" spans="2:8" s="549" customFormat="1">
      <c r="B137" s="179"/>
      <c r="C137" s="566"/>
      <c r="D137" s="572"/>
      <c r="E137" s="563"/>
      <c r="F137" s="119"/>
      <c r="G137" s="119"/>
      <c r="H137" s="119"/>
    </row>
    <row r="138" spans="2:8" s="549" customFormat="1">
      <c r="B138" s="179"/>
      <c r="C138" s="566"/>
      <c r="D138" s="572"/>
      <c r="E138" s="563"/>
      <c r="F138" s="119"/>
      <c r="G138" s="119"/>
      <c r="H138" s="119"/>
    </row>
    <row r="139" spans="2:8" s="549" customFormat="1">
      <c r="B139" s="179"/>
      <c r="C139" s="566"/>
      <c r="D139" s="572"/>
      <c r="E139" s="563"/>
      <c r="F139" s="119"/>
      <c r="G139" s="119"/>
      <c r="H139" s="119"/>
    </row>
    <row r="140" spans="2:8" s="549" customFormat="1">
      <c r="B140" s="179"/>
      <c r="C140" s="566"/>
      <c r="D140" s="572"/>
      <c r="E140" s="563"/>
      <c r="F140" s="119"/>
      <c r="G140" s="119"/>
      <c r="H140" s="119"/>
    </row>
    <row r="141" spans="2:8" s="549" customFormat="1">
      <c r="B141" s="179"/>
      <c r="C141" s="566"/>
      <c r="D141" s="572"/>
      <c r="E141" s="563"/>
      <c r="F141" s="119"/>
      <c r="G141" s="119"/>
      <c r="H141" s="119"/>
    </row>
    <row r="142" spans="2:8" s="549" customFormat="1">
      <c r="B142" s="179"/>
      <c r="C142" s="566"/>
      <c r="D142" s="572"/>
      <c r="E142" s="563"/>
      <c r="F142" s="119"/>
      <c r="G142" s="119"/>
      <c r="H142" s="119"/>
    </row>
    <row r="143" spans="2:8" s="549" customFormat="1">
      <c r="B143" s="179"/>
      <c r="C143" s="566"/>
      <c r="D143" s="572"/>
      <c r="E143" s="563"/>
      <c r="F143" s="119"/>
      <c r="G143" s="119"/>
      <c r="H143" s="119"/>
    </row>
    <row r="144" spans="2:8" s="549" customFormat="1">
      <c r="B144" s="179"/>
      <c r="C144" s="566"/>
      <c r="D144" s="572"/>
      <c r="E144" s="563"/>
      <c r="F144" s="119"/>
      <c r="G144" s="119"/>
      <c r="H144" s="119"/>
    </row>
    <row r="145" spans="2:8" s="549" customFormat="1">
      <c r="B145" s="179"/>
      <c r="C145" s="566"/>
      <c r="D145" s="572"/>
      <c r="E145" s="563"/>
      <c r="F145" s="119"/>
      <c r="G145" s="119"/>
      <c r="H145" s="119"/>
    </row>
    <row r="146" spans="2:8" s="549" customFormat="1">
      <c r="B146" s="179"/>
      <c r="C146" s="566"/>
      <c r="D146" s="572"/>
      <c r="E146" s="563"/>
      <c r="F146" s="119"/>
      <c r="G146" s="119"/>
      <c r="H146" s="119"/>
    </row>
    <row r="147" spans="2:8" s="549" customFormat="1">
      <c r="B147" s="179"/>
      <c r="C147" s="566"/>
      <c r="D147" s="572"/>
      <c r="E147" s="563"/>
      <c r="F147" s="119"/>
      <c r="G147" s="119"/>
      <c r="H147" s="119"/>
    </row>
    <row r="148" spans="2:8" s="549" customFormat="1">
      <c r="B148" s="179"/>
      <c r="C148" s="566"/>
      <c r="D148" s="572"/>
      <c r="E148" s="563"/>
      <c r="F148" s="119"/>
      <c r="G148" s="119"/>
      <c r="H148" s="119"/>
    </row>
    <row r="149" spans="2:8" s="549" customFormat="1">
      <c r="B149" s="179"/>
      <c r="C149" s="566"/>
      <c r="D149" s="572"/>
      <c r="E149" s="563"/>
      <c r="F149" s="119"/>
      <c r="G149" s="119"/>
      <c r="H149" s="119"/>
    </row>
    <row r="150" spans="2:8" s="549" customFormat="1">
      <c r="B150" s="179"/>
      <c r="C150" s="566"/>
      <c r="D150" s="572"/>
      <c r="E150" s="563"/>
      <c r="F150" s="119"/>
      <c r="G150" s="119"/>
      <c r="H150" s="119"/>
    </row>
    <row r="151" spans="2:8" s="549" customFormat="1">
      <c r="B151" s="179"/>
      <c r="C151" s="566"/>
      <c r="D151" s="572"/>
      <c r="E151" s="563"/>
      <c r="F151" s="119"/>
      <c r="G151" s="119"/>
      <c r="H151" s="119"/>
    </row>
    <row r="152" spans="2:8" s="549" customFormat="1">
      <c r="B152" s="179"/>
      <c r="C152" s="566"/>
      <c r="D152" s="572"/>
      <c r="E152" s="563"/>
      <c r="F152" s="119"/>
      <c r="G152" s="119"/>
      <c r="H152" s="119"/>
    </row>
    <row r="153" spans="2:8" s="549" customFormat="1">
      <c r="B153" s="179"/>
      <c r="C153" s="566"/>
      <c r="D153" s="572"/>
      <c r="E153" s="563"/>
      <c r="F153" s="119"/>
      <c r="G153" s="119"/>
      <c r="H153" s="119"/>
    </row>
    <row r="154" spans="2:8" s="549" customFormat="1">
      <c r="B154" s="179"/>
      <c r="C154" s="566"/>
      <c r="D154" s="572"/>
      <c r="E154" s="563"/>
      <c r="F154" s="119"/>
      <c r="G154" s="119"/>
      <c r="H154" s="119"/>
    </row>
    <row r="155" spans="2:8" s="549" customFormat="1">
      <c r="B155" s="179"/>
      <c r="C155" s="566"/>
      <c r="D155" s="572"/>
      <c r="E155" s="563"/>
      <c r="F155" s="119"/>
      <c r="G155" s="119"/>
      <c r="H155" s="119"/>
    </row>
    <row r="156" spans="2:8" s="549" customFormat="1">
      <c r="B156" s="179"/>
      <c r="C156" s="566"/>
      <c r="D156" s="572"/>
      <c r="E156" s="563"/>
      <c r="F156" s="119"/>
      <c r="G156" s="119"/>
      <c r="H156" s="119"/>
    </row>
    <row r="157" spans="2:8" s="549" customFormat="1">
      <c r="B157" s="179"/>
      <c r="C157" s="566"/>
      <c r="D157" s="572"/>
      <c r="E157" s="563"/>
      <c r="F157" s="119"/>
      <c r="G157" s="119"/>
      <c r="H157" s="119"/>
    </row>
    <row r="158" spans="2:8" s="549" customFormat="1">
      <c r="B158" s="179"/>
      <c r="C158" s="566"/>
      <c r="D158" s="572"/>
      <c r="E158" s="563"/>
      <c r="F158" s="119"/>
      <c r="G158" s="119"/>
      <c r="H158" s="119"/>
    </row>
    <row r="159" spans="2:8" s="549" customFormat="1">
      <c r="B159" s="179"/>
      <c r="C159" s="566"/>
      <c r="D159" s="572"/>
      <c r="E159" s="563"/>
      <c r="F159" s="119"/>
      <c r="G159" s="119"/>
      <c r="H159" s="119"/>
    </row>
    <row r="160" spans="2:8" s="549" customFormat="1">
      <c r="B160" s="179"/>
      <c r="C160" s="566"/>
      <c r="D160" s="572"/>
      <c r="E160" s="563"/>
      <c r="F160" s="119"/>
      <c r="G160" s="119"/>
      <c r="H160" s="119"/>
    </row>
    <row r="161" spans="2:8" s="549" customFormat="1">
      <c r="B161" s="179"/>
      <c r="C161" s="566"/>
      <c r="D161" s="572"/>
      <c r="E161" s="563"/>
      <c r="F161" s="119"/>
      <c r="G161" s="119"/>
      <c r="H161" s="119"/>
    </row>
    <row r="162" spans="2:8" s="549" customFormat="1">
      <c r="B162" s="179"/>
      <c r="C162" s="566"/>
      <c r="D162" s="572"/>
      <c r="E162" s="563"/>
      <c r="F162" s="119"/>
      <c r="G162" s="119"/>
      <c r="H162" s="119"/>
    </row>
    <row r="163" spans="2:8" s="549" customFormat="1">
      <c r="B163" s="570"/>
      <c r="C163" s="567"/>
      <c r="D163" s="573"/>
      <c r="E163" s="563"/>
      <c r="F163" s="119"/>
      <c r="G163" s="119"/>
      <c r="H163" s="119"/>
    </row>
    <row r="164" spans="2:8" s="549" customFormat="1">
      <c r="B164" s="852" t="s">
        <v>881</v>
      </c>
      <c r="C164" s="853"/>
      <c r="D164" s="854"/>
      <c r="E164" s="550">
        <f>SUM(E114:E163)</f>
        <v>0</v>
      </c>
      <c r="F164" s="195">
        <f>SUM(F114:F163)</f>
        <v>0</v>
      </c>
      <c r="G164" s="196">
        <f>SUM(G114:G163)</f>
        <v>0</v>
      </c>
      <c r="H164" s="345">
        <f>SUM(H114:H163)</f>
        <v>0</v>
      </c>
    </row>
    <row r="166" spans="2:8" s="549" customFormat="1" ht="15">
      <c r="B166" s="131"/>
      <c r="C166" s="827" t="s">
        <v>1911</v>
      </c>
      <c r="D166" s="827"/>
      <c r="E166" s="827"/>
      <c r="F166" s="827"/>
      <c r="H166" s="28"/>
    </row>
    <row r="167" spans="2:8" s="549" customFormat="1" ht="23.25" customHeight="1">
      <c r="B167" s="156" t="s">
        <v>1892</v>
      </c>
      <c r="C167" s="49" t="s">
        <v>1975</v>
      </c>
      <c r="D167" s="552" t="s">
        <v>1912</v>
      </c>
      <c r="E167" s="552" t="s">
        <v>1914</v>
      </c>
      <c r="F167" s="552" t="s">
        <v>1913</v>
      </c>
      <c r="G167" s="29"/>
    </row>
    <row r="168" spans="2:8" s="549" customFormat="1">
      <c r="B168" s="569"/>
      <c r="C168" s="565" t="s">
        <v>2479</v>
      </c>
      <c r="D168" s="574">
        <v>12330564</v>
      </c>
      <c r="E168" s="574"/>
      <c r="F168" s="140"/>
      <c r="G168" s="44"/>
    </row>
    <row r="169" spans="2:8" s="549" customFormat="1">
      <c r="B169" s="179"/>
      <c r="C169" s="566" t="s">
        <v>2480</v>
      </c>
      <c r="D169" s="574">
        <v>10524643</v>
      </c>
      <c r="E169" s="563"/>
      <c r="F169" s="118"/>
      <c r="G169" s="44"/>
    </row>
    <row r="170" spans="2:8" s="549" customFormat="1">
      <c r="B170" s="179"/>
      <c r="C170" s="566" t="s">
        <v>2481</v>
      </c>
      <c r="D170" s="574">
        <v>10250000</v>
      </c>
      <c r="E170" s="563"/>
      <c r="F170" s="118"/>
      <c r="G170" s="44"/>
    </row>
    <row r="171" spans="2:8" s="549" customFormat="1">
      <c r="B171" s="180"/>
      <c r="C171" s="566" t="s">
        <v>2482</v>
      </c>
      <c r="D171" s="574">
        <v>7075550</v>
      </c>
      <c r="E171" s="563"/>
      <c r="F171" s="118"/>
      <c r="G171" s="44"/>
    </row>
    <row r="172" spans="2:8" s="549" customFormat="1">
      <c r="B172" s="180"/>
      <c r="C172" s="566" t="s">
        <v>2483</v>
      </c>
      <c r="D172" s="574">
        <v>6847908</v>
      </c>
      <c r="E172" s="563"/>
      <c r="F172" s="118"/>
      <c r="G172" s="44"/>
    </row>
    <row r="173" spans="2:8" s="549" customFormat="1">
      <c r="B173" s="180"/>
      <c r="C173" s="566" t="s">
        <v>2484</v>
      </c>
      <c r="D173" s="574">
        <v>6473055</v>
      </c>
      <c r="E173" s="563"/>
      <c r="F173" s="118"/>
      <c r="G173" s="44"/>
    </row>
    <row r="174" spans="2:8" s="549" customFormat="1">
      <c r="B174" s="180"/>
      <c r="C174" s="566" t="s">
        <v>2485</v>
      </c>
      <c r="D174" s="574">
        <v>6189750</v>
      </c>
      <c r="E174" s="563"/>
      <c r="F174" s="118"/>
      <c r="G174" s="44"/>
    </row>
    <row r="175" spans="2:8" s="549" customFormat="1">
      <c r="B175" s="180"/>
      <c r="C175" s="566" t="s">
        <v>2486</v>
      </c>
      <c r="D175" s="574">
        <v>5804500</v>
      </c>
      <c r="E175" s="563"/>
      <c r="F175" s="118"/>
      <c r="G175" s="44"/>
    </row>
    <row r="176" spans="2:8" s="549" customFormat="1">
      <c r="B176" s="180"/>
      <c r="C176" s="566" t="s">
        <v>2487</v>
      </c>
      <c r="D176" s="574">
        <v>5246585</v>
      </c>
      <c r="E176" s="563"/>
      <c r="F176" s="119"/>
      <c r="G176" s="44"/>
    </row>
    <row r="177" spans="2:7" s="549" customFormat="1">
      <c r="B177" s="179"/>
      <c r="C177" s="566" t="s">
        <v>2488</v>
      </c>
      <c r="D177" s="574">
        <v>4924602</v>
      </c>
      <c r="E177" s="563"/>
      <c r="F177" s="119"/>
      <c r="G177" s="44"/>
    </row>
    <row r="178" spans="2:7" s="549" customFormat="1">
      <c r="B178" s="179"/>
      <c r="C178" s="566" t="s">
        <v>2489</v>
      </c>
      <c r="D178" s="574">
        <v>4922550</v>
      </c>
      <c r="E178" s="563"/>
      <c r="F178" s="119"/>
      <c r="G178" s="44"/>
    </row>
    <row r="179" spans="2:7" s="549" customFormat="1">
      <c r="B179" s="179"/>
      <c r="C179" s="566" t="s">
        <v>2490</v>
      </c>
      <c r="D179" s="574">
        <v>4877500</v>
      </c>
      <c r="E179" s="563"/>
      <c r="F179" s="119"/>
      <c r="G179" s="44"/>
    </row>
    <row r="180" spans="2:7" s="549" customFormat="1">
      <c r="B180" s="179"/>
      <c r="C180" s="566" t="s">
        <v>2491</v>
      </c>
      <c r="D180" s="574">
        <v>4850350</v>
      </c>
      <c r="E180" s="563"/>
      <c r="F180" s="119"/>
      <c r="G180" s="44"/>
    </row>
    <row r="181" spans="2:7" s="549" customFormat="1">
      <c r="B181" s="179"/>
      <c r="C181" s="566" t="s">
        <v>2492</v>
      </c>
      <c r="D181" s="574">
        <v>4500000</v>
      </c>
      <c r="E181" s="563"/>
      <c r="F181" s="119"/>
      <c r="G181" s="44"/>
    </row>
    <row r="182" spans="2:7" s="549" customFormat="1">
      <c r="B182" s="179"/>
      <c r="C182" s="566" t="s">
        <v>2493</v>
      </c>
      <c r="D182" s="574">
        <v>4465182</v>
      </c>
      <c r="E182" s="563"/>
      <c r="F182" s="119"/>
      <c r="G182" s="44"/>
    </row>
    <row r="183" spans="2:7" s="549" customFormat="1">
      <c r="B183" s="179"/>
      <c r="C183" s="566" t="s">
        <v>2494</v>
      </c>
      <c r="D183" s="574">
        <v>4302734</v>
      </c>
      <c r="E183" s="563"/>
      <c r="F183" s="119"/>
      <c r="G183" s="44"/>
    </row>
    <row r="184" spans="2:7" s="549" customFormat="1">
      <c r="B184" s="179"/>
      <c r="C184" s="566" t="s">
        <v>2495</v>
      </c>
      <c r="D184" s="574">
        <v>4273159</v>
      </c>
      <c r="E184" s="563"/>
      <c r="F184" s="119"/>
      <c r="G184" s="44"/>
    </row>
    <row r="185" spans="2:7" s="549" customFormat="1">
      <c r="B185" s="179"/>
      <c r="C185" s="566" t="s">
        <v>2496</v>
      </c>
      <c r="D185" s="574">
        <v>4185100</v>
      </c>
      <c r="E185" s="563"/>
      <c r="F185" s="119"/>
      <c r="G185" s="44"/>
    </row>
    <row r="186" spans="2:7" s="549" customFormat="1">
      <c r="B186" s="179"/>
      <c r="C186" s="566" t="s">
        <v>2497</v>
      </c>
      <c r="D186" s="574">
        <v>4115960</v>
      </c>
      <c r="E186" s="563"/>
      <c r="F186" s="119"/>
      <c r="G186" s="44"/>
    </row>
    <row r="187" spans="2:7" s="549" customFormat="1">
      <c r="B187" s="179"/>
      <c r="C187" s="566" t="s">
        <v>2498</v>
      </c>
      <c r="D187" s="574">
        <v>4052442</v>
      </c>
      <c r="E187" s="563"/>
      <c r="F187" s="119"/>
      <c r="G187" s="44"/>
    </row>
    <row r="188" spans="2:7" s="549" customFormat="1">
      <c r="B188" s="179"/>
      <c r="C188" s="566" t="s">
        <v>2499</v>
      </c>
      <c r="D188" s="574">
        <v>4015405</v>
      </c>
      <c r="E188" s="563"/>
      <c r="F188" s="119"/>
      <c r="G188" s="44"/>
    </row>
    <row r="189" spans="2:7" s="549" customFormat="1">
      <c r="B189" s="179"/>
      <c r="C189" s="566" t="s">
        <v>2500</v>
      </c>
      <c r="D189" s="574">
        <v>4004106</v>
      </c>
      <c r="E189" s="563"/>
      <c r="F189" s="119"/>
      <c r="G189" s="44"/>
    </row>
    <row r="190" spans="2:7" s="549" customFormat="1">
      <c r="B190" s="179"/>
      <c r="C190" s="566" t="s">
        <v>2501</v>
      </c>
      <c r="D190" s="574">
        <v>3921012</v>
      </c>
      <c r="E190" s="563"/>
      <c r="F190" s="119"/>
      <c r="G190" s="44"/>
    </row>
    <row r="191" spans="2:7" s="549" customFormat="1">
      <c r="B191" s="179"/>
      <c r="C191" s="566" t="s">
        <v>2502</v>
      </c>
      <c r="D191" s="574">
        <v>3747747</v>
      </c>
      <c r="E191" s="563"/>
      <c r="F191" s="119"/>
      <c r="G191" s="44"/>
    </row>
    <row r="192" spans="2:7" s="549" customFormat="1">
      <c r="B192" s="179"/>
      <c r="C192" s="566" t="s">
        <v>2503</v>
      </c>
      <c r="D192" s="574">
        <v>3648650</v>
      </c>
      <c r="E192" s="563"/>
      <c r="F192" s="119"/>
      <c r="G192" s="44"/>
    </row>
    <row r="193" spans="2:7" s="549" customFormat="1">
      <c r="B193" s="179"/>
      <c r="C193" s="566" t="s">
        <v>2504</v>
      </c>
      <c r="D193" s="574">
        <v>3565416</v>
      </c>
      <c r="E193" s="563"/>
      <c r="F193" s="119"/>
      <c r="G193" s="44"/>
    </row>
    <row r="194" spans="2:7" s="549" customFormat="1">
      <c r="B194" s="179"/>
      <c r="C194" s="566" t="s">
        <v>2505</v>
      </c>
      <c r="D194" s="574">
        <v>3515321</v>
      </c>
      <c r="E194" s="563"/>
      <c r="F194" s="119"/>
      <c r="G194" s="44"/>
    </row>
    <row r="195" spans="2:7" s="549" customFormat="1">
      <c r="B195" s="179"/>
      <c r="C195" s="566" t="s">
        <v>2506</v>
      </c>
      <c r="D195" s="574">
        <v>3500400</v>
      </c>
      <c r="E195" s="563"/>
      <c r="F195" s="119"/>
      <c r="G195" s="44"/>
    </row>
    <row r="196" spans="2:7" s="549" customFormat="1">
      <c r="B196" s="179"/>
      <c r="C196" s="566" t="s">
        <v>2507</v>
      </c>
      <c r="D196" s="574">
        <v>3500000</v>
      </c>
      <c r="E196" s="563"/>
      <c r="F196" s="119"/>
      <c r="G196" s="44"/>
    </row>
    <row r="197" spans="2:7" s="549" customFormat="1">
      <c r="B197" s="179"/>
      <c r="C197" s="566" t="s">
        <v>2508</v>
      </c>
      <c r="D197" s="574">
        <v>3495226</v>
      </c>
      <c r="E197" s="563"/>
      <c r="F197" s="119"/>
      <c r="G197" s="44"/>
    </row>
    <row r="198" spans="2:7" s="549" customFormat="1">
      <c r="B198" s="179"/>
      <c r="C198" s="566" t="s">
        <v>2509</v>
      </c>
      <c r="D198" s="574">
        <v>3355416</v>
      </c>
      <c r="E198" s="563"/>
      <c r="F198" s="119"/>
      <c r="G198" s="44"/>
    </row>
    <row r="199" spans="2:7" s="549" customFormat="1">
      <c r="B199" s="179"/>
      <c r="C199" s="566" t="s">
        <v>2510</v>
      </c>
      <c r="D199" s="574">
        <v>3325500</v>
      </c>
      <c r="E199" s="563"/>
      <c r="F199" s="119"/>
      <c r="G199" s="44"/>
    </row>
    <row r="200" spans="2:7" s="549" customFormat="1">
      <c r="B200" s="179"/>
      <c r="C200" s="566" t="s">
        <v>2511</v>
      </c>
      <c r="D200" s="574">
        <v>3301700</v>
      </c>
      <c r="E200" s="563"/>
      <c r="F200" s="119"/>
      <c r="G200" s="44"/>
    </row>
    <row r="201" spans="2:7" s="549" customFormat="1">
      <c r="B201" s="179"/>
      <c r="C201" s="566" t="s">
        <v>2512</v>
      </c>
      <c r="D201" s="574">
        <v>3281333</v>
      </c>
      <c r="E201" s="563"/>
      <c r="F201" s="119"/>
      <c r="G201" s="44"/>
    </row>
    <row r="202" spans="2:7" s="549" customFormat="1">
      <c r="B202" s="179"/>
      <c r="C202" s="566" t="s">
        <v>2513</v>
      </c>
      <c r="D202" s="574">
        <v>3223780</v>
      </c>
      <c r="E202" s="563"/>
      <c r="F202" s="119"/>
      <c r="G202" s="44"/>
    </row>
    <row r="203" spans="2:7" s="549" customFormat="1">
      <c r="B203" s="179"/>
      <c r="C203" s="566" t="s">
        <v>2514</v>
      </c>
      <c r="D203" s="574">
        <v>3154450</v>
      </c>
      <c r="E203" s="563"/>
      <c r="F203" s="119"/>
      <c r="G203" s="44"/>
    </row>
    <row r="204" spans="2:7" s="549" customFormat="1">
      <c r="B204" s="179"/>
      <c r="C204" s="566" t="s">
        <v>2515</v>
      </c>
      <c r="D204" s="574">
        <v>3069511</v>
      </c>
      <c r="E204" s="563"/>
      <c r="F204" s="119"/>
      <c r="G204" s="44"/>
    </row>
    <row r="205" spans="2:7" s="549" customFormat="1">
      <c r="B205" s="179"/>
      <c r="C205" s="566" t="s">
        <v>2516</v>
      </c>
      <c r="D205" s="574">
        <v>3001044</v>
      </c>
      <c r="E205" s="563"/>
      <c r="F205" s="119"/>
      <c r="G205" s="44"/>
    </row>
    <row r="206" spans="2:7" s="549" customFormat="1">
      <c r="B206" s="179"/>
      <c r="C206" s="566" t="s">
        <v>2517</v>
      </c>
      <c r="D206" s="574">
        <v>3000000</v>
      </c>
      <c r="E206" s="563"/>
      <c r="F206" s="119"/>
      <c r="G206" s="44"/>
    </row>
    <row r="207" spans="2:7" s="549" customFormat="1">
      <c r="B207" s="179"/>
      <c r="C207" s="566" t="s">
        <v>2518</v>
      </c>
      <c r="D207" s="574">
        <v>3000000</v>
      </c>
      <c r="E207" s="563"/>
      <c r="F207" s="119"/>
      <c r="G207" s="44"/>
    </row>
    <row r="208" spans="2:7" s="549" customFormat="1">
      <c r="B208" s="179"/>
      <c r="C208" s="566" t="s">
        <v>2519</v>
      </c>
      <c r="D208" s="574">
        <v>2992776</v>
      </c>
      <c r="E208" s="563"/>
      <c r="F208" s="119"/>
      <c r="G208" s="44"/>
    </row>
    <row r="209" spans="2:9" s="549" customFormat="1">
      <c r="B209" s="179"/>
      <c r="C209" s="566" t="s">
        <v>2520</v>
      </c>
      <c r="D209" s="574">
        <v>2982902</v>
      </c>
      <c r="E209" s="563"/>
      <c r="F209" s="119"/>
      <c r="G209" s="44"/>
    </row>
    <row r="210" spans="2:9" s="549" customFormat="1">
      <c r="B210" s="179"/>
      <c r="C210" s="566" t="s">
        <v>2521</v>
      </c>
      <c r="D210" s="574">
        <v>2960000</v>
      </c>
      <c r="E210" s="563"/>
      <c r="F210" s="119"/>
      <c r="G210" s="44"/>
    </row>
    <row r="211" spans="2:9" s="549" customFormat="1">
      <c r="B211" s="179"/>
      <c r="C211" s="566" t="s">
        <v>2522</v>
      </c>
      <c r="D211" s="574">
        <v>2902000</v>
      </c>
      <c r="E211" s="563"/>
      <c r="F211" s="119"/>
      <c r="G211" s="44"/>
    </row>
    <row r="212" spans="2:9" s="549" customFormat="1">
      <c r="B212" s="179"/>
      <c r="C212" s="566" t="s">
        <v>2523</v>
      </c>
      <c r="D212" s="574">
        <v>2810519</v>
      </c>
      <c r="E212" s="563"/>
      <c r="F212" s="119"/>
      <c r="G212" s="44"/>
    </row>
    <row r="213" spans="2:9" s="549" customFormat="1">
      <c r="B213" s="179"/>
      <c r="C213" s="566" t="s">
        <v>2524</v>
      </c>
      <c r="D213" s="574">
        <v>2657266</v>
      </c>
      <c r="E213" s="563"/>
      <c r="F213" s="119"/>
      <c r="G213" s="44"/>
    </row>
    <row r="214" spans="2:9" s="549" customFormat="1">
      <c r="B214" s="179"/>
      <c r="C214" s="566" t="s">
        <v>2525</v>
      </c>
      <c r="D214" s="574">
        <v>2616500</v>
      </c>
      <c r="E214" s="563"/>
      <c r="F214" s="119"/>
      <c r="G214" s="44"/>
    </row>
    <row r="215" spans="2:9" s="549" customFormat="1">
      <c r="B215" s="179"/>
      <c r="C215" s="566" t="s">
        <v>2526</v>
      </c>
      <c r="D215" s="574">
        <v>2502023</v>
      </c>
      <c r="E215" s="563"/>
      <c r="F215" s="119"/>
      <c r="G215" s="44"/>
    </row>
    <row r="216" spans="2:9" s="549" customFormat="1">
      <c r="B216" s="179"/>
      <c r="C216" s="566" t="s">
        <v>2527</v>
      </c>
      <c r="D216" s="574">
        <v>2500550</v>
      </c>
      <c r="E216" s="563"/>
      <c r="F216" s="119"/>
      <c r="G216" s="44"/>
    </row>
    <row r="217" spans="2:9" s="549" customFormat="1">
      <c r="B217" s="570"/>
      <c r="C217" s="567" t="s">
        <v>2528</v>
      </c>
      <c r="D217" s="574">
        <v>2500000</v>
      </c>
      <c r="E217" s="563"/>
      <c r="F217" s="119"/>
      <c r="G217" s="44"/>
    </row>
    <row r="218" spans="2:9" s="549" customFormat="1">
      <c r="B218" s="852" t="s">
        <v>881</v>
      </c>
      <c r="C218" s="853"/>
      <c r="D218" s="854"/>
      <c r="E218" s="550">
        <f>SUM(E168:E217)</f>
        <v>0</v>
      </c>
      <c r="F218" s="195">
        <f>SUM(F168:F217)</f>
        <v>0</v>
      </c>
      <c r="G218" s="67"/>
    </row>
    <row r="220" spans="2:9" s="549" customFormat="1" ht="15">
      <c r="B220" s="131"/>
      <c r="C220" s="862" t="s">
        <v>1919</v>
      </c>
      <c r="D220" s="862"/>
      <c r="E220" s="862"/>
      <c r="F220" s="862"/>
      <c r="G220" s="862"/>
      <c r="H220" s="862"/>
      <c r="I220" s="862"/>
    </row>
    <row r="221" spans="2:9" s="549" customFormat="1">
      <c r="B221" s="1352" t="s">
        <v>1892</v>
      </c>
      <c r="C221" s="1353" t="s">
        <v>1975</v>
      </c>
      <c r="D221" s="834" t="s">
        <v>1915</v>
      </c>
      <c r="E221" s="896"/>
      <c r="F221" s="896"/>
      <c r="G221" s="896"/>
      <c r="H221" s="896"/>
      <c r="I221" s="896"/>
    </row>
    <row r="222" spans="2:9" s="549" customFormat="1" ht="22">
      <c r="B222" s="837"/>
      <c r="C222" s="914"/>
      <c r="D222" s="654" t="s">
        <v>1972</v>
      </c>
      <c r="E222" s="654" t="s">
        <v>1973</v>
      </c>
      <c r="F222" s="654" t="s">
        <v>1974</v>
      </c>
      <c r="G222" s="654" t="s">
        <v>1916</v>
      </c>
      <c r="H222" s="654" t="s">
        <v>1917</v>
      </c>
      <c r="I222" s="654" t="s">
        <v>1918</v>
      </c>
    </row>
    <row r="223" spans="2:9" s="549" customFormat="1">
      <c r="B223" s="569"/>
      <c r="C223" s="565"/>
      <c r="D223" s="571"/>
      <c r="E223" s="574"/>
      <c r="F223" s="140"/>
      <c r="G223" s="140"/>
      <c r="H223" s="140"/>
      <c r="I223" s="140"/>
    </row>
    <row r="224" spans="2:9" s="549" customFormat="1">
      <c r="B224" s="179"/>
      <c r="C224" s="566"/>
      <c r="D224" s="572"/>
      <c r="E224" s="563"/>
      <c r="F224" s="118"/>
      <c r="G224" s="118"/>
      <c r="H224" s="118"/>
      <c r="I224" s="118"/>
    </row>
    <row r="225" spans="2:9" s="549" customFormat="1">
      <c r="B225" s="179"/>
      <c r="C225" s="566"/>
      <c r="D225" s="572"/>
      <c r="E225" s="563"/>
      <c r="F225" s="118"/>
      <c r="G225" s="118"/>
      <c r="H225" s="118"/>
      <c r="I225" s="118"/>
    </row>
    <row r="226" spans="2:9" s="549" customFormat="1">
      <c r="B226" s="180"/>
      <c r="C226" s="566"/>
      <c r="D226" s="572"/>
      <c r="E226" s="563"/>
      <c r="F226" s="118"/>
      <c r="G226" s="118"/>
      <c r="H226" s="118"/>
      <c r="I226" s="118"/>
    </row>
    <row r="227" spans="2:9" s="549" customFormat="1">
      <c r="B227" s="180"/>
      <c r="C227" s="566"/>
      <c r="D227" s="572"/>
      <c r="E227" s="563"/>
      <c r="F227" s="118"/>
      <c r="G227" s="118"/>
      <c r="H227" s="118"/>
      <c r="I227" s="118"/>
    </row>
    <row r="228" spans="2:9" s="549" customFormat="1">
      <c r="B228" s="180"/>
      <c r="C228" s="566"/>
      <c r="D228" s="572"/>
      <c r="E228" s="563"/>
      <c r="F228" s="118"/>
      <c r="G228" s="118"/>
      <c r="H228" s="118"/>
      <c r="I228" s="118"/>
    </row>
    <row r="229" spans="2:9" s="549" customFormat="1">
      <c r="B229" s="180"/>
      <c r="C229" s="566"/>
      <c r="D229" s="572"/>
      <c r="E229" s="563"/>
      <c r="F229" s="118"/>
      <c r="G229" s="118"/>
      <c r="H229" s="118"/>
      <c r="I229" s="118"/>
    </row>
    <row r="230" spans="2:9" s="549" customFormat="1">
      <c r="B230" s="180"/>
      <c r="C230" s="566"/>
      <c r="D230" s="572"/>
      <c r="E230" s="563"/>
      <c r="F230" s="118"/>
      <c r="G230" s="118"/>
      <c r="H230" s="118"/>
      <c r="I230" s="118"/>
    </row>
    <row r="231" spans="2:9" s="549" customFormat="1">
      <c r="B231" s="180"/>
      <c r="C231" s="566"/>
      <c r="D231" s="572"/>
      <c r="E231" s="563"/>
      <c r="F231" s="119"/>
      <c r="G231" s="119"/>
      <c r="H231" s="119"/>
      <c r="I231" s="119"/>
    </row>
    <row r="232" spans="2:9" s="549" customFormat="1">
      <c r="B232" s="179"/>
      <c r="C232" s="566"/>
      <c r="D232" s="572"/>
      <c r="E232" s="563"/>
      <c r="F232" s="119"/>
      <c r="G232" s="119"/>
      <c r="H232" s="119"/>
      <c r="I232" s="119"/>
    </row>
    <row r="233" spans="2:9" s="549" customFormat="1">
      <c r="B233" s="179"/>
      <c r="C233" s="566"/>
      <c r="D233" s="572"/>
      <c r="E233" s="563"/>
      <c r="F233" s="119"/>
      <c r="G233" s="119"/>
      <c r="H233" s="119"/>
      <c r="I233" s="119"/>
    </row>
    <row r="234" spans="2:9" s="549" customFormat="1">
      <c r="B234" s="179"/>
      <c r="C234" s="566"/>
      <c r="D234" s="572"/>
      <c r="E234" s="563"/>
      <c r="F234" s="119"/>
      <c r="G234" s="119"/>
      <c r="H234" s="119"/>
      <c r="I234" s="119"/>
    </row>
    <row r="235" spans="2:9" s="549" customFormat="1">
      <c r="B235" s="179"/>
      <c r="C235" s="566"/>
      <c r="D235" s="572"/>
      <c r="E235" s="563"/>
      <c r="F235" s="119"/>
      <c r="G235" s="119"/>
      <c r="H235" s="119"/>
      <c r="I235" s="119"/>
    </row>
    <row r="236" spans="2:9" s="549" customFormat="1">
      <c r="B236" s="179"/>
      <c r="C236" s="566"/>
      <c r="D236" s="572"/>
      <c r="E236" s="563"/>
      <c r="F236" s="119"/>
      <c r="G236" s="119"/>
      <c r="H236" s="119"/>
      <c r="I236" s="119"/>
    </row>
    <row r="237" spans="2:9" s="549" customFormat="1">
      <c r="B237" s="179"/>
      <c r="C237" s="566"/>
      <c r="D237" s="572"/>
      <c r="E237" s="563"/>
      <c r="F237" s="119"/>
      <c r="G237" s="119"/>
      <c r="H237" s="119"/>
      <c r="I237" s="119"/>
    </row>
    <row r="238" spans="2:9" s="549" customFormat="1">
      <c r="B238" s="179"/>
      <c r="C238" s="566"/>
      <c r="D238" s="572"/>
      <c r="E238" s="563"/>
      <c r="F238" s="119"/>
      <c r="G238" s="119"/>
      <c r="H238" s="119"/>
      <c r="I238" s="119"/>
    </row>
    <row r="239" spans="2:9" s="549" customFormat="1">
      <c r="B239" s="179"/>
      <c r="C239" s="566"/>
      <c r="D239" s="572"/>
      <c r="E239" s="563"/>
      <c r="F239" s="119"/>
      <c r="G239" s="119"/>
      <c r="H239" s="119"/>
      <c r="I239" s="119"/>
    </row>
    <row r="240" spans="2:9" s="549" customFormat="1">
      <c r="B240" s="179"/>
      <c r="C240" s="566"/>
      <c r="D240" s="572"/>
      <c r="E240" s="563"/>
      <c r="F240" s="119"/>
      <c r="G240" s="119"/>
      <c r="H240" s="119"/>
      <c r="I240" s="119"/>
    </row>
    <row r="241" spans="2:9" s="549" customFormat="1">
      <c r="B241" s="179"/>
      <c r="C241" s="566"/>
      <c r="D241" s="572"/>
      <c r="E241" s="563"/>
      <c r="F241" s="119"/>
      <c r="G241" s="119"/>
      <c r="H241" s="119"/>
      <c r="I241" s="119"/>
    </row>
    <row r="242" spans="2:9" s="549" customFormat="1">
      <c r="B242" s="179"/>
      <c r="C242" s="566"/>
      <c r="D242" s="572"/>
      <c r="E242" s="563"/>
      <c r="F242" s="119"/>
      <c r="G242" s="119"/>
      <c r="H242" s="119"/>
      <c r="I242" s="119"/>
    </row>
    <row r="243" spans="2:9" s="549" customFormat="1">
      <c r="B243" s="179"/>
      <c r="C243" s="566"/>
      <c r="D243" s="572"/>
      <c r="E243" s="563"/>
      <c r="F243" s="119"/>
      <c r="G243" s="119"/>
      <c r="H243" s="119"/>
      <c r="I243" s="119"/>
    </row>
    <row r="244" spans="2:9" s="549" customFormat="1">
      <c r="B244" s="179"/>
      <c r="C244" s="566"/>
      <c r="D244" s="572"/>
      <c r="E244" s="563"/>
      <c r="F244" s="119"/>
      <c r="G244" s="119"/>
      <c r="H244" s="119"/>
      <c r="I244" s="119"/>
    </row>
    <row r="245" spans="2:9" s="549" customFormat="1">
      <c r="B245" s="179"/>
      <c r="C245" s="566"/>
      <c r="D245" s="572"/>
      <c r="E245" s="563"/>
      <c r="F245" s="119"/>
      <c r="G245" s="119"/>
      <c r="H245" s="119"/>
      <c r="I245" s="119"/>
    </row>
    <row r="246" spans="2:9" s="549" customFormat="1">
      <c r="B246" s="179"/>
      <c r="C246" s="566"/>
      <c r="D246" s="572"/>
      <c r="E246" s="563"/>
      <c r="F246" s="119"/>
      <c r="G246" s="119"/>
      <c r="H246" s="119"/>
      <c r="I246" s="119"/>
    </row>
    <row r="247" spans="2:9" s="549" customFormat="1">
      <c r="B247" s="179"/>
      <c r="C247" s="566"/>
      <c r="D247" s="572"/>
      <c r="E247" s="563"/>
      <c r="F247" s="119"/>
      <c r="G247" s="119"/>
      <c r="H247" s="119"/>
      <c r="I247" s="119"/>
    </row>
    <row r="248" spans="2:9" s="549" customFormat="1">
      <c r="B248" s="179"/>
      <c r="C248" s="566"/>
      <c r="D248" s="572"/>
      <c r="E248" s="563"/>
      <c r="F248" s="119"/>
      <c r="G248" s="119"/>
      <c r="H248" s="119"/>
      <c r="I248" s="119"/>
    </row>
    <row r="249" spans="2:9" s="549" customFormat="1">
      <c r="B249" s="179"/>
      <c r="C249" s="566"/>
      <c r="D249" s="572"/>
      <c r="E249" s="563"/>
      <c r="F249" s="119"/>
      <c r="G249" s="119"/>
      <c r="H249" s="119"/>
      <c r="I249" s="119"/>
    </row>
    <row r="250" spans="2:9" s="549" customFormat="1">
      <c r="B250" s="179"/>
      <c r="C250" s="566"/>
      <c r="D250" s="572"/>
      <c r="E250" s="563"/>
      <c r="F250" s="119"/>
      <c r="G250" s="119"/>
      <c r="H250" s="119"/>
      <c r="I250" s="119"/>
    </row>
    <row r="251" spans="2:9" s="549" customFormat="1">
      <c r="B251" s="179"/>
      <c r="C251" s="566"/>
      <c r="D251" s="572"/>
      <c r="E251" s="563"/>
      <c r="F251" s="119"/>
      <c r="G251" s="119"/>
      <c r="H251" s="119"/>
      <c r="I251" s="119"/>
    </row>
    <row r="252" spans="2:9" s="549" customFormat="1">
      <c r="B252" s="179"/>
      <c r="C252" s="566"/>
      <c r="D252" s="572"/>
      <c r="E252" s="563"/>
      <c r="F252" s="119"/>
      <c r="G252" s="119"/>
      <c r="H252" s="119"/>
      <c r="I252" s="119"/>
    </row>
    <row r="253" spans="2:9" s="549" customFormat="1">
      <c r="B253" s="179"/>
      <c r="C253" s="566"/>
      <c r="D253" s="572"/>
      <c r="E253" s="563"/>
      <c r="F253" s="119"/>
      <c r="G253" s="119"/>
      <c r="H253" s="119"/>
      <c r="I253" s="119"/>
    </row>
    <row r="254" spans="2:9" s="549" customFormat="1">
      <c r="B254" s="179"/>
      <c r="C254" s="566"/>
      <c r="D254" s="572"/>
      <c r="E254" s="563"/>
      <c r="F254" s="119"/>
      <c r="G254" s="119"/>
      <c r="H254" s="119"/>
      <c r="I254" s="119"/>
    </row>
    <row r="255" spans="2:9" s="549" customFormat="1">
      <c r="B255" s="179"/>
      <c r="C255" s="566"/>
      <c r="D255" s="572"/>
      <c r="E255" s="563"/>
      <c r="F255" s="119"/>
      <c r="G255" s="119"/>
      <c r="H255" s="119"/>
      <c r="I255" s="119"/>
    </row>
    <row r="256" spans="2:9" s="549" customFormat="1">
      <c r="B256" s="179"/>
      <c r="C256" s="566"/>
      <c r="D256" s="572"/>
      <c r="E256" s="563"/>
      <c r="F256" s="119"/>
      <c r="G256" s="119"/>
      <c r="H256" s="119"/>
      <c r="I256" s="119"/>
    </row>
    <row r="257" spans="2:9" s="549" customFormat="1">
      <c r="B257" s="179"/>
      <c r="C257" s="566"/>
      <c r="D257" s="572"/>
      <c r="E257" s="563"/>
      <c r="F257" s="119"/>
      <c r="G257" s="119"/>
      <c r="H257" s="119"/>
      <c r="I257" s="119"/>
    </row>
    <row r="258" spans="2:9" s="549" customFormat="1">
      <c r="B258" s="179"/>
      <c r="C258" s="566"/>
      <c r="D258" s="572"/>
      <c r="E258" s="563"/>
      <c r="F258" s="119"/>
      <c r="G258" s="119"/>
      <c r="H258" s="119"/>
      <c r="I258" s="119"/>
    </row>
    <row r="259" spans="2:9" s="549" customFormat="1">
      <c r="B259" s="179"/>
      <c r="C259" s="566"/>
      <c r="D259" s="572"/>
      <c r="E259" s="563"/>
      <c r="F259" s="119"/>
      <c r="G259" s="119"/>
      <c r="H259" s="119"/>
      <c r="I259" s="119"/>
    </row>
    <row r="260" spans="2:9" s="549" customFormat="1">
      <c r="B260" s="179"/>
      <c r="C260" s="566"/>
      <c r="D260" s="572"/>
      <c r="E260" s="563"/>
      <c r="F260" s="119"/>
      <c r="G260" s="119"/>
      <c r="H260" s="119"/>
      <c r="I260" s="119"/>
    </row>
    <row r="261" spans="2:9" s="549" customFormat="1">
      <c r="B261" s="179"/>
      <c r="C261" s="566"/>
      <c r="D261" s="572"/>
      <c r="E261" s="563"/>
      <c r="F261" s="119"/>
      <c r="G261" s="119"/>
      <c r="H261" s="119"/>
      <c r="I261" s="119"/>
    </row>
    <row r="262" spans="2:9" s="549" customFormat="1">
      <c r="B262" s="179"/>
      <c r="C262" s="566"/>
      <c r="D262" s="572"/>
      <c r="E262" s="563"/>
      <c r="F262" s="119"/>
      <c r="G262" s="119"/>
      <c r="H262" s="119"/>
      <c r="I262" s="119"/>
    </row>
    <row r="263" spans="2:9" s="549" customFormat="1">
      <c r="B263" s="179"/>
      <c r="C263" s="566"/>
      <c r="D263" s="572"/>
      <c r="E263" s="563"/>
      <c r="F263" s="119"/>
      <c r="G263" s="119"/>
      <c r="H263" s="119"/>
      <c r="I263" s="119"/>
    </row>
    <row r="264" spans="2:9" s="549" customFormat="1">
      <c r="B264" s="179"/>
      <c r="C264" s="566"/>
      <c r="D264" s="572"/>
      <c r="E264" s="563"/>
      <c r="F264" s="119"/>
      <c r="G264" s="119"/>
      <c r="H264" s="119"/>
      <c r="I264" s="119"/>
    </row>
    <row r="265" spans="2:9" s="549" customFormat="1">
      <c r="B265" s="179"/>
      <c r="C265" s="566"/>
      <c r="D265" s="572"/>
      <c r="E265" s="563"/>
      <c r="F265" s="119"/>
      <c r="G265" s="119"/>
      <c r="H265" s="119"/>
      <c r="I265" s="119"/>
    </row>
    <row r="266" spans="2:9" s="549" customFormat="1">
      <c r="B266" s="179"/>
      <c r="C266" s="566"/>
      <c r="D266" s="572"/>
      <c r="E266" s="563"/>
      <c r="F266" s="119"/>
      <c r="G266" s="119"/>
      <c r="H266" s="119"/>
      <c r="I266" s="119"/>
    </row>
    <row r="267" spans="2:9" s="549" customFormat="1">
      <c r="B267" s="179"/>
      <c r="C267" s="566"/>
      <c r="D267" s="572"/>
      <c r="E267" s="563"/>
      <c r="F267" s="119"/>
      <c r="G267" s="119"/>
      <c r="H267" s="119"/>
      <c r="I267" s="119"/>
    </row>
    <row r="268" spans="2:9" s="549" customFormat="1">
      <c r="B268" s="179"/>
      <c r="C268" s="566"/>
      <c r="D268" s="572"/>
      <c r="E268" s="563"/>
      <c r="F268" s="119"/>
      <c r="G268" s="119"/>
      <c r="H268" s="119"/>
      <c r="I268" s="119"/>
    </row>
    <row r="269" spans="2:9" s="549" customFormat="1">
      <c r="B269" s="179"/>
      <c r="C269" s="566"/>
      <c r="D269" s="572"/>
      <c r="E269" s="563"/>
      <c r="F269" s="119"/>
      <c r="G269" s="119"/>
      <c r="H269" s="119"/>
      <c r="I269" s="119"/>
    </row>
    <row r="270" spans="2:9" s="549" customFormat="1">
      <c r="B270" s="179"/>
      <c r="C270" s="566"/>
      <c r="D270" s="572"/>
      <c r="E270" s="563"/>
      <c r="F270" s="119"/>
      <c r="G270" s="119"/>
      <c r="H270" s="119"/>
      <c r="I270" s="119"/>
    </row>
    <row r="271" spans="2:9" s="549" customFormat="1">
      <c r="B271" s="179"/>
      <c r="C271" s="566"/>
      <c r="D271" s="572"/>
      <c r="E271" s="563"/>
      <c r="F271" s="119"/>
      <c r="G271" s="119"/>
      <c r="H271" s="119"/>
      <c r="I271" s="119"/>
    </row>
    <row r="272" spans="2:9" s="549" customFormat="1">
      <c r="B272" s="570"/>
      <c r="C272" s="567"/>
      <c r="D272" s="573"/>
      <c r="E272" s="563"/>
      <c r="F272" s="119"/>
      <c r="G272" s="119"/>
      <c r="H272" s="119"/>
      <c r="I272" s="119"/>
    </row>
    <row r="273" spans="2:9" s="549" customFormat="1">
      <c r="B273" s="852" t="s">
        <v>881</v>
      </c>
      <c r="C273" s="853"/>
      <c r="D273" s="854"/>
      <c r="E273" s="550">
        <f>SUM(E223:E272)</f>
        <v>0</v>
      </c>
      <c r="F273" s="195">
        <f>SUM(F223:F272)</f>
        <v>0</v>
      </c>
      <c r="G273" s="195">
        <f>SUM(G223:G272)</f>
        <v>0</v>
      </c>
      <c r="H273" s="195">
        <f>SUM(H223:H272)</f>
        <v>0</v>
      </c>
      <c r="I273" s="195">
        <f>SUM(I223:I272)</f>
        <v>0</v>
      </c>
    </row>
    <row r="275" spans="2:9" s="549" customFormat="1" ht="15">
      <c r="B275" s="131"/>
      <c r="C275" s="862" t="s">
        <v>1920</v>
      </c>
      <c r="D275" s="862"/>
      <c r="E275" s="862"/>
      <c r="F275" s="862"/>
      <c r="G275" s="862"/>
      <c r="H275" s="862"/>
      <c r="I275" s="862"/>
    </row>
    <row r="276" spans="2:9" s="549" customFormat="1">
      <c r="B276" s="1352" t="s">
        <v>1892</v>
      </c>
      <c r="C276" s="1353" t="s">
        <v>520</v>
      </c>
      <c r="D276" s="834" t="s">
        <v>1921</v>
      </c>
      <c r="E276" s="896"/>
      <c r="F276" s="896"/>
      <c r="G276" s="896"/>
      <c r="H276" s="896"/>
      <c r="I276" s="896"/>
    </row>
    <row r="277" spans="2:9" s="549" customFormat="1" ht="22">
      <c r="B277" s="837"/>
      <c r="C277" s="914"/>
      <c r="D277" s="654" t="s">
        <v>1972</v>
      </c>
      <c r="E277" s="654" t="s">
        <v>1973</v>
      </c>
      <c r="F277" s="654" t="s">
        <v>1974</v>
      </c>
      <c r="G277" s="654" t="s">
        <v>1916</v>
      </c>
      <c r="H277" s="654" t="s">
        <v>1917</v>
      </c>
      <c r="I277" s="654" t="s">
        <v>1918</v>
      </c>
    </row>
    <row r="278" spans="2:9" s="549" customFormat="1">
      <c r="B278" s="569"/>
      <c r="C278" s="565"/>
      <c r="D278" s="571"/>
      <c r="E278" s="574"/>
      <c r="F278" s="140"/>
      <c r="G278" s="140"/>
      <c r="H278" s="140"/>
      <c r="I278" s="140"/>
    </row>
    <row r="279" spans="2:9" s="549" customFormat="1">
      <c r="B279" s="179"/>
      <c r="C279" s="566"/>
      <c r="D279" s="572"/>
      <c r="E279" s="658"/>
      <c r="F279" s="118"/>
      <c r="G279" s="118"/>
      <c r="H279" s="118"/>
      <c r="I279" s="118"/>
    </row>
    <row r="280" spans="2:9" s="549" customFormat="1">
      <c r="B280" s="179"/>
      <c r="C280" s="566"/>
      <c r="D280" s="572"/>
      <c r="E280" s="658"/>
      <c r="F280" s="118"/>
      <c r="G280" s="118"/>
      <c r="H280" s="118"/>
      <c r="I280" s="118"/>
    </row>
    <row r="281" spans="2:9" s="549" customFormat="1">
      <c r="B281" s="180"/>
      <c r="C281" s="566"/>
      <c r="D281" s="572"/>
      <c r="E281" s="658"/>
      <c r="F281" s="118"/>
      <c r="G281" s="118"/>
      <c r="H281" s="118"/>
      <c r="I281" s="118"/>
    </row>
    <row r="282" spans="2:9" s="549" customFormat="1">
      <c r="B282" s="180"/>
      <c r="C282" s="566"/>
      <c r="D282" s="572"/>
      <c r="E282" s="658"/>
      <c r="F282" s="118"/>
      <c r="G282" s="118"/>
      <c r="H282" s="118"/>
      <c r="I282" s="118"/>
    </row>
    <row r="283" spans="2:9" s="549" customFormat="1">
      <c r="B283" s="180"/>
      <c r="C283" s="566"/>
      <c r="D283" s="572"/>
      <c r="E283" s="658"/>
      <c r="F283" s="118"/>
      <c r="G283" s="118"/>
      <c r="H283" s="118"/>
      <c r="I283" s="118"/>
    </row>
    <row r="284" spans="2:9" s="549" customFormat="1">
      <c r="B284" s="180"/>
      <c r="C284" s="566"/>
      <c r="D284" s="572"/>
      <c r="E284" s="658"/>
      <c r="F284" s="118"/>
      <c r="G284" s="118"/>
      <c r="H284" s="118"/>
      <c r="I284" s="118"/>
    </row>
    <row r="285" spans="2:9" s="549" customFormat="1">
      <c r="B285" s="180"/>
      <c r="C285" s="566"/>
      <c r="D285" s="572"/>
      <c r="E285" s="658"/>
      <c r="F285" s="118"/>
      <c r="G285" s="118"/>
      <c r="H285" s="118"/>
      <c r="I285" s="118"/>
    </row>
    <row r="286" spans="2:9" s="549" customFormat="1">
      <c r="B286" s="180"/>
      <c r="C286" s="566"/>
      <c r="D286" s="572"/>
      <c r="E286" s="658"/>
      <c r="F286" s="119"/>
      <c r="G286" s="119"/>
      <c r="H286" s="119"/>
      <c r="I286" s="119"/>
    </row>
    <row r="287" spans="2:9" s="549" customFormat="1">
      <c r="B287" s="179"/>
      <c r="C287" s="566"/>
      <c r="D287" s="572"/>
      <c r="E287" s="658"/>
      <c r="F287" s="119"/>
      <c r="G287" s="119"/>
      <c r="H287" s="119"/>
      <c r="I287" s="119"/>
    </row>
    <row r="288" spans="2:9" s="549" customFormat="1">
      <c r="B288" s="179"/>
      <c r="C288" s="566"/>
      <c r="D288" s="572"/>
      <c r="E288" s="658"/>
      <c r="F288" s="119"/>
      <c r="G288" s="119"/>
      <c r="H288" s="119"/>
      <c r="I288" s="119"/>
    </row>
    <row r="289" spans="2:9" s="549" customFormat="1">
      <c r="B289" s="179"/>
      <c r="C289" s="566"/>
      <c r="D289" s="572"/>
      <c r="E289" s="658"/>
      <c r="F289" s="119"/>
      <c r="G289" s="119"/>
      <c r="H289" s="119"/>
      <c r="I289" s="119"/>
    </row>
    <row r="290" spans="2:9" s="549" customFormat="1">
      <c r="B290" s="179"/>
      <c r="C290" s="566"/>
      <c r="D290" s="572"/>
      <c r="E290" s="658"/>
      <c r="F290" s="119"/>
      <c r="G290" s="119"/>
      <c r="H290" s="119"/>
      <c r="I290" s="119"/>
    </row>
    <row r="291" spans="2:9" s="549" customFormat="1">
      <c r="B291" s="179"/>
      <c r="C291" s="566"/>
      <c r="D291" s="572"/>
      <c r="E291" s="658"/>
      <c r="F291" s="119"/>
      <c r="G291" s="119"/>
      <c r="H291" s="119"/>
      <c r="I291" s="119"/>
    </row>
    <row r="292" spans="2:9" s="549" customFormat="1">
      <c r="B292" s="179"/>
      <c r="C292" s="566"/>
      <c r="D292" s="572"/>
      <c r="E292" s="658"/>
      <c r="F292" s="119"/>
      <c r="G292" s="119"/>
      <c r="H292" s="119"/>
      <c r="I292" s="119"/>
    </row>
    <row r="293" spans="2:9" s="549" customFormat="1">
      <c r="B293" s="179"/>
      <c r="C293" s="566"/>
      <c r="D293" s="572"/>
      <c r="E293" s="658"/>
      <c r="F293" s="119"/>
      <c r="G293" s="119"/>
      <c r="H293" s="119"/>
      <c r="I293" s="119"/>
    </row>
    <row r="294" spans="2:9" s="549" customFormat="1">
      <c r="B294" s="179"/>
      <c r="C294" s="566"/>
      <c r="D294" s="572"/>
      <c r="E294" s="658"/>
      <c r="F294" s="119"/>
      <c r="G294" s="119"/>
      <c r="H294" s="119"/>
      <c r="I294" s="119"/>
    </row>
    <row r="295" spans="2:9" s="549" customFormat="1">
      <c r="B295" s="179"/>
      <c r="C295" s="566"/>
      <c r="D295" s="572"/>
      <c r="E295" s="658"/>
      <c r="F295" s="119"/>
      <c r="G295" s="119"/>
      <c r="H295" s="119"/>
      <c r="I295" s="119"/>
    </row>
    <row r="296" spans="2:9" s="549" customFormat="1">
      <c r="B296" s="179"/>
      <c r="C296" s="566"/>
      <c r="D296" s="572"/>
      <c r="E296" s="658"/>
      <c r="F296" s="119"/>
      <c r="G296" s="119"/>
      <c r="H296" s="119"/>
      <c r="I296" s="119"/>
    </row>
    <row r="297" spans="2:9" s="549" customFormat="1">
      <c r="B297" s="179"/>
      <c r="C297" s="566"/>
      <c r="D297" s="572"/>
      <c r="E297" s="658"/>
      <c r="F297" s="119"/>
      <c r="G297" s="119"/>
      <c r="H297" s="119"/>
      <c r="I297" s="119"/>
    </row>
    <row r="298" spans="2:9" s="549" customFormat="1">
      <c r="B298" s="179"/>
      <c r="C298" s="566"/>
      <c r="D298" s="572"/>
      <c r="E298" s="658"/>
      <c r="F298" s="119"/>
      <c r="G298" s="119"/>
      <c r="H298" s="119"/>
      <c r="I298" s="119"/>
    </row>
    <row r="299" spans="2:9" s="549" customFormat="1">
      <c r="B299" s="179"/>
      <c r="C299" s="566"/>
      <c r="D299" s="572"/>
      <c r="E299" s="658"/>
      <c r="F299" s="119"/>
      <c r="G299" s="119"/>
      <c r="H299" s="119"/>
      <c r="I299" s="119"/>
    </row>
    <row r="300" spans="2:9" s="549" customFormat="1">
      <c r="B300" s="179"/>
      <c r="C300" s="566"/>
      <c r="D300" s="572"/>
      <c r="E300" s="658"/>
      <c r="F300" s="119"/>
      <c r="G300" s="119"/>
      <c r="H300" s="119"/>
      <c r="I300" s="119"/>
    </row>
    <row r="301" spans="2:9" s="549" customFormat="1">
      <c r="B301" s="179"/>
      <c r="C301" s="566"/>
      <c r="D301" s="572"/>
      <c r="E301" s="658"/>
      <c r="F301" s="119"/>
      <c r="G301" s="119"/>
      <c r="H301" s="119"/>
      <c r="I301" s="119"/>
    </row>
    <row r="302" spans="2:9" s="549" customFormat="1">
      <c r="B302" s="179"/>
      <c r="C302" s="566"/>
      <c r="D302" s="572"/>
      <c r="E302" s="658"/>
      <c r="F302" s="119"/>
      <c r="G302" s="119"/>
      <c r="H302" s="119"/>
      <c r="I302" s="119"/>
    </row>
    <row r="303" spans="2:9" s="549" customFormat="1">
      <c r="B303" s="179"/>
      <c r="C303" s="566"/>
      <c r="D303" s="572"/>
      <c r="E303" s="658"/>
      <c r="F303" s="119"/>
      <c r="G303" s="119"/>
      <c r="H303" s="119"/>
      <c r="I303" s="119"/>
    </row>
    <row r="304" spans="2:9" s="549" customFormat="1">
      <c r="B304" s="179"/>
      <c r="C304" s="566"/>
      <c r="D304" s="572"/>
      <c r="E304" s="658"/>
      <c r="F304" s="119"/>
      <c r="G304" s="119"/>
      <c r="H304" s="119"/>
      <c r="I304" s="119"/>
    </row>
    <row r="305" spans="2:9" s="549" customFormat="1">
      <c r="B305" s="179"/>
      <c r="C305" s="566"/>
      <c r="D305" s="572"/>
      <c r="E305" s="658"/>
      <c r="F305" s="119"/>
      <c r="G305" s="119"/>
      <c r="H305" s="119"/>
      <c r="I305" s="119"/>
    </row>
    <row r="306" spans="2:9" s="549" customFormat="1">
      <c r="B306" s="179"/>
      <c r="C306" s="566"/>
      <c r="D306" s="572"/>
      <c r="E306" s="658"/>
      <c r="F306" s="119"/>
      <c r="G306" s="119"/>
      <c r="H306" s="119"/>
      <c r="I306" s="119"/>
    </row>
    <row r="307" spans="2:9" s="549" customFormat="1">
      <c r="B307" s="179"/>
      <c r="C307" s="566"/>
      <c r="D307" s="572"/>
      <c r="E307" s="658"/>
      <c r="F307" s="119"/>
      <c r="G307" s="119"/>
      <c r="H307" s="119"/>
      <c r="I307" s="119"/>
    </row>
    <row r="308" spans="2:9" s="549" customFormat="1">
      <c r="B308" s="179"/>
      <c r="C308" s="566"/>
      <c r="D308" s="572"/>
      <c r="E308" s="658"/>
      <c r="F308" s="119"/>
      <c r="G308" s="119"/>
      <c r="H308" s="119"/>
      <c r="I308" s="119"/>
    </row>
    <row r="309" spans="2:9" s="549" customFormat="1">
      <c r="B309" s="179"/>
      <c r="C309" s="566"/>
      <c r="D309" s="572"/>
      <c r="E309" s="658"/>
      <c r="F309" s="119"/>
      <c r="G309" s="119"/>
      <c r="H309" s="119"/>
      <c r="I309" s="119"/>
    </row>
    <row r="310" spans="2:9" s="549" customFormat="1">
      <c r="B310" s="179"/>
      <c r="C310" s="566"/>
      <c r="D310" s="572"/>
      <c r="E310" s="658"/>
      <c r="F310" s="119"/>
      <c r="G310" s="119"/>
      <c r="H310" s="119"/>
      <c r="I310" s="119"/>
    </row>
    <row r="311" spans="2:9" s="549" customFormat="1">
      <c r="B311" s="179"/>
      <c r="C311" s="566"/>
      <c r="D311" s="572"/>
      <c r="E311" s="658"/>
      <c r="F311" s="119"/>
      <c r="G311" s="119"/>
      <c r="H311" s="119"/>
      <c r="I311" s="119"/>
    </row>
    <row r="312" spans="2:9" s="549" customFormat="1">
      <c r="B312" s="179"/>
      <c r="C312" s="566"/>
      <c r="D312" s="572"/>
      <c r="E312" s="658"/>
      <c r="F312" s="119"/>
      <c r="G312" s="119"/>
      <c r="H312" s="119"/>
      <c r="I312" s="119"/>
    </row>
    <row r="313" spans="2:9" s="549" customFormat="1">
      <c r="B313" s="179"/>
      <c r="C313" s="566"/>
      <c r="D313" s="572"/>
      <c r="E313" s="658"/>
      <c r="F313" s="119"/>
      <c r="G313" s="119"/>
      <c r="H313" s="119"/>
      <c r="I313" s="119"/>
    </row>
    <row r="314" spans="2:9" s="549" customFormat="1">
      <c r="B314" s="179"/>
      <c r="C314" s="566"/>
      <c r="D314" s="572"/>
      <c r="E314" s="658"/>
      <c r="F314" s="119"/>
      <c r="G314" s="119"/>
      <c r="H314" s="119"/>
      <c r="I314" s="119"/>
    </row>
    <row r="315" spans="2:9" s="549" customFormat="1">
      <c r="B315" s="179"/>
      <c r="C315" s="566"/>
      <c r="D315" s="572"/>
      <c r="E315" s="658"/>
      <c r="F315" s="119"/>
      <c r="G315" s="119"/>
      <c r="H315" s="119"/>
      <c r="I315" s="119"/>
    </row>
    <row r="316" spans="2:9" s="549" customFormat="1">
      <c r="B316" s="179"/>
      <c r="C316" s="566"/>
      <c r="D316" s="572"/>
      <c r="E316" s="658"/>
      <c r="F316" s="119"/>
      <c r="G316" s="119"/>
      <c r="H316" s="119"/>
      <c r="I316" s="119"/>
    </row>
    <row r="317" spans="2:9" s="549" customFormat="1">
      <c r="B317" s="179"/>
      <c r="C317" s="566"/>
      <c r="D317" s="572"/>
      <c r="E317" s="658"/>
      <c r="F317" s="119"/>
      <c r="G317" s="119"/>
      <c r="H317" s="119"/>
      <c r="I317" s="119"/>
    </row>
    <row r="318" spans="2:9" s="549" customFormat="1">
      <c r="B318" s="179"/>
      <c r="C318" s="566"/>
      <c r="D318" s="572"/>
      <c r="E318" s="658"/>
      <c r="F318" s="119"/>
      <c r="G318" s="119"/>
      <c r="H318" s="119"/>
      <c r="I318" s="119"/>
    </row>
    <row r="319" spans="2:9" s="549" customFormat="1">
      <c r="B319" s="179"/>
      <c r="C319" s="566"/>
      <c r="D319" s="572"/>
      <c r="E319" s="658"/>
      <c r="F319" s="119"/>
      <c r="G319" s="119"/>
      <c r="H319" s="119"/>
      <c r="I319" s="119"/>
    </row>
    <row r="320" spans="2:9" s="549" customFormat="1">
      <c r="B320" s="179"/>
      <c r="C320" s="566"/>
      <c r="D320" s="572"/>
      <c r="E320" s="658"/>
      <c r="F320" s="119"/>
      <c r="G320" s="119"/>
      <c r="H320" s="119"/>
      <c r="I320" s="119"/>
    </row>
    <row r="321" spans="2:9" s="549" customFormat="1">
      <c r="B321" s="179"/>
      <c r="C321" s="566"/>
      <c r="D321" s="572"/>
      <c r="E321" s="658"/>
      <c r="F321" s="119"/>
      <c r="G321" s="119"/>
      <c r="H321" s="119"/>
      <c r="I321" s="119"/>
    </row>
    <row r="322" spans="2:9" s="549" customFormat="1">
      <c r="B322" s="179"/>
      <c r="C322" s="566"/>
      <c r="D322" s="572"/>
      <c r="E322" s="658"/>
      <c r="F322" s="119"/>
      <c r="G322" s="119"/>
      <c r="H322" s="119"/>
      <c r="I322" s="119"/>
    </row>
    <row r="323" spans="2:9" s="549" customFormat="1">
      <c r="B323" s="179"/>
      <c r="C323" s="566"/>
      <c r="D323" s="572"/>
      <c r="E323" s="658"/>
      <c r="F323" s="119"/>
      <c r="G323" s="119"/>
      <c r="H323" s="119"/>
      <c r="I323" s="119"/>
    </row>
    <row r="324" spans="2:9" s="549" customFormat="1">
      <c r="B324" s="179"/>
      <c r="C324" s="566"/>
      <c r="D324" s="572"/>
      <c r="E324" s="658"/>
      <c r="F324" s="119"/>
      <c r="G324" s="119"/>
      <c r="H324" s="119"/>
      <c r="I324" s="119"/>
    </row>
    <row r="325" spans="2:9" s="549" customFormat="1">
      <c r="B325" s="179"/>
      <c r="C325" s="566"/>
      <c r="D325" s="572"/>
      <c r="E325" s="658"/>
      <c r="F325" s="119"/>
      <c r="G325" s="119"/>
      <c r="H325" s="119"/>
      <c r="I325" s="119"/>
    </row>
    <row r="326" spans="2:9" s="549" customFormat="1">
      <c r="B326" s="179"/>
      <c r="C326" s="566"/>
      <c r="D326" s="572"/>
      <c r="E326" s="658"/>
      <c r="F326" s="119"/>
      <c r="G326" s="119"/>
      <c r="H326" s="119"/>
      <c r="I326" s="119"/>
    </row>
    <row r="327" spans="2:9" s="549" customFormat="1">
      <c r="B327" s="570"/>
      <c r="C327" s="567"/>
      <c r="D327" s="573"/>
      <c r="E327" s="658"/>
      <c r="F327" s="119"/>
      <c r="G327" s="119"/>
      <c r="H327" s="119"/>
      <c r="I327" s="119"/>
    </row>
    <row r="328" spans="2:9" s="549" customFormat="1">
      <c r="B328" s="852" t="s">
        <v>881</v>
      </c>
      <c r="C328" s="853"/>
      <c r="D328" s="854"/>
      <c r="E328" s="550">
        <f>SUM(E278:E327)</f>
        <v>0</v>
      </c>
      <c r="F328" s="195">
        <f>SUM(F278:F327)</f>
        <v>0</v>
      </c>
      <c r="G328" s="195">
        <f>SUM(G278:G327)</f>
        <v>0</v>
      </c>
      <c r="H328" s="195">
        <f>SUM(H278:H327)</f>
        <v>0</v>
      </c>
      <c r="I328" s="195">
        <f>SUM(I278:I327)</f>
        <v>0</v>
      </c>
    </row>
  </sheetData>
  <sheetProtection password="D15A" sheet="1" objects="1" scenarios="1" selectLockedCells="1"/>
  <mergeCells count="19">
    <mergeCell ref="B2:H2"/>
    <mergeCell ref="C4:H4"/>
    <mergeCell ref="C58:H58"/>
    <mergeCell ref="C166:F166"/>
    <mergeCell ref="B56:D56"/>
    <mergeCell ref="B110:D110"/>
    <mergeCell ref="B164:D164"/>
    <mergeCell ref="B328:D328"/>
    <mergeCell ref="C112:H112"/>
    <mergeCell ref="B273:D273"/>
    <mergeCell ref="B221:B222"/>
    <mergeCell ref="C221:C222"/>
    <mergeCell ref="B276:B277"/>
    <mergeCell ref="C276:C277"/>
    <mergeCell ref="B218:D218"/>
    <mergeCell ref="D221:I221"/>
    <mergeCell ref="C220:I220"/>
    <mergeCell ref="C275:I275"/>
    <mergeCell ref="D276:I276"/>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SOMMAIRE</vt:lpstr>
      <vt:lpstr>Bilan et Hors Bilan</vt:lpstr>
      <vt:lpstr>Compte Résultat et Soldes Inter</vt:lpstr>
      <vt:lpstr>Annexes 4</vt:lpstr>
      <vt:lpstr>Retraitement</vt:lpstr>
      <vt:lpstr>Ratio prudentiel</vt:lpstr>
      <vt:lpstr>Indicateurs Financiers</vt:lpstr>
      <vt:lpstr>Instruction 18</vt:lpstr>
      <vt:lpstr>ETAT DES 50 PLUS GROS CLIENTS</vt:lpstr>
      <vt:lpstr>Feuil1</vt:lpstr>
    </vt:vector>
  </TitlesOfParts>
  <Manager>Amadou Lamine Kebe;+221775243147;amadoulamine1@gmail.com</Manager>
  <Company>DRS-SFD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Amadou Lamine kebe</dc:creator>
  <dc:description>Amadou Lamine Kebe;+221775243147;amadoulamine1@gmail.com</dc:description>
  <cp:lastModifiedBy>Amar SECK</cp:lastModifiedBy>
  <cp:lastPrinted>2011-07-12T09:14:49Z</cp:lastPrinted>
  <dcterms:created xsi:type="dcterms:W3CDTF">2010-11-05T09:29:45Z</dcterms:created>
  <dcterms:modified xsi:type="dcterms:W3CDTF">2015-09-15T10:03:23Z</dcterms:modified>
</cp:coreProperties>
</file>