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/>
  </bookViews>
  <sheets>
    <sheet name="Introduction" sheetId="18" r:id="rId1"/>
    <sheet name="Table 2 data" sheetId="1" r:id="rId2"/>
    <sheet name="Parameter Estimation" sheetId="4" r:id="rId3"/>
    <sheet name="In-Sample Fit" sheetId="2" r:id="rId4"/>
    <sheet name="Tracking Plots" sheetId="5" r:id="rId5"/>
    <sheet name="Conditional Expectations (I)" sheetId="6" r:id="rId6"/>
    <sheet name="Conditional Expectations (II)" sheetId="10" r:id="rId7"/>
    <sheet name="Pivot Table I" sheetId="13" r:id="rId8"/>
    <sheet name="Pivot Table II" sheetId="14" r:id="rId9"/>
    <sheet name="Pivot Table III" sheetId="15" r:id="rId10"/>
    <sheet name="E(P^l,Theta^m)" sheetId="16" r:id="rId11"/>
    <sheet name="DERT" sheetId="17" r:id="rId12"/>
  </sheets>
  <definedNames>
    <definedName name="solver_adj" localSheetId="5" hidden="1">'Conditional Expectations (I)'!$B$1:$B$4</definedName>
    <definedName name="solver_adj" localSheetId="11" hidden="1">DERT!$B$1:$B$4</definedName>
    <definedName name="solver_adj" localSheetId="10" hidden="1">'E(P^l,Theta^m)'!$B$1:$B$4</definedName>
    <definedName name="solver_adj" localSheetId="2" hidden="1">'Parameter Estimation'!$B$1:$B$4</definedName>
    <definedName name="solver_cvg" localSheetId="5" hidden="1">0.0001</definedName>
    <definedName name="solver_cvg" localSheetId="11" hidden="1">0.0001</definedName>
    <definedName name="solver_cvg" localSheetId="10" hidden="1">0.0001</definedName>
    <definedName name="solver_cvg" localSheetId="2" hidden="1">0.0001</definedName>
    <definedName name="solver_drv" localSheetId="5" hidden="1">1</definedName>
    <definedName name="solver_drv" localSheetId="11" hidden="1">1</definedName>
    <definedName name="solver_drv" localSheetId="10" hidden="1">1</definedName>
    <definedName name="solver_drv" localSheetId="2" hidden="1">1</definedName>
    <definedName name="solver_est" localSheetId="5" hidden="1">1</definedName>
    <definedName name="solver_est" localSheetId="11" hidden="1">1</definedName>
    <definedName name="solver_est" localSheetId="10" hidden="1">1</definedName>
    <definedName name="solver_est" localSheetId="2" hidden="1">1</definedName>
    <definedName name="solver_itr" localSheetId="5" hidden="1">100</definedName>
    <definedName name="solver_itr" localSheetId="11" hidden="1">100</definedName>
    <definedName name="solver_itr" localSheetId="10" hidden="1">100</definedName>
    <definedName name="solver_itr" localSheetId="2" hidden="1">100</definedName>
    <definedName name="solver_lhs1" localSheetId="5" hidden="1">'Conditional Expectations (I)'!$B$1:$B$4</definedName>
    <definedName name="solver_lhs1" localSheetId="11" hidden="1">DERT!$B$1:$B$4</definedName>
    <definedName name="solver_lhs1" localSheetId="10" hidden="1">'E(P^l,Theta^m)'!$B$1:$B$4</definedName>
    <definedName name="solver_lhs1" localSheetId="2" hidden="1">'Parameter Estimation'!$B$1:$B$4</definedName>
    <definedName name="solver_lin" localSheetId="5" hidden="1">2</definedName>
    <definedName name="solver_lin" localSheetId="11" hidden="1">2</definedName>
    <definedName name="solver_lin" localSheetId="10" hidden="1">2</definedName>
    <definedName name="solver_lin" localSheetId="2" hidden="1">2</definedName>
    <definedName name="solver_neg" localSheetId="5" hidden="1">2</definedName>
    <definedName name="solver_neg" localSheetId="11" hidden="1">2</definedName>
    <definedName name="solver_neg" localSheetId="10" hidden="1">2</definedName>
    <definedName name="solver_neg" localSheetId="2" hidden="1">2</definedName>
    <definedName name="solver_num" localSheetId="5" hidden="1">1</definedName>
    <definedName name="solver_num" localSheetId="11" hidden="1">1</definedName>
    <definedName name="solver_num" localSheetId="10" hidden="1">1</definedName>
    <definedName name="solver_num" localSheetId="2" hidden="1">1</definedName>
    <definedName name="solver_nwt" localSheetId="5" hidden="1">1</definedName>
    <definedName name="solver_nwt" localSheetId="11" hidden="1">1</definedName>
    <definedName name="solver_nwt" localSheetId="10" hidden="1">1</definedName>
    <definedName name="solver_nwt" localSheetId="2" hidden="1">1</definedName>
    <definedName name="solver_opt" localSheetId="5" hidden="1">'Conditional Expectations (I)'!$B$8</definedName>
    <definedName name="solver_opt" localSheetId="11" hidden="1">DERT!$B$8</definedName>
    <definedName name="solver_opt" localSheetId="10" hidden="1">'E(P^l,Theta^m)'!#REF!</definedName>
    <definedName name="solver_opt" localSheetId="2" hidden="1">'Parameter Estimation'!$B$6</definedName>
    <definedName name="solver_pre" localSheetId="5" hidden="1">0.000001</definedName>
    <definedName name="solver_pre" localSheetId="11" hidden="1">0.000001</definedName>
    <definedName name="solver_pre" localSheetId="10" hidden="1">0.000001</definedName>
    <definedName name="solver_pre" localSheetId="2" hidden="1">0.000001</definedName>
    <definedName name="solver_rel1" localSheetId="5" hidden="1">3</definedName>
    <definedName name="solver_rel1" localSheetId="11" hidden="1">3</definedName>
    <definedName name="solver_rel1" localSheetId="10" hidden="1">3</definedName>
    <definedName name="solver_rel1" localSheetId="2" hidden="1">3</definedName>
    <definedName name="solver_rhs1" localSheetId="5" hidden="1">0.0001</definedName>
    <definedName name="solver_rhs1" localSheetId="11" hidden="1">0.0001</definedName>
    <definedName name="solver_rhs1" localSheetId="10" hidden="1">0.0001</definedName>
    <definedName name="solver_rhs1" localSheetId="2" hidden="1">0.0001</definedName>
    <definedName name="solver_scl" localSheetId="5" hidden="1">2</definedName>
    <definedName name="solver_scl" localSheetId="11" hidden="1">2</definedName>
    <definedName name="solver_scl" localSheetId="10" hidden="1">2</definedName>
    <definedName name="solver_scl" localSheetId="2" hidden="1">2</definedName>
    <definedName name="solver_sho" localSheetId="5" hidden="1">2</definedName>
    <definedName name="solver_sho" localSheetId="11" hidden="1">2</definedName>
    <definedName name="solver_sho" localSheetId="10" hidden="1">2</definedName>
    <definedName name="solver_sho" localSheetId="2" hidden="1">2</definedName>
    <definedName name="solver_tim" localSheetId="5" hidden="1">100</definedName>
    <definedName name="solver_tim" localSheetId="11" hidden="1">100</definedName>
    <definedName name="solver_tim" localSheetId="10" hidden="1">100</definedName>
    <definedName name="solver_tim" localSheetId="2" hidden="1">100</definedName>
    <definedName name="solver_tol" localSheetId="5" hidden="1">0.05</definedName>
    <definedName name="solver_tol" localSheetId="11" hidden="1">0.05</definedName>
    <definedName name="solver_tol" localSheetId="10" hidden="1">0.05</definedName>
    <definedName name="solver_tol" localSheetId="2" hidden="1">0.05</definedName>
    <definedName name="solver_typ" localSheetId="5" hidden="1">1</definedName>
    <definedName name="solver_typ" localSheetId="11" hidden="1">1</definedName>
    <definedName name="solver_typ" localSheetId="10" hidden="1">1</definedName>
    <definedName name="solver_typ" localSheetId="2" hidden="1">1</definedName>
    <definedName name="solver_val" localSheetId="5" hidden="1">0</definedName>
    <definedName name="solver_val" localSheetId="11" hidden="1">0</definedName>
    <definedName name="solver_val" localSheetId="10" hidden="1">0</definedName>
    <definedName name="solver_val" localSheetId="2" hidden="1">0</definedName>
  </definedNames>
  <calcPr calcId="124519"/>
  <pivotCaches>
    <pivotCache cacheId="6" r:id="rId13"/>
  </pivotCaches>
</workbook>
</file>

<file path=xl/calcChain.xml><?xml version="1.0" encoding="utf-8"?>
<calcChain xmlns="http://schemas.openxmlformats.org/spreadsheetml/2006/main">
  <c r="G12" i="17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11"/>
  <c r="D35"/>
  <c r="F37"/>
  <c r="F38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36"/>
  <c r="E38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37"/>
  <c r="E36"/>
  <c r="D39"/>
  <c r="D38"/>
  <c r="D37"/>
  <c r="H32"/>
  <c r="O31"/>
  <c r="H31"/>
  <c r="O30"/>
  <c r="H30"/>
  <c r="N30" s="1"/>
  <c r="O29"/>
  <c r="H29"/>
  <c r="N29" s="1"/>
  <c r="O28"/>
  <c r="M28"/>
  <c r="H28"/>
  <c r="N28" s="1"/>
  <c r="O27"/>
  <c r="M27"/>
  <c r="H27"/>
  <c r="N27" s="1"/>
  <c r="O26"/>
  <c r="M26"/>
  <c r="H26"/>
  <c r="N26" s="1"/>
  <c r="O25"/>
  <c r="M25"/>
  <c r="H25"/>
  <c r="N25" s="1"/>
  <c r="O24"/>
  <c r="M24"/>
  <c r="H24"/>
  <c r="N24" s="1"/>
  <c r="O23"/>
  <c r="M23"/>
  <c r="H23"/>
  <c r="N23" s="1"/>
  <c r="O22"/>
  <c r="M22"/>
  <c r="H22"/>
  <c r="N22" s="1"/>
  <c r="O21"/>
  <c r="M21"/>
  <c r="K21"/>
  <c r="H21"/>
  <c r="N21" s="1"/>
  <c r="O20"/>
  <c r="M20"/>
  <c r="K20"/>
  <c r="H20"/>
  <c r="N20" s="1"/>
  <c r="O19"/>
  <c r="M19"/>
  <c r="K19"/>
  <c r="H19"/>
  <c r="N19" s="1"/>
  <c r="O18"/>
  <c r="M18"/>
  <c r="K18"/>
  <c r="H18"/>
  <c r="N18" s="1"/>
  <c r="O17"/>
  <c r="M17"/>
  <c r="K17"/>
  <c r="H17"/>
  <c r="N17" s="1"/>
  <c r="O16"/>
  <c r="M16"/>
  <c r="K16"/>
  <c r="H16"/>
  <c r="N16" s="1"/>
  <c r="O15"/>
  <c r="M15"/>
  <c r="K15"/>
  <c r="H15"/>
  <c r="N15" s="1"/>
  <c r="O14"/>
  <c r="M14"/>
  <c r="K14"/>
  <c r="H14"/>
  <c r="N14" s="1"/>
  <c r="O13"/>
  <c r="M13"/>
  <c r="K13"/>
  <c r="H13"/>
  <c r="N13" s="1"/>
  <c r="O12"/>
  <c r="M12"/>
  <c r="K12"/>
  <c r="H12"/>
  <c r="N12" s="1"/>
  <c r="O11"/>
  <c r="M11"/>
  <c r="K11"/>
  <c r="H11"/>
  <c r="N11" s="1"/>
  <c r="E3"/>
  <c r="E1"/>
  <c r="N31" l="1"/>
  <c r="N32"/>
  <c r="I22"/>
  <c r="I16"/>
  <c r="I18"/>
  <c r="I19"/>
  <c r="I20"/>
  <c r="I21"/>
  <c r="K22"/>
  <c r="I23"/>
  <c r="K23"/>
  <c r="I24"/>
  <c r="K24"/>
  <c r="I25"/>
  <c r="K25"/>
  <c r="I26"/>
  <c r="K26"/>
  <c r="I27"/>
  <c r="K27"/>
  <c r="I28"/>
  <c r="K28"/>
  <c r="I29"/>
  <c r="K29"/>
  <c r="M29"/>
  <c r="I30"/>
  <c r="K30"/>
  <c r="M30"/>
  <c r="I31"/>
  <c r="K31"/>
  <c r="M31"/>
  <c r="I32"/>
  <c r="K32"/>
  <c r="M32"/>
  <c r="O32"/>
  <c r="I11"/>
  <c r="I12"/>
  <c r="I13"/>
  <c r="I14"/>
  <c r="I15"/>
  <c r="I17"/>
  <c r="J11"/>
  <c r="L11"/>
  <c r="J12"/>
  <c r="L12"/>
  <c r="J13"/>
  <c r="L13"/>
  <c r="J14"/>
  <c r="L14"/>
  <c r="J15"/>
  <c r="L15"/>
  <c r="J16"/>
  <c r="L16"/>
  <c r="J17"/>
  <c r="L17"/>
  <c r="J18"/>
  <c r="L18"/>
  <c r="J19"/>
  <c r="L19"/>
  <c r="J20"/>
  <c r="L20"/>
  <c r="J21"/>
  <c r="L21"/>
  <c r="J22"/>
  <c r="F22" s="1"/>
  <c r="E22" s="1"/>
  <c r="L22"/>
  <c r="J23"/>
  <c r="L23"/>
  <c r="J24"/>
  <c r="L24"/>
  <c r="J25"/>
  <c r="L25"/>
  <c r="J26"/>
  <c r="L26"/>
  <c r="J27"/>
  <c r="L27"/>
  <c r="J28"/>
  <c r="L28"/>
  <c r="J29"/>
  <c r="L29"/>
  <c r="J30"/>
  <c r="L30"/>
  <c r="J31"/>
  <c r="L31"/>
  <c r="J32"/>
  <c r="L32"/>
  <c r="F15" l="1"/>
  <c r="E15" s="1"/>
  <c r="F13"/>
  <c r="E13" s="1"/>
  <c r="F11"/>
  <c r="E11" s="1"/>
  <c r="F32"/>
  <c r="E32" s="1"/>
  <c r="F30"/>
  <c r="E30" s="1"/>
  <c r="F20"/>
  <c r="E20" s="1"/>
  <c r="F18"/>
  <c r="E18" s="1"/>
  <c r="F17"/>
  <c r="E17" s="1"/>
  <c r="F14"/>
  <c r="E14" s="1"/>
  <c r="F12"/>
  <c r="E12" s="1"/>
  <c r="F31"/>
  <c r="E31" s="1"/>
  <c r="F29"/>
  <c r="E29" s="1"/>
  <c r="F28"/>
  <c r="E28" s="1"/>
  <c r="F27"/>
  <c r="E27" s="1"/>
  <c r="F26"/>
  <c r="E26" s="1"/>
  <c r="F25"/>
  <c r="E25" s="1"/>
  <c r="F24"/>
  <c r="E24" s="1"/>
  <c r="F23"/>
  <c r="E23" s="1"/>
  <c r="F21"/>
  <c r="E21" s="1"/>
  <c r="F19"/>
  <c r="E19" s="1"/>
  <c r="F16"/>
  <c r="E16" s="1"/>
  <c r="B8" l="1"/>
  <c r="H2" i="16" l="1"/>
  <c r="H3"/>
  <c r="B3" s="1"/>
  <c r="E3" s="1"/>
  <c r="H4"/>
  <c r="H1"/>
  <c r="B1" s="1"/>
  <c r="E1" s="1"/>
  <c r="G31"/>
  <c r="N30"/>
  <c r="G30"/>
  <c r="N29"/>
  <c r="G29"/>
  <c r="M29" s="1"/>
  <c r="N28"/>
  <c r="G28"/>
  <c r="M28" s="1"/>
  <c r="G27"/>
  <c r="M27" s="1"/>
  <c r="L26"/>
  <c r="G26"/>
  <c r="M26" s="1"/>
  <c r="G25"/>
  <c r="M25" s="1"/>
  <c r="L24"/>
  <c r="G24"/>
  <c r="M24" s="1"/>
  <c r="G23"/>
  <c r="M23" s="1"/>
  <c r="L22"/>
  <c r="G22"/>
  <c r="M22" s="1"/>
  <c r="G21"/>
  <c r="M21" s="1"/>
  <c r="G20"/>
  <c r="M20" s="1"/>
  <c r="G19"/>
  <c r="M19" s="1"/>
  <c r="G18"/>
  <c r="M18" s="1"/>
  <c r="G17"/>
  <c r="M17" s="1"/>
  <c r="G16"/>
  <c r="M16" s="1"/>
  <c r="G15"/>
  <c r="M15" s="1"/>
  <c r="G14"/>
  <c r="M14" s="1"/>
  <c r="G13"/>
  <c r="M13" s="1"/>
  <c r="L12"/>
  <c r="G12"/>
  <c r="M12" s="1"/>
  <c r="G11"/>
  <c r="M11" s="1"/>
  <c r="G10"/>
  <c r="M10" s="1"/>
  <c r="R37" i="10"/>
  <c r="Q37"/>
  <c r="P37"/>
  <c r="O37"/>
  <c r="N37"/>
  <c r="M37"/>
  <c r="L37"/>
  <c r="R36"/>
  <c r="Q36"/>
  <c r="P36"/>
  <c r="O36"/>
  <c r="N36"/>
  <c r="M36"/>
  <c r="L36"/>
  <c r="R35"/>
  <c r="Q35"/>
  <c r="P35"/>
  <c r="O35"/>
  <c r="N35"/>
  <c r="M35"/>
  <c r="L35"/>
  <c r="R34"/>
  <c r="Q34"/>
  <c r="P34"/>
  <c r="O34"/>
  <c r="N34"/>
  <c r="M34"/>
  <c r="L34"/>
  <c r="R33"/>
  <c r="Q33"/>
  <c r="P33"/>
  <c r="O33"/>
  <c r="N33"/>
  <c r="M33"/>
  <c r="L33"/>
  <c r="R32"/>
  <c r="Q32"/>
  <c r="P32"/>
  <c r="O32"/>
  <c r="N32"/>
  <c r="M32"/>
  <c r="L32"/>
  <c r="R31"/>
  <c r="Q31"/>
  <c r="P31"/>
  <c r="O31"/>
  <c r="N31"/>
  <c r="M31"/>
  <c r="L31"/>
  <c r="R30"/>
  <c r="Q30"/>
  <c r="P30"/>
  <c r="O30"/>
  <c r="N30"/>
  <c r="M30"/>
  <c r="L30"/>
  <c r="K31"/>
  <c r="K32"/>
  <c r="K33"/>
  <c r="K34"/>
  <c r="K35"/>
  <c r="K36"/>
  <c r="K37"/>
  <c r="K30"/>
  <c r="R24"/>
  <c r="Q24"/>
  <c r="V19" s="1"/>
  <c r="P24"/>
  <c r="V18" s="1"/>
  <c r="O24"/>
  <c r="V17" s="1"/>
  <c r="N24"/>
  <c r="V16" s="1"/>
  <c r="M24"/>
  <c r="V15" s="1"/>
  <c r="L24"/>
  <c r="V14" s="1"/>
  <c r="R23"/>
  <c r="V9" s="1"/>
  <c r="Q23"/>
  <c r="P23"/>
  <c r="O23"/>
  <c r="N23"/>
  <c r="M23"/>
  <c r="L23"/>
  <c r="R22"/>
  <c r="V8" s="1"/>
  <c r="Q22"/>
  <c r="P22"/>
  <c r="O22"/>
  <c r="N22"/>
  <c r="M22"/>
  <c r="L22"/>
  <c r="R21"/>
  <c r="V7" s="1"/>
  <c r="Q21"/>
  <c r="P21"/>
  <c r="O21"/>
  <c r="N21"/>
  <c r="M21"/>
  <c r="L21"/>
  <c r="R20"/>
  <c r="V6" s="1"/>
  <c r="Q20"/>
  <c r="P20"/>
  <c r="O20"/>
  <c r="N20"/>
  <c r="M20"/>
  <c r="L20"/>
  <c r="R19"/>
  <c r="V5" s="1"/>
  <c r="Q19"/>
  <c r="P19"/>
  <c r="O19"/>
  <c r="N19"/>
  <c r="M19"/>
  <c r="L19"/>
  <c r="R18"/>
  <c r="V4" s="1"/>
  <c r="Q18"/>
  <c r="P18"/>
  <c r="O18"/>
  <c r="N18"/>
  <c r="M18"/>
  <c r="L18"/>
  <c r="R17"/>
  <c r="V3" s="1"/>
  <c r="Q17"/>
  <c r="P17"/>
  <c r="O17"/>
  <c r="N17"/>
  <c r="M17"/>
  <c r="L17"/>
  <c r="K18"/>
  <c r="K19"/>
  <c r="K20"/>
  <c r="K21"/>
  <c r="K22"/>
  <c r="K23"/>
  <c r="K24"/>
  <c r="V13" s="1"/>
  <c r="K17"/>
  <c r="R11"/>
  <c r="Q11"/>
  <c r="U19" s="1"/>
  <c r="P11"/>
  <c r="U18" s="1"/>
  <c r="O11"/>
  <c r="U17" s="1"/>
  <c r="N11"/>
  <c r="U16" s="1"/>
  <c r="M11"/>
  <c r="U15" s="1"/>
  <c r="L11"/>
  <c r="U14" s="1"/>
  <c r="R10"/>
  <c r="U9" s="1"/>
  <c r="Q10"/>
  <c r="P10"/>
  <c r="O10"/>
  <c r="N10"/>
  <c r="M10"/>
  <c r="L10"/>
  <c r="R9"/>
  <c r="U8" s="1"/>
  <c r="Q9"/>
  <c r="P9"/>
  <c r="O9"/>
  <c r="N9"/>
  <c r="M9"/>
  <c r="L9"/>
  <c r="R8"/>
  <c r="U7" s="1"/>
  <c r="Q8"/>
  <c r="P8"/>
  <c r="O8"/>
  <c r="N8"/>
  <c r="M8"/>
  <c r="L8"/>
  <c r="R7"/>
  <c r="U6" s="1"/>
  <c r="Q7"/>
  <c r="P7"/>
  <c r="O7"/>
  <c r="N7"/>
  <c r="M7"/>
  <c r="L7"/>
  <c r="R6"/>
  <c r="U5" s="1"/>
  <c r="Q6"/>
  <c r="P6"/>
  <c r="O6"/>
  <c r="N6"/>
  <c r="M6"/>
  <c r="L6"/>
  <c r="R5"/>
  <c r="U4" s="1"/>
  <c r="Q5"/>
  <c r="P5"/>
  <c r="O5"/>
  <c r="N5"/>
  <c r="M5"/>
  <c r="L5"/>
  <c r="R4"/>
  <c r="U3" s="1"/>
  <c r="Q4"/>
  <c r="P4"/>
  <c r="O4"/>
  <c r="N4"/>
  <c r="M4"/>
  <c r="L4"/>
  <c r="K11"/>
  <c r="U13" s="1"/>
  <c r="K10"/>
  <c r="K9"/>
  <c r="K8"/>
  <c r="K7"/>
  <c r="K6"/>
  <c r="K5"/>
  <c r="K4"/>
  <c r="K3" i="16" l="1"/>
  <c r="H30"/>
  <c r="K1"/>
  <c r="J10"/>
  <c r="N10"/>
  <c r="J11"/>
  <c r="N11"/>
  <c r="J12"/>
  <c r="N12"/>
  <c r="J13"/>
  <c r="N13"/>
  <c r="J14"/>
  <c r="N14"/>
  <c r="J15"/>
  <c r="N15"/>
  <c r="J16"/>
  <c r="N16"/>
  <c r="J17"/>
  <c r="N17"/>
  <c r="J18"/>
  <c r="N18"/>
  <c r="J19"/>
  <c r="N19"/>
  <c r="J20"/>
  <c r="N20"/>
  <c r="L21"/>
  <c r="N22"/>
  <c r="L23"/>
  <c r="N24"/>
  <c r="L25"/>
  <c r="N26"/>
  <c r="L27"/>
  <c r="L10"/>
  <c r="L11"/>
  <c r="L13"/>
  <c r="L14"/>
  <c r="L15"/>
  <c r="L16"/>
  <c r="L17"/>
  <c r="L18"/>
  <c r="L19"/>
  <c r="L20"/>
  <c r="N21"/>
  <c r="N23"/>
  <c r="N25"/>
  <c r="N27"/>
  <c r="M30"/>
  <c r="M31"/>
  <c r="H10"/>
  <c r="H11"/>
  <c r="H12"/>
  <c r="H13"/>
  <c r="H14"/>
  <c r="H15"/>
  <c r="H16"/>
  <c r="H20"/>
  <c r="H21"/>
  <c r="H22"/>
  <c r="J23"/>
  <c r="H24"/>
  <c r="J25"/>
  <c r="H26"/>
  <c r="J27"/>
  <c r="H28"/>
  <c r="L28"/>
  <c r="H29"/>
  <c r="L29"/>
  <c r="J30"/>
  <c r="L30"/>
  <c r="H31"/>
  <c r="J31"/>
  <c r="L31"/>
  <c r="N31"/>
  <c r="H17"/>
  <c r="H18"/>
  <c r="H19"/>
  <c r="J21"/>
  <c r="J22"/>
  <c r="H23"/>
  <c r="J24"/>
  <c r="H25"/>
  <c r="J26"/>
  <c r="H27"/>
  <c r="J28"/>
  <c r="J29"/>
  <c r="I10"/>
  <c r="K10"/>
  <c r="I11"/>
  <c r="K11"/>
  <c r="I12"/>
  <c r="K12"/>
  <c r="I13"/>
  <c r="K13"/>
  <c r="I14"/>
  <c r="K14"/>
  <c r="I15"/>
  <c r="K15"/>
  <c r="I16"/>
  <c r="K16"/>
  <c r="I17"/>
  <c r="K17"/>
  <c r="I18"/>
  <c r="K18"/>
  <c r="I19"/>
  <c r="K19"/>
  <c r="I20"/>
  <c r="K20"/>
  <c r="I21"/>
  <c r="K21"/>
  <c r="I22"/>
  <c r="K22"/>
  <c r="I23"/>
  <c r="K23"/>
  <c r="I24"/>
  <c r="K24"/>
  <c r="I25"/>
  <c r="K25"/>
  <c r="I26"/>
  <c r="K26"/>
  <c r="I27"/>
  <c r="K27"/>
  <c r="I28"/>
  <c r="K28"/>
  <c r="I29"/>
  <c r="K29"/>
  <c r="I30"/>
  <c r="F30" s="1"/>
  <c r="K30"/>
  <c r="I31"/>
  <c r="K31"/>
  <c r="E23" i="10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2"/>
  <c r="D2"/>
  <c r="C2"/>
  <c r="B2"/>
  <c r="A2"/>
  <c r="G12" i="6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11"/>
  <c r="E6"/>
  <c r="I32"/>
  <c r="I31"/>
  <c r="I30"/>
  <c r="O30" s="1"/>
  <c r="I29"/>
  <c r="O29" s="1"/>
  <c r="N28"/>
  <c r="I28"/>
  <c r="O28" s="1"/>
  <c r="I27"/>
  <c r="O27" s="1"/>
  <c r="N26"/>
  <c r="I26"/>
  <c r="O26" s="1"/>
  <c r="I25"/>
  <c r="O25" s="1"/>
  <c r="N24"/>
  <c r="I24"/>
  <c r="O24" s="1"/>
  <c r="I23"/>
  <c r="O23" s="1"/>
  <c r="N22"/>
  <c r="I22"/>
  <c r="O22" s="1"/>
  <c r="P21"/>
  <c r="L21"/>
  <c r="I21"/>
  <c r="O21" s="1"/>
  <c r="P20"/>
  <c r="L20"/>
  <c r="I20"/>
  <c r="O20" s="1"/>
  <c r="P19"/>
  <c r="L19"/>
  <c r="I19"/>
  <c r="O19" s="1"/>
  <c r="P18"/>
  <c r="L18"/>
  <c r="I18"/>
  <c r="O18" s="1"/>
  <c r="P17"/>
  <c r="L17"/>
  <c r="I17"/>
  <c r="O17" s="1"/>
  <c r="P16"/>
  <c r="L16"/>
  <c r="I16"/>
  <c r="O16" s="1"/>
  <c r="P15"/>
  <c r="L15"/>
  <c r="I15"/>
  <c r="O15" s="1"/>
  <c r="P14"/>
  <c r="L14"/>
  <c r="I14"/>
  <c r="O14" s="1"/>
  <c r="P13"/>
  <c r="L13"/>
  <c r="I13"/>
  <c r="O13" s="1"/>
  <c r="P12"/>
  <c r="L12"/>
  <c r="I12"/>
  <c r="O12" s="1"/>
  <c r="P11"/>
  <c r="L11"/>
  <c r="I11"/>
  <c r="O11" s="1"/>
  <c r="E3"/>
  <c r="E1"/>
  <c r="B2" i="5"/>
  <c r="B3"/>
  <c r="B4"/>
  <c r="B1"/>
  <c r="I7"/>
  <c r="I8" s="1"/>
  <c r="I9" s="1"/>
  <c r="I10" s="1"/>
  <c r="I11" s="1"/>
  <c r="I12" s="1"/>
  <c r="I13" s="1"/>
  <c r="I14" s="1"/>
  <c r="I15" s="1"/>
  <c r="I16" s="1"/>
  <c r="I17" s="1"/>
  <c r="E16"/>
  <c r="B25" i="2"/>
  <c r="D10"/>
  <c r="D11"/>
  <c r="E11"/>
  <c r="D12"/>
  <c r="E12"/>
  <c r="F12"/>
  <c r="D13"/>
  <c r="E13"/>
  <c r="F13"/>
  <c r="G13"/>
  <c r="D14"/>
  <c r="E14"/>
  <c r="F14"/>
  <c r="G14"/>
  <c r="H14"/>
  <c r="D15"/>
  <c r="E15"/>
  <c r="F15"/>
  <c r="G15"/>
  <c r="H15"/>
  <c r="I15"/>
  <c r="B2"/>
  <c r="B3"/>
  <c r="B4"/>
  <c r="B1"/>
  <c r="I10" i="4"/>
  <c r="J10"/>
  <c r="K10"/>
  <c r="L10"/>
  <c r="M10"/>
  <c r="N10"/>
  <c r="I11"/>
  <c r="J11"/>
  <c r="K11"/>
  <c r="L11"/>
  <c r="M11"/>
  <c r="N11"/>
  <c r="I12"/>
  <c r="J12"/>
  <c r="K12"/>
  <c r="L12"/>
  <c r="M12"/>
  <c r="N12"/>
  <c r="I13"/>
  <c r="J13"/>
  <c r="K13"/>
  <c r="L13"/>
  <c r="M13"/>
  <c r="N13"/>
  <c r="I14"/>
  <c r="J14"/>
  <c r="K14"/>
  <c r="L14"/>
  <c r="M14"/>
  <c r="N14"/>
  <c r="J15"/>
  <c r="K15"/>
  <c r="L15"/>
  <c r="M15"/>
  <c r="N15"/>
  <c r="J16"/>
  <c r="K16"/>
  <c r="L16"/>
  <c r="M16"/>
  <c r="N16"/>
  <c r="J17"/>
  <c r="K17"/>
  <c r="L17"/>
  <c r="M17"/>
  <c r="N17"/>
  <c r="J18"/>
  <c r="K18"/>
  <c r="L18"/>
  <c r="M18"/>
  <c r="N18"/>
  <c r="J19"/>
  <c r="K19"/>
  <c r="L19"/>
  <c r="M19"/>
  <c r="N19"/>
  <c r="K20"/>
  <c r="L20"/>
  <c r="M20"/>
  <c r="N20"/>
  <c r="K21"/>
  <c r="L21"/>
  <c r="M21"/>
  <c r="N21"/>
  <c r="K22"/>
  <c r="L22"/>
  <c r="M22"/>
  <c r="N22"/>
  <c r="K23"/>
  <c r="L23"/>
  <c r="M23"/>
  <c r="N23"/>
  <c r="L24"/>
  <c r="M24"/>
  <c r="N24"/>
  <c r="L25"/>
  <c r="M25"/>
  <c r="N25"/>
  <c r="L26"/>
  <c r="M26"/>
  <c r="N26"/>
  <c r="M27"/>
  <c r="N27"/>
  <c r="M28"/>
  <c r="N28"/>
  <c r="N29"/>
  <c r="J9"/>
  <c r="K9"/>
  <c r="L9"/>
  <c r="M9"/>
  <c r="N9"/>
  <c r="I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9"/>
  <c r="F17" i="5" l="1"/>
  <c r="D17"/>
  <c r="F10" i="16"/>
  <c r="F19"/>
  <c r="F17"/>
  <c r="F31"/>
  <c r="F29"/>
  <c r="F28"/>
  <c r="F26"/>
  <c r="F24"/>
  <c r="F22"/>
  <c r="F20"/>
  <c r="F15"/>
  <c r="F13"/>
  <c r="F11"/>
  <c r="F27"/>
  <c r="F25"/>
  <c r="F23"/>
  <c r="F18"/>
  <c r="F21"/>
  <c r="F16"/>
  <c r="F14"/>
  <c r="F12"/>
  <c r="F2" i="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P23" i="6"/>
  <c r="P25"/>
  <c r="P27"/>
  <c r="O31"/>
  <c r="O32"/>
  <c r="J28"/>
  <c r="N11"/>
  <c r="N12"/>
  <c r="N13"/>
  <c r="N14"/>
  <c r="N15"/>
  <c r="N16"/>
  <c r="N17"/>
  <c r="N18"/>
  <c r="N19"/>
  <c r="N20"/>
  <c r="N21"/>
  <c r="P22"/>
  <c r="N23"/>
  <c r="P24"/>
  <c r="N25"/>
  <c r="P26"/>
  <c r="N27"/>
  <c r="P28"/>
  <c r="P29"/>
  <c r="P30"/>
  <c r="P31"/>
  <c r="J12"/>
  <c r="J14"/>
  <c r="J16"/>
  <c r="J18"/>
  <c r="J21"/>
  <c r="L22"/>
  <c r="J23"/>
  <c r="J24"/>
  <c r="L25"/>
  <c r="J26"/>
  <c r="L27"/>
  <c r="L28"/>
  <c r="J29"/>
  <c r="L29"/>
  <c r="N29"/>
  <c r="J30"/>
  <c r="L30"/>
  <c r="N30"/>
  <c r="J31"/>
  <c r="L31"/>
  <c r="N31"/>
  <c r="J32"/>
  <c r="L32"/>
  <c r="N32"/>
  <c r="P32"/>
  <c r="J11"/>
  <c r="J13"/>
  <c r="J15"/>
  <c r="J17"/>
  <c r="J19"/>
  <c r="J20"/>
  <c r="J22"/>
  <c r="L23"/>
  <c r="L24"/>
  <c r="J25"/>
  <c r="L26"/>
  <c r="J27"/>
  <c r="K11"/>
  <c r="M11"/>
  <c r="K12"/>
  <c r="M12"/>
  <c r="K13"/>
  <c r="M13"/>
  <c r="K14"/>
  <c r="M14"/>
  <c r="K15"/>
  <c r="M15"/>
  <c r="K16"/>
  <c r="M16"/>
  <c r="K17"/>
  <c r="M17"/>
  <c r="K18"/>
  <c r="M18"/>
  <c r="K19"/>
  <c r="M19"/>
  <c r="K20"/>
  <c r="M20"/>
  <c r="K21"/>
  <c r="M21"/>
  <c r="K22"/>
  <c r="M22"/>
  <c r="K23"/>
  <c r="M23"/>
  <c r="K24"/>
  <c r="M24"/>
  <c r="K25"/>
  <c r="M25"/>
  <c r="K26"/>
  <c r="M26"/>
  <c r="K27"/>
  <c r="M27"/>
  <c r="K28"/>
  <c r="F28" s="1"/>
  <c r="E28" s="1"/>
  <c r="M28"/>
  <c r="K29"/>
  <c r="M29"/>
  <c r="K30"/>
  <c r="M30"/>
  <c r="K31"/>
  <c r="M31"/>
  <c r="K32"/>
  <c r="M32"/>
  <c r="E7" i="5"/>
  <c r="D8"/>
  <c r="F8"/>
  <c r="E9"/>
  <c r="D10"/>
  <c r="F10"/>
  <c r="E11"/>
  <c r="D12"/>
  <c r="F12"/>
  <c r="E13"/>
  <c r="D14"/>
  <c r="F14"/>
  <c r="E15"/>
  <c r="D16"/>
  <c r="F16"/>
  <c r="E17"/>
  <c r="D7"/>
  <c r="F7"/>
  <c r="E8"/>
  <c r="D9"/>
  <c r="F9"/>
  <c r="E10"/>
  <c r="D11"/>
  <c r="F11"/>
  <c r="E12"/>
  <c r="D13"/>
  <c r="F13"/>
  <c r="E14"/>
  <c r="D15"/>
  <c r="F15"/>
  <c r="E1" i="2"/>
  <c r="E3"/>
  <c r="E3" i="4"/>
  <c r="E1"/>
  <c r="I9" i="2" l="1"/>
  <c r="B17" i="5"/>
  <c r="J17" s="1"/>
  <c r="I10" i="2"/>
  <c r="I11"/>
  <c r="I12"/>
  <c r="I14"/>
  <c r="H9"/>
  <c r="F11"/>
  <c r="G9"/>
  <c r="H10"/>
  <c r="H12"/>
  <c r="F10"/>
  <c r="G10"/>
  <c r="G11"/>
  <c r="G12"/>
  <c r="I13"/>
  <c r="F9"/>
  <c r="D9"/>
  <c r="H13"/>
  <c r="H11"/>
  <c r="E9"/>
  <c r="E10"/>
  <c r="F25" i="6"/>
  <c r="E25" s="1"/>
  <c r="F20"/>
  <c r="E20" s="1"/>
  <c r="F13"/>
  <c r="E13" s="1"/>
  <c r="F31"/>
  <c r="E31" s="1"/>
  <c r="F23"/>
  <c r="E23" s="1"/>
  <c r="F22"/>
  <c r="E22" s="1"/>
  <c r="F19"/>
  <c r="E19" s="1"/>
  <c r="F15"/>
  <c r="E15" s="1"/>
  <c r="F11"/>
  <c r="E11" s="1"/>
  <c r="F32"/>
  <c r="E32" s="1"/>
  <c r="F30"/>
  <c r="E30" s="1"/>
  <c r="F26"/>
  <c r="E26" s="1"/>
  <c r="F24"/>
  <c r="E24" s="1"/>
  <c r="F18"/>
  <c r="E18" s="1"/>
  <c r="F14"/>
  <c r="E14" s="1"/>
  <c r="F27"/>
  <c r="E27" s="1"/>
  <c r="F17"/>
  <c r="E17" s="1"/>
  <c r="F29"/>
  <c r="E29" s="1"/>
  <c r="F21"/>
  <c r="E21" s="1"/>
  <c r="F16"/>
  <c r="E16" s="1"/>
  <c r="F12"/>
  <c r="E12" s="1"/>
  <c r="B15" i="5"/>
  <c r="J15" s="1"/>
  <c r="B11"/>
  <c r="J11" s="1"/>
  <c r="B7"/>
  <c r="J7" s="1"/>
  <c r="M7" s="1"/>
  <c r="B14"/>
  <c r="J14" s="1"/>
  <c r="B10"/>
  <c r="J10" s="1"/>
  <c r="B13"/>
  <c r="J13" s="1"/>
  <c r="M14" s="1"/>
  <c r="B9"/>
  <c r="J9" s="1"/>
  <c r="B16"/>
  <c r="J16" s="1"/>
  <c r="B12"/>
  <c r="J12" s="1"/>
  <c r="B8"/>
  <c r="J8" s="1"/>
  <c r="C11" i="2"/>
  <c r="B11" s="1"/>
  <c r="C20" s="1"/>
  <c r="C14"/>
  <c r="C15"/>
  <c r="B15" s="1"/>
  <c r="C24" s="1"/>
  <c r="C12"/>
  <c r="B12" s="1"/>
  <c r="C21" s="1"/>
  <c r="C9"/>
  <c r="B9" s="1"/>
  <c r="C18" s="1"/>
  <c r="C13"/>
  <c r="C10"/>
  <c r="B10" s="1"/>
  <c r="C19" s="1"/>
  <c r="I15" i="4"/>
  <c r="I16"/>
  <c r="I17"/>
  <c r="I18"/>
  <c r="I19"/>
  <c r="I20"/>
  <c r="I21"/>
  <c r="I22"/>
  <c r="I23"/>
  <c r="I24"/>
  <c r="K24"/>
  <c r="I25"/>
  <c r="K25"/>
  <c r="I26"/>
  <c r="K26"/>
  <c r="I27"/>
  <c r="K27"/>
  <c r="I28"/>
  <c r="K28"/>
  <c r="I29"/>
  <c r="K29"/>
  <c r="M29"/>
  <c r="I30"/>
  <c r="K30"/>
  <c r="M30"/>
  <c r="H10"/>
  <c r="F10" s="1"/>
  <c r="E10" s="1"/>
  <c r="H12"/>
  <c r="F12" s="1"/>
  <c r="E12" s="1"/>
  <c r="H14"/>
  <c r="F14" s="1"/>
  <c r="E14" s="1"/>
  <c r="H16"/>
  <c r="H18"/>
  <c r="F18" s="1"/>
  <c r="E18" s="1"/>
  <c r="H22"/>
  <c r="H26"/>
  <c r="H30"/>
  <c r="J20"/>
  <c r="J21"/>
  <c r="J22"/>
  <c r="J23"/>
  <c r="J24"/>
  <c r="J25"/>
  <c r="J26"/>
  <c r="J27"/>
  <c r="L27"/>
  <c r="J28"/>
  <c r="L28"/>
  <c r="J29"/>
  <c r="L29"/>
  <c r="J30"/>
  <c r="L30"/>
  <c r="N30"/>
  <c r="H11"/>
  <c r="F11" s="1"/>
  <c r="E11" s="1"/>
  <c r="H13"/>
  <c r="F13" s="1"/>
  <c r="E13" s="1"/>
  <c r="H15"/>
  <c r="H17"/>
  <c r="F17" s="1"/>
  <c r="E17" s="1"/>
  <c r="H19"/>
  <c r="H21"/>
  <c r="F21" s="1"/>
  <c r="E21" s="1"/>
  <c r="H23"/>
  <c r="H25"/>
  <c r="H27"/>
  <c r="H29"/>
  <c r="H9"/>
  <c r="F9" s="1"/>
  <c r="H20"/>
  <c r="H24"/>
  <c r="H28"/>
  <c r="B13" i="2" l="1"/>
  <c r="C22" s="1"/>
  <c r="B14"/>
  <c r="C23" s="1"/>
  <c r="M8" i="5"/>
  <c r="M16"/>
  <c r="E22" i="16"/>
  <c r="E19"/>
  <c r="E15"/>
  <c r="E9" i="4"/>
  <c r="E10" i="16"/>
  <c r="E11"/>
  <c r="E18"/>
  <c r="E12"/>
  <c r="E13"/>
  <c r="E14"/>
  <c r="M12" i="5"/>
  <c r="B8" i="6"/>
  <c r="M15" i="5"/>
  <c r="M11"/>
  <c r="M9"/>
  <c r="M17"/>
  <c r="M13"/>
  <c r="M10"/>
  <c r="F28" i="4"/>
  <c r="F20"/>
  <c r="F29"/>
  <c r="F25"/>
  <c r="F16"/>
  <c r="F22"/>
  <c r="F30"/>
  <c r="F24"/>
  <c r="F27"/>
  <c r="F23"/>
  <c r="F19"/>
  <c r="F15"/>
  <c r="F26"/>
  <c r="E15" l="1"/>
  <c r="E16" i="16"/>
  <c r="E23" i="4"/>
  <c r="E24" i="16"/>
  <c r="E22" i="4"/>
  <c r="E23" i="16"/>
  <c r="E25" i="4"/>
  <c r="E26" i="16"/>
  <c r="E20" i="4"/>
  <c r="E21" i="16"/>
  <c r="E26" i="4"/>
  <c r="E27" i="16"/>
  <c r="E19" i="4"/>
  <c r="E20" i="16"/>
  <c r="E27" i="4"/>
  <c r="E28" i="16"/>
  <c r="E30" i="4"/>
  <c r="E31" i="16"/>
  <c r="E16" i="4"/>
  <c r="E17" i="16"/>
  <c r="E29" i="4"/>
  <c r="E30" i="16"/>
  <c r="E28" i="4"/>
  <c r="E29" i="16"/>
  <c r="E24" i="4"/>
  <c r="E25" i="16"/>
  <c r="B6" i="4"/>
</calcChain>
</file>

<file path=xl/sharedStrings.xml><?xml version="1.0" encoding="utf-8"?>
<sst xmlns="http://schemas.openxmlformats.org/spreadsheetml/2006/main" count="145" uniqueCount="56">
  <si>
    <t>p1x</t>
  </si>
  <si>
    <t>tx</t>
  </si>
  <si>
    <t>n</t>
  </si>
  <si>
    <t># donors</t>
  </si>
  <si>
    <t>alpha</t>
  </si>
  <si>
    <t>B(alpha,beta)</t>
  </si>
  <si>
    <t>beta</t>
  </si>
  <si>
    <t>gamma</t>
  </si>
  <si>
    <t>B(gamma,delta)</t>
  </si>
  <si>
    <t>delta</t>
  </si>
  <si>
    <t>LL</t>
  </si>
  <si>
    <t>n -t_x - 1</t>
  </si>
  <si>
    <t>L(.|x,t_x,n)</t>
  </si>
  <si>
    <t>x</t>
  </si>
  <si>
    <t>P(X(n)=x)</t>
  </si>
  <si>
    <t>Actual</t>
  </si>
  <si>
    <t>Model</t>
  </si>
  <si>
    <t>Cumulative</t>
  </si>
  <si>
    <t>Annual</t>
  </si>
  <si>
    <t>E[X(n)]</t>
  </si>
  <si>
    <t>n*</t>
  </si>
  <si>
    <t>CE</t>
  </si>
  <si>
    <t>CE by Frequency</t>
  </si>
  <si>
    <t>Number of Donors</t>
  </si>
  <si>
    <t>Column Labels</t>
  </si>
  <si>
    <t>Row Labels</t>
  </si>
  <si>
    <t>Grand Total</t>
  </si>
  <si>
    <t>Sum of # donors</t>
  </si>
  <si>
    <t>Exp Tot</t>
  </si>
  <si>
    <t>Act Tot</t>
  </si>
  <si>
    <t>Sum of Act Tot</t>
  </si>
  <si>
    <t>Sum of Exp Tot</t>
  </si>
  <si>
    <t>Actual total 2002-2006 donations by p1x / tx</t>
  </si>
  <si>
    <t>Expected total 2002-2006 donations by p1x / tx</t>
  </si>
  <si>
    <t>CE by Recency</t>
  </si>
  <si>
    <t>alpha + l</t>
  </si>
  <si>
    <t>gamma + m</t>
  </si>
  <si>
    <t>l</t>
  </si>
  <si>
    <t>m</t>
  </si>
  <si>
    <t>E(.,.)</t>
  </si>
  <si>
    <t>d</t>
  </si>
  <si>
    <t>DERT</t>
  </si>
  <si>
    <t>2F1</t>
  </si>
  <si>
    <t>a</t>
  </si>
  <si>
    <t>b</t>
  </si>
  <si>
    <t>c</t>
  </si>
  <si>
    <t>z</t>
  </si>
  <si>
    <t>j</t>
  </si>
  <si>
    <t>This workbook is provided "as-is". In no event shall the authors be liable for any damages arising from its use.</t>
  </si>
  <si>
    <t xml:space="preserve">     Peter S. Fader (www.petefader.com)</t>
  </si>
  <si>
    <t xml:space="preserve">     Bruce G.S.  Hardie (www.brucehardie.com)</t>
  </si>
  <si>
    <t>References:</t>
  </si>
  <si>
    <t>This workbook implements the BG/BB model for customer base analysis in a discrete-time noncontractual setting, as developed by Fader, Hardie, and Shang (2010). As it has been constructed explicitly for the dataset given in the worksheet "Table 2 data", it should not be used "as-is" in conjunction with any another dataset.</t>
  </si>
  <si>
    <t>Last revised: 2011-01-20</t>
  </si>
  <si>
    <t>A note that documents the process by which this workbook was constructed, along with a copy of this workbook, can be found at &lt;http://brucehardie.com/notes/010/&gt;.</t>
  </si>
  <si>
    <t>Fader, Peter S., Bruce G.S. Hardie, and Jen Shang (2010), "Customer-Base Analysis in a Discrete-Time Noncontractual Setting," Marketing Science, 29 (November-December), 1086--1108.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</si>
</sst>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000"/>
    <numFmt numFmtId="166" formatCode="0.0"/>
    <numFmt numFmtId="167" formatCode="0.000E+00"/>
  </numFmts>
  <fonts count="2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pivotButton="1"/>
    <xf numFmtId="2" fontId="0" fillId="2" borderId="0" xfId="0" applyNumberFormat="1" applyFill="1"/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'In-Sample Fit'!$B$17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Fit'!$B$18:$B$24</c:f>
              <c:numCache>
                <c:formatCode>General</c:formatCode>
                <c:ptCount val="7"/>
                <c:pt idx="0">
                  <c:v>3464</c:v>
                </c:pt>
                <c:pt idx="1">
                  <c:v>1823</c:v>
                </c:pt>
                <c:pt idx="2">
                  <c:v>1430</c:v>
                </c:pt>
                <c:pt idx="3">
                  <c:v>1085</c:v>
                </c:pt>
                <c:pt idx="4">
                  <c:v>1036</c:v>
                </c:pt>
                <c:pt idx="5">
                  <c:v>1063</c:v>
                </c:pt>
                <c:pt idx="6">
                  <c:v>1203</c:v>
                </c:pt>
              </c:numCache>
            </c:numRef>
          </c:val>
        </c:ser>
        <c:ser>
          <c:idx val="1"/>
          <c:order val="1"/>
          <c:tx>
            <c:strRef>
              <c:f>'In-Sample Fit'!$C$17</c:f>
              <c:strCache>
                <c:ptCount val="1"/>
                <c:pt idx="0">
                  <c:v>Model</c:v>
                </c:pt>
              </c:strCache>
            </c:strRef>
          </c:tx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Fit'!$C$18:$C$24</c:f>
              <c:numCache>
                <c:formatCode>0.0</c:formatCode>
                <c:ptCount val="7"/>
                <c:pt idx="0">
                  <c:v>3454.8850295142479</c:v>
                </c:pt>
                <c:pt idx="1">
                  <c:v>1888.6517281678914</c:v>
                </c:pt>
                <c:pt idx="2">
                  <c:v>1348.8798721254875</c:v>
                </c:pt>
                <c:pt idx="3">
                  <c:v>1113.3768290294925</c:v>
                </c:pt>
                <c:pt idx="4">
                  <c:v>1017.9215896936179</c:v>
                </c:pt>
                <c:pt idx="5">
                  <c:v>1027.166485865572</c:v>
                </c:pt>
                <c:pt idx="6">
                  <c:v>1253.1184638840366</c:v>
                </c:pt>
              </c:numCache>
            </c:numRef>
          </c:val>
        </c:ser>
        <c:axId val="102425344"/>
        <c:axId val="102427648"/>
      </c:barChart>
      <c:catAx>
        <c:axId val="10242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</c:title>
        <c:numFmt formatCode="General" sourceLinked="1"/>
        <c:tickLblPos val="nextTo"/>
        <c:crossAx val="102427648"/>
        <c:crosses val="autoZero"/>
        <c:auto val="1"/>
        <c:lblAlgn val="ctr"/>
        <c:lblOffset val="100"/>
      </c:catAx>
      <c:valAx>
        <c:axId val="1024276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 of people</a:t>
                </a:r>
              </a:p>
            </c:rich>
          </c:tx>
        </c:title>
        <c:numFmt formatCode="General" sourceLinked="1"/>
        <c:tickLblPos val="nextTo"/>
        <c:crossAx val="102425344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81573753280839922"/>
          <c:y val="0.10146799358413532"/>
          <c:w val="0.12037357830271216"/>
          <c:h val="0.16743438320209986"/>
        </c:manualLayout>
      </c:layout>
      <c:overlay val="1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5535.8180629984327</c:v>
                </c:pt>
                <c:pt idx="1">
                  <c:v>10252.865703016434</c:v>
                </c:pt>
                <c:pt idx="2">
                  <c:v>14400.487947632175</c:v>
                </c:pt>
                <c:pt idx="3">
                  <c:v>18125.168706275355</c:v>
                </c:pt>
                <c:pt idx="4">
                  <c:v>21521.085531078999</c:v>
                </c:pt>
                <c:pt idx="5">
                  <c:v>24652.771532709587</c:v>
                </c:pt>
                <c:pt idx="6">
                  <c:v>27566.59841106227</c:v>
                </c:pt>
                <c:pt idx="7">
                  <c:v>30297.13759388711</c:v>
                </c:pt>
                <c:pt idx="8">
                  <c:v>32870.932067684829</c:v>
                </c:pt>
                <c:pt idx="9">
                  <c:v>35308.856298538805</c:v>
                </c:pt>
                <c:pt idx="10">
                  <c:v>37627.658491212344</c:v>
                </c:pt>
              </c:numCache>
            </c:numRef>
          </c:val>
        </c:ser>
        <c:marker val="1"/>
        <c:axId val="107902464"/>
        <c:axId val="107904384"/>
      </c:lineChart>
      <c:catAx>
        <c:axId val="10790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crossAx val="107904384"/>
        <c:crosses val="autoZero"/>
        <c:auto val="1"/>
        <c:lblAlgn val="ctr"/>
        <c:lblOffset val="100"/>
      </c:catAx>
      <c:valAx>
        <c:axId val="107904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Cum.</a:t>
                </a:r>
                <a:r>
                  <a:rPr lang="en-GB" baseline="0"/>
                  <a:t> no. of repeat transactions</a:t>
                </a:r>
                <a:endParaRPr lang="en-GB"/>
              </a:p>
            </c:rich>
          </c:tx>
        </c:title>
        <c:numFmt formatCode="General" sourceLinked="1"/>
        <c:tickLblPos val="nextTo"/>
        <c:crossAx val="107902464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58333333333341"/>
          <c:y val="0.51350503062117281"/>
          <c:w val="0.15652777777777779"/>
          <c:h val="0.1674343832021003"/>
        </c:manualLayout>
      </c:layout>
      <c:overlay val="1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5535.8180629984327</c:v>
                </c:pt>
                <c:pt idx="1">
                  <c:v>10252.865703016434</c:v>
                </c:pt>
                <c:pt idx="2">
                  <c:v>14400.487947632175</c:v>
                </c:pt>
                <c:pt idx="3">
                  <c:v>18125.168706275355</c:v>
                </c:pt>
                <c:pt idx="4">
                  <c:v>21521.085531078999</c:v>
                </c:pt>
                <c:pt idx="5">
                  <c:v>24652.771532709587</c:v>
                </c:pt>
                <c:pt idx="6">
                  <c:v>27566.59841106227</c:v>
                </c:pt>
                <c:pt idx="7">
                  <c:v>30297.13759388711</c:v>
                </c:pt>
                <c:pt idx="8">
                  <c:v>32870.932067684829</c:v>
                </c:pt>
                <c:pt idx="9">
                  <c:v>35308.856298538805</c:v>
                </c:pt>
                <c:pt idx="10">
                  <c:v>37627.658491212344</c:v>
                </c:pt>
              </c:numCache>
            </c:numRef>
          </c:val>
        </c:ser>
        <c:axId val="114274688"/>
        <c:axId val="114276608"/>
      </c:barChart>
      <c:catAx>
        <c:axId val="114274688"/>
        <c:scaling>
          <c:orientation val="minMax"/>
        </c:scaling>
        <c:axPos val="b"/>
        <c:numFmt formatCode="General" sourceLinked="1"/>
        <c:tickLblPos val="nextTo"/>
        <c:crossAx val="114276608"/>
        <c:crosses val="autoZero"/>
        <c:auto val="1"/>
        <c:lblAlgn val="ctr"/>
        <c:lblOffset val="100"/>
      </c:catAx>
      <c:valAx>
        <c:axId val="114276608"/>
        <c:scaling>
          <c:orientation val="minMax"/>
        </c:scaling>
        <c:axPos val="l"/>
        <c:numFmt formatCode="General" sourceLinked="1"/>
        <c:tickLblPos val="nextTo"/>
        <c:crossAx val="11427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95975503062157"/>
          <c:y val="0.10146799358413532"/>
          <c:w val="0.12037357830271216"/>
          <c:h val="0.1674343832021003"/>
        </c:manualLayout>
      </c:layout>
      <c:overlay val="1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5535.8180629984327</c:v>
                </c:pt>
                <c:pt idx="1">
                  <c:v>4717.0476400180014</c:v>
                </c:pt>
                <c:pt idx="2">
                  <c:v>4147.6222446157408</c:v>
                </c:pt>
                <c:pt idx="3">
                  <c:v>3724.6807586431805</c:v>
                </c:pt>
                <c:pt idx="4">
                  <c:v>3395.916824803644</c:v>
                </c:pt>
                <c:pt idx="5">
                  <c:v>3131.6860016305873</c:v>
                </c:pt>
                <c:pt idx="6">
                  <c:v>2913.8268783526837</c:v>
                </c:pt>
                <c:pt idx="7">
                  <c:v>2730.5391828248394</c:v>
                </c:pt>
                <c:pt idx="8">
                  <c:v>2573.7944737977195</c:v>
                </c:pt>
                <c:pt idx="9">
                  <c:v>2437.924230853976</c:v>
                </c:pt>
                <c:pt idx="10">
                  <c:v>2318.8021926735382</c:v>
                </c:pt>
              </c:numCache>
            </c:numRef>
          </c:val>
        </c:ser>
        <c:marker val="1"/>
        <c:axId val="118235136"/>
        <c:axId val="118237440"/>
      </c:lineChart>
      <c:catAx>
        <c:axId val="11823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</c:title>
        <c:numFmt formatCode="General" sourceLinked="1"/>
        <c:tickLblPos val="nextTo"/>
        <c:crossAx val="118237440"/>
        <c:crosses val="autoZero"/>
        <c:auto val="1"/>
        <c:lblAlgn val="ctr"/>
        <c:lblOffset val="100"/>
      </c:catAx>
      <c:valAx>
        <c:axId val="1182374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</a:t>
                </a:r>
                <a:endParaRPr lang="en-GB"/>
              </a:p>
            </c:rich>
          </c:tx>
        </c:title>
        <c:numFmt formatCode="General" sourceLinked="1"/>
        <c:tickLblPos val="nextTo"/>
        <c:crossAx val="118235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51388888888889"/>
          <c:y val="0.5366531787693205"/>
          <c:w val="0.15652777777777779"/>
          <c:h val="0.1674343832021003"/>
        </c:manualLayout>
      </c:layout>
      <c:overlay val="1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5535.8180629984327</c:v>
                </c:pt>
                <c:pt idx="1">
                  <c:v>4717.0476400180014</c:v>
                </c:pt>
                <c:pt idx="2">
                  <c:v>4147.6222446157408</c:v>
                </c:pt>
                <c:pt idx="3">
                  <c:v>3724.6807586431805</c:v>
                </c:pt>
                <c:pt idx="4">
                  <c:v>3395.916824803644</c:v>
                </c:pt>
                <c:pt idx="5">
                  <c:v>3131.6860016305873</c:v>
                </c:pt>
                <c:pt idx="6">
                  <c:v>2913.8268783526837</c:v>
                </c:pt>
                <c:pt idx="7">
                  <c:v>2730.5391828248394</c:v>
                </c:pt>
                <c:pt idx="8">
                  <c:v>2573.7944737977195</c:v>
                </c:pt>
                <c:pt idx="9">
                  <c:v>2437.924230853976</c:v>
                </c:pt>
                <c:pt idx="10">
                  <c:v>2318.8021926735382</c:v>
                </c:pt>
              </c:numCache>
            </c:numRef>
          </c:val>
        </c:ser>
        <c:axId val="118898048"/>
        <c:axId val="119317632"/>
      </c:barChart>
      <c:catAx>
        <c:axId val="118898048"/>
        <c:scaling>
          <c:orientation val="minMax"/>
        </c:scaling>
        <c:axPos val="b"/>
        <c:numFmt formatCode="General" sourceLinked="1"/>
        <c:tickLblPos val="nextTo"/>
        <c:crossAx val="119317632"/>
        <c:crosses val="autoZero"/>
        <c:auto val="1"/>
        <c:lblAlgn val="ctr"/>
        <c:lblOffset val="100"/>
      </c:catAx>
      <c:valAx>
        <c:axId val="119317632"/>
        <c:scaling>
          <c:orientation val="minMax"/>
        </c:scaling>
        <c:axPos val="l"/>
        <c:numFmt formatCode="General" sourceLinked="1"/>
        <c:tickLblPos val="nextTo"/>
        <c:crossAx val="118898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40419947506556"/>
          <c:y val="8.2949475065616798E-2"/>
          <c:w val="0.12037357830271216"/>
          <c:h val="0.1674343832021003"/>
        </c:manualLayout>
      </c:layout>
      <c:overlay val="1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1966885389326334"/>
          <c:y val="3.7887139107611566E-2"/>
          <c:w val="0.80435892388451469"/>
          <c:h val="0.7711981272611198"/>
        </c:manualLayout>
      </c:layout>
      <c:lineChart>
        <c:grouping val="standard"/>
        <c:ser>
          <c:idx val="0"/>
          <c:order val="0"/>
          <c:tx>
            <c:strRef>
              <c:f>'Conditional Expectations (II)'!$U$2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(II)'!$U$3:$U$9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0.43280307185957212</c:v>
                </c:pt>
                <c:pt idx="2">
                  <c:v>0.81258741258741263</c:v>
                </c:pt>
                <c:pt idx="3">
                  <c:v>1.3898617511520737</c:v>
                </c:pt>
                <c:pt idx="4">
                  <c:v>2.0617760617760617</c:v>
                </c:pt>
                <c:pt idx="5">
                  <c:v>2.6425211665098778</c:v>
                </c:pt>
                <c:pt idx="6">
                  <c:v>3.5344970906068163</c:v>
                </c:pt>
              </c:numCache>
            </c:numRef>
          </c:val>
        </c:ser>
        <c:ser>
          <c:idx val="1"/>
          <c:order val="1"/>
          <c:tx>
            <c:strRef>
              <c:f>'Conditional Expectations (II)'!$V$2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(II)'!$V$3:$V$9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0.3248914650668106</c:v>
                </c:pt>
                <c:pt idx="2">
                  <c:v>0.7089574708138342</c:v>
                </c:pt>
                <c:pt idx="3">
                  <c:v>1.3336919475169939</c:v>
                </c:pt>
                <c:pt idx="4">
                  <c:v>2.0312399770104608</c:v>
                </c:pt>
                <c:pt idx="5">
                  <c:v>2.7845284527540515</c:v>
                </c:pt>
                <c:pt idx="6">
                  <c:v>3.7525489757750106</c:v>
                </c:pt>
              </c:numCache>
            </c:numRef>
          </c:val>
        </c:ser>
        <c:marker val="1"/>
        <c:axId val="119553408"/>
        <c:axId val="121853824"/>
      </c:lineChart>
      <c:catAx>
        <c:axId val="11955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055664916885404"/>
              <c:y val="0.91349081364829443"/>
            </c:manualLayout>
          </c:layout>
        </c:title>
        <c:numFmt formatCode="General" sourceLinked="1"/>
        <c:tickLblPos val="nextTo"/>
        <c:crossAx val="121853824"/>
        <c:crosses val="autoZero"/>
        <c:auto val="1"/>
        <c:lblAlgn val="ctr"/>
        <c:lblOffset val="100"/>
      </c:catAx>
      <c:valAx>
        <c:axId val="12185382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repeat transactions (2002-2006)</a:t>
                </a:r>
              </a:p>
            </c:rich>
          </c:tx>
        </c:title>
        <c:numFmt formatCode="0" sourceLinked="0"/>
        <c:tickLblPos val="nextTo"/>
        <c:crossAx val="119553408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8791666666666676"/>
          <c:y val="8.7579104695246449E-2"/>
          <c:w val="0.15652777777777779"/>
          <c:h val="0.16743438320210008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244663167104115"/>
          <c:y val="6.991891937074747E-2"/>
          <c:w val="0.81547003499562554"/>
          <c:h val="0.76000835882775797"/>
        </c:manualLayout>
      </c:layout>
      <c:lineChart>
        <c:grouping val="standard"/>
        <c:ser>
          <c:idx val="0"/>
          <c:order val="0"/>
          <c:tx>
            <c:strRef>
              <c:f>'Conditional Expectations (II)'!$U$12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(II)'!$U$13:$U$19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0.21814848762603117</c:v>
                </c:pt>
                <c:pt idx="2">
                  <c:v>0.38988764044943819</c:v>
                </c:pt>
                <c:pt idx="3">
                  <c:v>0.48725212464589235</c:v>
                </c:pt>
                <c:pt idx="4">
                  <c:v>0.80886850152905199</c:v>
                </c:pt>
                <c:pt idx="5">
                  <c:v>1.6522887323943662</c:v>
                </c:pt>
                <c:pt idx="6">
                  <c:v>2.9468858678469809</c:v>
                </c:pt>
              </c:numCache>
            </c:numRef>
          </c:val>
        </c:ser>
        <c:ser>
          <c:idx val="1"/>
          <c:order val="1"/>
          <c:tx>
            <c:strRef>
              <c:f>'Conditional Expectations (II)'!$V$12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(II)'!$V$13:$V$19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8.5695814916892057E-2</c:v>
                </c:pt>
                <c:pt idx="2">
                  <c:v>0.17984886530699004</c:v>
                </c:pt>
                <c:pt idx="3">
                  <c:v>0.40412697657935598</c:v>
                </c:pt>
                <c:pt idx="4">
                  <c:v>0.85111086542591352</c:v>
                </c:pt>
                <c:pt idx="5">
                  <c:v>1.7263661414776723</c:v>
                </c:pt>
                <c:pt idx="6">
                  <c:v>3.0272289453318018</c:v>
                </c:pt>
              </c:numCache>
            </c:numRef>
          </c:val>
        </c:ser>
        <c:marker val="1"/>
        <c:axId val="123396480"/>
        <c:axId val="123398400"/>
      </c:lineChart>
      <c:catAx>
        <c:axId val="1233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8500109361329834"/>
              <c:y val="0.92269622348161895"/>
            </c:manualLayout>
          </c:layout>
        </c:title>
        <c:numFmt formatCode="General" sourceLinked="1"/>
        <c:tickLblPos val="nextTo"/>
        <c:crossAx val="123398400"/>
        <c:crosses val="autoZero"/>
        <c:auto val="1"/>
        <c:lblAlgn val="ctr"/>
        <c:lblOffset val="100"/>
      </c:catAx>
      <c:valAx>
        <c:axId val="1233984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(2002-2006)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9249781277340341E-2"/>
              <c:y val="9.6356219803734669E-2"/>
            </c:manualLayout>
          </c:layout>
        </c:title>
        <c:numFmt formatCode="0" sourceLinked="0"/>
        <c:tickLblPos val="nextTo"/>
        <c:crossAx val="1233964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902777777777773"/>
          <c:y val="5.5171697287839022E-2"/>
          <c:w val="0.15652777777777779"/>
          <c:h val="0.16743438320210008"/>
        </c:manualLayout>
      </c:layout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15</xdr:row>
      <xdr:rowOff>180975</xdr:rowOff>
    </xdr:from>
    <xdr:to>
      <xdr:col>11</xdr:col>
      <xdr:colOff>123825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152400</xdr:rowOff>
    </xdr:from>
    <xdr:to>
      <xdr:col>7</xdr:col>
      <xdr:colOff>466725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32</xdr:row>
      <xdr:rowOff>152400</xdr:rowOff>
    </xdr:from>
    <xdr:to>
      <xdr:col>7</xdr:col>
      <xdr:colOff>457200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17</xdr:row>
      <xdr:rowOff>161925</xdr:rowOff>
    </xdr:from>
    <xdr:to>
      <xdr:col>15</xdr:col>
      <xdr:colOff>390525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32</xdr:row>
      <xdr:rowOff>142875</xdr:rowOff>
    </xdr:from>
    <xdr:to>
      <xdr:col>15</xdr:col>
      <xdr:colOff>381000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0</xdr:row>
      <xdr:rowOff>38100</xdr:rowOff>
    </xdr:from>
    <xdr:to>
      <xdr:col>29</xdr:col>
      <xdr:colOff>561975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257175</xdr:colOff>
      <xdr:row>15</xdr:row>
      <xdr:rowOff>76200</xdr:rowOff>
    </xdr:from>
    <xdr:to>
      <xdr:col>29</xdr:col>
      <xdr:colOff>561975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0547.406277430557" createdVersion="3" refreshedVersion="3" minRefreshableVersion="3" recordCount="22">
  <cacheSource type="worksheet">
    <worksheetSource ref="A1:G23" sheet="Conditional Expectations (II)"/>
  </cacheSource>
  <cacheFields count="7">
    <cacheField name="p1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t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n" numFmtId="0">
      <sharedItems containsSemiMixedTypes="0" containsString="0" containsNumber="1" containsInteger="1" minValue="6" maxValue="6"/>
    </cacheField>
    <cacheField name="# donors" numFmtId="0">
      <sharedItems containsSemiMixedTypes="0" containsString="0" containsNumber="1" containsInteger="1" minValue="78" maxValue="3464"/>
    </cacheField>
    <cacheField name="CE" numFmtId="164">
      <sharedItems containsSemiMixedTypes="0" containsString="0" containsNumber="1" minValue="7.2863325845706248E-2" maxValue="3.7525489757750106"/>
    </cacheField>
    <cacheField name="Exp Tot" numFmtId="166">
      <sharedItems containsSemiMixedTypes="0" containsString="0" containsNumber="1" minValue="65.473035313796402" maxValue="4514.3164178573379"/>
    </cacheField>
    <cacheField name="Act Tot" numFmtId="0">
      <sharedItems containsSemiMixedTypes="0" containsString="0" containsNumber="1" containsInteger="1" minValue="44" maxValue="425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6"/>
    <n v="1203"/>
    <n v="3.7525489757750106"/>
    <n v="4514.3164178573379"/>
    <n v="4252"/>
  </r>
  <r>
    <x v="1"/>
    <x v="0"/>
    <n v="6"/>
    <n v="728"/>
    <n v="3.2316163562710765"/>
    <n v="2352.6167073653437"/>
    <n v="2227"/>
  </r>
  <r>
    <x v="2"/>
    <x v="0"/>
    <n v="6"/>
    <n v="512"/>
    <n v="2.7106837367674648"/>
    <n v="1387.870073224942"/>
    <n v="1393"/>
  </r>
  <r>
    <x v="3"/>
    <x v="0"/>
    <n v="6"/>
    <n v="357"/>
    <n v="2.1897511172647417"/>
    <n v="781.74114886351276"/>
    <n v="817"/>
  </r>
  <r>
    <x v="4"/>
    <x v="0"/>
    <n v="6"/>
    <n v="234"/>
    <n v="1.6688184977641389"/>
    <n v="390.50352847680853"/>
    <n v="442"/>
  </r>
  <r>
    <x v="5"/>
    <x v="0"/>
    <n v="6"/>
    <n v="129"/>
    <n v="1.1478858782677865"/>
    <n v="148.07727829654448"/>
    <n v="190"/>
  </r>
  <r>
    <x v="1"/>
    <x v="1"/>
    <n v="6"/>
    <n v="335"/>
    <n v="1.8129463818275007"/>
    <n v="607.33703791221274"/>
    <n v="582"/>
  </r>
  <r>
    <x v="2"/>
    <x v="1"/>
    <n v="6"/>
    <n v="284"/>
    <n v="2.0300285039522277"/>
    <n v="576.52809512243266"/>
    <n v="542"/>
  </r>
  <r>
    <x v="3"/>
    <x v="1"/>
    <n v="6"/>
    <n v="225"/>
    <n v="1.8047063965642964"/>
    <n v="406.05893922696669"/>
    <n v="373"/>
  </r>
  <r>
    <x v="4"/>
    <x v="1"/>
    <n v="6"/>
    <n v="173"/>
    <n v="1.4430445866668975"/>
    <n v="249.64671349337326"/>
    <n v="244"/>
  </r>
  <r>
    <x v="5"/>
    <x v="1"/>
    <n v="6"/>
    <n v="119"/>
    <n v="1.0216903442323562"/>
    <n v="121.58115096365039"/>
    <n v="136"/>
  </r>
  <r>
    <x v="2"/>
    <x v="2"/>
    <n v="6"/>
    <n v="240"/>
    <n v="0.5831935326477603"/>
    <n v="139.96644783546247"/>
    <n v="201"/>
  </r>
  <r>
    <x v="3"/>
    <x v="2"/>
    <n v="6"/>
    <n v="181"/>
    <n v="1.0345748347086743"/>
    <n v="187.25804508227006"/>
    <n v="170"/>
  </r>
  <r>
    <x v="4"/>
    <x v="2"/>
    <n v="6"/>
    <n v="155"/>
    <n v="1.0576063081097971"/>
    <n v="163.92897775701854"/>
    <n v="114"/>
  </r>
  <r>
    <x v="5"/>
    <x v="2"/>
    <n v="6"/>
    <n v="78"/>
    <n v="0.83939788863841536"/>
    <n v="65.473035313796402"/>
    <n v="44"/>
  </r>
  <r>
    <x v="3"/>
    <x v="3"/>
    <n v="6"/>
    <n v="322"/>
    <n v="0.22359512386083441"/>
    <n v="71.997629883188679"/>
    <n v="148"/>
  </r>
  <r>
    <x v="4"/>
    <x v="3"/>
    <n v="6"/>
    <n v="255"/>
    <n v="0.53611262114758274"/>
    <n v="136.70871839263359"/>
    <n v="118"/>
  </r>
  <r>
    <x v="5"/>
    <x v="3"/>
    <n v="6"/>
    <n v="129"/>
    <n v="0.59385501697056653"/>
    <n v="76.607297189203081"/>
    <n v="78"/>
  </r>
  <r>
    <x v="4"/>
    <x v="4"/>
    <n v="6"/>
    <n v="613"/>
    <n v="0.11912111768996571"/>
    <n v="73.021245143948974"/>
    <n v="244"/>
  </r>
  <r>
    <x v="5"/>
    <x v="4"/>
    <n v="6"/>
    <n v="277"/>
    <n v="0.31423915154971893"/>
    <n v="87.04424497927215"/>
    <n v="103"/>
  </r>
  <r>
    <x v="5"/>
    <x v="5"/>
    <n v="6"/>
    <n v="1091"/>
    <n v="8.5695814916892057E-2"/>
    <n v="93.494134074329239"/>
    <n v="238"/>
  </r>
  <r>
    <x v="6"/>
    <x v="6"/>
    <n v="6"/>
    <n v="3464"/>
    <n v="7.2863325845706248E-2"/>
    <n v="252.39856072952645"/>
    <n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numFmtId="166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ct Tot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 Tot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numFmtId="164" showAll="0"/>
    <pivotField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donor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cols>
    <col min="1" max="1" width="120" customWidth="1"/>
  </cols>
  <sheetData>
    <row r="1" spans="1:1" ht="45">
      <c r="A1" s="17" t="s">
        <v>52</v>
      </c>
    </row>
    <row r="2" spans="1:1">
      <c r="A2" s="17"/>
    </row>
    <row r="3" spans="1:1" ht="30">
      <c r="A3" s="17" t="s">
        <v>54</v>
      </c>
    </row>
    <row r="5" spans="1:1">
      <c r="A5" s="17" t="s">
        <v>48</v>
      </c>
    </row>
    <row r="7" spans="1:1">
      <c r="A7" t="s">
        <v>49</v>
      </c>
    </row>
    <row r="8" spans="1:1">
      <c r="A8" t="s">
        <v>50</v>
      </c>
    </row>
    <row r="10" spans="1:1">
      <c r="A10" t="s">
        <v>53</v>
      </c>
    </row>
    <row r="13" spans="1:1">
      <c r="A13" s="18" t="s">
        <v>51</v>
      </c>
    </row>
    <row r="15" spans="1:1" ht="30">
      <c r="A15" s="17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3:I12"/>
  <sheetViews>
    <sheetView workbookViewId="0"/>
  </sheetViews>
  <sheetFormatPr defaultRowHeight="15"/>
  <cols>
    <col min="1" max="1" width="15.28515625" bestFit="1" customWidth="1"/>
    <col min="2" max="2" width="16.28515625" bestFit="1" customWidth="1"/>
    <col min="3" max="3" width="5" customWidth="1"/>
    <col min="4" max="6" width="4" customWidth="1"/>
    <col min="7" max="8" width="5" customWidth="1"/>
    <col min="9" max="9" width="11.28515625" bestFit="1" customWidth="1"/>
  </cols>
  <sheetData>
    <row r="3" spans="1:9">
      <c r="A3" s="12" t="s">
        <v>27</v>
      </c>
      <c r="B3" s="12" t="s">
        <v>24</v>
      </c>
    </row>
    <row r="4" spans="1:9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>
      <c r="A5" s="11">
        <v>0</v>
      </c>
      <c r="B5" s="6">
        <v>3464</v>
      </c>
      <c r="C5" s="6"/>
      <c r="D5" s="6"/>
      <c r="E5" s="6"/>
      <c r="F5" s="6"/>
      <c r="G5" s="6"/>
      <c r="H5" s="6"/>
      <c r="I5" s="6">
        <v>3464</v>
      </c>
    </row>
    <row r="6" spans="1:9">
      <c r="A6" s="11">
        <v>1</v>
      </c>
      <c r="B6" s="6"/>
      <c r="C6" s="6">
        <v>1091</v>
      </c>
      <c r="D6" s="6">
        <v>277</v>
      </c>
      <c r="E6" s="6">
        <v>129</v>
      </c>
      <c r="F6" s="6">
        <v>78</v>
      </c>
      <c r="G6" s="6">
        <v>119</v>
      </c>
      <c r="H6" s="6">
        <v>129</v>
      </c>
      <c r="I6" s="6">
        <v>1823</v>
      </c>
    </row>
    <row r="7" spans="1:9">
      <c r="A7" s="11">
        <v>2</v>
      </c>
      <c r="B7" s="6"/>
      <c r="C7" s="6"/>
      <c r="D7" s="6">
        <v>613</v>
      </c>
      <c r="E7" s="6">
        <v>255</v>
      </c>
      <c r="F7" s="6">
        <v>155</v>
      </c>
      <c r="G7" s="6">
        <v>173</v>
      </c>
      <c r="H7" s="6">
        <v>234</v>
      </c>
      <c r="I7" s="6">
        <v>1430</v>
      </c>
    </row>
    <row r="8" spans="1:9">
      <c r="A8" s="11">
        <v>3</v>
      </c>
      <c r="B8" s="6"/>
      <c r="C8" s="6"/>
      <c r="D8" s="6"/>
      <c r="E8" s="6">
        <v>322</v>
      </c>
      <c r="F8" s="6">
        <v>181</v>
      </c>
      <c r="G8" s="6">
        <v>225</v>
      </c>
      <c r="H8" s="6">
        <v>357</v>
      </c>
      <c r="I8" s="6">
        <v>1085</v>
      </c>
    </row>
    <row r="9" spans="1:9">
      <c r="A9" s="11">
        <v>4</v>
      </c>
      <c r="B9" s="6"/>
      <c r="C9" s="6"/>
      <c r="D9" s="6"/>
      <c r="E9" s="6"/>
      <c r="F9" s="6">
        <v>240</v>
      </c>
      <c r="G9" s="6">
        <v>284</v>
      </c>
      <c r="H9" s="6">
        <v>512</v>
      </c>
      <c r="I9" s="6">
        <v>1036</v>
      </c>
    </row>
    <row r="10" spans="1:9">
      <c r="A10" s="11">
        <v>5</v>
      </c>
      <c r="B10" s="6"/>
      <c r="C10" s="6"/>
      <c r="D10" s="6"/>
      <c r="E10" s="6"/>
      <c r="F10" s="6"/>
      <c r="G10" s="6">
        <v>335</v>
      </c>
      <c r="H10" s="6">
        <v>728</v>
      </c>
      <c r="I10" s="6">
        <v>1063</v>
      </c>
    </row>
    <row r="11" spans="1:9">
      <c r="A11" s="11">
        <v>6</v>
      </c>
      <c r="B11" s="6"/>
      <c r="C11" s="6"/>
      <c r="D11" s="6"/>
      <c r="E11" s="6"/>
      <c r="F11" s="6"/>
      <c r="G11" s="6"/>
      <c r="H11" s="6">
        <v>1203</v>
      </c>
      <c r="I11" s="6">
        <v>1203</v>
      </c>
    </row>
    <row r="12" spans="1:9">
      <c r="A12" s="11" t="s">
        <v>26</v>
      </c>
      <c r="B12" s="6">
        <v>3464</v>
      </c>
      <c r="C12" s="6">
        <v>1091</v>
      </c>
      <c r="D12" s="6">
        <v>890</v>
      </c>
      <c r="E12" s="6">
        <v>706</v>
      </c>
      <c r="F12" s="6">
        <v>654</v>
      </c>
      <c r="G12" s="6">
        <v>1136</v>
      </c>
      <c r="H12" s="6">
        <v>3163</v>
      </c>
      <c r="I12" s="6">
        <v>11104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5"/>
  <cols>
    <col min="1" max="1" width="11" bestFit="1" customWidth="1"/>
    <col min="6" max="6" width="10.85546875" bestFit="1" customWidth="1"/>
  </cols>
  <sheetData>
    <row r="1" spans="1:14">
      <c r="A1" t="s">
        <v>35</v>
      </c>
      <c r="B1" s="2">
        <f>H1+B6</f>
        <v>2.2035208304049791</v>
      </c>
      <c r="D1" s="1" t="s">
        <v>5</v>
      </c>
      <c r="E1" s="2">
        <f>EXP(GAMMALN(B1)+GAMMALN(B2)-GAMMALN(B1+B2))</f>
        <v>0.70612075575803745</v>
      </c>
      <c r="G1" t="s">
        <v>4</v>
      </c>
      <c r="H1" s="2">
        <f>'Parameter Estimation'!B1</f>
        <v>1.2035208304049791</v>
      </c>
      <c r="J1" s="1" t="s">
        <v>5</v>
      </c>
      <c r="K1" s="2">
        <f>EXP(GAMMALN(H1)+GAMMALN(H2)-GAMMALN(H1+H2))</f>
        <v>1.1459874988583574</v>
      </c>
    </row>
    <row r="2" spans="1:14">
      <c r="A2" t="s">
        <v>6</v>
      </c>
      <c r="B2" s="2">
        <v>0.74971424306189594</v>
      </c>
      <c r="D2" s="1"/>
      <c r="E2" s="2"/>
      <c r="G2" t="s">
        <v>6</v>
      </c>
      <c r="H2" s="2">
        <f>'Parameter Estimation'!B2</f>
        <v>0.74971424306189594</v>
      </c>
      <c r="J2" s="1"/>
      <c r="K2" s="2"/>
    </row>
    <row r="3" spans="1:14">
      <c r="A3" t="s">
        <v>36</v>
      </c>
      <c r="B3" s="2">
        <f>H3+B7</f>
        <v>0.65671216914787822</v>
      </c>
      <c r="D3" s="1" t="s">
        <v>8</v>
      </c>
      <c r="E3" s="3">
        <f>EXP(GAMMALN(B3)+GAMMALN(B4)-GAMMALN(B3+B4))</f>
        <v>0.72886135642266991</v>
      </c>
      <c r="G3" t="s">
        <v>7</v>
      </c>
      <c r="H3" s="2">
        <f>'Parameter Estimation'!B3</f>
        <v>0.65671216914787822</v>
      </c>
      <c r="J3" s="1" t="s">
        <v>8</v>
      </c>
      <c r="K3" s="3">
        <f>EXP(GAMMALN(H3)+GAMMALN(H4)-GAMMALN(H3+H4))</f>
        <v>0.72886135642266991</v>
      </c>
    </row>
    <row r="4" spans="1:14">
      <c r="A4" t="s">
        <v>9</v>
      </c>
      <c r="B4" s="2">
        <v>2.7834080163589801</v>
      </c>
      <c r="G4" t="s">
        <v>9</v>
      </c>
      <c r="H4" s="2">
        <f>'Parameter Estimation'!B4</f>
        <v>2.7834080163589801</v>
      </c>
    </row>
    <row r="5" spans="1:14">
      <c r="B5" s="2"/>
      <c r="H5" s="2"/>
    </row>
    <row r="6" spans="1:14">
      <c r="A6" t="s">
        <v>37</v>
      </c>
      <c r="B6" s="6">
        <v>1</v>
      </c>
      <c r="H6" s="2"/>
    </row>
    <row r="7" spans="1:14">
      <c r="A7" t="s">
        <v>38</v>
      </c>
      <c r="B7" s="6">
        <v>0</v>
      </c>
      <c r="H7" s="2"/>
    </row>
    <row r="9" spans="1:14">
      <c r="A9" s="1" t="s">
        <v>0</v>
      </c>
      <c r="B9" s="1" t="s">
        <v>1</v>
      </c>
      <c r="C9" s="1" t="s">
        <v>2</v>
      </c>
      <c r="D9" s="1" t="s">
        <v>3</v>
      </c>
      <c r="E9" s="9" t="s">
        <v>39</v>
      </c>
      <c r="F9" s="1" t="s">
        <v>12</v>
      </c>
      <c r="G9" s="1" t="s">
        <v>11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</row>
    <row r="10" spans="1:14">
      <c r="A10">
        <v>6</v>
      </c>
      <c r="B10">
        <v>6</v>
      </c>
      <c r="C10">
        <v>6</v>
      </c>
      <c r="D10">
        <v>1203</v>
      </c>
      <c r="E10" s="13">
        <f>$E$1/$K$1*$E$3/$K$3*F10/'Parameter Estimation'!F9</f>
        <v>0.90573468077490082</v>
      </c>
      <c r="F10" s="4">
        <f>SUM(H10:N10)</f>
        <v>0.16588784905149265</v>
      </c>
      <c r="G10">
        <f t="shared" ref="G10:G31" si="0">C10-B10-1</f>
        <v>-1</v>
      </c>
      <c r="H10" s="4">
        <f t="shared" ref="H10:H31" si="1">EXP(GAMMALN($B$1+A10)+GAMMALN($B$2+C10-A10)-GAMMALN($B$1+$B$2+C10))/$E$1*EXP(GAMMALN($B$3)+GAMMALN($B$4+C10)-GAMMALN($B$3+$B$4+C10))/$E$3</f>
        <v>0.16588784905149265</v>
      </c>
      <c r="I10">
        <f t="shared" ref="I10:N19" si="2">IF(I$9&lt;=$G10,EXP(GAMMALN($B$1+$A10)+GAMMALN($B$2+$B10-$A10+I$9)-GAMMALN($B$1+$B$2+$B10+I$9))/$E$1*EXP(GAMMALN($B$3+1)+GAMMALN($B$4+$B10+I$9)-GAMMALN($B$3+$B$4+$B10+I$9+1))/$E$3,0)</f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>
      <c r="A11">
        <v>5</v>
      </c>
      <c r="B11">
        <v>6</v>
      </c>
      <c r="C11">
        <v>6</v>
      </c>
      <c r="D11">
        <v>728</v>
      </c>
      <c r="E11" s="13">
        <f>$E$1/$K$1*$E$3/$K$3*F11/'Parameter Estimation'!F10</f>
        <v>0.77999968227719751</v>
      </c>
      <c r="F11" s="4">
        <f t="shared" ref="F11:F31" si="3">SUM(H11:N11)</f>
        <v>1.7264957802960678E-2</v>
      </c>
      <c r="G11">
        <f t="shared" si="0"/>
        <v>-1</v>
      </c>
      <c r="H11" s="4">
        <f t="shared" si="1"/>
        <v>1.7264957802960678E-2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>
      <c r="A12">
        <v>4</v>
      </c>
      <c r="B12">
        <v>6</v>
      </c>
      <c r="C12">
        <v>6</v>
      </c>
      <c r="D12">
        <v>512</v>
      </c>
      <c r="E12" s="13">
        <f>$E$1/$K$1*$E$3/$K$3*F12/'Parameter Estimation'!F11</f>
        <v>0.65426468377957225</v>
      </c>
      <c r="F12" s="4">
        <f t="shared" si="3"/>
        <v>4.869612498895547E-3</v>
      </c>
      <c r="G12">
        <f t="shared" si="0"/>
        <v>-1</v>
      </c>
      <c r="H12" s="4">
        <f t="shared" si="1"/>
        <v>4.869612498895547E-3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</row>
    <row r="13" spans="1:14">
      <c r="A13">
        <v>3</v>
      </c>
      <c r="B13">
        <v>6</v>
      </c>
      <c r="C13">
        <v>6</v>
      </c>
      <c r="D13">
        <v>357</v>
      </c>
      <c r="E13" s="13">
        <f>$E$1/$K$1*$E$3/$K$3*F13/'Parameter Estimation'!F12</f>
        <v>0.52852968528216138</v>
      </c>
      <c r="F13" s="4">
        <f t="shared" si="3"/>
        <v>2.5732659256353201E-3</v>
      </c>
      <c r="G13">
        <f t="shared" si="0"/>
        <v>-1</v>
      </c>
      <c r="H13" s="4">
        <f t="shared" si="1"/>
        <v>2.5732659256353201E-3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>
      <c r="A14">
        <v>2</v>
      </c>
      <c r="B14">
        <v>6</v>
      </c>
      <c r="C14">
        <v>6</v>
      </c>
      <c r="D14">
        <v>234</v>
      </c>
      <c r="E14" s="13">
        <f>$E$1/$K$1*$E$3/$K$3*F14/'Parameter Estimation'!F13</f>
        <v>0.4027946867852622</v>
      </c>
      <c r="F14" s="4">
        <f t="shared" si="3"/>
        <v>2.2954595163945019E-3</v>
      </c>
      <c r="G14">
        <f t="shared" si="0"/>
        <v>-1</v>
      </c>
      <c r="H14" s="4">
        <f t="shared" si="1"/>
        <v>2.2954595163945019E-3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>
      <c r="A15">
        <v>1</v>
      </c>
      <c r="B15">
        <v>6</v>
      </c>
      <c r="C15">
        <v>6</v>
      </c>
      <c r="D15">
        <v>129</v>
      </c>
      <c r="E15" s="13">
        <f>$E$1/$K$1*$E$3/$K$3*F15/'Parameter Estimation'!F14</f>
        <v>0.27705968828938898</v>
      </c>
      <c r="F15" s="4">
        <f t="shared" si="3"/>
        <v>3.4033731437012244E-3</v>
      </c>
      <c r="G15">
        <f t="shared" si="0"/>
        <v>-1</v>
      </c>
      <c r="H15" s="4">
        <f t="shared" si="1"/>
        <v>3.4033731437012244E-3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</row>
    <row r="16" spans="1:14">
      <c r="A16">
        <v>5</v>
      </c>
      <c r="B16">
        <v>5</v>
      </c>
      <c r="C16">
        <v>6</v>
      </c>
      <c r="D16">
        <v>335</v>
      </c>
      <c r="E16" s="13">
        <f>$E$1/$K$1*$E$3/$K$3*F16/'Parameter Estimation'!F15</f>
        <v>0.82924547051291575</v>
      </c>
      <c r="F16" s="4">
        <f t="shared" si="3"/>
        <v>3.2718172745421076E-2</v>
      </c>
      <c r="G16">
        <f t="shared" si="0"/>
        <v>0</v>
      </c>
      <c r="H16" s="4">
        <f t="shared" si="1"/>
        <v>1.7264957802960678E-2</v>
      </c>
      <c r="I16" s="4">
        <f t="shared" si="2"/>
        <v>1.5453214942460396E-2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>
      <c r="A17">
        <v>4</v>
      </c>
      <c r="B17">
        <v>5</v>
      </c>
      <c r="C17">
        <v>6</v>
      </c>
      <c r="D17">
        <v>284</v>
      </c>
      <c r="E17" s="13">
        <f>$E$1/$K$1*$E$3/$K$3*F17/'Parameter Estimation'!F16</f>
        <v>0.67789202774299084</v>
      </c>
      <c r="F17" s="4">
        <f t="shared" si="3"/>
        <v>6.7371802332210923E-3</v>
      </c>
      <c r="G17">
        <f t="shared" si="0"/>
        <v>0</v>
      </c>
      <c r="H17" s="4">
        <f t="shared" si="1"/>
        <v>4.869612498895547E-3</v>
      </c>
      <c r="I17" s="4">
        <f t="shared" si="2"/>
        <v>1.8675677343255458E-3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</row>
    <row r="18" spans="1:14">
      <c r="A18">
        <v>3</v>
      </c>
      <c r="B18">
        <v>5</v>
      </c>
      <c r="C18">
        <v>6</v>
      </c>
      <c r="D18">
        <v>225</v>
      </c>
      <c r="E18" s="13">
        <f>$E$1/$K$1*$E$3/$K$3*F18/'Parameter Estimation'!F17</f>
        <v>0.54189560626341882</v>
      </c>
      <c r="F18" s="4">
        <f t="shared" si="3"/>
        <v>3.2012464740099169E-3</v>
      </c>
      <c r="G18">
        <f t="shared" si="0"/>
        <v>0</v>
      </c>
      <c r="H18" s="4">
        <f t="shared" si="1"/>
        <v>2.5732659256353201E-3</v>
      </c>
      <c r="I18" s="4">
        <f t="shared" si="2"/>
        <v>6.2798054837459691E-4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>
      <c r="A19">
        <v>2</v>
      </c>
      <c r="B19">
        <v>5</v>
      </c>
      <c r="C19">
        <v>6</v>
      </c>
      <c r="D19">
        <v>173</v>
      </c>
      <c r="E19" s="13">
        <f>$E$1/$K$1*$E$3/$K$3*F19/'Parameter Estimation'!F18</f>
        <v>0.41063189657706411</v>
      </c>
      <c r="F19" s="4">
        <f t="shared" si="3"/>
        <v>2.7062501673470866E-3</v>
      </c>
      <c r="G19">
        <f t="shared" si="0"/>
        <v>0</v>
      </c>
      <c r="H19" s="4">
        <f t="shared" si="1"/>
        <v>2.2954595163945019E-3</v>
      </c>
      <c r="I19" s="4">
        <f t="shared" si="2"/>
        <v>4.1079065095258466E-4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</row>
    <row r="20" spans="1:14">
      <c r="A20">
        <v>1</v>
      </c>
      <c r="B20">
        <v>5</v>
      </c>
      <c r="C20">
        <v>6</v>
      </c>
      <c r="D20">
        <v>119</v>
      </c>
      <c r="E20" s="13">
        <f>$E$1/$K$1*$E$3/$K$3*F20/'Parameter Estimation'!F19</f>
        <v>0.28144026915551995</v>
      </c>
      <c r="F20" s="4">
        <f t="shared" si="3"/>
        <v>3.8842027172690061E-3</v>
      </c>
      <c r="G20">
        <f t="shared" si="0"/>
        <v>0</v>
      </c>
      <c r="H20" s="4">
        <f t="shared" si="1"/>
        <v>3.4033731437012244E-3</v>
      </c>
      <c r="I20" s="4">
        <f t="shared" ref="I20:N31" si="4">IF(I$9&lt;=$G20,EXP(GAMMALN($B$1+$A20)+GAMMALN($B$2+$B20-$A20+I$9)-GAMMALN($B$1+$B$2+$B20+I$9))/$E$1*EXP(GAMMALN($B$3+1)+GAMMALN($B$4+$B20+I$9)-GAMMALN($B$3+$B$4+$B20+I$9+1))/$E$3,0)</f>
        <v>4.808295735677817E-4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>
      <c r="A21">
        <v>4</v>
      </c>
      <c r="B21">
        <v>4</v>
      </c>
      <c r="C21">
        <v>6</v>
      </c>
      <c r="D21">
        <v>240</v>
      </c>
      <c r="E21" s="13">
        <f>$E$1/$K$1*$E$3/$K$3*F21/'Parameter Estimation'!F20</f>
        <v>0.81770852559607388</v>
      </c>
      <c r="F21" s="4">
        <f t="shared" si="3"/>
        <v>2.8288218759756505E-2</v>
      </c>
      <c r="G21">
        <f t="shared" si="0"/>
        <v>1</v>
      </c>
      <c r="H21" s="4">
        <f t="shared" si="1"/>
        <v>4.869612498895547E-3</v>
      </c>
      <c r="I21" s="4">
        <f t="shared" si="4"/>
        <v>2.1551038526535411E-2</v>
      </c>
      <c r="J21" s="4">
        <f t="shared" si="4"/>
        <v>1.8675677343255458E-3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>
      <c r="A22">
        <v>3</v>
      </c>
      <c r="B22">
        <v>4</v>
      </c>
      <c r="C22">
        <v>6</v>
      </c>
      <c r="D22">
        <v>181</v>
      </c>
      <c r="E22" s="13">
        <f>$E$1/$K$1*$E$3/$K$3*F22/'Parameter Estimation'!F21</f>
        <v>0.61196319426935508</v>
      </c>
      <c r="F22" s="4">
        <f t="shared" si="3"/>
        <v>6.3062826717786864E-3</v>
      </c>
      <c r="G22">
        <f t="shared" si="0"/>
        <v>1</v>
      </c>
      <c r="H22" s="4">
        <f t="shared" si="1"/>
        <v>2.5732659256353201E-3</v>
      </c>
      <c r="I22" s="4">
        <f t="shared" si="4"/>
        <v>3.1050361977687695E-3</v>
      </c>
      <c r="J22" s="4">
        <f t="shared" si="4"/>
        <v>6.2798054837459691E-4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</row>
    <row r="23" spans="1:14">
      <c r="A23">
        <v>2</v>
      </c>
      <c r="B23">
        <v>4</v>
      </c>
      <c r="C23">
        <v>6</v>
      </c>
      <c r="D23">
        <v>155</v>
      </c>
      <c r="E23" s="13">
        <f>$E$1/$K$1*$E$3/$K$3*F23/'Parameter Estimation'!F22</f>
        <v>0.44468253679572789</v>
      </c>
      <c r="F23" s="4">
        <f t="shared" si="3"/>
        <v>3.9987205224503719E-3</v>
      </c>
      <c r="G23">
        <f t="shared" si="0"/>
        <v>1</v>
      </c>
      <c r="H23" s="4">
        <f t="shared" si="1"/>
        <v>2.2954595163945019E-3</v>
      </c>
      <c r="I23" s="4">
        <f t="shared" si="4"/>
        <v>1.2924703551032853E-3</v>
      </c>
      <c r="J23" s="4">
        <f t="shared" si="4"/>
        <v>4.1079065095258466E-4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</row>
    <row r="24" spans="1:14">
      <c r="A24">
        <v>1</v>
      </c>
      <c r="B24">
        <v>4</v>
      </c>
      <c r="C24">
        <v>6</v>
      </c>
      <c r="D24">
        <v>78</v>
      </c>
      <c r="E24" s="13">
        <f>$E$1/$K$1*$E$3/$K$3*F24/'Parameter Estimation'!F23</f>
        <v>0.29726600137120118</v>
      </c>
      <c r="F24" s="4">
        <f t="shared" si="3"/>
        <v>4.9935834056727951E-3</v>
      </c>
      <c r="G24">
        <f t="shared" si="0"/>
        <v>1</v>
      </c>
      <c r="H24" s="4">
        <f t="shared" si="1"/>
        <v>3.4033731437012244E-3</v>
      </c>
      <c r="I24" s="4">
        <f t="shared" si="4"/>
        <v>1.1093806884037887E-3</v>
      </c>
      <c r="J24" s="4">
        <f t="shared" si="4"/>
        <v>4.808295735677817E-4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</row>
    <row r="25" spans="1:14">
      <c r="A25">
        <v>3</v>
      </c>
      <c r="B25">
        <v>3</v>
      </c>
      <c r="C25">
        <v>6</v>
      </c>
      <c r="D25">
        <v>322</v>
      </c>
      <c r="E25" s="13">
        <f>$E$1/$K$1*$E$3/$K$3*F25/'Parameter Estimation'!F24</f>
        <v>0.79748993965979575</v>
      </c>
      <c r="F25" s="4">
        <f t="shared" si="3"/>
        <v>3.8025324236323314E-2</v>
      </c>
      <c r="G25">
        <f t="shared" si="0"/>
        <v>2</v>
      </c>
      <c r="H25" s="4">
        <f t="shared" si="1"/>
        <v>2.5732659256353201E-3</v>
      </c>
      <c r="I25" s="4">
        <f t="shared" si="4"/>
        <v>3.1719041564544623E-2</v>
      </c>
      <c r="J25" s="4">
        <f t="shared" si="4"/>
        <v>3.1050361977687695E-3</v>
      </c>
      <c r="K25" s="4">
        <f t="shared" si="4"/>
        <v>6.2798054837459691E-4</v>
      </c>
      <c r="L25">
        <f t="shared" si="4"/>
        <v>0</v>
      </c>
      <c r="M25">
        <f t="shared" si="4"/>
        <v>0</v>
      </c>
      <c r="N25">
        <f t="shared" si="4"/>
        <v>0</v>
      </c>
    </row>
    <row r="26" spans="1:14">
      <c r="A26">
        <v>2</v>
      </c>
      <c r="B26">
        <v>3</v>
      </c>
      <c r="C26">
        <v>6</v>
      </c>
      <c r="D26">
        <v>255</v>
      </c>
      <c r="E26" s="13">
        <f>$E$1/$K$1*$E$3/$K$3*F26/'Parameter Estimation'!F25</f>
        <v>0.5443213107287429</v>
      </c>
      <c r="F26" s="4">
        <f t="shared" si="3"/>
        <v>9.6559346041706091E-3</v>
      </c>
      <c r="G26">
        <f t="shared" si="0"/>
        <v>2</v>
      </c>
      <c r="H26" s="4">
        <f t="shared" si="1"/>
        <v>2.2954595163945019E-3</v>
      </c>
      <c r="I26" s="4">
        <f t="shared" si="4"/>
        <v>5.6572140817202372E-3</v>
      </c>
      <c r="J26" s="4">
        <f t="shared" si="4"/>
        <v>1.2924703551032853E-3</v>
      </c>
      <c r="K26" s="4">
        <f t="shared" si="4"/>
        <v>4.1079065095258466E-4</v>
      </c>
      <c r="L26">
        <f t="shared" si="4"/>
        <v>0</v>
      </c>
      <c r="M26">
        <f t="shared" si="4"/>
        <v>0</v>
      </c>
      <c r="N26">
        <f t="shared" si="4"/>
        <v>0</v>
      </c>
    </row>
    <row r="27" spans="1:14">
      <c r="A27">
        <v>1</v>
      </c>
      <c r="B27">
        <v>3</v>
      </c>
      <c r="C27">
        <v>6</v>
      </c>
      <c r="D27">
        <v>129</v>
      </c>
      <c r="E27" s="13">
        <f>$E$1/$K$1*$E$3/$K$3*F27/'Parameter Estimation'!F26</f>
        <v>0.34044204217175772</v>
      </c>
      <c r="F27" s="4">
        <f t="shared" si="3"/>
        <v>8.0834674984389E-3</v>
      </c>
      <c r="G27">
        <f t="shared" si="0"/>
        <v>2</v>
      </c>
      <c r="H27" s="4">
        <f t="shared" si="1"/>
        <v>3.4033731437012244E-3</v>
      </c>
      <c r="I27" s="4">
        <f t="shared" si="4"/>
        <v>3.0898840927661053E-3</v>
      </c>
      <c r="J27" s="4">
        <f t="shared" si="4"/>
        <v>1.1093806884037887E-3</v>
      </c>
      <c r="K27" s="4">
        <f t="shared" si="4"/>
        <v>4.808295735677817E-4</v>
      </c>
      <c r="L27">
        <f t="shared" si="4"/>
        <v>0</v>
      </c>
      <c r="M27">
        <f t="shared" si="4"/>
        <v>0</v>
      </c>
      <c r="N27">
        <f t="shared" si="4"/>
        <v>0</v>
      </c>
    </row>
    <row r="28" spans="1:14">
      <c r="A28">
        <v>2</v>
      </c>
      <c r="B28">
        <v>2</v>
      </c>
      <c r="C28">
        <v>6</v>
      </c>
      <c r="D28">
        <v>613</v>
      </c>
      <c r="E28" s="13">
        <f>$E$1/$K$1*$E$3/$K$3*F28/'Parameter Estimation'!F27</f>
        <v>0.75124327004556168</v>
      </c>
      <c r="F28" s="4">
        <f t="shared" si="3"/>
        <v>5.9977290764731177E-2</v>
      </c>
      <c r="G28">
        <f t="shared" si="0"/>
        <v>3</v>
      </c>
      <c r="H28" s="4">
        <f t="shared" si="1"/>
        <v>2.2954595163945019E-3</v>
      </c>
      <c r="I28" s="4">
        <f t="shared" si="4"/>
        <v>5.0321356160560569E-2</v>
      </c>
      <c r="J28" s="4">
        <f t="shared" si="4"/>
        <v>5.6572140817202372E-3</v>
      </c>
      <c r="K28" s="4">
        <f t="shared" si="4"/>
        <v>1.2924703551032853E-3</v>
      </c>
      <c r="L28" s="4">
        <f t="shared" si="4"/>
        <v>4.1079065095258466E-4</v>
      </c>
      <c r="M28">
        <f t="shared" si="4"/>
        <v>0</v>
      </c>
      <c r="N28">
        <f t="shared" si="4"/>
        <v>0</v>
      </c>
    </row>
    <row r="29" spans="1:14">
      <c r="A29">
        <v>1</v>
      </c>
      <c r="B29">
        <v>2</v>
      </c>
      <c r="C29">
        <v>6</v>
      </c>
      <c r="D29">
        <v>277</v>
      </c>
      <c r="E29" s="13">
        <f>$E$1/$K$1*$E$3/$K$3*F29/'Parameter Estimation'!F28</f>
        <v>0.44259493870625727</v>
      </c>
      <c r="F29" s="4">
        <f t="shared" si="3"/>
        <v>1.9860084363776721E-2</v>
      </c>
      <c r="G29">
        <f t="shared" si="0"/>
        <v>3</v>
      </c>
      <c r="H29" s="4">
        <f t="shared" si="1"/>
        <v>3.4033731437012244E-3</v>
      </c>
      <c r="I29" s="4">
        <f t="shared" si="4"/>
        <v>1.1776616865337819E-2</v>
      </c>
      <c r="J29" s="4">
        <f t="shared" si="4"/>
        <v>3.0898840927661053E-3</v>
      </c>
      <c r="K29" s="4">
        <f t="shared" si="4"/>
        <v>1.1093806884037887E-3</v>
      </c>
      <c r="L29" s="4">
        <f t="shared" si="4"/>
        <v>4.808295735677817E-4</v>
      </c>
      <c r="M29">
        <f t="shared" si="4"/>
        <v>0</v>
      </c>
      <c r="N29">
        <f t="shared" si="4"/>
        <v>0</v>
      </c>
    </row>
    <row r="30" spans="1:14">
      <c r="A30">
        <v>1</v>
      </c>
      <c r="B30">
        <v>1</v>
      </c>
      <c r="C30">
        <v>6</v>
      </c>
      <c r="D30">
        <v>1091</v>
      </c>
      <c r="E30" s="13">
        <f>$E$1/$K$1*$E$3/$K$3*F30/'Parameter Estimation'!F29</f>
        <v>0.66335908423207324</v>
      </c>
      <c r="F30" s="4">
        <f t="shared" si="3"/>
        <v>0.10915006712206236</v>
      </c>
      <c r="G30">
        <f t="shared" si="0"/>
        <v>4</v>
      </c>
      <c r="H30" s="4">
        <f t="shared" si="1"/>
        <v>3.4033731437012244E-3</v>
      </c>
      <c r="I30" s="4">
        <f t="shared" si="4"/>
        <v>8.928998275828566E-2</v>
      </c>
      <c r="J30" s="4">
        <f t="shared" si="4"/>
        <v>1.1776616865337819E-2</v>
      </c>
      <c r="K30" s="4">
        <f t="shared" si="4"/>
        <v>3.0898840927661053E-3</v>
      </c>
      <c r="L30" s="4">
        <f t="shared" si="4"/>
        <v>1.1093806884037887E-3</v>
      </c>
      <c r="M30" s="4">
        <f t="shared" si="4"/>
        <v>4.808295735677817E-4</v>
      </c>
      <c r="N30">
        <f t="shared" si="4"/>
        <v>0</v>
      </c>
    </row>
    <row r="31" spans="1:14">
      <c r="A31">
        <v>0</v>
      </c>
      <c r="B31">
        <v>0</v>
      </c>
      <c r="C31">
        <v>6</v>
      </c>
      <c r="D31">
        <v>3464</v>
      </c>
      <c r="E31" s="13">
        <f>$E$1/$K$1*$E$3/$K$3*F31/'Parameter Estimation'!F30</f>
        <v>0.48774261188126072</v>
      </c>
      <c r="F31" s="4">
        <f t="shared" si="3"/>
        <v>0.2462894159680723</v>
      </c>
      <c r="G31">
        <f t="shared" si="0"/>
        <v>5</v>
      </c>
      <c r="H31" s="4">
        <f t="shared" si="1"/>
        <v>8.8805255521935099E-3</v>
      </c>
      <c r="I31" s="4">
        <f t="shared" si="4"/>
        <v>0.19089803078521808</v>
      </c>
      <c r="J31" s="4">
        <f t="shared" si="4"/>
        <v>3.0379550266316988E-2</v>
      </c>
      <c r="K31" s="4">
        <f t="shared" si="4"/>
        <v>9.3512681976728445E-3</v>
      </c>
      <c r="L31" s="4">
        <f t="shared" si="4"/>
        <v>3.8557830641281509E-3</v>
      </c>
      <c r="M31" s="4">
        <f t="shared" si="4"/>
        <v>1.8878244811371958E-3</v>
      </c>
      <c r="N31" s="4">
        <f t="shared" si="4"/>
        <v>1.0364336214055026E-3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85"/>
  <sheetViews>
    <sheetView workbookViewId="0"/>
  </sheetViews>
  <sheetFormatPr defaultRowHeight="15"/>
  <cols>
    <col min="6" max="6" width="10.85546875" bestFit="1" customWidth="1"/>
    <col min="7" max="7" width="10.85546875" customWidth="1"/>
  </cols>
  <sheetData>
    <row r="1" spans="1:15">
      <c r="A1" t="s">
        <v>4</v>
      </c>
      <c r="B1" s="2">
        <v>1.2035208304049791</v>
      </c>
      <c r="D1" s="1" t="s">
        <v>5</v>
      </c>
      <c r="E1" s="2">
        <f>EXP(GAMMALN(B1)+GAMMALN(B2)-GAMMALN(B1+B2))</f>
        <v>1.1459874988583574</v>
      </c>
    </row>
    <row r="2" spans="1:15">
      <c r="A2" t="s">
        <v>6</v>
      </c>
      <c r="B2" s="2">
        <v>0.74971424306189594</v>
      </c>
      <c r="D2" s="1"/>
      <c r="E2" s="2"/>
    </row>
    <row r="3" spans="1:15">
      <c r="A3" t="s">
        <v>7</v>
      </c>
      <c r="B3" s="2">
        <v>0.65671216914787822</v>
      </c>
      <c r="D3" s="1" t="s">
        <v>8</v>
      </c>
      <c r="E3" s="3">
        <f>EXP(GAMMALN(B3)+GAMMALN(B4)-GAMMALN(B3+B4))</f>
        <v>0.72886135642266991</v>
      </c>
    </row>
    <row r="4" spans="1:15">
      <c r="A4" t="s">
        <v>9</v>
      </c>
      <c r="B4" s="2">
        <v>2.7834080163589801</v>
      </c>
    </row>
    <row r="5" spans="1:15">
      <c r="B5" s="2"/>
    </row>
    <row r="6" spans="1:15">
      <c r="A6" t="s">
        <v>40</v>
      </c>
      <c r="B6" s="2">
        <v>0.1</v>
      </c>
    </row>
    <row r="8" spans="1:15">
      <c r="A8" t="s">
        <v>10</v>
      </c>
      <c r="B8" s="5">
        <f>SUM(E11:E32)</f>
        <v>-33225.581276082543</v>
      </c>
    </row>
    <row r="10" spans="1:15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41</v>
      </c>
      <c r="H10" s="1" t="s">
        <v>11</v>
      </c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</row>
    <row r="11" spans="1:15">
      <c r="A11">
        <v>6</v>
      </c>
      <c r="B11">
        <v>6</v>
      </c>
      <c r="C11">
        <v>6</v>
      </c>
      <c r="D11">
        <v>1203</v>
      </c>
      <c r="E11" s="5">
        <f>D11*LN(F11)</f>
        <v>-2624.5492363064254</v>
      </c>
      <c r="F11" s="4">
        <f>SUM(I11:O11)</f>
        <v>0.11285288759762578</v>
      </c>
      <c r="G11" s="10">
        <f>EXP(GAMMALN($B$1+A11+1)+GAMMALN($B$2+C11-A11)-GAMMALN($B$1+$B$2+C11+1))*EXP(GAMMALN($B$3)+GAMMALN($B$4+C11+1)-GAMMALN($B$3+$B$4+C11+1))/($E$1*$E$3*(1+$B$6))*$D$35/F11</f>
        <v>5.9099093355652998</v>
      </c>
      <c r="H11">
        <f t="shared" ref="H11:H32" si="0">C11-B11-1</f>
        <v>-1</v>
      </c>
      <c r="I11" s="4">
        <f t="shared" ref="I11:I32" si="1">EXP(GAMMALN($B$1+A11)+GAMMALN($B$2+C11-A11)-GAMMALN($B$1+$B$2+C11))/$E$1*EXP(GAMMALN($B$3)+GAMMALN($B$4+C11)-GAMMALN($B$3+$B$4+C11))/$E$3</f>
        <v>0.11285288759762578</v>
      </c>
      <c r="J11">
        <f t="shared" ref="J11:O26" si="2">IF(J$10&lt;=$H11,EXP(GAMMALN($B$1+$A11)+GAMMALN($B$2+$B11-$A11+J$10)-GAMMALN($B$1+$B$2+$B11+J$10))/$E$1*EXP(GAMMALN($B$3+1)+GAMMALN($B$4+$B11+J$10)-GAMMALN($B$3+$B$4+$B11+J$10+1))/$E$3,0)</f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</row>
    <row r="12" spans="1:15">
      <c r="A12">
        <v>5</v>
      </c>
      <c r="B12">
        <v>6</v>
      </c>
      <c r="C12">
        <v>6</v>
      </c>
      <c r="D12">
        <v>728</v>
      </c>
      <c r="E12" s="5">
        <f t="shared" ref="E12:E32" si="3">D12*LN(F12)</f>
        <v>-3126.6510542793199</v>
      </c>
      <c r="F12" s="4">
        <f t="shared" ref="F12:F32" si="4">SUM(I12:O12)</f>
        <v>1.3638612572694667E-2</v>
      </c>
      <c r="G12" s="10">
        <f t="shared" ref="G12:G32" si="5">EXP(GAMMALN($B$1+A12+1)+GAMMALN($B$2+C12-A12)-GAMMALN($B$1+$B$2+C12+1))*EXP(GAMMALN($B$3)+GAMMALN($B$4+C12+1)-GAMMALN($B$3+$B$4+C12+1))/($E$1*$E$3*(1+$B$6))*$D$35/F12</f>
        <v>5.0894897831273598</v>
      </c>
      <c r="H12">
        <f t="shared" si="0"/>
        <v>-1</v>
      </c>
      <c r="I12" s="4">
        <f t="shared" si="1"/>
        <v>1.3638612572694667E-2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</row>
    <row r="13" spans="1:15">
      <c r="A13">
        <v>4</v>
      </c>
      <c r="B13">
        <v>6</v>
      </c>
      <c r="C13">
        <v>6</v>
      </c>
      <c r="D13">
        <v>512</v>
      </c>
      <c r="E13" s="5">
        <f t="shared" si="3"/>
        <v>-2756.9834719360792</v>
      </c>
      <c r="F13" s="4">
        <f t="shared" si="4"/>
        <v>4.5860630621585236E-3</v>
      </c>
      <c r="G13" s="10">
        <f t="shared" si="5"/>
        <v>4.2690702306899269</v>
      </c>
      <c r="H13">
        <f t="shared" si="0"/>
        <v>-1</v>
      </c>
      <c r="I13" s="4">
        <f t="shared" si="1"/>
        <v>4.5860630621585236E-3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</row>
    <row r="14" spans="1:15">
      <c r="A14">
        <v>3</v>
      </c>
      <c r="B14">
        <v>6</v>
      </c>
      <c r="C14">
        <v>6</v>
      </c>
      <c r="D14">
        <v>357</v>
      </c>
      <c r="E14" s="5">
        <f t="shared" si="3"/>
        <v>-2073.8696973266178</v>
      </c>
      <c r="F14" s="4">
        <f t="shared" si="4"/>
        <v>2.9999525231949238E-3</v>
      </c>
      <c r="G14" s="10">
        <f t="shared" si="5"/>
        <v>3.4486506782538937</v>
      </c>
      <c r="H14">
        <f t="shared" si="0"/>
        <v>-1</v>
      </c>
      <c r="I14" s="4">
        <f t="shared" si="1"/>
        <v>2.9999525231949238E-3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</row>
    <row r="15" spans="1:15">
      <c r="A15">
        <v>2</v>
      </c>
      <c r="B15">
        <v>6</v>
      </c>
      <c r="C15">
        <v>6</v>
      </c>
      <c r="D15">
        <v>234</v>
      </c>
      <c r="E15" s="5">
        <f t="shared" si="3"/>
        <v>-1322.5047369941287</v>
      </c>
      <c r="F15" s="4">
        <f t="shared" si="4"/>
        <v>3.5114379772433089E-3</v>
      </c>
      <c r="G15" s="10">
        <f t="shared" si="5"/>
        <v>2.6282311258211988</v>
      </c>
      <c r="H15">
        <f t="shared" si="0"/>
        <v>-1</v>
      </c>
      <c r="I15" s="4">
        <f t="shared" si="1"/>
        <v>3.5114379772433089E-3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</row>
    <row r="16" spans="1:15">
      <c r="A16">
        <v>1</v>
      </c>
      <c r="B16">
        <v>6</v>
      </c>
      <c r="C16">
        <v>6</v>
      </c>
      <c r="D16">
        <v>129</v>
      </c>
      <c r="E16" s="5">
        <f t="shared" si="3"/>
        <v>-629.99751245748928</v>
      </c>
      <c r="F16" s="4">
        <f t="shared" si="4"/>
        <v>7.5689445474219769E-3</v>
      </c>
      <c r="G16" s="10">
        <f t="shared" si="5"/>
        <v>1.8078115733951989</v>
      </c>
      <c r="H16">
        <f t="shared" si="0"/>
        <v>-1</v>
      </c>
      <c r="I16" s="4">
        <f t="shared" si="1"/>
        <v>7.5689445474219769E-3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</row>
    <row r="17" spans="1:15">
      <c r="A17">
        <v>5</v>
      </c>
      <c r="B17">
        <v>5</v>
      </c>
      <c r="C17">
        <v>6</v>
      </c>
      <c r="D17">
        <v>335</v>
      </c>
      <c r="E17" s="5">
        <f t="shared" si="3"/>
        <v>-1245.1351269153367</v>
      </c>
      <c r="F17" s="4">
        <f t="shared" si="4"/>
        <v>2.4311123543728767E-2</v>
      </c>
      <c r="G17" s="10">
        <f t="shared" si="5"/>
        <v>2.8552188968110279</v>
      </c>
      <c r="H17">
        <f t="shared" si="0"/>
        <v>0</v>
      </c>
      <c r="I17" s="4">
        <f t="shared" si="1"/>
        <v>1.3638612572694667E-2</v>
      </c>
      <c r="J17" s="4">
        <f t="shared" si="2"/>
        <v>1.06725109710341E-2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</row>
    <row r="18" spans="1:15">
      <c r="A18">
        <v>4</v>
      </c>
      <c r="B18">
        <v>5</v>
      </c>
      <c r="C18">
        <v>6</v>
      </c>
      <c r="D18">
        <v>284</v>
      </c>
      <c r="E18" s="5">
        <f t="shared" si="3"/>
        <v>-1447.1453656674323</v>
      </c>
      <c r="F18" s="4">
        <f t="shared" si="4"/>
        <v>6.1237399052184206E-3</v>
      </c>
      <c r="G18" s="10">
        <f t="shared" si="5"/>
        <v>3.1971026852469375</v>
      </c>
      <c r="H18">
        <f t="shared" si="0"/>
        <v>0</v>
      </c>
      <c r="I18" s="4">
        <f t="shared" si="1"/>
        <v>4.5860630621585236E-3</v>
      </c>
      <c r="J18" s="4">
        <f t="shared" si="2"/>
        <v>1.5376768430598975E-3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</row>
    <row r="19" spans="1:15">
      <c r="A19">
        <v>3</v>
      </c>
      <c r="B19">
        <v>5</v>
      </c>
      <c r="C19">
        <v>6</v>
      </c>
      <c r="D19">
        <v>225</v>
      </c>
      <c r="E19" s="5">
        <f t="shared" si="3"/>
        <v>-1263.5479892533692</v>
      </c>
      <c r="F19" s="4">
        <f t="shared" si="4"/>
        <v>3.6400100326087724E-3</v>
      </c>
      <c r="G19" s="10">
        <f t="shared" si="5"/>
        <v>2.8422417002051206</v>
      </c>
      <c r="H19">
        <f t="shared" si="0"/>
        <v>0</v>
      </c>
      <c r="I19" s="4">
        <f t="shared" si="1"/>
        <v>2.9999525231949238E-3</v>
      </c>
      <c r="J19" s="4">
        <f t="shared" si="2"/>
        <v>6.4005750941384853E-4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</row>
    <row r="20" spans="1:15">
      <c r="A20">
        <v>2</v>
      </c>
      <c r="B20">
        <v>5</v>
      </c>
      <c r="C20">
        <v>6</v>
      </c>
      <c r="D20">
        <v>173</v>
      </c>
      <c r="E20" s="5">
        <f t="shared" si="3"/>
        <v>-952.60182549657156</v>
      </c>
      <c r="F20" s="4">
        <f t="shared" si="4"/>
        <v>4.0608257737276667E-3</v>
      </c>
      <c r="G20" s="10">
        <f t="shared" si="5"/>
        <v>2.272658592715191</v>
      </c>
      <c r="H20">
        <f t="shared" si="0"/>
        <v>0</v>
      </c>
      <c r="I20" s="4">
        <f t="shared" si="1"/>
        <v>3.5114379772433089E-3</v>
      </c>
      <c r="J20" s="4">
        <f t="shared" si="2"/>
        <v>5.493877964843581E-4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</row>
    <row r="21" spans="1:15">
      <c r="A21">
        <v>1</v>
      </c>
      <c r="B21">
        <v>5</v>
      </c>
      <c r="C21">
        <v>6</v>
      </c>
      <c r="D21">
        <v>119</v>
      </c>
      <c r="E21" s="5">
        <f t="shared" si="3"/>
        <v>-567.30134806797219</v>
      </c>
      <c r="F21" s="4">
        <f t="shared" si="4"/>
        <v>8.5038334838189785E-3</v>
      </c>
      <c r="G21" s="10">
        <f t="shared" si="5"/>
        <v>1.6090655558169453</v>
      </c>
      <c r="H21">
        <f t="shared" si="0"/>
        <v>0</v>
      </c>
      <c r="I21" s="4">
        <f t="shared" si="1"/>
        <v>7.5689445474219769E-3</v>
      </c>
      <c r="J21" s="4">
        <f t="shared" si="2"/>
        <v>9.3488893639700088E-4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</row>
    <row r="22" spans="1:15">
      <c r="A22">
        <v>4</v>
      </c>
      <c r="B22">
        <v>4</v>
      </c>
      <c r="C22">
        <v>6</v>
      </c>
      <c r="D22">
        <v>240</v>
      </c>
      <c r="E22" s="5">
        <f t="shared" si="3"/>
        <v>-923.59110033420575</v>
      </c>
      <c r="F22" s="4">
        <f t="shared" si="4"/>
        <v>2.1316022662225674E-2</v>
      </c>
      <c r="G22" s="10">
        <f t="shared" si="5"/>
        <v>0.91847459561123468</v>
      </c>
      <c r="H22">
        <f t="shared" si="0"/>
        <v>1</v>
      </c>
      <c r="I22" s="4">
        <f t="shared" si="1"/>
        <v>4.5860630621585236E-3</v>
      </c>
      <c r="J22" s="4">
        <f t="shared" si="2"/>
        <v>1.5192282757007252E-2</v>
      </c>
      <c r="K22" s="4">
        <f t="shared" si="2"/>
        <v>1.5376768430598975E-3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</row>
    <row r="23" spans="1:15">
      <c r="A23">
        <v>3</v>
      </c>
      <c r="B23">
        <v>4</v>
      </c>
      <c r="C23">
        <v>6</v>
      </c>
      <c r="D23">
        <v>181</v>
      </c>
      <c r="E23" s="5">
        <f t="shared" si="3"/>
        <v>-915.74442758226883</v>
      </c>
      <c r="F23" s="4">
        <f t="shared" si="4"/>
        <v>6.349612583856315E-3</v>
      </c>
      <c r="G23" s="10">
        <f t="shared" si="5"/>
        <v>1.6293574083794475</v>
      </c>
      <c r="H23">
        <f t="shared" si="0"/>
        <v>1</v>
      </c>
      <c r="I23" s="4">
        <f t="shared" si="1"/>
        <v>2.9999525231949238E-3</v>
      </c>
      <c r="J23" s="4">
        <f t="shared" si="2"/>
        <v>2.709602551247543E-3</v>
      </c>
      <c r="K23" s="4">
        <f t="shared" si="2"/>
        <v>6.4005750941384853E-4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</row>
    <row r="24" spans="1:15">
      <c r="A24">
        <v>2</v>
      </c>
      <c r="B24">
        <v>4</v>
      </c>
      <c r="C24">
        <v>6</v>
      </c>
      <c r="D24">
        <v>155</v>
      </c>
      <c r="E24" s="5">
        <f t="shared" si="3"/>
        <v>-805.32139608873058</v>
      </c>
      <c r="F24" s="4">
        <f t="shared" si="4"/>
        <v>5.5407693819908323E-3</v>
      </c>
      <c r="G24" s="10">
        <f t="shared" si="5"/>
        <v>1.6656297983052861</v>
      </c>
      <c r="H24">
        <f t="shared" si="0"/>
        <v>1</v>
      </c>
      <c r="I24" s="4">
        <f t="shared" si="1"/>
        <v>3.5114379772433089E-3</v>
      </c>
      <c r="J24" s="4">
        <f t="shared" si="2"/>
        <v>1.4799436082631658E-3</v>
      </c>
      <c r="K24" s="4">
        <f t="shared" si="2"/>
        <v>5.493877964843581E-4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</row>
    <row r="25" spans="1:15">
      <c r="A25">
        <v>1</v>
      </c>
      <c r="B25">
        <v>4</v>
      </c>
      <c r="C25">
        <v>6</v>
      </c>
      <c r="D25">
        <v>78</v>
      </c>
      <c r="E25" s="5">
        <f t="shared" si="3"/>
        <v>-356.51532694186989</v>
      </c>
      <c r="F25" s="4">
        <f t="shared" si="4"/>
        <v>1.0350615217142001E-2</v>
      </c>
      <c r="G25" s="10">
        <f t="shared" si="5"/>
        <v>1.3219721981892136</v>
      </c>
      <c r="H25">
        <f t="shared" si="0"/>
        <v>1</v>
      </c>
      <c r="I25" s="4">
        <f t="shared" si="1"/>
        <v>7.5689445474219769E-3</v>
      </c>
      <c r="J25" s="4">
        <f t="shared" si="2"/>
        <v>1.8467817333230219E-3</v>
      </c>
      <c r="K25" s="4">
        <f t="shared" si="2"/>
        <v>9.3488893639700088E-4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</row>
    <row r="26" spans="1:15">
      <c r="A26">
        <v>3</v>
      </c>
      <c r="B26">
        <v>3</v>
      </c>
      <c r="C26">
        <v>6</v>
      </c>
      <c r="D26">
        <v>322</v>
      </c>
      <c r="E26" s="5">
        <f t="shared" si="3"/>
        <v>-1135.839730243513</v>
      </c>
      <c r="F26" s="4">
        <f t="shared" si="4"/>
        <v>2.9379663008643708E-2</v>
      </c>
      <c r="G26" s="10">
        <f t="shared" si="5"/>
        <v>0.35214114950201603</v>
      </c>
      <c r="H26">
        <f t="shared" si="0"/>
        <v>2</v>
      </c>
      <c r="I26" s="4">
        <f t="shared" si="1"/>
        <v>2.9999525231949238E-3</v>
      </c>
      <c r="J26" s="4">
        <f t="shared" si="2"/>
        <v>2.3030050424787393E-2</v>
      </c>
      <c r="K26" s="4">
        <f t="shared" si="2"/>
        <v>2.709602551247543E-3</v>
      </c>
      <c r="L26" s="4">
        <f t="shared" si="2"/>
        <v>6.4005750941384853E-4</v>
      </c>
      <c r="M26">
        <f t="shared" si="2"/>
        <v>0</v>
      </c>
      <c r="N26">
        <f t="shared" si="2"/>
        <v>0</v>
      </c>
      <c r="O26">
        <f t="shared" si="2"/>
        <v>0</v>
      </c>
    </row>
    <row r="27" spans="1:15">
      <c r="A27">
        <v>2</v>
      </c>
      <c r="B27">
        <v>3</v>
      </c>
      <c r="C27">
        <v>6</v>
      </c>
      <c r="D27">
        <v>255</v>
      </c>
      <c r="E27" s="5">
        <f t="shared" si="3"/>
        <v>-1151.6316960734637</v>
      </c>
      <c r="F27" s="4">
        <f t="shared" si="4"/>
        <v>1.0930450840033442E-2</v>
      </c>
      <c r="G27" s="10">
        <f t="shared" si="5"/>
        <v>0.84432661774390816</v>
      </c>
      <c r="H27">
        <f t="shared" si="0"/>
        <v>2</v>
      </c>
      <c r="I27" s="4">
        <f t="shared" si="1"/>
        <v>3.5114379772433089E-3</v>
      </c>
      <c r="J27" s="4">
        <f t="shared" ref="J27:O32" si="6">IF(J$10&lt;=$H27,EXP(GAMMALN($B$1+$A27)+GAMMALN($B$2+$B27-$A27+J$10)-GAMMALN($B$1+$B$2+$B27+J$10))/$E$1*EXP(GAMMALN($B$3+1)+GAMMALN($B$4+$B27+J$10)-GAMMALN($B$3+$B$4+$B27+J$10+1))/$E$3,0)</f>
        <v>5.3896814580426085E-3</v>
      </c>
      <c r="K27" s="4">
        <f t="shared" si="6"/>
        <v>1.4799436082631658E-3</v>
      </c>
      <c r="L27" s="4">
        <f t="shared" si="6"/>
        <v>5.493877964843581E-4</v>
      </c>
      <c r="M27">
        <f t="shared" si="6"/>
        <v>0</v>
      </c>
      <c r="N27">
        <f t="shared" si="6"/>
        <v>0</v>
      </c>
      <c r="O27">
        <f t="shared" si="6"/>
        <v>0</v>
      </c>
    </row>
    <row r="28" spans="1:15">
      <c r="A28">
        <v>1</v>
      </c>
      <c r="B28">
        <v>3</v>
      </c>
      <c r="C28">
        <v>6</v>
      </c>
      <c r="D28">
        <v>129</v>
      </c>
      <c r="E28" s="5">
        <f t="shared" si="3"/>
        <v>-544.98110060210172</v>
      </c>
      <c r="F28" s="4">
        <f t="shared" si="4"/>
        <v>1.4630312637079684E-2</v>
      </c>
      <c r="G28" s="10">
        <f t="shared" si="5"/>
        <v>0.93526542396206835</v>
      </c>
      <c r="H28">
        <f t="shared" si="0"/>
        <v>2</v>
      </c>
      <c r="I28" s="4">
        <f t="shared" si="1"/>
        <v>7.5689445474219769E-3</v>
      </c>
      <c r="J28" s="4">
        <f t="shared" si="6"/>
        <v>4.2796974199376826E-3</v>
      </c>
      <c r="K28" s="4">
        <f t="shared" si="6"/>
        <v>1.8467817333230219E-3</v>
      </c>
      <c r="L28" s="4">
        <f t="shared" si="6"/>
        <v>9.3488893639700088E-4</v>
      </c>
      <c r="M28">
        <f t="shared" si="6"/>
        <v>0</v>
      </c>
      <c r="N28">
        <f t="shared" si="6"/>
        <v>0</v>
      </c>
      <c r="O28">
        <f t="shared" si="6"/>
        <v>0</v>
      </c>
    </row>
    <row r="29" spans="1:15">
      <c r="A29">
        <v>2</v>
      </c>
      <c r="B29">
        <v>2</v>
      </c>
      <c r="C29">
        <v>6</v>
      </c>
      <c r="D29">
        <v>613</v>
      </c>
      <c r="E29" s="5">
        <f t="shared" si="3"/>
        <v>-1846.3555389266958</v>
      </c>
      <c r="F29" s="4">
        <f t="shared" si="4"/>
        <v>4.9193230921713765E-2</v>
      </c>
      <c r="G29" s="10">
        <f t="shared" si="5"/>
        <v>0.18760448165863192</v>
      </c>
      <c r="H29">
        <f t="shared" si="0"/>
        <v>3</v>
      </c>
      <c r="I29" s="4">
        <f t="shared" si="1"/>
        <v>3.5114379772433089E-3</v>
      </c>
      <c r="J29" s="4">
        <f t="shared" si="6"/>
        <v>3.8262780081680325E-2</v>
      </c>
      <c r="K29" s="4">
        <f t="shared" si="6"/>
        <v>5.3896814580426085E-3</v>
      </c>
      <c r="L29" s="4">
        <f t="shared" si="6"/>
        <v>1.4799436082631658E-3</v>
      </c>
      <c r="M29" s="4">
        <f t="shared" si="6"/>
        <v>5.493877964843581E-4</v>
      </c>
      <c r="N29">
        <f t="shared" si="6"/>
        <v>0</v>
      </c>
      <c r="O29">
        <f t="shared" si="6"/>
        <v>0</v>
      </c>
    </row>
    <row r="30" spans="1:15">
      <c r="A30">
        <v>1</v>
      </c>
      <c r="B30">
        <v>2</v>
      </c>
      <c r="C30">
        <v>6</v>
      </c>
      <c r="D30">
        <v>277</v>
      </c>
      <c r="E30" s="5">
        <f t="shared" si="3"/>
        <v>-993.92553018961416</v>
      </c>
      <c r="F30" s="4">
        <f t="shared" si="4"/>
        <v>2.7648638040581611E-2</v>
      </c>
      <c r="G30" s="10">
        <f t="shared" si="5"/>
        <v>0.49489691069528352</v>
      </c>
      <c r="H30">
        <f t="shared" si="0"/>
        <v>3</v>
      </c>
      <c r="I30" s="4">
        <f t="shared" si="1"/>
        <v>7.5689445474219769E-3</v>
      </c>
      <c r="J30" s="4">
        <f t="shared" si="6"/>
        <v>1.3018325403501932E-2</v>
      </c>
      <c r="K30" s="4">
        <f t="shared" si="6"/>
        <v>4.2796974199376826E-3</v>
      </c>
      <c r="L30" s="4">
        <f t="shared" si="6"/>
        <v>1.8467817333230219E-3</v>
      </c>
      <c r="M30" s="4">
        <f t="shared" si="6"/>
        <v>9.3488893639700088E-4</v>
      </c>
      <c r="N30">
        <f t="shared" si="6"/>
        <v>0</v>
      </c>
      <c r="O30">
        <f t="shared" si="6"/>
        <v>0</v>
      </c>
    </row>
    <row r="31" spans="1:15">
      <c r="A31">
        <v>1</v>
      </c>
      <c r="B31">
        <v>1</v>
      </c>
      <c r="C31">
        <v>6</v>
      </c>
      <c r="D31">
        <v>1091</v>
      </c>
      <c r="E31" s="5">
        <f t="shared" si="3"/>
        <v>-2497.1118656754525</v>
      </c>
      <c r="F31" s="4">
        <f t="shared" si="4"/>
        <v>0.10138516761645318</v>
      </c>
      <c r="G31" s="10">
        <f t="shared" si="5"/>
        <v>0.1349627945872762</v>
      </c>
      <c r="H31">
        <f t="shared" si="0"/>
        <v>4</v>
      </c>
      <c r="I31" s="4">
        <f t="shared" si="1"/>
        <v>7.5689445474219769E-3</v>
      </c>
      <c r="J31" s="4">
        <f t="shared" si="6"/>
        <v>7.3736529575871568E-2</v>
      </c>
      <c r="K31" s="4">
        <f t="shared" si="6"/>
        <v>1.3018325403501932E-2</v>
      </c>
      <c r="L31" s="4">
        <f t="shared" si="6"/>
        <v>4.2796974199376826E-3</v>
      </c>
      <c r="M31" s="4">
        <f t="shared" si="6"/>
        <v>1.8467817333230219E-3</v>
      </c>
      <c r="N31" s="4">
        <f t="shared" si="6"/>
        <v>9.3488893639700088E-4</v>
      </c>
      <c r="O31">
        <f t="shared" si="6"/>
        <v>0</v>
      </c>
    </row>
    <row r="32" spans="1:15">
      <c r="A32">
        <v>0</v>
      </c>
      <c r="B32">
        <v>0</v>
      </c>
      <c r="C32">
        <v>6</v>
      </c>
      <c r="D32">
        <v>3464</v>
      </c>
      <c r="E32" s="5">
        <f t="shared" si="3"/>
        <v>-4044.2761987238932</v>
      </c>
      <c r="F32" s="4">
        <f t="shared" si="4"/>
        <v>0.31113878147642721</v>
      </c>
      <c r="G32" s="10">
        <f t="shared" si="5"/>
        <v>0.11475283931422671</v>
      </c>
      <c r="H32">
        <f t="shared" si="0"/>
        <v>5</v>
      </c>
      <c r="I32" s="4">
        <f t="shared" si="1"/>
        <v>3.6159962645554211E-2</v>
      </c>
      <c r="J32" s="4">
        <f t="shared" si="6"/>
        <v>0.19089803078521808</v>
      </c>
      <c r="K32" s="4">
        <f t="shared" si="6"/>
        <v>4.593300344753979E-2</v>
      </c>
      <c r="L32" s="4">
        <f t="shared" si="6"/>
        <v>1.8926427199253807E-2</v>
      </c>
      <c r="M32" s="4">
        <f t="shared" si="6"/>
        <v>9.7779320926316034E-3</v>
      </c>
      <c r="N32" s="4">
        <f t="shared" si="6"/>
        <v>5.7538711374744266E-3</v>
      </c>
      <c r="O32" s="4">
        <f t="shared" si="6"/>
        <v>3.6895541687552809E-3</v>
      </c>
    </row>
    <row r="34" spans="3:6">
      <c r="E34" s="1" t="s">
        <v>47</v>
      </c>
    </row>
    <row r="35" spans="3:6">
      <c r="C35" s="14" t="s">
        <v>42</v>
      </c>
      <c r="D35" s="2">
        <f>SUM(F35:F185)</f>
        <v>7.7141303339070779</v>
      </c>
      <c r="E35">
        <v>0</v>
      </c>
      <c r="F35">
        <v>1</v>
      </c>
    </row>
    <row r="36" spans="3:6">
      <c r="C36" s="1" t="s">
        <v>43</v>
      </c>
      <c r="D36">
        <v>1</v>
      </c>
      <c r="E36">
        <f t="shared" ref="E36:E99" si="7">E35+1</f>
        <v>1</v>
      </c>
      <c r="F36" s="16">
        <f>F35*($D$36+E36-1)*($D$37+E36-1)*$D$39/(($D$38+E36-1)*E36)</f>
        <v>0.85190659969086135</v>
      </c>
    </row>
    <row r="37" spans="3:6">
      <c r="C37" s="1" t="s">
        <v>44</v>
      </c>
      <c r="D37" s="15">
        <f>B4+C11+1</f>
        <v>9.7834080163589796</v>
      </c>
      <c r="E37">
        <f t="shared" si="7"/>
        <v>2</v>
      </c>
      <c r="F37" s="16">
        <f t="shared" ref="F37:F100" si="8">F36*($D$36+E37-1)*($D$37+E37-1)*$D$39/(($D$38+E37-1)*E37)</f>
        <v>0.73000317442100093</v>
      </c>
    </row>
    <row r="38" spans="3:6">
      <c r="C38" s="1" t="s">
        <v>45</v>
      </c>
      <c r="D38" s="15">
        <f>B3+B4+C11+1</f>
        <v>10.440120185506858</v>
      </c>
      <c r="E38">
        <f t="shared" si="7"/>
        <v>3</v>
      </c>
      <c r="F38" s="16">
        <f t="shared" si="8"/>
        <v>0.62860582820804145</v>
      </c>
    </row>
    <row r="39" spans="3:6">
      <c r="C39" s="1" t="s">
        <v>46</v>
      </c>
      <c r="D39" s="15">
        <f>1/(1+B6)</f>
        <v>0.90909090909090906</v>
      </c>
      <c r="E39">
        <f t="shared" si="7"/>
        <v>4</v>
      </c>
      <c r="F39" s="16">
        <f t="shared" si="8"/>
        <v>0.54353712970986734</v>
      </c>
    </row>
    <row r="40" spans="3:6">
      <c r="E40">
        <f t="shared" si="7"/>
        <v>5</v>
      </c>
      <c r="F40" s="16">
        <f t="shared" si="8"/>
        <v>0.47165271193839503</v>
      </c>
    </row>
    <row r="41" spans="3:6">
      <c r="E41">
        <f t="shared" si="7"/>
        <v>6</v>
      </c>
      <c r="F41" s="16">
        <f t="shared" si="8"/>
        <v>0.41053816579111091</v>
      </c>
    </row>
    <row r="42" spans="3:6">
      <c r="E42">
        <f t="shared" si="7"/>
        <v>7</v>
      </c>
      <c r="F42" s="16">
        <f t="shared" si="8"/>
        <v>0.35830811807020974</v>
      </c>
    </row>
    <row r="43" spans="3:6">
      <c r="E43">
        <f t="shared" si="7"/>
        <v>8</v>
      </c>
      <c r="F43" s="16">
        <f t="shared" si="8"/>
        <v>0.31346903144642341</v>
      </c>
    </row>
    <row r="44" spans="3:6">
      <c r="E44">
        <f t="shared" si="7"/>
        <v>9</v>
      </c>
      <c r="F44" s="16">
        <f t="shared" si="8"/>
        <v>0.27482307996343586</v>
      </c>
    </row>
    <row r="45" spans="3:6">
      <c r="E45">
        <f t="shared" si="7"/>
        <v>10</v>
      </c>
      <c r="F45" s="16">
        <f t="shared" si="8"/>
        <v>0.24139927652926585</v>
      </c>
    </row>
    <row r="46" spans="3:6">
      <c r="E46">
        <f t="shared" si="7"/>
        <v>11</v>
      </c>
      <c r="F46" s="16">
        <f t="shared" si="8"/>
        <v>0.21240314454166487</v>
      </c>
    </row>
    <row r="47" spans="3:6">
      <c r="E47">
        <f t="shared" si="7"/>
        <v>12</v>
      </c>
      <c r="F47" s="16">
        <f t="shared" si="8"/>
        <v>0.18717929405974093</v>
      </c>
    </row>
    <row r="48" spans="3:6">
      <c r="E48">
        <f t="shared" si="7"/>
        <v>13</v>
      </c>
      <c r="F48" s="16">
        <f t="shared" si="8"/>
        <v>0.16518315900314035</v>
      </c>
    </row>
    <row r="49" spans="5:6">
      <c r="E49">
        <f t="shared" si="7"/>
        <v>14</v>
      </c>
      <c r="F49" s="16">
        <f t="shared" si="8"/>
        <v>0.14595935512646072</v>
      </c>
    </row>
    <row r="50" spans="5:6">
      <c r="E50">
        <f t="shared" si="7"/>
        <v>15</v>
      </c>
      <c r="F50" s="16">
        <f t="shared" si="8"/>
        <v>0.12912490053345757</v>
      </c>
    </row>
    <row r="51" spans="5:6">
      <c r="E51">
        <f t="shared" si="7"/>
        <v>16</v>
      </c>
      <c r="F51" s="16">
        <f t="shared" si="8"/>
        <v>0.11435605977191758</v>
      </c>
    </row>
    <row r="52" spans="5:6">
      <c r="E52">
        <f t="shared" si="7"/>
        <v>17</v>
      </c>
      <c r="F52" s="16">
        <f t="shared" si="8"/>
        <v>0.10137792413937456</v>
      </c>
    </row>
    <row r="53" spans="5:6">
      <c r="E53">
        <f t="shared" si="7"/>
        <v>18</v>
      </c>
      <c r="F53" s="16">
        <f t="shared" si="8"/>
        <v>8.9956083140642892E-2</v>
      </c>
    </row>
    <row r="54" spans="5:6">
      <c r="E54">
        <f t="shared" si="7"/>
        <v>19</v>
      </c>
      <c r="F54" s="16">
        <f t="shared" si="8"/>
        <v>7.9889911765742894E-2</v>
      </c>
    </row>
    <row r="55" spans="5:6">
      <c r="E55">
        <f t="shared" si="7"/>
        <v>20</v>
      </c>
      <c r="F55" s="16">
        <f t="shared" si="8"/>
        <v>7.1007118926477861E-2</v>
      </c>
    </row>
    <row r="56" spans="5:6">
      <c r="E56">
        <f t="shared" si="7"/>
        <v>21</v>
      </c>
      <c r="F56" s="16">
        <f t="shared" si="8"/>
        <v>6.3159289366237312E-2</v>
      </c>
    </row>
    <row r="57" spans="5:6">
      <c r="E57">
        <f t="shared" si="7"/>
        <v>22</v>
      </c>
      <c r="F57" s="16">
        <f t="shared" si="8"/>
        <v>5.6218214848139471E-2</v>
      </c>
    </row>
    <row r="58" spans="5:6">
      <c r="E58">
        <f t="shared" si="7"/>
        <v>23</v>
      </c>
      <c r="F58" s="16">
        <f t="shared" si="8"/>
        <v>5.0072857320783447E-2</v>
      </c>
    </row>
    <row r="59" spans="5:6">
      <c r="E59">
        <f t="shared" si="7"/>
        <v>24</v>
      </c>
      <c r="F59" s="16">
        <f t="shared" si="8"/>
        <v>4.4626821777002418E-2</v>
      </c>
    </row>
    <row r="60" spans="5:6">
      <c r="E60">
        <f t="shared" si="7"/>
        <v>25</v>
      </c>
      <c r="F60" s="16">
        <f t="shared" si="8"/>
        <v>3.9796242934774996E-2</v>
      </c>
    </row>
    <row r="61" spans="5:6">
      <c r="E61">
        <f t="shared" si="7"/>
        <v>26</v>
      </c>
      <c r="F61" s="16">
        <f t="shared" si="8"/>
        <v>3.5508009983978725E-2</v>
      </c>
    </row>
    <row r="62" spans="5:6">
      <c r="E62">
        <f t="shared" si="7"/>
        <v>27</v>
      </c>
      <c r="F62" s="16">
        <f t="shared" si="8"/>
        <v>3.1698269096543941E-2</v>
      </c>
    </row>
    <row r="63" spans="5:6">
      <c r="E63">
        <f t="shared" si="7"/>
        <v>28</v>
      </c>
      <c r="F63" s="16">
        <f t="shared" si="8"/>
        <v>2.8311155369582966E-2</v>
      </c>
    </row>
    <row r="64" spans="5:6">
      <c r="E64">
        <f t="shared" si="7"/>
        <v>29</v>
      </c>
      <c r="F64" s="16">
        <f t="shared" si="8"/>
        <v>2.5297715218117665E-2</v>
      </c>
    </row>
    <row r="65" spans="5:6">
      <c r="E65">
        <f t="shared" si="7"/>
        <v>30</v>
      </c>
      <c r="F65" s="16">
        <f t="shared" si="8"/>
        <v>2.2614987585118731E-2</v>
      </c>
    </row>
    <row r="66" spans="5:6">
      <c r="E66">
        <f t="shared" si="7"/>
        <v>31</v>
      </c>
      <c r="F66" s="16">
        <f t="shared" si="8"/>
        <v>2.0225218157714369E-2</v>
      </c>
    </row>
    <row r="67" spans="5:6">
      <c r="E67">
        <f t="shared" si="7"/>
        <v>32</v>
      </c>
      <c r="F67" s="16">
        <f t="shared" si="8"/>
        <v>1.8095185417887922E-2</v>
      </c>
    </row>
    <row r="68" spans="5:6">
      <c r="E68">
        <f t="shared" si="7"/>
        <v>33</v>
      </c>
      <c r="F68" s="16">
        <f t="shared" si="8"/>
        <v>1.6195621076181551E-2</v>
      </c>
    </row>
    <row r="69" spans="5:6">
      <c r="E69">
        <f t="shared" si="7"/>
        <v>34</v>
      </c>
      <c r="F69" s="16">
        <f t="shared" si="8"/>
        <v>1.4500710437130861E-2</v>
      </c>
    </row>
    <row r="70" spans="5:6">
      <c r="E70">
        <f t="shared" si="7"/>
        <v>35</v>
      </c>
      <c r="F70" s="16">
        <f t="shared" si="8"/>
        <v>1.2987660677819656E-2</v>
      </c>
    </row>
    <row r="71" spans="5:6">
      <c r="E71">
        <f t="shared" si="7"/>
        <v>36</v>
      </c>
      <c r="F71" s="16">
        <f t="shared" si="8"/>
        <v>1.1636327003504606E-2</v>
      </c>
    </row>
    <row r="72" spans="5:6">
      <c r="E72">
        <f t="shared" si="7"/>
        <v>37</v>
      </c>
      <c r="F72" s="16">
        <f t="shared" si="8"/>
        <v>1.0428888267791921E-2</v>
      </c>
    </row>
    <row r="73" spans="5:6">
      <c r="E73">
        <f t="shared" si="7"/>
        <v>38</v>
      </c>
      <c r="F73" s="16">
        <f t="shared" si="8"/>
        <v>9.3495649804289059E-3</v>
      </c>
    </row>
    <row r="74" spans="5:6">
      <c r="E74">
        <f t="shared" si="7"/>
        <v>39</v>
      </c>
      <c r="F74" s="16">
        <f t="shared" si="8"/>
        <v>8.3843737292070564E-3</v>
      </c>
    </row>
    <row r="75" spans="5:6">
      <c r="E75">
        <f t="shared" si="7"/>
        <v>40</v>
      </c>
      <c r="F75" s="16">
        <f t="shared" si="8"/>
        <v>7.5209129578247217E-3</v>
      </c>
    </row>
    <row r="76" spans="5:6">
      <c r="E76">
        <f t="shared" si="7"/>
        <v>41</v>
      </c>
      <c r="F76" s="16">
        <f t="shared" si="8"/>
        <v>6.7481758038116773E-3</v>
      </c>
    </row>
    <row r="77" spans="5:6">
      <c r="E77">
        <f t="shared" si="7"/>
        <v>42</v>
      </c>
      <c r="F77" s="16">
        <f t="shared" si="8"/>
        <v>6.0563863376969064E-3</v>
      </c>
    </row>
    <row r="78" spans="5:6">
      <c r="E78">
        <f t="shared" si="7"/>
        <v>43</v>
      </c>
      <c r="F78" s="16">
        <f t="shared" si="8"/>
        <v>5.4368560788992971E-3</v>
      </c>
    </row>
    <row r="79" spans="5:6">
      <c r="E79">
        <f t="shared" si="7"/>
        <v>44</v>
      </c>
      <c r="F79" s="16">
        <f t="shared" si="8"/>
        <v>4.8818581133865044E-3</v>
      </c>
    </row>
    <row r="80" spans="5:6">
      <c r="E80">
        <f t="shared" si="7"/>
        <v>45</v>
      </c>
      <c r="F80" s="16">
        <f t="shared" si="8"/>
        <v>4.3845165175900886E-3</v>
      </c>
    </row>
    <row r="81" spans="5:6">
      <c r="E81">
        <f t="shared" si="7"/>
        <v>46</v>
      </c>
      <c r="F81" s="16">
        <f t="shared" si="8"/>
        <v>3.938709114264017E-3</v>
      </c>
    </row>
    <row r="82" spans="5:6">
      <c r="E82">
        <f t="shared" si="7"/>
        <v>47</v>
      </c>
      <c r="F82" s="16">
        <f t="shared" si="8"/>
        <v>3.5389818586267028E-3</v>
      </c>
    </row>
    <row r="83" spans="5:6">
      <c r="E83">
        <f t="shared" si="7"/>
        <v>48</v>
      </c>
      <c r="F83" s="16">
        <f t="shared" si="8"/>
        <v>3.1804733851830539E-3</v>
      </c>
    </row>
    <row r="84" spans="5:6">
      <c r="E84">
        <f t="shared" si="7"/>
        <v>49</v>
      </c>
      <c r="F84" s="16">
        <f t="shared" si="8"/>
        <v>2.858848443622654E-3</v>
      </c>
    </row>
    <row r="85" spans="5:6">
      <c r="E85">
        <f t="shared" si="7"/>
        <v>50</v>
      </c>
      <c r="F85" s="16">
        <f t="shared" si="8"/>
        <v>2.5702391215337477E-3</v>
      </c>
    </row>
    <row r="86" spans="5:6">
      <c r="E86">
        <f t="shared" si="7"/>
        <v>51</v>
      </c>
      <c r="F86" s="16">
        <f t="shared" si="8"/>
        <v>2.3111928968350486E-3</v>
      </c>
    </row>
    <row r="87" spans="5:6">
      <c r="E87">
        <f t="shared" si="7"/>
        <v>52</v>
      </c>
      <c r="F87" s="16">
        <f t="shared" si="8"/>
        <v>2.0786266875289006E-3</v>
      </c>
    </row>
    <row r="88" spans="5:6">
      <c r="E88">
        <f t="shared" si="7"/>
        <v>53</v>
      </c>
      <c r="F88" s="16">
        <f t="shared" si="8"/>
        <v>1.8697861737227285E-3</v>
      </c>
    </row>
    <row r="89" spans="5:6">
      <c r="E89">
        <f t="shared" si="7"/>
        <v>54</v>
      </c>
      <c r="F89" s="16">
        <f t="shared" si="8"/>
        <v>1.682209759446648E-3</v>
      </c>
    </row>
    <row r="90" spans="5:6">
      <c r="E90">
        <f t="shared" si="7"/>
        <v>55</v>
      </c>
      <c r="F90" s="16">
        <f t="shared" si="8"/>
        <v>1.5136966217912551E-3</v>
      </c>
    </row>
    <row r="91" spans="5:6">
      <c r="E91">
        <f t="shared" si="7"/>
        <v>56</v>
      </c>
      <c r="F91" s="16">
        <f t="shared" si="8"/>
        <v>1.3622783641331388E-3</v>
      </c>
    </row>
    <row r="92" spans="5:6">
      <c r="E92">
        <f t="shared" si="7"/>
        <v>57</v>
      </c>
      <c r="F92" s="16">
        <f t="shared" si="8"/>
        <v>1.2261938502521204E-3</v>
      </c>
    </row>
    <row r="93" spans="5:6">
      <c r="E93">
        <f t="shared" si="7"/>
        <v>58</v>
      </c>
      <c r="F93" s="16">
        <f t="shared" si="8"/>
        <v>1.1038668482807777E-3</v>
      </c>
    </row>
    <row r="94" spans="5:6">
      <c r="E94">
        <f t="shared" si="7"/>
        <v>59</v>
      </c>
      <c r="F94" s="16">
        <f t="shared" si="8"/>
        <v>9.9388615877165471E-4</v>
      </c>
    </row>
    <row r="95" spans="5:6">
      <c r="E95">
        <f t="shared" si="7"/>
        <v>60</v>
      </c>
      <c r="F95" s="16">
        <f t="shared" si="8"/>
        <v>8.9498794066251129E-4</v>
      </c>
    </row>
    <row r="96" spans="5:6">
      <c r="E96">
        <f t="shared" si="7"/>
        <v>61</v>
      </c>
      <c r="F96" s="16">
        <f t="shared" si="8"/>
        <v>8.060399833671023E-4</v>
      </c>
    </row>
    <row r="97" spans="5:6">
      <c r="E97">
        <f t="shared" si="7"/>
        <v>62</v>
      </c>
      <c r="F97" s="16">
        <f t="shared" si="8"/>
        <v>7.2602770330302028E-4</v>
      </c>
    </row>
    <row r="98" spans="5:6">
      <c r="E98">
        <f t="shared" si="7"/>
        <v>63</v>
      </c>
      <c r="F98" s="16">
        <f t="shared" si="8"/>
        <v>6.5404166947465264E-4</v>
      </c>
    </row>
    <row r="99" spans="5:6">
      <c r="E99">
        <f t="shared" si="7"/>
        <v>64</v>
      </c>
      <c r="F99" s="16">
        <f t="shared" si="8"/>
        <v>5.8926648576022292E-4</v>
      </c>
    </row>
    <row r="100" spans="5:6">
      <c r="E100">
        <f t="shared" ref="E100:E163" si="9">E99+1</f>
        <v>65</v>
      </c>
      <c r="F100" s="16">
        <f t="shared" si="8"/>
        <v>5.3097087773811783E-4</v>
      </c>
    </row>
    <row r="101" spans="5:6">
      <c r="E101">
        <f t="shared" si="9"/>
        <v>66</v>
      </c>
      <c r="F101" s="16">
        <f t="shared" ref="F101:F164" si="10">F100*($D$36+E101-1)*($D$37+E101-1)*$D$39/(($D$38+E101-1)*E101)</f>
        <v>4.7849884959997685E-4</v>
      </c>
    </row>
    <row r="102" spans="5:6">
      <c r="E102">
        <f t="shared" si="9"/>
        <v>67</v>
      </c>
      <c r="F102" s="16">
        <f t="shared" si="10"/>
        <v>4.3126179225577564E-4</v>
      </c>
    </row>
    <row r="103" spans="5:6">
      <c r="E103">
        <f t="shared" si="9"/>
        <v>68</v>
      </c>
      <c r="F103" s="16">
        <f t="shared" si="10"/>
        <v>3.8873143741510296E-4</v>
      </c>
    </row>
    <row r="104" spans="5:6">
      <c r="E104">
        <f t="shared" si="9"/>
        <v>69</v>
      </c>
      <c r="F104" s="16">
        <f t="shared" si="10"/>
        <v>3.5043356446740471E-4</v>
      </c>
    </row>
    <row r="105" spans="5:6">
      <c r="E105">
        <f t="shared" si="9"/>
        <v>70</v>
      </c>
      <c r="F105" s="16">
        <f t="shared" si="10"/>
        <v>3.159423775885553E-4</v>
      </c>
    </row>
    <row r="106" spans="5:6">
      <c r="E106">
        <f t="shared" si="9"/>
        <v>71</v>
      </c>
      <c r="F106" s="16">
        <f t="shared" si="10"/>
        <v>2.8487547985072922E-4</v>
      </c>
    </row>
    <row r="107" spans="5:6">
      <c r="E107">
        <f t="shared" si="9"/>
        <v>72</v>
      </c>
      <c r="F107" s="16">
        <f t="shared" si="10"/>
        <v>2.5688937936260063E-4</v>
      </c>
    </row>
    <row r="108" spans="5:6">
      <c r="E108">
        <f t="shared" si="9"/>
        <v>73</v>
      </c>
      <c r="F108" s="16">
        <f t="shared" si="10"/>
        <v>2.3167546975258767E-4</v>
      </c>
    </row>
    <row r="109" spans="5:6">
      <c r="E109">
        <f t="shared" si="9"/>
        <v>74</v>
      </c>
      <c r="F109" s="16">
        <f t="shared" si="10"/>
        <v>2.0895643374685901E-4</v>
      </c>
    </row>
    <row r="110" spans="5:6">
      <c r="E110">
        <f t="shared" si="9"/>
        <v>75</v>
      </c>
      <c r="F110" s="16">
        <f t="shared" si="10"/>
        <v>1.8848302428874485E-4</v>
      </c>
    </row>
    <row r="111" spans="5:6">
      <c r="E111">
        <f t="shared" si="9"/>
        <v>76</v>
      </c>
      <c r="F111" s="16">
        <f t="shared" si="10"/>
        <v>1.7003118268660295E-4</v>
      </c>
    </row>
    <row r="112" spans="5:6">
      <c r="E112">
        <f t="shared" si="9"/>
        <v>77</v>
      </c>
      <c r="F112" s="16">
        <f t="shared" si="10"/>
        <v>1.5339945774134654E-4</v>
      </c>
    </row>
    <row r="113" spans="5:6">
      <c r="E113">
        <f t="shared" si="9"/>
        <v>78</v>
      </c>
      <c r="F113" s="16">
        <f t="shared" si="10"/>
        <v>1.3840669376121795E-4</v>
      </c>
    </row>
    <row r="114" spans="5:6">
      <c r="E114">
        <f t="shared" si="9"/>
        <v>79</v>
      </c>
      <c r="F114" s="16">
        <f t="shared" si="10"/>
        <v>1.2488995887994871E-4</v>
      </c>
    </row>
    <row r="115" spans="5:6">
      <c r="E115">
        <f t="shared" si="9"/>
        <v>80</v>
      </c>
      <c r="F115" s="16">
        <f t="shared" si="10"/>
        <v>1.1270268820775842E-4</v>
      </c>
    </row>
    <row r="116" spans="5:6">
      <c r="E116">
        <f t="shared" si="9"/>
        <v>81</v>
      </c>
      <c r="F116" s="16">
        <f t="shared" si="10"/>
        <v>1.0171301910883994E-4</v>
      </c>
    </row>
    <row r="117" spans="5:6">
      <c r="E117">
        <f t="shared" si="9"/>
        <v>82</v>
      </c>
      <c r="F117" s="16">
        <f t="shared" si="10"/>
        <v>9.1802298354581234E-5</v>
      </c>
    </row>
    <row r="118" spans="5:6">
      <c r="E118">
        <f t="shared" si="9"/>
        <v>83</v>
      </c>
      <c r="F118" s="16">
        <f t="shared" si="10"/>
        <v>8.2863743084408455E-5</v>
      </c>
    </row>
    <row r="119" spans="5:6">
      <c r="E119">
        <f t="shared" si="9"/>
        <v>84</v>
      </c>
      <c r="F119" s="16">
        <f t="shared" si="10"/>
        <v>7.4801239447151808E-5</v>
      </c>
    </row>
    <row r="120" spans="5:6">
      <c r="E120">
        <f t="shared" si="9"/>
        <v>85</v>
      </c>
      <c r="F120" s="16">
        <f t="shared" si="10"/>
        <v>6.7528264522843118E-5</v>
      </c>
    </row>
    <row r="121" spans="5:6">
      <c r="E121">
        <f t="shared" si="9"/>
        <v>86</v>
      </c>
      <c r="F121" s="16">
        <f t="shared" si="10"/>
        <v>6.0966918662188847E-5</v>
      </c>
    </row>
    <row r="122" spans="5:6">
      <c r="E122">
        <f t="shared" si="9"/>
        <v>87</v>
      </c>
      <c r="F122" s="16">
        <f t="shared" si="10"/>
        <v>5.5047056750088098E-5</v>
      </c>
    </row>
    <row r="123" spans="5:6">
      <c r="E123">
        <f t="shared" si="9"/>
        <v>88</v>
      </c>
      <c r="F123" s="16">
        <f t="shared" si="10"/>
        <v>4.9705508119435632E-5</v>
      </c>
    </row>
    <row r="124" spans="5:6">
      <c r="E124">
        <f t="shared" si="9"/>
        <v>89</v>
      </c>
      <c r="F124" s="16">
        <f t="shared" si="10"/>
        <v>4.4885375928802005E-5</v>
      </c>
    </row>
    <row r="125" spans="5:6">
      <c r="E125">
        <f t="shared" si="9"/>
        <v>90</v>
      </c>
      <c r="F125" s="16">
        <f t="shared" si="10"/>
        <v>4.0535407787218629E-5</v>
      </c>
    </row>
    <row r="126" spans="5:6">
      <c r="E126">
        <f t="shared" si="9"/>
        <v>91</v>
      </c>
      <c r="F126" s="16">
        <f t="shared" si="10"/>
        <v>3.6609430274304923E-5</v>
      </c>
    </row>
    <row r="127" spans="5:6">
      <c r="E127">
        <f t="shared" si="9"/>
        <v>92</v>
      </c>
      <c r="F127" s="16">
        <f t="shared" si="10"/>
        <v>3.3065840775948167E-5</v>
      </c>
    </row>
    <row r="128" spans="5:6">
      <c r="E128">
        <f t="shared" si="9"/>
        <v>93</v>
      </c>
      <c r="F128" s="16">
        <f t="shared" si="10"/>
        <v>2.9867150744948497E-5</v>
      </c>
    </row>
    <row r="129" spans="5:6">
      <c r="E129">
        <f t="shared" si="9"/>
        <v>94</v>
      </c>
      <c r="F129" s="16">
        <f t="shared" si="10"/>
        <v>2.6979575111569645E-5</v>
      </c>
    </row>
    <row r="130" spans="5:6">
      <c r="E130">
        <f t="shared" si="9"/>
        <v>95</v>
      </c>
      <c r="F130" s="16">
        <f t="shared" si="10"/>
        <v>2.4372663118859702E-5</v>
      </c>
    </row>
    <row r="131" spans="5:6">
      <c r="E131">
        <f t="shared" si="9"/>
        <v>96</v>
      </c>
      <c r="F131" s="16">
        <f t="shared" si="10"/>
        <v>2.2018966349083031E-5</v>
      </c>
    </row>
    <row r="132" spans="5:6">
      <c r="E132">
        <f t="shared" si="9"/>
        <v>97</v>
      </c>
      <c r="F132" s="16">
        <f t="shared" si="10"/>
        <v>1.9893740146991572E-5</v>
      </c>
    </row>
    <row r="133" spans="5:6">
      <c r="E133">
        <f t="shared" si="9"/>
        <v>98</v>
      </c>
      <c r="F133" s="16">
        <f t="shared" si="10"/>
        <v>1.7974675038606319E-5</v>
      </c>
    </row>
    <row r="134" spans="5:6">
      <c r="E134">
        <f t="shared" si="9"/>
        <v>99</v>
      </c>
      <c r="F134" s="16">
        <f t="shared" si="10"/>
        <v>1.6241655095694839E-5</v>
      </c>
    </row>
    <row r="135" spans="5:6">
      <c r="E135">
        <f t="shared" si="9"/>
        <v>100</v>
      </c>
      <c r="F135" s="16">
        <f t="shared" si="10"/>
        <v>1.4676540510680335E-5</v>
      </c>
    </row>
    <row r="136" spans="5:6">
      <c r="E136">
        <f t="shared" si="9"/>
        <v>101</v>
      </c>
      <c r="F136" s="16">
        <f t="shared" si="10"/>
        <v>1.3262971928269867E-5</v>
      </c>
    </row>
    <row r="137" spans="5:6">
      <c r="E137">
        <f t="shared" si="9"/>
        <v>102</v>
      </c>
      <c r="F137" s="16">
        <f t="shared" si="10"/>
        <v>1.1986194332176392E-5</v>
      </c>
    </row>
    <row r="138" spans="5:6">
      <c r="E138">
        <f t="shared" si="9"/>
        <v>103</v>
      </c>
      <c r="F138" s="16">
        <f t="shared" si="10"/>
        <v>1.0832898511075842E-5</v>
      </c>
    </row>
    <row r="139" spans="5:6">
      <c r="E139">
        <f t="shared" si="9"/>
        <v>104</v>
      </c>
      <c r="F139" s="16">
        <f t="shared" si="10"/>
        <v>9.7910783301880965E-6</v>
      </c>
    </row>
    <row r="140" spans="5:6">
      <c r="E140">
        <f t="shared" si="9"/>
        <v>105</v>
      </c>
      <c r="F140" s="16">
        <f t="shared" si="10"/>
        <v>8.8499022160953032E-6</v>
      </c>
    </row>
    <row r="141" spans="5:6">
      <c r="E141">
        <f t="shared" si="9"/>
        <v>106</v>
      </c>
      <c r="F141" s="16">
        <f t="shared" si="10"/>
        <v>7.9995974248386283E-6</v>
      </c>
    </row>
    <row r="142" spans="5:6">
      <c r="E142">
        <f t="shared" si="9"/>
        <v>107</v>
      </c>
      <c r="F142" s="16">
        <f t="shared" si="10"/>
        <v>7.2313458089491884E-6</v>
      </c>
    </row>
    <row r="143" spans="5:6">
      <c r="E143">
        <f t="shared" si="9"/>
        <v>108</v>
      </c>
      <c r="F143" s="16">
        <f t="shared" si="10"/>
        <v>6.5371899296419596E-6</v>
      </c>
    </row>
    <row r="144" spans="5:6">
      <c r="E144">
        <f t="shared" si="9"/>
        <v>109</v>
      </c>
      <c r="F144" s="16">
        <f t="shared" si="10"/>
        <v>5.9099484775128441E-6</v>
      </c>
    </row>
    <row r="145" spans="5:6">
      <c r="E145">
        <f t="shared" si="9"/>
        <v>110</v>
      </c>
      <c r="F145" s="16">
        <f t="shared" si="10"/>
        <v>5.3431400701399726E-6</v>
      </c>
    </row>
    <row r="146" spans="5:6">
      <c r="E146">
        <f t="shared" si="9"/>
        <v>111</v>
      </c>
      <c r="F146" s="16">
        <f t="shared" si="10"/>
        <v>4.8309145892607634E-6</v>
      </c>
    </row>
    <row r="147" spans="5:6">
      <c r="E147">
        <f t="shared" si="9"/>
        <v>112</v>
      </c>
      <c r="F147" s="16">
        <f t="shared" si="10"/>
        <v>4.367991304802148E-6</v>
      </c>
    </row>
    <row r="148" spans="5:6">
      <c r="E148">
        <f t="shared" si="9"/>
        <v>113</v>
      </c>
      <c r="F148" s="16">
        <f t="shared" si="10"/>
        <v>3.949603108988978E-6</v>
      </c>
    </row>
    <row r="149" spans="5:6">
      <c r="E149">
        <f t="shared" si="9"/>
        <v>114</v>
      </c>
      <c r="F149" s="16">
        <f t="shared" si="10"/>
        <v>3.5714462519441745E-6</v>
      </c>
    </row>
    <row r="150" spans="5:6">
      <c r="E150">
        <f t="shared" si="9"/>
        <v>115</v>
      </c>
      <c r="F150" s="16">
        <f t="shared" si="10"/>
        <v>3.2296350314284082E-6</v>
      </c>
    </row>
    <row r="151" spans="5:6">
      <c r="E151">
        <f t="shared" si="9"/>
        <v>116</v>
      </c>
      <c r="F151" s="16">
        <f t="shared" si="10"/>
        <v>2.92066094436623E-6</v>
      </c>
    </row>
    <row r="152" spans="5:6">
      <c r="E152">
        <f t="shared" si="9"/>
        <v>117</v>
      </c>
      <c r="F152" s="16">
        <f t="shared" si="10"/>
        <v>2.6413558572136265E-6</v>
      </c>
    </row>
    <row r="153" spans="5:6">
      <c r="E153">
        <f t="shared" si="9"/>
        <v>118</v>
      </c>
      <c r="F153" s="16">
        <f t="shared" si="10"/>
        <v>2.3888587966150846E-6</v>
      </c>
    </row>
    <row r="154" spans="5:6">
      <c r="E154">
        <f t="shared" si="9"/>
        <v>119</v>
      </c>
      <c r="F154" s="16">
        <f t="shared" si="10"/>
        <v>2.1605860016923186E-6</v>
      </c>
    </row>
    <row r="155" spans="5:6">
      <c r="E155">
        <f t="shared" si="9"/>
        <v>120</v>
      </c>
      <c r="F155" s="16">
        <f t="shared" si="10"/>
        <v>1.9542039151638435E-6</v>
      </c>
    </row>
    <row r="156" spans="5:6">
      <c r="E156">
        <f t="shared" si="9"/>
        <v>121</v>
      </c>
      <c r="F156" s="16">
        <f t="shared" si="10"/>
        <v>1.7676048227282869E-6</v>
      </c>
    </row>
    <row r="157" spans="5:6">
      <c r="E157">
        <f t="shared" si="9"/>
        <v>122</v>
      </c>
      <c r="F157" s="16">
        <f t="shared" si="10"/>
        <v>1.5988848791255523E-6</v>
      </c>
    </row>
    <row r="158" spans="5:6">
      <c r="E158">
        <f t="shared" si="9"/>
        <v>123</v>
      </c>
      <c r="F158" s="16">
        <f t="shared" si="10"/>
        <v>1.4463242853508304E-6</v>
      </c>
    </row>
    <row r="159" spans="5:6">
      <c r="E159">
        <f t="shared" si="9"/>
        <v>124</v>
      </c>
      <c r="F159" s="16">
        <f t="shared" si="10"/>
        <v>1.3083694049348978E-6</v>
      </c>
    </row>
    <row r="160" spans="5:6">
      <c r="E160">
        <f t="shared" si="9"/>
        <v>125</v>
      </c>
      <c r="F160" s="16">
        <f t="shared" si="10"/>
        <v>1.1836166282870723E-6</v>
      </c>
    </row>
    <row r="161" spans="5:6">
      <c r="E161">
        <f t="shared" si="9"/>
        <v>126</v>
      </c>
      <c r="F161" s="16">
        <f t="shared" si="10"/>
        <v>1.0707978130641403E-6</v>
      </c>
    </row>
    <row r="162" spans="5:6">
      <c r="E162">
        <f t="shared" si="9"/>
        <v>127</v>
      </c>
      <c r="F162" s="16">
        <f t="shared" si="10"/>
        <v>9.6876714559423774E-7</v>
      </c>
    </row>
    <row r="163" spans="5:6">
      <c r="E163">
        <f t="shared" si="9"/>
        <v>128</v>
      </c>
      <c r="F163" s="16">
        <f t="shared" si="10"/>
        <v>8.7648928374180051E-7</v>
      </c>
    </row>
    <row r="164" spans="5:6">
      <c r="E164">
        <f t="shared" ref="E164:E185" si="11">E163+1</f>
        <v>129</v>
      </c>
      <c r="F164" s="16">
        <f t="shared" si="10"/>
        <v>7.9302865542116526E-7</v>
      </c>
    </row>
    <row r="165" spans="5:6">
      <c r="E165">
        <f t="shared" si="11"/>
        <v>130</v>
      </c>
      <c r="F165" s="16">
        <f t="shared" ref="F165:F185" si="12">F164*($D$36+E165-1)*($D$37+E165-1)*$D$39/(($D$38+E165-1)*E165)</f>
        <v>7.1753979940741667E-7</v>
      </c>
    </row>
    <row r="166" spans="5:6">
      <c r="E166">
        <f t="shared" si="11"/>
        <v>131</v>
      </c>
      <c r="F166" s="16">
        <f t="shared" si="12"/>
        <v>6.4925864629292262E-7</v>
      </c>
    </row>
    <row r="167" spans="5:6">
      <c r="E167">
        <f t="shared" si="11"/>
        <v>132</v>
      </c>
      <c r="F167" s="16">
        <f t="shared" si="12"/>
        <v>5.8749464752178389E-7</v>
      </c>
    </row>
    <row r="168" spans="5:6">
      <c r="E168">
        <f t="shared" si="11"/>
        <v>133</v>
      </c>
      <c r="F168" s="16">
        <f t="shared" si="12"/>
        <v>5.3162366951444876E-7</v>
      </c>
    </row>
    <row r="169" spans="5:6">
      <c r="E169">
        <f t="shared" si="11"/>
        <v>134</v>
      </c>
      <c r="F169" s="16">
        <f t="shared" si="12"/>
        <v>4.8108157807191397E-7</v>
      </c>
    </row>
    <row r="170" spans="5:6">
      <c r="E170">
        <f t="shared" si="11"/>
        <v>135</v>
      </c>
      <c r="F170" s="16">
        <f t="shared" si="12"/>
        <v>4.3535844561387461E-7</v>
      </c>
    </row>
    <row r="171" spans="5:6">
      <c r="E171">
        <f t="shared" si="11"/>
        <v>136</v>
      </c>
      <c r="F171" s="16">
        <f t="shared" si="12"/>
        <v>3.9399332043933044E-7</v>
      </c>
    </row>
    <row r="172" spans="5:6">
      <c r="E172">
        <f t="shared" si="11"/>
        <v>137</v>
      </c>
      <c r="F172" s="16">
        <f t="shared" si="12"/>
        <v>3.5656950317469056E-7</v>
      </c>
    </row>
    <row r="173" spans="5:6">
      <c r="E173">
        <f t="shared" si="11"/>
        <v>138</v>
      </c>
      <c r="F173" s="16">
        <f t="shared" si="12"/>
        <v>3.2271028095911104E-7</v>
      </c>
    </row>
    <row r="174" spans="5:6">
      <c r="E174">
        <f t="shared" si="11"/>
        <v>139</v>
      </c>
      <c r="F174" s="16">
        <f t="shared" si="12"/>
        <v>2.920750747687719E-7</v>
      </c>
    </row>
    <row r="175" spans="5:6">
      <c r="E175">
        <f t="shared" si="11"/>
        <v>140</v>
      </c>
      <c r="F175" s="16">
        <f t="shared" si="12"/>
        <v>2.6435595965422572E-7</v>
      </c>
    </row>
    <row r="176" spans="5:6">
      <c r="E176">
        <f t="shared" si="11"/>
        <v>141</v>
      </c>
      <c r="F176" s="16">
        <f t="shared" si="12"/>
        <v>2.3927452160560779E-7</v>
      </c>
    </row>
    <row r="177" spans="5:6">
      <c r="E177">
        <f t="shared" si="11"/>
        <v>142</v>
      </c>
      <c r="F177" s="16">
        <f t="shared" si="12"/>
        <v>2.1657901831239772E-7</v>
      </c>
    </row>
    <row r="178" spans="5:6">
      <c r="E178">
        <f t="shared" si="11"/>
        <v>143</v>
      </c>
      <c r="F178" s="16">
        <f t="shared" si="12"/>
        <v>1.96041814286216E-7</v>
      </c>
    </row>
    <row r="179" spans="5:6">
      <c r="E179">
        <f t="shared" si="11"/>
        <v>144</v>
      </c>
      <c r="F179" s="16">
        <f t="shared" si="12"/>
        <v>1.7745706370162073E-7</v>
      </c>
    </row>
    <row r="180" spans="5:6">
      <c r="E180">
        <f t="shared" si="11"/>
        <v>145</v>
      </c>
      <c r="F180" s="16">
        <f t="shared" si="12"/>
        <v>1.6063861691233074E-7</v>
      </c>
    </row>
    <row r="181" spans="5:6">
      <c r="E181">
        <f t="shared" si="11"/>
        <v>146</v>
      </c>
      <c r="F181" s="16">
        <f t="shared" si="12"/>
        <v>1.454181289469084E-7</v>
      </c>
    </row>
    <row r="182" spans="5:6">
      <c r="E182">
        <f t="shared" si="11"/>
        <v>147</v>
      </c>
      <c r="F182" s="16">
        <f t="shared" si="12"/>
        <v>1.3164335040402742E-7</v>
      </c>
    </row>
    <row r="183" spans="5:6">
      <c r="E183">
        <f t="shared" si="11"/>
        <v>148</v>
      </c>
      <c r="F183" s="16">
        <f t="shared" si="12"/>
        <v>1.1917658307584592E-7</v>
      </c>
    </row>
    <row r="184" spans="5:6">
      <c r="E184">
        <f t="shared" si="11"/>
        <v>149</v>
      </c>
      <c r="F184" s="16">
        <f t="shared" si="12"/>
        <v>1.0789328434923299E-7</v>
      </c>
    </row>
    <row r="185" spans="5:6">
      <c r="E185">
        <f t="shared" si="11"/>
        <v>150</v>
      </c>
      <c r="F185" s="16">
        <f t="shared" si="12"/>
        <v>9.7680805987150521E-8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6</v>
      </c>
      <c r="B2">
        <v>6</v>
      </c>
      <c r="C2">
        <v>6</v>
      </c>
      <c r="D2">
        <v>1203</v>
      </c>
    </row>
    <row r="3" spans="1:4">
      <c r="A3">
        <v>5</v>
      </c>
      <c r="B3">
        <v>6</v>
      </c>
      <c r="C3">
        <v>6</v>
      </c>
      <c r="D3">
        <v>728</v>
      </c>
    </row>
    <row r="4" spans="1:4">
      <c r="A4">
        <v>4</v>
      </c>
      <c r="B4">
        <v>6</v>
      </c>
      <c r="C4">
        <v>6</v>
      </c>
      <c r="D4">
        <v>512</v>
      </c>
    </row>
    <row r="5" spans="1:4">
      <c r="A5">
        <v>3</v>
      </c>
      <c r="B5">
        <v>6</v>
      </c>
      <c r="C5">
        <v>6</v>
      </c>
      <c r="D5">
        <v>357</v>
      </c>
    </row>
    <row r="6" spans="1:4">
      <c r="A6">
        <v>2</v>
      </c>
      <c r="B6">
        <v>6</v>
      </c>
      <c r="C6">
        <v>6</v>
      </c>
      <c r="D6">
        <v>234</v>
      </c>
    </row>
    <row r="7" spans="1:4">
      <c r="A7">
        <v>1</v>
      </c>
      <c r="B7">
        <v>6</v>
      </c>
      <c r="C7">
        <v>6</v>
      </c>
      <c r="D7">
        <v>129</v>
      </c>
    </row>
    <row r="8" spans="1:4">
      <c r="A8">
        <v>5</v>
      </c>
      <c r="B8">
        <v>5</v>
      </c>
      <c r="C8">
        <v>6</v>
      </c>
      <c r="D8">
        <v>335</v>
      </c>
    </row>
    <row r="9" spans="1:4">
      <c r="A9">
        <v>4</v>
      </c>
      <c r="B9">
        <v>5</v>
      </c>
      <c r="C9">
        <v>6</v>
      </c>
      <c r="D9">
        <v>284</v>
      </c>
    </row>
    <row r="10" spans="1:4">
      <c r="A10">
        <v>3</v>
      </c>
      <c r="B10">
        <v>5</v>
      </c>
      <c r="C10">
        <v>6</v>
      </c>
      <c r="D10">
        <v>225</v>
      </c>
    </row>
    <row r="11" spans="1:4">
      <c r="A11">
        <v>2</v>
      </c>
      <c r="B11">
        <v>5</v>
      </c>
      <c r="C11">
        <v>6</v>
      </c>
      <c r="D11">
        <v>173</v>
      </c>
    </row>
    <row r="12" spans="1:4">
      <c r="A12">
        <v>1</v>
      </c>
      <c r="B12">
        <v>5</v>
      </c>
      <c r="C12">
        <v>6</v>
      </c>
      <c r="D12">
        <v>119</v>
      </c>
    </row>
    <row r="13" spans="1:4">
      <c r="A13">
        <v>4</v>
      </c>
      <c r="B13">
        <v>4</v>
      </c>
      <c r="C13">
        <v>6</v>
      </c>
      <c r="D13">
        <v>240</v>
      </c>
    </row>
    <row r="14" spans="1:4">
      <c r="A14">
        <v>3</v>
      </c>
      <c r="B14">
        <v>4</v>
      </c>
      <c r="C14">
        <v>6</v>
      </c>
      <c r="D14">
        <v>181</v>
      </c>
    </row>
    <row r="15" spans="1:4">
      <c r="A15">
        <v>2</v>
      </c>
      <c r="B15">
        <v>4</v>
      </c>
      <c r="C15">
        <v>6</v>
      </c>
      <c r="D15">
        <v>155</v>
      </c>
    </row>
    <row r="16" spans="1:4">
      <c r="A16">
        <v>1</v>
      </c>
      <c r="B16">
        <v>4</v>
      </c>
      <c r="C16">
        <v>6</v>
      </c>
      <c r="D16">
        <v>78</v>
      </c>
    </row>
    <row r="17" spans="1:4">
      <c r="A17">
        <v>3</v>
      </c>
      <c r="B17">
        <v>3</v>
      </c>
      <c r="C17">
        <v>6</v>
      </c>
      <c r="D17">
        <v>322</v>
      </c>
    </row>
    <row r="18" spans="1:4">
      <c r="A18">
        <v>2</v>
      </c>
      <c r="B18">
        <v>3</v>
      </c>
      <c r="C18">
        <v>6</v>
      </c>
      <c r="D18">
        <v>255</v>
      </c>
    </row>
    <row r="19" spans="1:4">
      <c r="A19">
        <v>1</v>
      </c>
      <c r="B19">
        <v>3</v>
      </c>
      <c r="C19">
        <v>6</v>
      </c>
      <c r="D19">
        <v>129</v>
      </c>
    </row>
    <row r="20" spans="1:4">
      <c r="A20">
        <v>2</v>
      </c>
      <c r="B20">
        <v>2</v>
      </c>
      <c r="C20">
        <v>6</v>
      </c>
      <c r="D20">
        <v>613</v>
      </c>
    </row>
    <row r="21" spans="1:4">
      <c r="A21">
        <v>1</v>
      </c>
      <c r="B21">
        <v>2</v>
      </c>
      <c r="C21">
        <v>6</v>
      </c>
      <c r="D21">
        <v>277</v>
      </c>
    </row>
    <row r="22" spans="1:4">
      <c r="A22">
        <v>1</v>
      </c>
      <c r="B22">
        <v>1</v>
      </c>
      <c r="C22">
        <v>6</v>
      </c>
      <c r="D22">
        <v>1091</v>
      </c>
    </row>
    <row r="23" spans="1:4">
      <c r="A23">
        <v>0</v>
      </c>
      <c r="B23">
        <v>0</v>
      </c>
      <c r="C23">
        <v>6</v>
      </c>
      <c r="D23">
        <v>3464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"/>
  <sheetViews>
    <sheetView workbookViewId="0"/>
  </sheetViews>
  <sheetFormatPr defaultRowHeight="15"/>
  <cols>
    <col min="6" max="6" width="10.85546875" bestFit="1" customWidth="1"/>
  </cols>
  <sheetData>
    <row r="1" spans="1:14">
      <c r="A1" t="s">
        <v>4</v>
      </c>
      <c r="B1" s="2">
        <v>1.2035208304049791</v>
      </c>
      <c r="D1" s="1" t="s">
        <v>5</v>
      </c>
      <c r="E1" s="2">
        <f>EXP(GAMMALN(B1)+GAMMALN(B2)-GAMMALN(B1+B2))</f>
        <v>1.1459874988583574</v>
      </c>
    </row>
    <row r="2" spans="1:14">
      <c r="A2" t="s">
        <v>6</v>
      </c>
      <c r="B2" s="2">
        <v>0.74971424306189594</v>
      </c>
      <c r="D2" s="1"/>
      <c r="E2" s="2"/>
    </row>
    <row r="3" spans="1:14">
      <c r="A3" t="s">
        <v>7</v>
      </c>
      <c r="B3" s="2">
        <v>0.65671216914787822</v>
      </c>
      <c r="D3" s="1" t="s">
        <v>8</v>
      </c>
      <c r="E3" s="3">
        <f>EXP(GAMMALN(B3)+GAMMALN(B4)-GAMMALN(B3+B4))</f>
        <v>0.72886135642266991</v>
      </c>
    </row>
    <row r="4" spans="1:14">
      <c r="A4" t="s">
        <v>9</v>
      </c>
      <c r="B4" s="2">
        <v>2.7834080163589801</v>
      </c>
    </row>
    <row r="6" spans="1:14">
      <c r="A6" t="s">
        <v>10</v>
      </c>
      <c r="B6" s="5">
        <f>SUM(E9:E30)</f>
        <v>-33225.581276082543</v>
      </c>
    </row>
    <row r="8" spans="1:14">
      <c r="A8" s="1" t="s">
        <v>0</v>
      </c>
      <c r="B8" s="1" t="s">
        <v>1</v>
      </c>
      <c r="C8" s="1" t="s">
        <v>2</v>
      </c>
      <c r="D8" s="1" t="s">
        <v>3</v>
      </c>
      <c r="F8" s="1" t="s">
        <v>12</v>
      </c>
      <c r="G8" s="1" t="s">
        <v>11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</row>
    <row r="9" spans="1:14">
      <c r="A9">
        <v>6</v>
      </c>
      <c r="B9">
        <v>6</v>
      </c>
      <c r="C9">
        <v>6</v>
      </c>
      <c r="D9">
        <v>1203</v>
      </c>
      <c r="E9" s="5">
        <f>D9*LN(F9)</f>
        <v>-2624.5492363064254</v>
      </c>
      <c r="F9" s="4">
        <f>SUM(H9:N9)</f>
        <v>0.11285288759762578</v>
      </c>
      <c r="G9">
        <f t="shared" ref="G9:G30" si="0">C9-B9-1</f>
        <v>-1</v>
      </c>
      <c r="H9" s="4">
        <f t="shared" ref="H9:H30" si="1">EXP(GAMMALN($B$1+A9)+GAMMALN($B$2+C9-A9)-GAMMALN($B$1+$B$2+C9))/$E$1*EXP(GAMMALN($B$3)+GAMMALN($B$4+C9)-GAMMALN($B$3+$B$4+C9))/$E$3</f>
        <v>0.11285288759762578</v>
      </c>
      <c r="I9">
        <f t="shared" ref="I9:N24" si="2">IF(I$8&lt;=$G9,EXP(GAMMALN($B$1+$A9)+GAMMALN($B$2+$B9-$A9+I$8)-GAMMALN($B$1+$B$2+$B9+I$8))/$E$1*EXP(GAMMALN($B$3+1)+GAMMALN($B$4+$B9+I$8)-GAMMALN($B$3+$B$4+$B9+I$8+1))/$E$3,0)</f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</row>
    <row r="10" spans="1:14">
      <c r="A10">
        <v>5</v>
      </c>
      <c r="B10">
        <v>6</v>
      </c>
      <c r="C10">
        <v>6</v>
      </c>
      <c r="D10">
        <v>728</v>
      </c>
      <c r="E10" s="5">
        <f t="shared" ref="E10:E30" si="3">D10*LN(F10)</f>
        <v>-3126.6510542793199</v>
      </c>
      <c r="F10" s="4">
        <f t="shared" ref="F10:F30" si="4">SUM(H10:N10)</f>
        <v>1.3638612572694667E-2</v>
      </c>
      <c r="G10">
        <f t="shared" si="0"/>
        <v>-1</v>
      </c>
      <c r="H10" s="4">
        <f t="shared" si="1"/>
        <v>1.3638612572694667E-2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>
      <c r="A11">
        <v>4</v>
      </c>
      <c r="B11">
        <v>6</v>
      </c>
      <c r="C11">
        <v>6</v>
      </c>
      <c r="D11">
        <v>512</v>
      </c>
      <c r="E11" s="5">
        <f t="shared" si="3"/>
        <v>-2756.9834719360792</v>
      </c>
      <c r="F11" s="4">
        <f t="shared" si="4"/>
        <v>4.5860630621585236E-3</v>
      </c>
      <c r="G11">
        <f t="shared" si="0"/>
        <v>-1</v>
      </c>
      <c r="H11" s="4">
        <f t="shared" si="1"/>
        <v>4.5860630621585236E-3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>
      <c r="A12">
        <v>3</v>
      </c>
      <c r="B12">
        <v>6</v>
      </c>
      <c r="C12">
        <v>6</v>
      </c>
      <c r="D12">
        <v>357</v>
      </c>
      <c r="E12" s="5">
        <f t="shared" si="3"/>
        <v>-2073.8696973266178</v>
      </c>
      <c r="F12" s="4">
        <f t="shared" si="4"/>
        <v>2.9999525231949238E-3</v>
      </c>
      <c r="G12">
        <f t="shared" si="0"/>
        <v>-1</v>
      </c>
      <c r="H12" s="4">
        <f t="shared" si="1"/>
        <v>2.9999525231949238E-3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</row>
    <row r="13" spans="1:14">
      <c r="A13">
        <v>2</v>
      </c>
      <c r="B13">
        <v>6</v>
      </c>
      <c r="C13">
        <v>6</v>
      </c>
      <c r="D13">
        <v>234</v>
      </c>
      <c r="E13" s="5">
        <f t="shared" si="3"/>
        <v>-1322.5047369941287</v>
      </c>
      <c r="F13" s="4">
        <f t="shared" si="4"/>
        <v>3.5114379772433089E-3</v>
      </c>
      <c r="G13">
        <f t="shared" si="0"/>
        <v>-1</v>
      </c>
      <c r="H13" s="4">
        <f t="shared" si="1"/>
        <v>3.5114379772433089E-3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>
      <c r="A14">
        <v>1</v>
      </c>
      <c r="B14">
        <v>6</v>
      </c>
      <c r="C14">
        <v>6</v>
      </c>
      <c r="D14">
        <v>129</v>
      </c>
      <c r="E14" s="5">
        <f t="shared" si="3"/>
        <v>-629.99751245748928</v>
      </c>
      <c r="F14" s="4">
        <f t="shared" si="4"/>
        <v>7.5689445474219769E-3</v>
      </c>
      <c r="G14">
        <f t="shared" si="0"/>
        <v>-1</v>
      </c>
      <c r="H14" s="4">
        <f t="shared" si="1"/>
        <v>7.5689445474219769E-3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>
      <c r="A15">
        <v>5</v>
      </c>
      <c r="B15">
        <v>5</v>
      </c>
      <c r="C15">
        <v>6</v>
      </c>
      <c r="D15">
        <v>335</v>
      </c>
      <c r="E15" s="5">
        <f t="shared" si="3"/>
        <v>-1245.1351269153367</v>
      </c>
      <c r="F15" s="4">
        <f t="shared" si="4"/>
        <v>2.4311123543728767E-2</v>
      </c>
      <c r="G15">
        <f t="shared" si="0"/>
        <v>0</v>
      </c>
      <c r="H15" s="4">
        <f t="shared" si="1"/>
        <v>1.3638612572694667E-2</v>
      </c>
      <c r="I15" s="4">
        <f t="shared" si="2"/>
        <v>1.06725109710341E-2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</row>
    <row r="16" spans="1:14">
      <c r="A16">
        <v>4</v>
      </c>
      <c r="B16">
        <v>5</v>
      </c>
      <c r="C16">
        <v>6</v>
      </c>
      <c r="D16">
        <v>284</v>
      </c>
      <c r="E16" s="5">
        <f t="shared" si="3"/>
        <v>-1447.1453656674323</v>
      </c>
      <c r="F16" s="4">
        <f t="shared" si="4"/>
        <v>6.1237399052184206E-3</v>
      </c>
      <c r="G16">
        <f t="shared" si="0"/>
        <v>0</v>
      </c>
      <c r="H16" s="4">
        <f t="shared" si="1"/>
        <v>4.5860630621585236E-3</v>
      </c>
      <c r="I16" s="4">
        <f t="shared" si="2"/>
        <v>1.5376768430598975E-3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>
      <c r="A17">
        <v>3</v>
      </c>
      <c r="B17">
        <v>5</v>
      </c>
      <c r="C17">
        <v>6</v>
      </c>
      <c r="D17">
        <v>225</v>
      </c>
      <c r="E17" s="5">
        <f t="shared" si="3"/>
        <v>-1263.5479892533692</v>
      </c>
      <c r="F17" s="4">
        <f t="shared" si="4"/>
        <v>3.6400100326087724E-3</v>
      </c>
      <c r="G17">
        <f t="shared" si="0"/>
        <v>0</v>
      </c>
      <c r="H17" s="4">
        <f t="shared" si="1"/>
        <v>2.9999525231949238E-3</v>
      </c>
      <c r="I17" s="4">
        <f t="shared" si="2"/>
        <v>6.4005750941384853E-4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</row>
    <row r="18" spans="1:14">
      <c r="A18">
        <v>2</v>
      </c>
      <c r="B18">
        <v>5</v>
      </c>
      <c r="C18">
        <v>6</v>
      </c>
      <c r="D18">
        <v>173</v>
      </c>
      <c r="E18" s="5">
        <f t="shared" si="3"/>
        <v>-952.60182549657156</v>
      </c>
      <c r="F18" s="4">
        <f t="shared" si="4"/>
        <v>4.0608257737276667E-3</v>
      </c>
      <c r="G18">
        <f t="shared" si="0"/>
        <v>0</v>
      </c>
      <c r="H18" s="4">
        <f t="shared" si="1"/>
        <v>3.5114379772433089E-3</v>
      </c>
      <c r="I18" s="4">
        <f t="shared" si="2"/>
        <v>5.493877964843581E-4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>
      <c r="A19">
        <v>1</v>
      </c>
      <c r="B19">
        <v>5</v>
      </c>
      <c r="C19">
        <v>6</v>
      </c>
      <c r="D19">
        <v>119</v>
      </c>
      <c r="E19" s="5">
        <f t="shared" si="3"/>
        <v>-567.30134806797219</v>
      </c>
      <c r="F19" s="4">
        <f t="shared" si="4"/>
        <v>8.5038334838189785E-3</v>
      </c>
      <c r="G19">
        <f t="shared" si="0"/>
        <v>0</v>
      </c>
      <c r="H19" s="4">
        <f t="shared" si="1"/>
        <v>7.5689445474219769E-3</v>
      </c>
      <c r="I19" s="4">
        <f t="shared" si="2"/>
        <v>9.3488893639700088E-4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</row>
    <row r="20" spans="1:14">
      <c r="A20">
        <v>4</v>
      </c>
      <c r="B20">
        <v>4</v>
      </c>
      <c r="C20">
        <v>6</v>
      </c>
      <c r="D20">
        <v>240</v>
      </c>
      <c r="E20" s="5">
        <f t="shared" si="3"/>
        <v>-923.59110033420575</v>
      </c>
      <c r="F20" s="4">
        <f t="shared" si="4"/>
        <v>2.1316022662225674E-2</v>
      </c>
      <c r="G20">
        <f t="shared" si="0"/>
        <v>1</v>
      </c>
      <c r="H20" s="4">
        <f t="shared" si="1"/>
        <v>4.5860630621585236E-3</v>
      </c>
      <c r="I20" s="4">
        <f t="shared" si="2"/>
        <v>1.5192282757007252E-2</v>
      </c>
      <c r="J20" s="4">
        <f t="shared" si="2"/>
        <v>1.5376768430598975E-3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</row>
    <row r="21" spans="1:14">
      <c r="A21">
        <v>3</v>
      </c>
      <c r="B21">
        <v>4</v>
      </c>
      <c r="C21">
        <v>6</v>
      </c>
      <c r="D21">
        <v>181</v>
      </c>
      <c r="E21" s="5">
        <f t="shared" si="3"/>
        <v>-915.74442758226883</v>
      </c>
      <c r="F21" s="4">
        <f t="shared" si="4"/>
        <v>6.349612583856315E-3</v>
      </c>
      <c r="G21">
        <f t="shared" si="0"/>
        <v>1</v>
      </c>
      <c r="H21" s="4">
        <f t="shared" si="1"/>
        <v>2.9999525231949238E-3</v>
      </c>
      <c r="I21" s="4">
        <f t="shared" si="2"/>
        <v>2.709602551247543E-3</v>
      </c>
      <c r="J21" s="4">
        <f t="shared" si="2"/>
        <v>6.4005750941384853E-4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</row>
    <row r="22" spans="1:14">
      <c r="A22">
        <v>2</v>
      </c>
      <c r="B22">
        <v>4</v>
      </c>
      <c r="C22">
        <v>6</v>
      </c>
      <c r="D22">
        <v>155</v>
      </c>
      <c r="E22" s="5">
        <f t="shared" si="3"/>
        <v>-805.32139608873058</v>
      </c>
      <c r="F22" s="4">
        <f t="shared" si="4"/>
        <v>5.5407693819908323E-3</v>
      </c>
      <c r="G22">
        <f t="shared" si="0"/>
        <v>1</v>
      </c>
      <c r="H22" s="4">
        <f t="shared" si="1"/>
        <v>3.5114379772433089E-3</v>
      </c>
      <c r="I22" s="4">
        <f t="shared" si="2"/>
        <v>1.4799436082631658E-3</v>
      </c>
      <c r="J22" s="4">
        <f t="shared" si="2"/>
        <v>5.493877964843581E-4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</row>
    <row r="23" spans="1:14">
      <c r="A23">
        <v>1</v>
      </c>
      <c r="B23">
        <v>4</v>
      </c>
      <c r="C23">
        <v>6</v>
      </c>
      <c r="D23">
        <v>78</v>
      </c>
      <c r="E23" s="5">
        <f t="shared" si="3"/>
        <v>-356.51532694186989</v>
      </c>
      <c r="F23" s="4">
        <f t="shared" si="4"/>
        <v>1.0350615217142001E-2</v>
      </c>
      <c r="G23">
        <f t="shared" si="0"/>
        <v>1</v>
      </c>
      <c r="H23" s="4">
        <f t="shared" si="1"/>
        <v>7.5689445474219769E-3</v>
      </c>
      <c r="I23" s="4">
        <f t="shared" si="2"/>
        <v>1.8467817333230219E-3</v>
      </c>
      <c r="J23" s="4">
        <f t="shared" si="2"/>
        <v>9.3488893639700088E-4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</row>
    <row r="24" spans="1:14">
      <c r="A24">
        <v>3</v>
      </c>
      <c r="B24">
        <v>3</v>
      </c>
      <c r="C24">
        <v>6</v>
      </c>
      <c r="D24">
        <v>322</v>
      </c>
      <c r="E24" s="5">
        <f t="shared" si="3"/>
        <v>-1135.839730243513</v>
      </c>
      <c r="F24" s="4">
        <f t="shared" si="4"/>
        <v>2.9379663008643708E-2</v>
      </c>
      <c r="G24">
        <f t="shared" si="0"/>
        <v>2</v>
      </c>
      <c r="H24" s="4">
        <f t="shared" si="1"/>
        <v>2.9999525231949238E-3</v>
      </c>
      <c r="I24" s="4">
        <f t="shared" si="2"/>
        <v>2.3030050424787393E-2</v>
      </c>
      <c r="J24" s="4">
        <f t="shared" si="2"/>
        <v>2.709602551247543E-3</v>
      </c>
      <c r="K24" s="4">
        <f t="shared" si="2"/>
        <v>6.4005750941384853E-4</v>
      </c>
      <c r="L24">
        <f t="shared" si="2"/>
        <v>0</v>
      </c>
      <c r="M24">
        <f t="shared" si="2"/>
        <v>0</v>
      </c>
      <c r="N24">
        <f t="shared" si="2"/>
        <v>0</v>
      </c>
    </row>
    <row r="25" spans="1:14">
      <c r="A25">
        <v>2</v>
      </c>
      <c r="B25">
        <v>3</v>
      </c>
      <c r="C25">
        <v>6</v>
      </c>
      <c r="D25">
        <v>255</v>
      </c>
      <c r="E25" s="5">
        <f t="shared" si="3"/>
        <v>-1151.6316960734637</v>
      </c>
      <c r="F25" s="4">
        <f t="shared" si="4"/>
        <v>1.0930450840033442E-2</v>
      </c>
      <c r="G25">
        <f t="shared" si="0"/>
        <v>2</v>
      </c>
      <c r="H25" s="4">
        <f t="shared" si="1"/>
        <v>3.5114379772433089E-3</v>
      </c>
      <c r="I25" s="4">
        <f t="shared" ref="I25:N30" si="5">IF(I$8&lt;=$G25,EXP(GAMMALN($B$1+$A25)+GAMMALN($B$2+$B25-$A25+I$8)-GAMMALN($B$1+$B$2+$B25+I$8))/$E$1*EXP(GAMMALN($B$3+1)+GAMMALN($B$4+$B25+I$8)-GAMMALN($B$3+$B$4+$B25+I$8+1))/$E$3,0)</f>
        <v>5.3896814580426085E-3</v>
      </c>
      <c r="J25" s="4">
        <f t="shared" si="5"/>
        <v>1.4799436082631658E-3</v>
      </c>
      <c r="K25" s="4">
        <f t="shared" si="5"/>
        <v>5.493877964843581E-4</v>
      </c>
      <c r="L25">
        <f t="shared" si="5"/>
        <v>0</v>
      </c>
      <c r="M25">
        <f t="shared" si="5"/>
        <v>0</v>
      </c>
      <c r="N25">
        <f t="shared" si="5"/>
        <v>0</v>
      </c>
    </row>
    <row r="26" spans="1:14">
      <c r="A26">
        <v>1</v>
      </c>
      <c r="B26">
        <v>3</v>
      </c>
      <c r="C26">
        <v>6</v>
      </c>
      <c r="D26">
        <v>129</v>
      </c>
      <c r="E26" s="5">
        <f t="shared" si="3"/>
        <v>-544.98110060210172</v>
      </c>
      <c r="F26" s="4">
        <f t="shared" si="4"/>
        <v>1.4630312637079684E-2</v>
      </c>
      <c r="G26">
        <f t="shared" si="0"/>
        <v>2</v>
      </c>
      <c r="H26" s="4">
        <f t="shared" si="1"/>
        <v>7.5689445474219769E-3</v>
      </c>
      <c r="I26" s="4">
        <f t="shared" si="5"/>
        <v>4.2796974199376826E-3</v>
      </c>
      <c r="J26" s="4">
        <f t="shared" si="5"/>
        <v>1.8467817333230219E-3</v>
      </c>
      <c r="K26" s="4">
        <f t="shared" si="5"/>
        <v>9.3488893639700088E-4</v>
      </c>
      <c r="L26">
        <f t="shared" si="5"/>
        <v>0</v>
      </c>
      <c r="M26">
        <f t="shared" si="5"/>
        <v>0</v>
      </c>
      <c r="N26">
        <f t="shared" si="5"/>
        <v>0</v>
      </c>
    </row>
    <row r="27" spans="1:14">
      <c r="A27">
        <v>2</v>
      </c>
      <c r="B27">
        <v>2</v>
      </c>
      <c r="C27">
        <v>6</v>
      </c>
      <c r="D27">
        <v>613</v>
      </c>
      <c r="E27" s="5">
        <f t="shared" si="3"/>
        <v>-1846.3555389266958</v>
      </c>
      <c r="F27" s="4">
        <f t="shared" si="4"/>
        <v>4.9193230921713765E-2</v>
      </c>
      <c r="G27">
        <f t="shared" si="0"/>
        <v>3</v>
      </c>
      <c r="H27" s="4">
        <f t="shared" si="1"/>
        <v>3.5114379772433089E-3</v>
      </c>
      <c r="I27" s="4">
        <f t="shared" si="5"/>
        <v>3.8262780081680325E-2</v>
      </c>
      <c r="J27" s="4">
        <f t="shared" si="5"/>
        <v>5.3896814580426085E-3</v>
      </c>
      <c r="K27" s="4">
        <f t="shared" si="5"/>
        <v>1.4799436082631658E-3</v>
      </c>
      <c r="L27" s="4">
        <f t="shared" si="5"/>
        <v>5.493877964843581E-4</v>
      </c>
      <c r="M27">
        <f t="shared" si="5"/>
        <v>0</v>
      </c>
      <c r="N27">
        <f t="shared" si="5"/>
        <v>0</v>
      </c>
    </row>
    <row r="28" spans="1:14">
      <c r="A28">
        <v>1</v>
      </c>
      <c r="B28">
        <v>2</v>
      </c>
      <c r="C28">
        <v>6</v>
      </c>
      <c r="D28">
        <v>277</v>
      </c>
      <c r="E28" s="5">
        <f t="shared" si="3"/>
        <v>-993.92553018961416</v>
      </c>
      <c r="F28" s="4">
        <f t="shared" si="4"/>
        <v>2.7648638040581611E-2</v>
      </c>
      <c r="G28">
        <f t="shared" si="0"/>
        <v>3</v>
      </c>
      <c r="H28" s="4">
        <f t="shared" si="1"/>
        <v>7.5689445474219769E-3</v>
      </c>
      <c r="I28" s="4">
        <f t="shared" si="5"/>
        <v>1.3018325403501932E-2</v>
      </c>
      <c r="J28" s="4">
        <f t="shared" si="5"/>
        <v>4.2796974199376826E-3</v>
      </c>
      <c r="K28" s="4">
        <f t="shared" si="5"/>
        <v>1.8467817333230219E-3</v>
      </c>
      <c r="L28" s="4">
        <f t="shared" si="5"/>
        <v>9.3488893639700088E-4</v>
      </c>
      <c r="M28">
        <f t="shared" si="5"/>
        <v>0</v>
      </c>
      <c r="N28">
        <f t="shared" si="5"/>
        <v>0</v>
      </c>
    </row>
    <row r="29" spans="1:14">
      <c r="A29">
        <v>1</v>
      </c>
      <c r="B29">
        <v>1</v>
      </c>
      <c r="C29">
        <v>6</v>
      </c>
      <c r="D29">
        <v>1091</v>
      </c>
      <c r="E29" s="5">
        <f t="shared" si="3"/>
        <v>-2497.1118656754525</v>
      </c>
      <c r="F29" s="4">
        <f t="shared" si="4"/>
        <v>0.10138516761645318</v>
      </c>
      <c r="G29">
        <f t="shared" si="0"/>
        <v>4</v>
      </c>
      <c r="H29" s="4">
        <f t="shared" si="1"/>
        <v>7.5689445474219769E-3</v>
      </c>
      <c r="I29" s="4">
        <f t="shared" si="5"/>
        <v>7.3736529575871568E-2</v>
      </c>
      <c r="J29" s="4">
        <f t="shared" si="5"/>
        <v>1.3018325403501932E-2</v>
      </c>
      <c r="K29" s="4">
        <f t="shared" si="5"/>
        <v>4.2796974199376826E-3</v>
      </c>
      <c r="L29" s="4">
        <f t="shared" si="5"/>
        <v>1.8467817333230219E-3</v>
      </c>
      <c r="M29" s="4">
        <f t="shared" si="5"/>
        <v>9.3488893639700088E-4</v>
      </c>
      <c r="N29">
        <f t="shared" si="5"/>
        <v>0</v>
      </c>
    </row>
    <row r="30" spans="1:14">
      <c r="A30">
        <v>0</v>
      </c>
      <c r="B30">
        <v>0</v>
      </c>
      <c r="C30">
        <v>6</v>
      </c>
      <c r="D30">
        <v>3464</v>
      </c>
      <c r="E30" s="5">
        <f t="shared" si="3"/>
        <v>-4044.2761987238932</v>
      </c>
      <c r="F30" s="4">
        <f t="shared" si="4"/>
        <v>0.31113878147642721</v>
      </c>
      <c r="G30">
        <f t="shared" si="0"/>
        <v>5</v>
      </c>
      <c r="H30" s="4">
        <f t="shared" si="1"/>
        <v>3.6159962645554211E-2</v>
      </c>
      <c r="I30" s="4">
        <f t="shared" si="5"/>
        <v>0.19089803078521808</v>
      </c>
      <c r="J30" s="4">
        <f t="shared" si="5"/>
        <v>4.593300344753979E-2</v>
      </c>
      <c r="K30" s="4">
        <f t="shared" si="5"/>
        <v>1.8926427199253807E-2</v>
      </c>
      <c r="L30" s="4">
        <f t="shared" si="5"/>
        <v>9.7779320926316034E-3</v>
      </c>
      <c r="M30" s="4">
        <f t="shared" si="5"/>
        <v>5.7538711374744266E-3</v>
      </c>
      <c r="N30" s="4">
        <f t="shared" si="5"/>
        <v>3.6895541687552809E-3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cols>
    <col min="3" max="3" width="9.5703125" bestFit="1" customWidth="1"/>
  </cols>
  <sheetData>
    <row r="1" spans="1:9">
      <c r="A1" t="s">
        <v>4</v>
      </c>
      <c r="B1" s="2">
        <f>'Parameter Estimation'!B1</f>
        <v>1.2035208304049791</v>
      </c>
      <c r="D1" s="1" t="s">
        <v>5</v>
      </c>
      <c r="E1" s="2">
        <f>EXP(GAMMALN(B1)+GAMMALN(B2)-GAMMALN(B1+B2))</f>
        <v>1.1459874988583574</v>
      </c>
    </row>
    <row r="2" spans="1:9">
      <c r="A2" t="s">
        <v>6</v>
      </c>
      <c r="B2" s="2">
        <f>'Parameter Estimation'!B2</f>
        <v>0.74971424306189594</v>
      </c>
      <c r="D2" s="1"/>
      <c r="E2" s="2"/>
    </row>
    <row r="3" spans="1:9">
      <c r="A3" t="s">
        <v>7</v>
      </c>
      <c r="B3" s="2">
        <f>'Parameter Estimation'!B3</f>
        <v>0.65671216914787822</v>
      </c>
      <c r="D3" s="1" t="s">
        <v>8</v>
      </c>
      <c r="E3" s="3">
        <f>EXP(GAMMALN(B3)+GAMMALN(B4)-GAMMALN(B3+B4))</f>
        <v>0.72886135642266991</v>
      </c>
    </row>
    <row r="4" spans="1:9">
      <c r="A4" t="s">
        <v>9</v>
      </c>
      <c r="B4" s="2">
        <f>'Parameter Estimation'!B4</f>
        <v>2.7834080163589801</v>
      </c>
    </row>
    <row r="5" spans="1:9">
      <c r="B5" s="2"/>
    </row>
    <row r="6" spans="1:9">
      <c r="A6" s="1" t="s">
        <v>2</v>
      </c>
      <c r="B6" s="6">
        <v>6</v>
      </c>
    </row>
    <row r="8" spans="1:9">
      <c r="A8" s="1" t="s">
        <v>13</v>
      </c>
      <c r="B8" s="1" t="s">
        <v>14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</row>
    <row r="9" spans="1:9">
      <c r="A9">
        <v>0</v>
      </c>
      <c r="B9" s="4">
        <f>SUM(C9:I9)</f>
        <v>0.31113878147642721</v>
      </c>
      <c r="C9" s="4">
        <f t="shared" ref="C9:C15" si="0">COMBIN($B$6,A9)*EXP(GAMMALN($B$1+A9)+GAMMALN($B$2+$B$6-A9)-GAMMALN($B$1+$B$2+$B$6))/$E$1*EXP(GAMMALN($B$3)+GAMMALN($B$4+$B$6)-GAMMALN($B$3+$B$4+$B$6))/$E$3</f>
        <v>3.6159962645554211E-2</v>
      </c>
      <c r="D9" s="4">
        <f>IF($A9&lt;=D$8,COMBIN(D$8,$A9)*EXP(GAMMALN($B$1+$A9)+GAMMALN($B$2+D$8-$A9)-GAMMALN($B$1+$B$2+D$8))/$E$1*EXP(GAMMALN($B$3+1)+GAMMALN($B$4+D$8)-GAMMALN($B$3+$B$4+D$8+1))/$E$3,0)</f>
        <v>0.19089803078521808</v>
      </c>
      <c r="E9" s="4">
        <f t="shared" ref="E9:I15" si="1">IF($A9&lt;=E$8,COMBIN(E$8,$A9)*EXP(GAMMALN($B$1+$A9)+GAMMALN($B$2+E$8-$A9)-GAMMALN($B$1+$B$2+E$8))/$E$1*EXP(GAMMALN($B$3+1)+GAMMALN($B$4+E$8)-GAMMALN($B$3+$B$4+E$8+1))/$E$3,0)</f>
        <v>4.593300344753979E-2</v>
      </c>
      <c r="F9" s="4">
        <f t="shared" si="1"/>
        <v>1.8926427199253807E-2</v>
      </c>
      <c r="G9" s="4">
        <f t="shared" si="1"/>
        <v>9.7779320926316034E-3</v>
      </c>
      <c r="H9" s="4">
        <f t="shared" si="1"/>
        <v>5.7538711374744266E-3</v>
      </c>
      <c r="I9" s="4">
        <f t="shared" si="1"/>
        <v>3.6895541687552809E-3</v>
      </c>
    </row>
    <row r="10" spans="1:9">
      <c r="A10">
        <v>1</v>
      </c>
      <c r="B10" s="4">
        <f t="shared" ref="B10:B15" si="2">SUM(C10:I10)</f>
        <v>0.17008751154249743</v>
      </c>
      <c r="C10" s="4">
        <f t="shared" si="0"/>
        <v>4.5413667284531854E-2</v>
      </c>
      <c r="D10">
        <f t="shared" ref="D10:D15" si="3">IF($A10&lt;=D$8,COMBIN(D$8,$A10)*EXP(GAMMALN($B$1+$A10)+GAMMALN($B$2+D$8-$A10)-GAMMALN($B$1+$B$2+D$8))/$E$1*EXP(GAMMALN($B$3+1)+GAMMALN($B$4+D$8)-GAMMALN($B$3+$B$4+D$8+1))/$E$3,0)</f>
        <v>0</v>
      </c>
      <c r="E10" s="4">
        <f t="shared" si="1"/>
        <v>7.3736529575871568E-2</v>
      </c>
      <c r="F10" s="4">
        <f t="shared" si="1"/>
        <v>2.6036650807003864E-2</v>
      </c>
      <c r="G10" s="4">
        <f t="shared" si="1"/>
        <v>1.2839092259813048E-2</v>
      </c>
      <c r="H10" s="4">
        <f t="shared" si="1"/>
        <v>7.3871269332920876E-3</v>
      </c>
      <c r="I10" s="4">
        <f t="shared" si="1"/>
        <v>4.6744446819850047E-3</v>
      </c>
    </row>
    <row r="11" spans="1:9">
      <c r="A11">
        <v>2</v>
      </c>
      <c r="B11" s="4">
        <f t="shared" si="2"/>
        <v>0.12147693372888035</v>
      </c>
      <c r="C11" s="4">
        <f t="shared" si="0"/>
        <v>5.2671569658649622E-2</v>
      </c>
      <c r="D11">
        <f t="shared" si="3"/>
        <v>0</v>
      </c>
      <c r="E11">
        <f t="shared" si="1"/>
        <v>0</v>
      </c>
      <c r="F11" s="4">
        <f t="shared" si="1"/>
        <v>3.8262780081680325E-2</v>
      </c>
      <c r="G11" s="4">
        <f t="shared" si="1"/>
        <v>1.6169044374127826E-2</v>
      </c>
      <c r="H11" s="4">
        <f t="shared" si="1"/>
        <v>8.8796616495789953E-3</v>
      </c>
      <c r="I11" s="4">
        <f t="shared" si="1"/>
        <v>5.4938779648435812E-3</v>
      </c>
    </row>
    <row r="12" spans="1:9">
      <c r="A12">
        <v>3</v>
      </c>
      <c r="B12" s="4">
        <f t="shared" si="2"/>
        <v>0.10026808618781452</v>
      </c>
      <c r="C12" s="4">
        <f t="shared" si="0"/>
        <v>5.9999050463898466E-2</v>
      </c>
      <c r="D12">
        <f t="shared" si="3"/>
        <v>0</v>
      </c>
      <c r="E12">
        <f t="shared" si="1"/>
        <v>0</v>
      </c>
      <c r="F12">
        <f t="shared" si="1"/>
        <v>0</v>
      </c>
      <c r="G12" s="4">
        <f t="shared" si="1"/>
        <v>2.3030050424787393E-2</v>
      </c>
      <c r="H12" s="4">
        <f t="shared" si="1"/>
        <v>1.0838410204990172E-2</v>
      </c>
      <c r="I12" s="4">
        <f t="shared" si="1"/>
        <v>6.4005750941384873E-3</v>
      </c>
    </row>
    <row r="13" spans="1:9">
      <c r="A13">
        <v>4</v>
      </c>
      <c r="B13" s="4">
        <f t="shared" si="2"/>
        <v>9.1671612904684605E-2</v>
      </c>
      <c r="C13" s="4">
        <f t="shared" si="0"/>
        <v>6.8790945932377862E-2</v>
      </c>
      <c r="D13">
        <f t="shared" si="3"/>
        <v>0</v>
      </c>
      <c r="E13">
        <f t="shared" si="1"/>
        <v>0</v>
      </c>
      <c r="F13">
        <f t="shared" si="1"/>
        <v>0</v>
      </c>
      <c r="G13">
        <f t="shared" si="1"/>
        <v>0</v>
      </c>
      <c r="H13" s="4">
        <f t="shared" si="1"/>
        <v>1.5192282757007252E-2</v>
      </c>
      <c r="I13" s="4">
        <f t="shared" si="1"/>
        <v>7.6883842152994878E-3</v>
      </c>
    </row>
    <row r="14" spans="1:9">
      <c r="A14">
        <v>5</v>
      </c>
      <c r="B14" s="4">
        <f t="shared" si="2"/>
        <v>9.2504186407202094E-2</v>
      </c>
      <c r="C14" s="4">
        <f t="shared" si="0"/>
        <v>8.1831675436167997E-2</v>
      </c>
      <c r="D14">
        <f t="shared" si="3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 s="4">
        <f t="shared" si="1"/>
        <v>1.06725109710341E-2</v>
      </c>
    </row>
    <row r="15" spans="1:9">
      <c r="A15">
        <v>6</v>
      </c>
      <c r="B15" s="4">
        <f t="shared" si="2"/>
        <v>0.11285288759762578</v>
      </c>
      <c r="C15" s="4">
        <f t="shared" si="0"/>
        <v>0.11285288759762578</v>
      </c>
      <c r="D15">
        <f t="shared" si="3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</row>
    <row r="17" spans="1:3">
      <c r="A17" s="1" t="s">
        <v>13</v>
      </c>
      <c r="B17" s="1" t="s">
        <v>15</v>
      </c>
      <c r="C17" s="7" t="s">
        <v>16</v>
      </c>
    </row>
    <row r="18" spans="1:3">
      <c r="A18">
        <v>0</v>
      </c>
      <c r="B18">
        <v>3464</v>
      </c>
      <c r="C18" s="5">
        <f>$B$25*B9</f>
        <v>3454.8850295142479</v>
      </c>
    </row>
    <row r="19" spans="1:3">
      <c r="A19">
        <v>1</v>
      </c>
      <c r="B19">
        <v>1823</v>
      </c>
      <c r="C19" s="5">
        <f t="shared" ref="C19:C24" si="4">$B$25*B10</f>
        <v>1888.6517281678914</v>
      </c>
    </row>
    <row r="20" spans="1:3">
      <c r="A20">
        <v>2</v>
      </c>
      <c r="B20">
        <v>1430</v>
      </c>
      <c r="C20" s="5">
        <f t="shared" si="4"/>
        <v>1348.8798721254875</v>
      </c>
    </row>
    <row r="21" spans="1:3">
      <c r="A21">
        <v>3</v>
      </c>
      <c r="B21">
        <v>1085</v>
      </c>
      <c r="C21" s="5">
        <f t="shared" si="4"/>
        <v>1113.3768290294925</v>
      </c>
    </row>
    <row r="22" spans="1:3">
      <c r="A22">
        <v>4</v>
      </c>
      <c r="B22">
        <v>1036</v>
      </c>
      <c r="C22" s="5">
        <f t="shared" si="4"/>
        <v>1017.9215896936179</v>
      </c>
    </row>
    <row r="23" spans="1:3">
      <c r="A23">
        <v>5</v>
      </c>
      <c r="B23">
        <v>1063</v>
      </c>
      <c r="C23" s="5">
        <f t="shared" si="4"/>
        <v>1027.166485865572</v>
      </c>
    </row>
    <row r="24" spans="1:3">
      <c r="A24">
        <v>6</v>
      </c>
      <c r="B24">
        <v>1203</v>
      </c>
      <c r="C24" s="5">
        <f t="shared" si="4"/>
        <v>1253.1184638840366</v>
      </c>
    </row>
    <row r="25" spans="1:3">
      <c r="B25">
        <f>SUM(B18:B24)</f>
        <v>11104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7"/>
  <sheetViews>
    <sheetView workbookViewId="0"/>
  </sheetViews>
  <sheetFormatPr defaultRowHeight="15"/>
  <sheetData>
    <row r="1" spans="1:13">
      <c r="A1" s="1" t="s">
        <v>4</v>
      </c>
      <c r="B1" s="2">
        <f>'Parameter Estimation'!B1</f>
        <v>1.2035208304049791</v>
      </c>
      <c r="D1" s="1"/>
      <c r="E1" s="2"/>
    </row>
    <row r="2" spans="1:13">
      <c r="A2" s="1" t="s">
        <v>6</v>
      </c>
      <c r="B2" s="2">
        <f>'Parameter Estimation'!B2</f>
        <v>0.74971424306189594</v>
      </c>
      <c r="E2" s="2"/>
    </row>
    <row r="3" spans="1:13">
      <c r="A3" s="1" t="s">
        <v>7</v>
      </c>
      <c r="B3" s="2">
        <f>'Parameter Estimation'!B3</f>
        <v>0.65671216914787822</v>
      </c>
      <c r="D3" s="1"/>
      <c r="E3" s="3"/>
    </row>
    <row r="4" spans="1:13">
      <c r="A4" s="1" t="s">
        <v>9</v>
      </c>
      <c r="B4" s="2">
        <f>'Parameter Estimation'!B4</f>
        <v>2.7834080163589801</v>
      </c>
    </row>
    <row r="5" spans="1:13">
      <c r="I5" s="8" t="s">
        <v>17</v>
      </c>
      <c r="J5" s="8"/>
      <c r="L5" s="8" t="s">
        <v>18</v>
      </c>
      <c r="M5" s="8"/>
    </row>
    <row r="6" spans="1:13">
      <c r="A6" s="1" t="s">
        <v>2</v>
      </c>
      <c r="B6" s="1" t="s">
        <v>19</v>
      </c>
      <c r="I6" s="1" t="s">
        <v>15</v>
      </c>
      <c r="J6" s="1" t="s">
        <v>16</v>
      </c>
      <c r="L6" s="1" t="s">
        <v>15</v>
      </c>
      <c r="M6" s="1" t="s">
        <v>16</v>
      </c>
    </row>
    <row r="7" spans="1:13">
      <c r="A7">
        <v>1</v>
      </c>
      <c r="B7" s="4">
        <f>D7*($B$4*E7-E7*F7)</f>
        <v>0.49854269299337467</v>
      </c>
      <c r="D7" s="4">
        <f>$B$1/($B$1+$B$2)</f>
        <v>0.61616793941181991</v>
      </c>
      <c r="E7" s="4">
        <f>1/($B$3-1)</f>
        <v>-2.9130074244629149</v>
      </c>
      <c r="F7" s="4">
        <f>EXP(GAMMALN($B$4+A7+1)+GAMMALN($B$3+$B$4)-GAMMALN($B$4)-GAMMALN($B$3+$B$4+A7))</f>
        <v>3.061162876224361</v>
      </c>
      <c r="H7">
        <v>1996</v>
      </c>
      <c r="I7">
        <f>L7</f>
        <v>5652</v>
      </c>
      <c r="J7" s="5">
        <f>11104*B7</f>
        <v>5535.8180629984327</v>
      </c>
      <c r="L7">
        <v>5652</v>
      </c>
      <c r="M7" s="5">
        <f>J7</f>
        <v>5535.8180629984327</v>
      </c>
    </row>
    <row r="8" spans="1:13">
      <c r="A8">
        <v>2</v>
      </c>
      <c r="B8" s="4">
        <f t="shared" ref="B8:B17" si="0">D8*($B$4*E8-E8*F8)</f>
        <v>0.92334885653966448</v>
      </c>
      <c r="D8" s="4">
        <f t="shared" ref="D8:D17" si="1">$B$1/($B$1+$B$2)</f>
        <v>0.61616793941181991</v>
      </c>
      <c r="E8" s="4">
        <f t="shared" ref="E8:E17" si="2">1/($B$3-1)</f>
        <v>-2.9130074244629149</v>
      </c>
      <c r="F8" s="4">
        <f t="shared" ref="F8:F17" si="3">EXP(GAMMALN($B$4+A8+1)+GAMMALN($B$3+$B$4)-GAMMALN($B$4)-GAMMALN($B$3+$B$4+A8))</f>
        <v>3.2978366417494294</v>
      </c>
      <c r="H8">
        <v>1997</v>
      </c>
      <c r="I8">
        <f>I7+L8</f>
        <v>10326</v>
      </c>
      <c r="J8" s="5">
        <f t="shared" ref="J8:J17" si="4">11104*B8</f>
        <v>10252.865703016434</v>
      </c>
      <c r="L8">
        <v>4674</v>
      </c>
      <c r="M8" s="5">
        <f>J8-J7</f>
        <v>4717.0476400180014</v>
      </c>
    </row>
    <row r="9" spans="1:13">
      <c r="A9">
        <v>3</v>
      </c>
      <c r="B9" s="4">
        <f t="shared" si="0"/>
        <v>1.2968739145922348</v>
      </c>
      <c r="D9" s="4">
        <f t="shared" si="1"/>
        <v>0.61616793941181991</v>
      </c>
      <c r="E9" s="4">
        <f t="shared" si="2"/>
        <v>-2.9130074244629149</v>
      </c>
      <c r="F9" s="4">
        <f t="shared" si="3"/>
        <v>3.5059399829751703</v>
      </c>
      <c r="H9">
        <v>1998</v>
      </c>
      <c r="I9">
        <f t="shared" ref="I9:I17" si="5">I8+L9</f>
        <v>14345</v>
      </c>
      <c r="J9" s="5">
        <f t="shared" si="4"/>
        <v>14400.487947632175</v>
      </c>
      <c r="L9">
        <v>4019</v>
      </c>
      <c r="M9" s="5">
        <f t="shared" ref="M9:M17" si="6">J9-J8</f>
        <v>4147.6222446157408</v>
      </c>
    </row>
    <row r="10" spans="1:13">
      <c r="A10">
        <v>4</v>
      </c>
      <c r="B10" s="4">
        <f t="shared" si="0"/>
        <v>1.6323098618763829</v>
      </c>
      <c r="D10" s="4">
        <f t="shared" si="1"/>
        <v>0.61616793941181991</v>
      </c>
      <c r="E10" s="4">
        <f t="shared" si="2"/>
        <v>-2.9130074244629149</v>
      </c>
      <c r="F10" s="4">
        <f t="shared" si="3"/>
        <v>3.6928226027410131</v>
      </c>
      <c r="H10">
        <v>1999</v>
      </c>
      <c r="I10">
        <f t="shared" si="5"/>
        <v>17897</v>
      </c>
      <c r="J10" s="5">
        <f t="shared" si="4"/>
        <v>18125.168706275355</v>
      </c>
      <c r="L10">
        <v>3552</v>
      </c>
      <c r="M10" s="5">
        <f t="shared" si="6"/>
        <v>3724.6807586431805</v>
      </c>
    </row>
    <row r="11" spans="1:13">
      <c r="A11">
        <v>5</v>
      </c>
      <c r="B11" s="4">
        <f t="shared" si="0"/>
        <v>1.9381381061850684</v>
      </c>
      <c r="D11" s="4">
        <f t="shared" si="1"/>
        <v>0.61616793941181991</v>
      </c>
      <c r="E11" s="4">
        <f t="shared" si="2"/>
        <v>-2.9130074244629149</v>
      </c>
      <c r="F11" s="4">
        <f t="shared" si="3"/>
        <v>3.8632097778709946</v>
      </c>
      <c r="H11">
        <v>2000</v>
      </c>
      <c r="I11">
        <f t="shared" si="5"/>
        <v>21452</v>
      </c>
      <c r="J11" s="5">
        <f t="shared" si="4"/>
        <v>21521.085531078999</v>
      </c>
      <c r="L11">
        <v>3555</v>
      </c>
      <c r="M11" s="5">
        <f t="shared" si="6"/>
        <v>3395.916824803644</v>
      </c>
    </row>
    <row r="12" spans="1:13">
      <c r="A12">
        <v>6</v>
      </c>
      <c r="B12" s="4">
        <f t="shared" si="0"/>
        <v>2.2201703469659209</v>
      </c>
      <c r="D12" s="4">
        <f t="shared" si="1"/>
        <v>0.61616793941181991</v>
      </c>
      <c r="E12" s="4">
        <f t="shared" si="2"/>
        <v>-2.9130074244629149</v>
      </c>
      <c r="F12" s="4">
        <f t="shared" si="3"/>
        <v>4.0203394011039766</v>
      </c>
      <c r="H12">
        <v>2001</v>
      </c>
      <c r="I12">
        <f t="shared" si="5"/>
        <v>24615</v>
      </c>
      <c r="J12" s="5">
        <f t="shared" si="4"/>
        <v>24652.771532709587</v>
      </c>
      <c r="L12">
        <v>3163</v>
      </c>
      <c r="M12" s="5">
        <f t="shared" si="6"/>
        <v>3131.6860016305873</v>
      </c>
    </row>
    <row r="13" spans="1:13">
      <c r="A13">
        <v>7</v>
      </c>
      <c r="B13" s="4">
        <f t="shared" si="0"/>
        <v>2.4825827099299596</v>
      </c>
      <c r="D13" s="4">
        <f t="shared" si="1"/>
        <v>0.61616793941181991</v>
      </c>
      <c r="E13" s="4">
        <f t="shared" si="2"/>
        <v>-2.9130074244629149</v>
      </c>
      <c r="F13" s="4">
        <f t="shared" si="3"/>
        <v>4.1665381321783252</v>
      </c>
      <c r="H13">
        <v>2002</v>
      </c>
      <c r="I13">
        <f t="shared" si="5"/>
        <v>27725</v>
      </c>
      <c r="J13" s="5">
        <f t="shared" si="4"/>
        <v>27566.59841106227</v>
      </c>
      <c r="L13">
        <v>3110</v>
      </c>
      <c r="M13" s="5">
        <f t="shared" si="6"/>
        <v>2913.8268783526837</v>
      </c>
    </row>
    <row r="14" spans="1:13">
      <c r="A14">
        <v>8</v>
      </c>
      <c r="B14" s="4">
        <f t="shared" si="0"/>
        <v>2.728488616164185</v>
      </c>
      <c r="D14" s="4">
        <f t="shared" si="1"/>
        <v>0.61616793941181991</v>
      </c>
      <c r="E14" s="4">
        <f t="shared" si="2"/>
        <v>-2.9130074244629149</v>
      </c>
      <c r="F14" s="4">
        <f t="shared" si="3"/>
        <v>4.3035405624337111</v>
      </c>
      <c r="H14">
        <v>2003</v>
      </c>
      <c r="I14">
        <f t="shared" si="5"/>
        <v>30663</v>
      </c>
      <c r="J14" s="5">
        <f t="shared" si="4"/>
        <v>30297.13759388711</v>
      </c>
      <c r="L14">
        <v>2938</v>
      </c>
      <c r="M14" s="5">
        <f t="shared" si="6"/>
        <v>2730.5391828248394</v>
      </c>
    </row>
    <row r="15" spans="1:13">
      <c r="A15">
        <v>9</v>
      </c>
      <c r="B15" s="4">
        <f t="shared" si="0"/>
        <v>2.9602784643087925</v>
      </c>
      <c r="D15" s="4">
        <f t="shared" si="1"/>
        <v>0.61616793941181991</v>
      </c>
      <c r="E15" s="4">
        <f t="shared" si="2"/>
        <v>-2.9130074244629149</v>
      </c>
      <c r="F15" s="4">
        <f t="shared" si="3"/>
        <v>4.4326784631480214</v>
      </c>
      <c r="H15">
        <v>2004</v>
      </c>
      <c r="I15">
        <f t="shared" si="5"/>
        <v>33366</v>
      </c>
      <c r="J15" s="5">
        <f t="shared" si="4"/>
        <v>32870.932067684829</v>
      </c>
      <c r="L15">
        <v>2703</v>
      </c>
      <c r="M15" s="5">
        <f t="shared" si="6"/>
        <v>2573.7944737977195</v>
      </c>
    </row>
    <row r="16" spans="1:13">
      <c r="A16">
        <v>10</v>
      </c>
      <c r="B16" s="4">
        <f t="shared" si="0"/>
        <v>3.179832159450541</v>
      </c>
      <c r="D16" s="4">
        <f t="shared" si="1"/>
        <v>0.61616793941181991</v>
      </c>
      <c r="E16" s="4">
        <f t="shared" si="2"/>
        <v>-2.9130074244629149</v>
      </c>
      <c r="F16" s="4">
        <f t="shared" si="3"/>
        <v>4.5549991925139892</v>
      </c>
      <c r="H16">
        <v>2005</v>
      </c>
      <c r="I16">
        <f t="shared" si="5"/>
        <v>35939</v>
      </c>
      <c r="J16" s="5">
        <f t="shared" si="4"/>
        <v>35308.856298538805</v>
      </c>
      <c r="L16">
        <v>2573</v>
      </c>
      <c r="M16" s="5">
        <f t="shared" si="6"/>
        <v>2437.924230853976</v>
      </c>
    </row>
    <row r="17" spans="1:13">
      <c r="A17">
        <v>11</v>
      </c>
      <c r="B17" s="4">
        <f t="shared" si="0"/>
        <v>3.3886580053325237</v>
      </c>
      <c r="D17" s="4">
        <f t="shared" si="1"/>
        <v>0.61616793941181991</v>
      </c>
      <c r="E17" s="4">
        <f t="shared" si="2"/>
        <v>-2.9130074244629149</v>
      </c>
      <c r="F17" s="4">
        <f t="shared" si="3"/>
        <v>4.6713430771489417</v>
      </c>
      <c r="H17">
        <v>2006</v>
      </c>
      <c r="I17">
        <f t="shared" si="5"/>
        <v>37875</v>
      </c>
      <c r="J17" s="5">
        <f t="shared" si="4"/>
        <v>37627.658491212344</v>
      </c>
      <c r="L17">
        <v>1936</v>
      </c>
      <c r="M17" s="5">
        <f t="shared" si="6"/>
        <v>2318.8021926735382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2"/>
  <sheetViews>
    <sheetView workbookViewId="0"/>
  </sheetViews>
  <sheetFormatPr defaultRowHeight="15"/>
  <cols>
    <col min="6" max="6" width="10.85546875" bestFit="1" customWidth="1"/>
    <col min="7" max="8" width="10.85546875" customWidth="1"/>
  </cols>
  <sheetData>
    <row r="1" spans="1:16">
      <c r="A1" t="s">
        <v>4</v>
      </c>
      <c r="B1" s="2">
        <v>1.2035208304049791</v>
      </c>
      <c r="D1" s="1" t="s">
        <v>5</v>
      </c>
      <c r="E1" s="2">
        <f>EXP(GAMMALN(B1)+GAMMALN(B2)-GAMMALN(B1+B2))</f>
        <v>1.1459874988583574</v>
      </c>
    </row>
    <row r="2" spans="1:16">
      <c r="A2" t="s">
        <v>6</v>
      </c>
      <c r="B2" s="2">
        <v>0.74971424306189594</v>
      </c>
      <c r="D2" s="1"/>
      <c r="E2" s="2"/>
    </row>
    <row r="3" spans="1:16">
      <c r="A3" t="s">
        <v>7</v>
      </c>
      <c r="B3" s="2">
        <v>0.65671216914787822</v>
      </c>
      <c r="D3" s="1" t="s">
        <v>8</v>
      </c>
      <c r="E3" s="3">
        <f>EXP(GAMMALN(B3)+GAMMALN(B4)-GAMMALN(B3+B4))</f>
        <v>0.72886135642266991</v>
      </c>
    </row>
    <row r="4" spans="1:16">
      <c r="A4" t="s">
        <v>9</v>
      </c>
      <c r="B4" s="2">
        <v>2.7834080163589801</v>
      </c>
    </row>
    <row r="5" spans="1:16">
      <c r="B5" s="2"/>
    </row>
    <row r="6" spans="1:16">
      <c r="A6" s="1" t="s">
        <v>20</v>
      </c>
      <c r="B6" s="6">
        <v>5</v>
      </c>
      <c r="E6">
        <f>B4/(B3-1)*EXP(GAMMALN(B3+B4)-GAMMALN(B4+1))*(EXP(GAMMALN(1+B4+C11)-GAMMALN(B3+B4+C11))-EXP(GAMMALN(1+B4+C11+B6)-GAMMALN(B3+B4+C11+B6)))</f>
        <v>1.89637854172378</v>
      </c>
    </row>
    <row r="8" spans="1:16">
      <c r="A8" t="s">
        <v>10</v>
      </c>
      <c r="B8" s="5">
        <f>SUM(E11:E32)</f>
        <v>-33225.581276082543</v>
      </c>
    </row>
    <row r="10" spans="1:16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21</v>
      </c>
      <c r="H10" s="1"/>
      <c r="I10" s="1" t="s">
        <v>11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</row>
    <row r="11" spans="1:16">
      <c r="A11">
        <v>6</v>
      </c>
      <c r="B11">
        <v>6</v>
      </c>
      <c r="C11">
        <v>6</v>
      </c>
      <c r="D11">
        <v>1203</v>
      </c>
      <c r="E11" s="5">
        <f>D11*LN(F11)</f>
        <v>-2624.5492363064254</v>
      </c>
      <c r="F11" s="4">
        <f>SUM(J11:P11)</f>
        <v>0.11285288759762578</v>
      </c>
      <c r="G11" s="10">
        <f>H11*$E$6/F11</f>
        <v>3.7525489757750106</v>
      </c>
      <c r="H11" s="4">
        <f>EXP(GAMMALN($B$1+A11+1)+GAMMALN($B$2+C11-A11)-GAMMALN($B$1+$B$2+C11+1))/$E$1</f>
        <v>0.22331300341691301</v>
      </c>
      <c r="I11">
        <f t="shared" ref="I11:I32" si="0">C11-B11-1</f>
        <v>-1</v>
      </c>
      <c r="J11" s="4">
        <f t="shared" ref="J11:J32" si="1">EXP(GAMMALN($B$1+A11)+GAMMALN($B$2+C11-A11)-GAMMALN($B$1+$B$2+C11))/$E$1*EXP(GAMMALN($B$3)+GAMMALN($B$4+C11)-GAMMALN($B$3+$B$4+C11))/$E$3</f>
        <v>0.11285288759762578</v>
      </c>
      <c r="K11">
        <f t="shared" ref="K11:P20" si="2">IF(K$10&lt;=$I11,EXP(GAMMALN($B$1+$A11)+GAMMALN($B$2+$B11-$A11+K$10)-GAMMALN($B$1+$B$2+$B11+K$10))/$E$1*EXP(GAMMALN($B$3+1)+GAMMALN($B$4+$B11+K$10)-GAMMALN($B$3+$B$4+$B11+K$10+1))/$E$3,0)</f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</row>
    <row r="12" spans="1:16">
      <c r="A12">
        <v>5</v>
      </c>
      <c r="B12">
        <v>6</v>
      </c>
      <c r="C12">
        <v>6</v>
      </c>
      <c r="D12">
        <v>728</v>
      </c>
      <c r="E12" s="5">
        <f t="shared" ref="E12:E32" si="3">D12*LN(F12)</f>
        <v>-3126.6510542793199</v>
      </c>
      <c r="F12" s="4">
        <f t="shared" ref="F12:F32" si="4">SUM(J12:P12)</f>
        <v>1.3638612572694667E-2</v>
      </c>
      <c r="G12" s="10">
        <f t="shared" ref="G12:G32" si="5">H12*$E$6/F12</f>
        <v>3.2316163562710765</v>
      </c>
      <c r="H12" s="4">
        <f t="shared" ref="H12:H32" si="6">EXP(GAMMALN($B$1+A12+1)+GAMMALN($B$2+C12-A12)-GAMMALN($B$1+$B$2+C12+1))/$E$1</f>
        <v>2.3241543023736773E-2</v>
      </c>
      <c r="I12">
        <f t="shared" si="0"/>
        <v>-1</v>
      </c>
      <c r="J12" s="4">
        <f t="shared" si="1"/>
        <v>1.3638612572694667E-2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</row>
    <row r="13" spans="1:16">
      <c r="A13">
        <v>4</v>
      </c>
      <c r="B13">
        <v>6</v>
      </c>
      <c r="C13">
        <v>6</v>
      </c>
      <c r="D13">
        <v>512</v>
      </c>
      <c r="E13" s="5">
        <f t="shared" si="3"/>
        <v>-2756.9834719360792</v>
      </c>
      <c r="F13" s="4">
        <f t="shared" si="4"/>
        <v>4.5860630621585236E-3</v>
      </c>
      <c r="G13" s="10">
        <f t="shared" si="5"/>
        <v>2.7106837367674648</v>
      </c>
      <c r="H13" s="4">
        <f t="shared" si="6"/>
        <v>6.5553191437629221E-3</v>
      </c>
      <c r="I13">
        <f t="shared" si="0"/>
        <v>-1</v>
      </c>
      <c r="J13" s="4">
        <f t="shared" si="1"/>
        <v>4.5860630621585236E-3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</row>
    <row r="14" spans="1:16">
      <c r="A14">
        <v>3</v>
      </c>
      <c r="B14">
        <v>6</v>
      </c>
      <c r="C14">
        <v>6</v>
      </c>
      <c r="D14">
        <v>357</v>
      </c>
      <c r="E14" s="5">
        <f t="shared" si="3"/>
        <v>-2073.8696973266178</v>
      </c>
      <c r="F14" s="4">
        <f t="shared" si="4"/>
        <v>2.9999525231949238E-3</v>
      </c>
      <c r="G14" s="10">
        <f t="shared" si="5"/>
        <v>2.1897511172647417</v>
      </c>
      <c r="H14" s="4">
        <f t="shared" si="6"/>
        <v>3.4640496319031356E-3</v>
      </c>
      <c r="I14">
        <f t="shared" si="0"/>
        <v>-1</v>
      </c>
      <c r="J14" s="4">
        <f t="shared" si="1"/>
        <v>2.9999525231949238E-3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</row>
    <row r="15" spans="1:16">
      <c r="A15">
        <v>2</v>
      </c>
      <c r="B15">
        <v>6</v>
      </c>
      <c r="C15">
        <v>6</v>
      </c>
      <c r="D15">
        <v>234</v>
      </c>
      <c r="E15" s="5">
        <f t="shared" si="3"/>
        <v>-1322.5047369941287</v>
      </c>
      <c r="F15" s="4">
        <f t="shared" si="4"/>
        <v>3.5114379772433089E-3</v>
      </c>
      <c r="G15" s="10">
        <f t="shared" si="5"/>
        <v>1.6688184977641389</v>
      </c>
      <c r="H15" s="4">
        <f t="shared" si="6"/>
        <v>3.090075383814729E-3</v>
      </c>
      <c r="I15">
        <f t="shared" si="0"/>
        <v>-1</v>
      </c>
      <c r="J15" s="4">
        <f t="shared" si="1"/>
        <v>3.5114379772433089E-3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</row>
    <row r="16" spans="1:16">
      <c r="A16">
        <v>1</v>
      </c>
      <c r="B16">
        <v>6</v>
      </c>
      <c r="C16">
        <v>6</v>
      </c>
      <c r="D16">
        <v>129</v>
      </c>
      <c r="E16" s="5">
        <f t="shared" si="3"/>
        <v>-629.99751245748928</v>
      </c>
      <c r="F16" s="4">
        <f t="shared" si="4"/>
        <v>7.5689445474219769E-3</v>
      </c>
      <c r="G16" s="10">
        <f t="shared" si="5"/>
        <v>1.1478858782677865</v>
      </c>
      <c r="H16" s="4">
        <f t="shared" si="6"/>
        <v>4.5815138529674186E-3</v>
      </c>
      <c r="I16">
        <f t="shared" si="0"/>
        <v>-1</v>
      </c>
      <c r="J16" s="4">
        <f t="shared" si="1"/>
        <v>7.5689445474219769E-3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</row>
    <row r="17" spans="1:16">
      <c r="A17">
        <v>5</v>
      </c>
      <c r="B17">
        <v>5</v>
      </c>
      <c r="C17">
        <v>6</v>
      </c>
      <c r="D17">
        <v>335</v>
      </c>
      <c r="E17" s="5">
        <f t="shared" si="3"/>
        <v>-1245.1351269153367</v>
      </c>
      <c r="F17" s="4">
        <f t="shared" si="4"/>
        <v>2.4311123543728767E-2</v>
      </c>
      <c r="G17" s="10">
        <f t="shared" si="5"/>
        <v>1.8129463818275007</v>
      </c>
      <c r="H17" s="4">
        <f t="shared" si="6"/>
        <v>2.3241543023736773E-2</v>
      </c>
      <c r="I17">
        <f t="shared" si="0"/>
        <v>0</v>
      </c>
      <c r="J17" s="4">
        <f t="shared" si="1"/>
        <v>1.3638612572694667E-2</v>
      </c>
      <c r="K17" s="4">
        <f t="shared" si="2"/>
        <v>1.06725109710341E-2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</row>
    <row r="18" spans="1:16">
      <c r="A18">
        <v>4</v>
      </c>
      <c r="B18">
        <v>5</v>
      </c>
      <c r="C18">
        <v>6</v>
      </c>
      <c r="D18">
        <v>284</v>
      </c>
      <c r="E18" s="5">
        <f t="shared" si="3"/>
        <v>-1447.1453656674323</v>
      </c>
      <c r="F18" s="4">
        <f t="shared" si="4"/>
        <v>6.1237399052184206E-3</v>
      </c>
      <c r="G18" s="10">
        <f t="shared" si="5"/>
        <v>2.0300285039522277</v>
      </c>
      <c r="H18" s="4">
        <f t="shared" si="6"/>
        <v>6.5553191437629221E-3</v>
      </c>
      <c r="I18">
        <f t="shared" si="0"/>
        <v>0</v>
      </c>
      <c r="J18" s="4">
        <f t="shared" si="1"/>
        <v>4.5860630621585236E-3</v>
      </c>
      <c r="K18" s="4">
        <f t="shared" si="2"/>
        <v>1.5376768430598975E-3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</row>
    <row r="19" spans="1:16">
      <c r="A19">
        <v>3</v>
      </c>
      <c r="B19">
        <v>5</v>
      </c>
      <c r="C19">
        <v>6</v>
      </c>
      <c r="D19">
        <v>225</v>
      </c>
      <c r="E19" s="5">
        <f t="shared" si="3"/>
        <v>-1263.5479892533692</v>
      </c>
      <c r="F19" s="4">
        <f t="shared" si="4"/>
        <v>3.6400100326087724E-3</v>
      </c>
      <c r="G19" s="10">
        <f t="shared" si="5"/>
        <v>1.8047063965642964</v>
      </c>
      <c r="H19" s="4">
        <f t="shared" si="6"/>
        <v>3.4640496319031356E-3</v>
      </c>
      <c r="I19">
        <f t="shared" si="0"/>
        <v>0</v>
      </c>
      <c r="J19" s="4">
        <f t="shared" si="1"/>
        <v>2.9999525231949238E-3</v>
      </c>
      <c r="K19" s="4">
        <f t="shared" si="2"/>
        <v>6.4005750941384853E-4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</row>
    <row r="20" spans="1:16">
      <c r="A20">
        <v>2</v>
      </c>
      <c r="B20">
        <v>5</v>
      </c>
      <c r="C20">
        <v>6</v>
      </c>
      <c r="D20">
        <v>173</v>
      </c>
      <c r="E20" s="5">
        <f t="shared" si="3"/>
        <v>-952.60182549657156</v>
      </c>
      <c r="F20" s="4">
        <f t="shared" si="4"/>
        <v>4.0608257737276667E-3</v>
      </c>
      <c r="G20" s="10">
        <f t="shared" si="5"/>
        <v>1.4430445866668975</v>
      </c>
      <c r="H20" s="4">
        <f t="shared" si="6"/>
        <v>3.090075383814729E-3</v>
      </c>
      <c r="I20">
        <f t="shared" si="0"/>
        <v>0</v>
      </c>
      <c r="J20" s="4">
        <f t="shared" si="1"/>
        <v>3.5114379772433089E-3</v>
      </c>
      <c r="K20" s="4">
        <f t="shared" si="2"/>
        <v>5.493877964843581E-4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</row>
    <row r="21" spans="1:16">
      <c r="A21">
        <v>1</v>
      </c>
      <c r="B21">
        <v>5</v>
      </c>
      <c r="C21">
        <v>6</v>
      </c>
      <c r="D21">
        <v>119</v>
      </c>
      <c r="E21" s="5">
        <f t="shared" si="3"/>
        <v>-567.30134806797219</v>
      </c>
      <c r="F21" s="4">
        <f t="shared" si="4"/>
        <v>8.5038334838189785E-3</v>
      </c>
      <c r="G21" s="10">
        <f t="shared" si="5"/>
        <v>1.0216903442323562</v>
      </c>
      <c r="H21" s="4">
        <f t="shared" si="6"/>
        <v>4.5815138529674186E-3</v>
      </c>
      <c r="I21">
        <f t="shared" si="0"/>
        <v>0</v>
      </c>
      <c r="J21" s="4">
        <f t="shared" si="1"/>
        <v>7.5689445474219769E-3</v>
      </c>
      <c r="K21" s="4">
        <f t="shared" ref="K21:P32" si="7">IF(K$10&lt;=$I21,EXP(GAMMALN($B$1+$A21)+GAMMALN($B$2+$B21-$A21+K$10)-GAMMALN($B$1+$B$2+$B21+K$10))/$E$1*EXP(GAMMALN($B$3+1)+GAMMALN($B$4+$B21+K$10)-GAMMALN($B$3+$B$4+$B21+K$10+1))/$E$3,0)</f>
        <v>9.3488893639700088E-4</v>
      </c>
      <c r="L21">
        <f t="shared" si="7"/>
        <v>0</v>
      </c>
      <c r="M21">
        <f t="shared" si="7"/>
        <v>0</v>
      </c>
      <c r="N21">
        <f t="shared" si="7"/>
        <v>0</v>
      </c>
      <c r="O21">
        <f t="shared" si="7"/>
        <v>0</v>
      </c>
      <c r="P21">
        <f t="shared" si="7"/>
        <v>0</v>
      </c>
    </row>
    <row r="22" spans="1:16">
      <c r="A22">
        <v>4</v>
      </c>
      <c r="B22">
        <v>4</v>
      </c>
      <c r="C22">
        <v>6</v>
      </c>
      <c r="D22">
        <v>240</v>
      </c>
      <c r="E22" s="5">
        <f t="shared" si="3"/>
        <v>-923.59110033420575</v>
      </c>
      <c r="F22" s="4">
        <f t="shared" si="4"/>
        <v>2.1316022662225674E-2</v>
      </c>
      <c r="G22" s="10">
        <f t="shared" si="5"/>
        <v>0.5831935326477603</v>
      </c>
      <c r="H22" s="4">
        <f t="shared" si="6"/>
        <v>6.5553191437629221E-3</v>
      </c>
      <c r="I22">
        <f t="shared" si="0"/>
        <v>1</v>
      </c>
      <c r="J22" s="4">
        <f t="shared" si="1"/>
        <v>4.5860630621585236E-3</v>
      </c>
      <c r="K22" s="4">
        <f t="shared" si="7"/>
        <v>1.5192282757007252E-2</v>
      </c>
      <c r="L22" s="4">
        <f t="shared" si="7"/>
        <v>1.5376768430598975E-3</v>
      </c>
      <c r="M22">
        <f t="shared" si="7"/>
        <v>0</v>
      </c>
      <c r="N22">
        <f t="shared" si="7"/>
        <v>0</v>
      </c>
      <c r="O22">
        <f t="shared" si="7"/>
        <v>0</v>
      </c>
      <c r="P22">
        <f t="shared" si="7"/>
        <v>0</v>
      </c>
    </row>
    <row r="23" spans="1:16">
      <c r="A23">
        <v>3</v>
      </c>
      <c r="B23">
        <v>4</v>
      </c>
      <c r="C23">
        <v>6</v>
      </c>
      <c r="D23">
        <v>181</v>
      </c>
      <c r="E23" s="5">
        <f t="shared" si="3"/>
        <v>-915.74442758226883</v>
      </c>
      <c r="F23" s="4">
        <f t="shared" si="4"/>
        <v>6.349612583856315E-3</v>
      </c>
      <c r="G23" s="10">
        <f t="shared" si="5"/>
        <v>1.0345748347086743</v>
      </c>
      <c r="H23" s="4">
        <f t="shared" si="6"/>
        <v>3.4640496319031356E-3</v>
      </c>
      <c r="I23">
        <f t="shared" si="0"/>
        <v>1</v>
      </c>
      <c r="J23" s="4">
        <f t="shared" si="1"/>
        <v>2.9999525231949238E-3</v>
      </c>
      <c r="K23" s="4">
        <f t="shared" si="7"/>
        <v>2.709602551247543E-3</v>
      </c>
      <c r="L23" s="4">
        <f t="shared" si="7"/>
        <v>6.4005750941384853E-4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</row>
    <row r="24" spans="1:16">
      <c r="A24">
        <v>2</v>
      </c>
      <c r="B24">
        <v>4</v>
      </c>
      <c r="C24">
        <v>6</v>
      </c>
      <c r="D24">
        <v>155</v>
      </c>
      <c r="E24" s="5">
        <f t="shared" si="3"/>
        <v>-805.32139608873058</v>
      </c>
      <c r="F24" s="4">
        <f t="shared" si="4"/>
        <v>5.5407693819908323E-3</v>
      </c>
      <c r="G24" s="10">
        <f t="shared" si="5"/>
        <v>1.0576063081097971</v>
      </c>
      <c r="H24" s="4">
        <f t="shared" si="6"/>
        <v>3.090075383814729E-3</v>
      </c>
      <c r="I24">
        <f t="shared" si="0"/>
        <v>1</v>
      </c>
      <c r="J24" s="4">
        <f t="shared" si="1"/>
        <v>3.5114379772433089E-3</v>
      </c>
      <c r="K24" s="4">
        <f t="shared" si="7"/>
        <v>1.4799436082631658E-3</v>
      </c>
      <c r="L24" s="4">
        <f t="shared" si="7"/>
        <v>5.493877964843581E-4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</row>
    <row r="25" spans="1:16">
      <c r="A25">
        <v>1</v>
      </c>
      <c r="B25">
        <v>4</v>
      </c>
      <c r="C25">
        <v>6</v>
      </c>
      <c r="D25">
        <v>78</v>
      </c>
      <c r="E25" s="5">
        <f t="shared" si="3"/>
        <v>-356.51532694186989</v>
      </c>
      <c r="F25" s="4">
        <f t="shared" si="4"/>
        <v>1.0350615217142001E-2</v>
      </c>
      <c r="G25" s="10">
        <f t="shared" si="5"/>
        <v>0.83939788863841536</v>
      </c>
      <c r="H25" s="4">
        <f t="shared" si="6"/>
        <v>4.5815138529674186E-3</v>
      </c>
      <c r="I25">
        <f t="shared" si="0"/>
        <v>1</v>
      </c>
      <c r="J25" s="4">
        <f t="shared" si="1"/>
        <v>7.5689445474219769E-3</v>
      </c>
      <c r="K25" s="4">
        <f t="shared" si="7"/>
        <v>1.8467817333230219E-3</v>
      </c>
      <c r="L25" s="4">
        <f t="shared" si="7"/>
        <v>9.3488893639700088E-4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</row>
    <row r="26" spans="1:16">
      <c r="A26">
        <v>3</v>
      </c>
      <c r="B26">
        <v>3</v>
      </c>
      <c r="C26">
        <v>6</v>
      </c>
      <c r="D26">
        <v>322</v>
      </c>
      <c r="E26" s="5">
        <f t="shared" si="3"/>
        <v>-1135.839730243513</v>
      </c>
      <c r="F26" s="4">
        <f t="shared" si="4"/>
        <v>2.9379663008643708E-2</v>
      </c>
      <c r="G26" s="10">
        <f t="shared" si="5"/>
        <v>0.22359512386083441</v>
      </c>
      <c r="H26" s="4">
        <f t="shared" si="6"/>
        <v>3.4640496319031356E-3</v>
      </c>
      <c r="I26">
        <f t="shared" si="0"/>
        <v>2</v>
      </c>
      <c r="J26" s="4">
        <f t="shared" si="1"/>
        <v>2.9999525231949238E-3</v>
      </c>
      <c r="K26" s="4">
        <f t="shared" si="7"/>
        <v>2.3030050424787393E-2</v>
      </c>
      <c r="L26" s="4">
        <f t="shared" si="7"/>
        <v>2.709602551247543E-3</v>
      </c>
      <c r="M26" s="4">
        <f t="shared" si="7"/>
        <v>6.4005750941384853E-4</v>
      </c>
      <c r="N26">
        <f t="shared" si="7"/>
        <v>0</v>
      </c>
      <c r="O26">
        <f t="shared" si="7"/>
        <v>0</v>
      </c>
      <c r="P26">
        <f t="shared" si="7"/>
        <v>0</v>
      </c>
    </row>
    <row r="27" spans="1:16">
      <c r="A27">
        <v>2</v>
      </c>
      <c r="B27">
        <v>3</v>
      </c>
      <c r="C27">
        <v>6</v>
      </c>
      <c r="D27">
        <v>255</v>
      </c>
      <c r="E27" s="5">
        <f t="shared" si="3"/>
        <v>-1151.6316960734637</v>
      </c>
      <c r="F27" s="4">
        <f t="shared" si="4"/>
        <v>1.0930450840033442E-2</v>
      </c>
      <c r="G27" s="10">
        <f t="shared" si="5"/>
        <v>0.53611262114758274</v>
      </c>
      <c r="H27" s="4">
        <f t="shared" si="6"/>
        <v>3.090075383814729E-3</v>
      </c>
      <c r="I27">
        <f t="shared" si="0"/>
        <v>2</v>
      </c>
      <c r="J27" s="4">
        <f t="shared" si="1"/>
        <v>3.5114379772433089E-3</v>
      </c>
      <c r="K27" s="4">
        <f t="shared" si="7"/>
        <v>5.3896814580426085E-3</v>
      </c>
      <c r="L27" s="4">
        <f t="shared" si="7"/>
        <v>1.4799436082631658E-3</v>
      </c>
      <c r="M27" s="4">
        <f t="shared" si="7"/>
        <v>5.493877964843581E-4</v>
      </c>
      <c r="N27">
        <f t="shared" si="7"/>
        <v>0</v>
      </c>
      <c r="O27">
        <f t="shared" si="7"/>
        <v>0</v>
      </c>
      <c r="P27">
        <f t="shared" si="7"/>
        <v>0</v>
      </c>
    </row>
    <row r="28" spans="1:16">
      <c r="A28">
        <v>1</v>
      </c>
      <c r="B28">
        <v>3</v>
      </c>
      <c r="C28">
        <v>6</v>
      </c>
      <c r="D28">
        <v>129</v>
      </c>
      <c r="E28" s="5">
        <f t="shared" si="3"/>
        <v>-544.98110060210172</v>
      </c>
      <c r="F28" s="4">
        <f t="shared" si="4"/>
        <v>1.4630312637079684E-2</v>
      </c>
      <c r="G28" s="10">
        <f t="shared" si="5"/>
        <v>0.59385501697056653</v>
      </c>
      <c r="H28" s="4">
        <f t="shared" si="6"/>
        <v>4.5815138529674186E-3</v>
      </c>
      <c r="I28">
        <f t="shared" si="0"/>
        <v>2</v>
      </c>
      <c r="J28" s="4">
        <f t="shared" si="1"/>
        <v>7.5689445474219769E-3</v>
      </c>
      <c r="K28" s="4">
        <f t="shared" si="7"/>
        <v>4.2796974199376826E-3</v>
      </c>
      <c r="L28" s="4">
        <f t="shared" si="7"/>
        <v>1.8467817333230219E-3</v>
      </c>
      <c r="M28" s="4">
        <f t="shared" si="7"/>
        <v>9.3488893639700088E-4</v>
      </c>
      <c r="N28">
        <f t="shared" si="7"/>
        <v>0</v>
      </c>
      <c r="O28">
        <f t="shared" si="7"/>
        <v>0</v>
      </c>
      <c r="P28">
        <f t="shared" si="7"/>
        <v>0</v>
      </c>
    </row>
    <row r="29" spans="1:16">
      <c r="A29">
        <v>2</v>
      </c>
      <c r="B29">
        <v>2</v>
      </c>
      <c r="C29">
        <v>6</v>
      </c>
      <c r="D29">
        <v>613</v>
      </c>
      <c r="E29" s="5">
        <f t="shared" si="3"/>
        <v>-1846.3555389266958</v>
      </c>
      <c r="F29" s="4">
        <f t="shared" si="4"/>
        <v>4.9193230921713765E-2</v>
      </c>
      <c r="G29" s="10">
        <f t="shared" si="5"/>
        <v>0.11912111768996571</v>
      </c>
      <c r="H29" s="4">
        <f t="shared" si="6"/>
        <v>3.090075383814729E-3</v>
      </c>
      <c r="I29">
        <f t="shared" si="0"/>
        <v>3</v>
      </c>
      <c r="J29" s="4">
        <f t="shared" si="1"/>
        <v>3.5114379772433089E-3</v>
      </c>
      <c r="K29" s="4">
        <f t="shared" si="7"/>
        <v>3.8262780081680325E-2</v>
      </c>
      <c r="L29" s="4">
        <f t="shared" si="7"/>
        <v>5.3896814580426085E-3</v>
      </c>
      <c r="M29" s="4">
        <f t="shared" si="7"/>
        <v>1.4799436082631658E-3</v>
      </c>
      <c r="N29" s="4">
        <f t="shared" si="7"/>
        <v>5.493877964843581E-4</v>
      </c>
      <c r="O29">
        <f t="shared" si="7"/>
        <v>0</v>
      </c>
      <c r="P29">
        <f t="shared" si="7"/>
        <v>0</v>
      </c>
    </row>
    <row r="30" spans="1:16">
      <c r="A30">
        <v>1</v>
      </c>
      <c r="B30">
        <v>2</v>
      </c>
      <c r="C30">
        <v>6</v>
      </c>
      <c r="D30">
        <v>277</v>
      </c>
      <c r="E30" s="5">
        <f t="shared" si="3"/>
        <v>-993.92553018961416</v>
      </c>
      <c r="F30" s="4">
        <f t="shared" si="4"/>
        <v>2.7648638040581611E-2</v>
      </c>
      <c r="G30" s="10">
        <f t="shared" si="5"/>
        <v>0.31423915154971893</v>
      </c>
      <c r="H30" s="4">
        <f t="shared" si="6"/>
        <v>4.5815138529674186E-3</v>
      </c>
      <c r="I30">
        <f t="shared" si="0"/>
        <v>3</v>
      </c>
      <c r="J30" s="4">
        <f t="shared" si="1"/>
        <v>7.5689445474219769E-3</v>
      </c>
      <c r="K30" s="4">
        <f t="shared" si="7"/>
        <v>1.3018325403501932E-2</v>
      </c>
      <c r="L30" s="4">
        <f t="shared" si="7"/>
        <v>4.2796974199376826E-3</v>
      </c>
      <c r="M30" s="4">
        <f t="shared" si="7"/>
        <v>1.8467817333230219E-3</v>
      </c>
      <c r="N30" s="4">
        <f t="shared" si="7"/>
        <v>9.3488893639700088E-4</v>
      </c>
      <c r="O30">
        <f t="shared" si="7"/>
        <v>0</v>
      </c>
      <c r="P30">
        <f t="shared" si="7"/>
        <v>0</v>
      </c>
    </row>
    <row r="31" spans="1:16">
      <c r="A31">
        <v>1</v>
      </c>
      <c r="B31">
        <v>1</v>
      </c>
      <c r="C31">
        <v>6</v>
      </c>
      <c r="D31">
        <v>1091</v>
      </c>
      <c r="E31" s="5">
        <f t="shared" si="3"/>
        <v>-2497.1118656754525</v>
      </c>
      <c r="F31" s="4">
        <f t="shared" si="4"/>
        <v>0.10138516761645318</v>
      </c>
      <c r="G31" s="10">
        <f t="shared" si="5"/>
        <v>8.5695814916892057E-2</v>
      </c>
      <c r="H31" s="4">
        <f t="shared" si="6"/>
        <v>4.5815138529674186E-3</v>
      </c>
      <c r="I31">
        <f t="shared" si="0"/>
        <v>4</v>
      </c>
      <c r="J31" s="4">
        <f t="shared" si="1"/>
        <v>7.5689445474219769E-3</v>
      </c>
      <c r="K31" s="4">
        <f t="shared" si="7"/>
        <v>7.3736529575871568E-2</v>
      </c>
      <c r="L31" s="4">
        <f t="shared" si="7"/>
        <v>1.3018325403501932E-2</v>
      </c>
      <c r="M31" s="4">
        <f t="shared" si="7"/>
        <v>4.2796974199376826E-3</v>
      </c>
      <c r="N31" s="4">
        <f t="shared" si="7"/>
        <v>1.8467817333230219E-3</v>
      </c>
      <c r="O31" s="4">
        <f t="shared" si="7"/>
        <v>9.3488893639700088E-4</v>
      </c>
      <c r="P31">
        <f t="shared" si="7"/>
        <v>0</v>
      </c>
    </row>
    <row r="32" spans="1:16">
      <c r="A32">
        <v>0</v>
      </c>
      <c r="B32">
        <v>0</v>
      </c>
      <c r="C32">
        <v>6</v>
      </c>
      <c r="D32">
        <v>3464</v>
      </c>
      <c r="E32" s="5">
        <f t="shared" si="3"/>
        <v>-4044.2761987238932</v>
      </c>
      <c r="F32" s="4">
        <f t="shared" si="4"/>
        <v>0.31113878147642721</v>
      </c>
      <c r="G32" s="10">
        <f t="shared" si="5"/>
        <v>7.2863325845706248E-2</v>
      </c>
      <c r="H32" s="4">
        <f t="shared" si="6"/>
        <v>1.1954684109294794E-2</v>
      </c>
      <c r="I32">
        <f t="shared" si="0"/>
        <v>5</v>
      </c>
      <c r="J32" s="4">
        <f t="shared" si="1"/>
        <v>3.6159962645554211E-2</v>
      </c>
      <c r="K32" s="4">
        <f t="shared" si="7"/>
        <v>0.19089803078521808</v>
      </c>
      <c r="L32" s="4">
        <f t="shared" si="7"/>
        <v>4.593300344753979E-2</v>
      </c>
      <c r="M32" s="4">
        <f t="shared" si="7"/>
        <v>1.8926427199253807E-2</v>
      </c>
      <c r="N32" s="4">
        <f t="shared" si="7"/>
        <v>9.7779320926316034E-3</v>
      </c>
      <c r="O32" s="4">
        <f t="shared" si="7"/>
        <v>5.7538711374744266E-3</v>
      </c>
      <c r="P32" s="4">
        <f t="shared" si="7"/>
        <v>3.6895541687552809E-3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V37"/>
  <sheetViews>
    <sheetView workbookViewId="0"/>
  </sheetViews>
  <sheetFormatPr defaultRowHeight="15"/>
  <cols>
    <col min="11" max="17" width="9.28515625" bestFit="1" customWidth="1"/>
    <col min="18" max="18" width="9.570312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28</v>
      </c>
      <c r="G1" s="1" t="s">
        <v>29</v>
      </c>
      <c r="I1" t="s">
        <v>32</v>
      </c>
      <c r="T1" t="s">
        <v>22</v>
      </c>
    </row>
    <row r="2" spans="1:22">
      <c r="A2">
        <f>'Conditional Expectations (I)'!A11</f>
        <v>6</v>
      </c>
      <c r="B2">
        <f>'Conditional Expectations (I)'!B11</f>
        <v>6</v>
      </c>
      <c r="C2">
        <f>'Conditional Expectations (I)'!C11</f>
        <v>6</v>
      </c>
      <c r="D2">
        <f>'Conditional Expectations (I)'!D11</f>
        <v>1203</v>
      </c>
      <c r="E2" s="2">
        <f>'Conditional Expectations (I)'!G11</f>
        <v>3.7525489757750106</v>
      </c>
      <c r="F2" s="5">
        <f>D2*E2</f>
        <v>4514.3164178573379</v>
      </c>
      <c r="G2">
        <v>4252</v>
      </c>
      <c r="K2" t="s">
        <v>1</v>
      </c>
      <c r="T2" s="1" t="s">
        <v>13</v>
      </c>
      <c r="U2" s="1" t="s">
        <v>15</v>
      </c>
      <c r="V2" s="1" t="s">
        <v>16</v>
      </c>
    </row>
    <row r="3" spans="1:22">
      <c r="A3">
        <f>'Conditional Expectations (I)'!A12</f>
        <v>5</v>
      </c>
      <c r="B3">
        <f>'Conditional Expectations (I)'!B12</f>
        <v>6</v>
      </c>
      <c r="C3">
        <f>'Conditional Expectations (I)'!C12</f>
        <v>6</v>
      </c>
      <c r="D3">
        <f>'Conditional Expectations (I)'!D12</f>
        <v>728</v>
      </c>
      <c r="E3" s="2">
        <f>'Conditional Expectations (I)'!G12</f>
        <v>3.2316163562710765</v>
      </c>
      <c r="F3" s="5">
        <f t="shared" ref="F3:F23" si="0">D3*E3</f>
        <v>2352.6167073653437</v>
      </c>
      <c r="G3">
        <v>2227</v>
      </c>
      <c r="K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T3">
        <v>0</v>
      </c>
      <c r="U3" s="2">
        <f>R4/R30</f>
        <v>0.17436489607390301</v>
      </c>
      <c r="V3" s="2">
        <f>R17/R30</f>
        <v>7.2863325845706248E-2</v>
      </c>
    </row>
    <row r="4" spans="1:22">
      <c r="A4">
        <f>'Conditional Expectations (I)'!A13</f>
        <v>4</v>
      </c>
      <c r="B4">
        <f>'Conditional Expectations (I)'!B13</f>
        <v>6</v>
      </c>
      <c r="C4">
        <f>'Conditional Expectations (I)'!C13</f>
        <v>6</v>
      </c>
      <c r="D4">
        <f>'Conditional Expectations (I)'!D13</f>
        <v>512</v>
      </c>
      <c r="E4" s="2">
        <f>'Conditional Expectations (I)'!G13</f>
        <v>2.7106837367674648</v>
      </c>
      <c r="F4" s="5">
        <f t="shared" si="0"/>
        <v>1387.870073224942</v>
      </c>
      <c r="G4">
        <v>1393</v>
      </c>
      <c r="I4" t="s">
        <v>0</v>
      </c>
      <c r="J4">
        <v>0</v>
      </c>
      <c r="K4">
        <f>'Pivot Table I'!B5</f>
        <v>604</v>
      </c>
      <c r="L4">
        <f>'Pivot Table I'!C5</f>
        <v>0</v>
      </c>
      <c r="M4">
        <f>'Pivot Table I'!D5</f>
        <v>0</v>
      </c>
      <c r="N4">
        <f>'Pivot Table I'!E5</f>
        <v>0</v>
      </c>
      <c r="O4">
        <f>'Pivot Table I'!F5</f>
        <v>0</v>
      </c>
      <c r="P4">
        <f>'Pivot Table I'!G5</f>
        <v>0</v>
      </c>
      <c r="Q4">
        <f>'Pivot Table I'!H5</f>
        <v>0</v>
      </c>
      <c r="R4">
        <f>'Pivot Table I'!I5</f>
        <v>604</v>
      </c>
      <c r="T4">
        <v>1</v>
      </c>
      <c r="U4" s="2">
        <f t="shared" ref="U4:U9" si="1">R5/R31</f>
        <v>0.43280307185957212</v>
      </c>
      <c r="V4" s="2">
        <f t="shared" ref="V4:V9" si="2">R18/R31</f>
        <v>0.3248914650668106</v>
      </c>
    </row>
    <row r="5" spans="1:22">
      <c r="A5">
        <f>'Conditional Expectations (I)'!A14</f>
        <v>3</v>
      </c>
      <c r="B5">
        <f>'Conditional Expectations (I)'!B14</f>
        <v>6</v>
      </c>
      <c r="C5">
        <f>'Conditional Expectations (I)'!C14</f>
        <v>6</v>
      </c>
      <c r="D5">
        <f>'Conditional Expectations (I)'!D14</f>
        <v>357</v>
      </c>
      <c r="E5" s="2">
        <f>'Conditional Expectations (I)'!G14</f>
        <v>2.1897511172647417</v>
      </c>
      <c r="F5" s="5">
        <f t="shared" si="0"/>
        <v>781.74114886351276</v>
      </c>
      <c r="G5">
        <v>817</v>
      </c>
      <c r="J5">
        <v>1</v>
      </c>
      <c r="K5">
        <f>'Pivot Table I'!B6</f>
        <v>0</v>
      </c>
      <c r="L5">
        <f>'Pivot Table I'!C6</f>
        <v>238</v>
      </c>
      <c r="M5">
        <f>'Pivot Table I'!D6</f>
        <v>103</v>
      </c>
      <c r="N5">
        <f>'Pivot Table I'!E6</f>
        <v>78</v>
      </c>
      <c r="O5">
        <f>'Pivot Table I'!F6</f>
        <v>44</v>
      </c>
      <c r="P5">
        <f>'Pivot Table I'!G6</f>
        <v>136</v>
      </c>
      <c r="Q5">
        <f>'Pivot Table I'!H6</f>
        <v>190</v>
      </c>
      <c r="R5">
        <f>'Pivot Table I'!I6</f>
        <v>789</v>
      </c>
      <c r="T5">
        <v>2</v>
      </c>
      <c r="U5" s="2">
        <f t="shared" si="1"/>
        <v>0.81258741258741263</v>
      </c>
      <c r="V5" s="2">
        <f t="shared" si="2"/>
        <v>0.7089574708138342</v>
      </c>
    </row>
    <row r="6" spans="1:22">
      <c r="A6">
        <f>'Conditional Expectations (I)'!A15</f>
        <v>2</v>
      </c>
      <c r="B6">
        <f>'Conditional Expectations (I)'!B15</f>
        <v>6</v>
      </c>
      <c r="C6">
        <f>'Conditional Expectations (I)'!C15</f>
        <v>6</v>
      </c>
      <c r="D6">
        <f>'Conditional Expectations (I)'!D15</f>
        <v>234</v>
      </c>
      <c r="E6" s="2">
        <f>'Conditional Expectations (I)'!G15</f>
        <v>1.6688184977641389</v>
      </c>
      <c r="F6" s="5">
        <f t="shared" si="0"/>
        <v>390.50352847680853</v>
      </c>
      <c r="G6">
        <v>442</v>
      </c>
      <c r="J6">
        <v>2</v>
      </c>
      <c r="K6">
        <f>'Pivot Table I'!B7</f>
        <v>0</v>
      </c>
      <c r="L6">
        <f>'Pivot Table I'!C7</f>
        <v>0</v>
      </c>
      <c r="M6">
        <f>'Pivot Table I'!D7</f>
        <v>244</v>
      </c>
      <c r="N6">
        <f>'Pivot Table I'!E7</f>
        <v>118</v>
      </c>
      <c r="O6">
        <f>'Pivot Table I'!F7</f>
        <v>114</v>
      </c>
      <c r="P6">
        <f>'Pivot Table I'!G7</f>
        <v>244</v>
      </c>
      <c r="Q6">
        <f>'Pivot Table I'!H7</f>
        <v>442</v>
      </c>
      <c r="R6">
        <f>'Pivot Table I'!I7</f>
        <v>1162</v>
      </c>
      <c r="T6">
        <v>3</v>
      </c>
      <c r="U6" s="2">
        <f t="shared" si="1"/>
        <v>1.3898617511520737</v>
      </c>
      <c r="V6" s="2">
        <f t="shared" si="2"/>
        <v>1.3336919475169939</v>
      </c>
    </row>
    <row r="7" spans="1:22">
      <c r="A7">
        <f>'Conditional Expectations (I)'!A16</f>
        <v>1</v>
      </c>
      <c r="B7">
        <f>'Conditional Expectations (I)'!B16</f>
        <v>6</v>
      </c>
      <c r="C7">
        <f>'Conditional Expectations (I)'!C16</f>
        <v>6</v>
      </c>
      <c r="D7">
        <f>'Conditional Expectations (I)'!D16</f>
        <v>129</v>
      </c>
      <c r="E7" s="2">
        <f>'Conditional Expectations (I)'!G16</f>
        <v>1.1478858782677865</v>
      </c>
      <c r="F7" s="5">
        <f t="shared" si="0"/>
        <v>148.07727829654448</v>
      </c>
      <c r="G7">
        <v>190</v>
      </c>
      <c r="J7">
        <v>3</v>
      </c>
      <c r="K7">
        <f>'Pivot Table I'!B8</f>
        <v>0</v>
      </c>
      <c r="L7">
        <f>'Pivot Table I'!C8</f>
        <v>0</v>
      </c>
      <c r="M7">
        <f>'Pivot Table I'!D8</f>
        <v>0</v>
      </c>
      <c r="N7">
        <f>'Pivot Table I'!E8</f>
        <v>148</v>
      </c>
      <c r="O7">
        <f>'Pivot Table I'!F8</f>
        <v>170</v>
      </c>
      <c r="P7">
        <f>'Pivot Table I'!G8</f>
        <v>373</v>
      </c>
      <c r="Q7">
        <f>'Pivot Table I'!H8</f>
        <v>817</v>
      </c>
      <c r="R7">
        <f>'Pivot Table I'!I8</f>
        <v>1508</v>
      </c>
      <c r="T7">
        <v>4</v>
      </c>
      <c r="U7" s="2">
        <f t="shared" si="1"/>
        <v>2.0617760617760617</v>
      </c>
      <c r="V7" s="2">
        <f t="shared" si="2"/>
        <v>2.0312399770104608</v>
      </c>
    </row>
    <row r="8" spans="1:22">
      <c r="A8">
        <f>'Conditional Expectations (I)'!A17</f>
        <v>5</v>
      </c>
      <c r="B8">
        <f>'Conditional Expectations (I)'!B17</f>
        <v>5</v>
      </c>
      <c r="C8">
        <f>'Conditional Expectations (I)'!C17</f>
        <v>6</v>
      </c>
      <c r="D8">
        <f>'Conditional Expectations (I)'!D17</f>
        <v>335</v>
      </c>
      <c r="E8" s="2">
        <f>'Conditional Expectations (I)'!G17</f>
        <v>1.8129463818275007</v>
      </c>
      <c r="F8" s="5">
        <f t="shared" si="0"/>
        <v>607.33703791221274</v>
      </c>
      <c r="G8">
        <v>582</v>
      </c>
      <c r="J8">
        <v>4</v>
      </c>
      <c r="K8">
        <f>'Pivot Table I'!B9</f>
        <v>0</v>
      </c>
      <c r="L8">
        <f>'Pivot Table I'!C9</f>
        <v>0</v>
      </c>
      <c r="M8">
        <f>'Pivot Table I'!D9</f>
        <v>0</v>
      </c>
      <c r="N8">
        <f>'Pivot Table I'!E9</f>
        <v>0</v>
      </c>
      <c r="O8">
        <f>'Pivot Table I'!F9</f>
        <v>201</v>
      </c>
      <c r="P8">
        <f>'Pivot Table I'!G9</f>
        <v>542</v>
      </c>
      <c r="Q8">
        <f>'Pivot Table I'!H9</f>
        <v>1393</v>
      </c>
      <c r="R8">
        <f>'Pivot Table I'!I9</f>
        <v>2136</v>
      </c>
      <c r="T8">
        <v>5</v>
      </c>
      <c r="U8" s="2">
        <f t="shared" si="1"/>
        <v>2.6425211665098778</v>
      </c>
      <c r="V8" s="2">
        <f t="shared" si="2"/>
        <v>2.7845284527540515</v>
      </c>
    </row>
    <row r="9" spans="1:22">
      <c r="A9">
        <f>'Conditional Expectations (I)'!A18</f>
        <v>4</v>
      </c>
      <c r="B9">
        <f>'Conditional Expectations (I)'!B18</f>
        <v>5</v>
      </c>
      <c r="C9">
        <f>'Conditional Expectations (I)'!C18</f>
        <v>6</v>
      </c>
      <c r="D9">
        <f>'Conditional Expectations (I)'!D18</f>
        <v>284</v>
      </c>
      <c r="E9" s="2">
        <f>'Conditional Expectations (I)'!G18</f>
        <v>2.0300285039522277</v>
      </c>
      <c r="F9" s="5">
        <f t="shared" si="0"/>
        <v>576.52809512243266</v>
      </c>
      <c r="G9">
        <v>542</v>
      </c>
      <c r="J9">
        <v>5</v>
      </c>
      <c r="K9">
        <f>'Pivot Table I'!B10</f>
        <v>0</v>
      </c>
      <c r="L9">
        <f>'Pivot Table I'!C10</f>
        <v>0</v>
      </c>
      <c r="M9">
        <f>'Pivot Table I'!D10</f>
        <v>0</v>
      </c>
      <c r="N9">
        <f>'Pivot Table I'!E10</f>
        <v>0</v>
      </c>
      <c r="O9">
        <f>'Pivot Table I'!F10</f>
        <v>0</v>
      </c>
      <c r="P9">
        <f>'Pivot Table I'!G10</f>
        <v>582</v>
      </c>
      <c r="Q9">
        <f>'Pivot Table I'!H10</f>
        <v>2227</v>
      </c>
      <c r="R9">
        <f>'Pivot Table I'!I10</f>
        <v>2809</v>
      </c>
      <c r="T9">
        <v>6</v>
      </c>
      <c r="U9" s="2">
        <f t="shared" si="1"/>
        <v>3.5344970906068163</v>
      </c>
      <c r="V9" s="2">
        <f t="shared" si="2"/>
        <v>3.7525489757750106</v>
      </c>
    </row>
    <row r="10" spans="1:22">
      <c r="A10">
        <f>'Conditional Expectations (I)'!A19</f>
        <v>3</v>
      </c>
      <c r="B10">
        <f>'Conditional Expectations (I)'!B19</f>
        <v>5</v>
      </c>
      <c r="C10">
        <f>'Conditional Expectations (I)'!C19</f>
        <v>6</v>
      </c>
      <c r="D10">
        <f>'Conditional Expectations (I)'!D19</f>
        <v>225</v>
      </c>
      <c r="E10" s="2">
        <f>'Conditional Expectations (I)'!G19</f>
        <v>1.8047063965642964</v>
      </c>
      <c r="F10" s="5">
        <f t="shared" si="0"/>
        <v>406.05893922696669</v>
      </c>
      <c r="G10">
        <v>373</v>
      </c>
      <c r="J10">
        <v>6</v>
      </c>
      <c r="K10">
        <f>'Pivot Table I'!B11</f>
        <v>0</v>
      </c>
      <c r="L10">
        <f>'Pivot Table I'!C11</f>
        <v>0</v>
      </c>
      <c r="M10">
        <f>'Pivot Table I'!D11</f>
        <v>0</v>
      </c>
      <c r="N10">
        <f>'Pivot Table I'!E11</f>
        <v>0</v>
      </c>
      <c r="O10">
        <f>'Pivot Table I'!F11</f>
        <v>0</v>
      </c>
      <c r="P10">
        <f>'Pivot Table I'!G11</f>
        <v>0</v>
      </c>
      <c r="Q10">
        <f>'Pivot Table I'!H11</f>
        <v>4252</v>
      </c>
      <c r="R10">
        <f>'Pivot Table I'!I11</f>
        <v>4252</v>
      </c>
    </row>
    <row r="11" spans="1:22">
      <c r="A11">
        <f>'Conditional Expectations (I)'!A20</f>
        <v>2</v>
      </c>
      <c r="B11">
        <f>'Conditional Expectations (I)'!B20</f>
        <v>5</v>
      </c>
      <c r="C11">
        <f>'Conditional Expectations (I)'!C20</f>
        <v>6</v>
      </c>
      <c r="D11">
        <f>'Conditional Expectations (I)'!D20</f>
        <v>173</v>
      </c>
      <c r="E11" s="2">
        <f>'Conditional Expectations (I)'!G20</f>
        <v>1.4430445866668975</v>
      </c>
      <c r="F11" s="5">
        <f t="shared" si="0"/>
        <v>249.64671349337326</v>
      </c>
      <c r="G11">
        <v>244</v>
      </c>
      <c r="K11">
        <f>'Pivot Table I'!B12</f>
        <v>604</v>
      </c>
      <c r="L11">
        <f>'Pivot Table I'!C12</f>
        <v>238</v>
      </c>
      <c r="M11">
        <f>'Pivot Table I'!D12</f>
        <v>347</v>
      </c>
      <c r="N11">
        <f>'Pivot Table I'!E12</f>
        <v>344</v>
      </c>
      <c r="O11">
        <f>'Pivot Table I'!F12</f>
        <v>529</v>
      </c>
      <c r="P11">
        <f>'Pivot Table I'!G12</f>
        <v>1877</v>
      </c>
      <c r="Q11">
        <f>'Pivot Table I'!H12</f>
        <v>9321</v>
      </c>
      <c r="R11">
        <f>'Pivot Table I'!I12</f>
        <v>13260</v>
      </c>
      <c r="T11" t="s">
        <v>34</v>
      </c>
    </row>
    <row r="12" spans="1:22">
      <c r="A12">
        <f>'Conditional Expectations (I)'!A21</f>
        <v>1</v>
      </c>
      <c r="B12">
        <f>'Conditional Expectations (I)'!B21</f>
        <v>5</v>
      </c>
      <c r="C12">
        <f>'Conditional Expectations (I)'!C21</f>
        <v>6</v>
      </c>
      <c r="D12">
        <f>'Conditional Expectations (I)'!D21</f>
        <v>119</v>
      </c>
      <c r="E12" s="2">
        <f>'Conditional Expectations (I)'!G21</f>
        <v>1.0216903442323562</v>
      </c>
      <c r="F12" s="5">
        <f t="shared" si="0"/>
        <v>121.58115096365039</v>
      </c>
      <c r="G12">
        <v>136</v>
      </c>
      <c r="T12" s="1" t="s">
        <v>1</v>
      </c>
      <c r="U12" s="1" t="s">
        <v>15</v>
      </c>
      <c r="V12" s="1" t="s">
        <v>16</v>
      </c>
    </row>
    <row r="13" spans="1:22">
      <c r="A13">
        <f>'Conditional Expectations (I)'!A22</f>
        <v>4</v>
      </c>
      <c r="B13">
        <f>'Conditional Expectations (I)'!B22</f>
        <v>4</v>
      </c>
      <c r="C13">
        <f>'Conditional Expectations (I)'!C22</f>
        <v>6</v>
      </c>
      <c r="D13">
        <f>'Conditional Expectations (I)'!D22</f>
        <v>240</v>
      </c>
      <c r="E13" s="2">
        <f>'Conditional Expectations (I)'!G22</f>
        <v>0.5831935326477603</v>
      </c>
      <c r="F13" s="5">
        <f t="shared" si="0"/>
        <v>139.96644783546247</v>
      </c>
      <c r="G13">
        <v>201</v>
      </c>
      <c r="T13">
        <v>1995</v>
      </c>
      <c r="U13" s="2">
        <f>K11/K37</f>
        <v>0.17436489607390301</v>
      </c>
      <c r="V13" s="2">
        <f>K24/K37</f>
        <v>7.2863325845706248E-2</v>
      </c>
    </row>
    <row r="14" spans="1:22">
      <c r="A14">
        <f>'Conditional Expectations (I)'!A23</f>
        <v>3</v>
      </c>
      <c r="B14">
        <f>'Conditional Expectations (I)'!B23</f>
        <v>4</v>
      </c>
      <c r="C14">
        <f>'Conditional Expectations (I)'!C23</f>
        <v>6</v>
      </c>
      <c r="D14">
        <f>'Conditional Expectations (I)'!D23</f>
        <v>181</v>
      </c>
      <c r="E14" s="2">
        <f>'Conditional Expectations (I)'!G23</f>
        <v>1.0345748347086743</v>
      </c>
      <c r="F14" s="5">
        <f t="shared" si="0"/>
        <v>187.25804508227006</v>
      </c>
      <c r="G14">
        <v>170</v>
      </c>
      <c r="I14" t="s">
        <v>33</v>
      </c>
      <c r="T14">
        <v>1996</v>
      </c>
      <c r="U14" s="2">
        <f>L11/L37</f>
        <v>0.21814848762603117</v>
      </c>
      <c r="V14" s="2">
        <f>L24/L37</f>
        <v>8.5695814916892057E-2</v>
      </c>
    </row>
    <row r="15" spans="1:22">
      <c r="A15">
        <f>'Conditional Expectations (I)'!A24</f>
        <v>2</v>
      </c>
      <c r="B15">
        <f>'Conditional Expectations (I)'!B24</f>
        <v>4</v>
      </c>
      <c r="C15">
        <f>'Conditional Expectations (I)'!C24</f>
        <v>6</v>
      </c>
      <c r="D15">
        <f>'Conditional Expectations (I)'!D24</f>
        <v>155</v>
      </c>
      <c r="E15" s="2">
        <f>'Conditional Expectations (I)'!G24</f>
        <v>1.0576063081097971</v>
      </c>
      <c r="F15" s="5">
        <f t="shared" si="0"/>
        <v>163.92897775701854</v>
      </c>
      <c r="G15">
        <v>114</v>
      </c>
      <c r="K15" t="s">
        <v>1</v>
      </c>
      <c r="T15">
        <v>1997</v>
      </c>
      <c r="U15" s="2">
        <f>M11/M37</f>
        <v>0.38988764044943819</v>
      </c>
      <c r="V15" s="2">
        <f>M24/M37</f>
        <v>0.17984886530699004</v>
      </c>
    </row>
    <row r="16" spans="1:22">
      <c r="A16">
        <f>'Conditional Expectations (I)'!A25</f>
        <v>1</v>
      </c>
      <c r="B16">
        <f>'Conditional Expectations (I)'!B25</f>
        <v>4</v>
      </c>
      <c r="C16">
        <f>'Conditional Expectations (I)'!C25</f>
        <v>6</v>
      </c>
      <c r="D16">
        <f>'Conditional Expectations (I)'!D25</f>
        <v>78</v>
      </c>
      <c r="E16" s="2">
        <f>'Conditional Expectations (I)'!G25</f>
        <v>0.83939788863841536</v>
      </c>
      <c r="F16" s="5">
        <f t="shared" si="0"/>
        <v>65.473035313796402</v>
      </c>
      <c r="G16">
        <v>44</v>
      </c>
      <c r="K16">
        <v>0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T16">
        <v>1998</v>
      </c>
      <c r="U16" s="2">
        <f>N11/N37</f>
        <v>0.48725212464589235</v>
      </c>
      <c r="V16" s="2">
        <f>N24/N37</f>
        <v>0.40412697657935598</v>
      </c>
    </row>
    <row r="17" spans="1:22">
      <c r="A17">
        <f>'Conditional Expectations (I)'!A26</f>
        <v>3</v>
      </c>
      <c r="B17">
        <f>'Conditional Expectations (I)'!B26</f>
        <v>3</v>
      </c>
      <c r="C17">
        <f>'Conditional Expectations (I)'!C26</f>
        <v>6</v>
      </c>
      <c r="D17">
        <f>'Conditional Expectations (I)'!D26</f>
        <v>322</v>
      </c>
      <c r="E17" s="2">
        <f>'Conditional Expectations (I)'!G26</f>
        <v>0.22359512386083441</v>
      </c>
      <c r="F17" s="5">
        <f t="shared" si="0"/>
        <v>71.997629883188679</v>
      </c>
      <c r="G17">
        <v>148</v>
      </c>
      <c r="I17" t="s">
        <v>0</v>
      </c>
      <c r="J17">
        <v>0</v>
      </c>
      <c r="K17" s="5">
        <f>'Pivot Table II'!B5</f>
        <v>252.39856072952645</v>
      </c>
      <c r="L17" s="5">
        <f>'Pivot Table II'!C5</f>
        <v>0</v>
      </c>
      <c r="M17" s="5">
        <f>'Pivot Table II'!D5</f>
        <v>0</v>
      </c>
      <c r="N17" s="5">
        <f>'Pivot Table II'!E5</f>
        <v>0</v>
      </c>
      <c r="O17" s="5">
        <f>'Pivot Table II'!F5</f>
        <v>0</v>
      </c>
      <c r="P17" s="5">
        <f>'Pivot Table II'!G5</f>
        <v>0</v>
      </c>
      <c r="Q17" s="5">
        <f>'Pivot Table II'!H5</f>
        <v>0</v>
      </c>
      <c r="R17" s="5">
        <f>'Pivot Table II'!I5</f>
        <v>252.39856072952645</v>
      </c>
      <c r="T17">
        <v>1999</v>
      </c>
      <c r="U17" s="2">
        <f>O11/O37</f>
        <v>0.80886850152905199</v>
      </c>
      <c r="V17" s="2">
        <f>O24/O37</f>
        <v>0.85111086542591352</v>
      </c>
    </row>
    <row r="18" spans="1:22">
      <c r="A18">
        <f>'Conditional Expectations (I)'!A27</f>
        <v>2</v>
      </c>
      <c r="B18">
        <f>'Conditional Expectations (I)'!B27</f>
        <v>3</v>
      </c>
      <c r="C18">
        <f>'Conditional Expectations (I)'!C27</f>
        <v>6</v>
      </c>
      <c r="D18">
        <f>'Conditional Expectations (I)'!D27</f>
        <v>255</v>
      </c>
      <c r="E18" s="2">
        <f>'Conditional Expectations (I)'!G27</f>
        <v>0.53611262114758274</v>
      </c>
      <c r="F18" s="5">
        <f t="shared" si="0"/>
        <v>136.70871839263359</v>
      </c>
      <c r="G18">
        <v>118</v>
      </c>
      <c r="J18">
        <v>1</v>
      </c>
      <c r="K18" s="5">
        <f>'Pivot Table II'!B6</f>
        <v>0</v>
      </c>
      <c r="L18" s="5">
        <f>'Pivot Table II'!C6</f>
        <v>93.494134074329239</v>
      </c>
      <c r="M18" s="5">
        <f>'Pivot Table II'!D6</f>
        <v>87.04424497927215</v>
      </c>
      <c r="N18" s="5">
        <f>'Pivot Table II'!E6</f>
        <v>76.607297189203081</v>
      </c>
      <c r="O18" s="5">
        <f>'Pivot Table II'!F6</f>
        <v>65.473035313796402</v>
      </c>
      <c r="P18" s="5">
        <f>'Pivot Table II'!G6</f>
        <v>121.58115096365039</v>
      </c>
      <c r="Q18" s="5">
        <f>'Pivot Table II'!H6</f>
        <v>148.07727829654448</v>
      </c>
      <c r="R18" s="5">
        <f>'Pivot Table II'!I6</f>
        <v>592.27714081679574</v>
      </c>
      <c r="T18">
        <v>2000</v>
      </c>
      <c r="U18" s="2">
        <f>P11/P37</f>
        <v>1.6522887323943662</v>
      </c>
      <c r="V18" s="2">
        <f>P24/P37</f>
        <v>1.7263661414776723</v>
      </c>
    </row>
    <row r="19" spans="1:22">
      <c r="A19">
        <f>'Conditional Expectations (I)'!A28</f>
        <v>1</v>
      </c>
      <c r="B19">
        <f>'Conditional Expectations (I)'!B28</f>
        <v>3</v>
      </c>
      <c r="C19">
        <f>'Conditional Expectations (I)'!C28</f>
        <v>6</v>
      </c>
      <c r="D19">
        <f>'Conditional Expectations (I)'!D28</f>
        <v>129</v>
      </c>
      <c r="E19" s="2">
        <f>'Conditional Expectations (I)'!G28</f>
        <v>0.59385501697056653</v>
      </c>
      <c r="F19" s="5">
        <f t="shared" si="0"/>
        <v>76.607297189203081</v>
      </c>
      <c r="G19">
        <v>78</v>
      </c>
      <c r="J19">
        <v>2</v>
      </c>
      <c r="K19" s="5">
        <f>'Pivot Table II'!B7</f>
        <v>0</v>
      </c>
      <c r="L19" s="5">
        <f>'Pivot Table II'!C7</f>
        <v>0</v>
      </c>
      <c r="M19" s="5">
        <f>'Pivot Table II'!D7</f>
        <v>73.021245143948974</v>
      </c>
      <c r="N19" s="5">
        <f>'Pivot Table II'!E7</f>
        <v>136.70871839263359</v>
      </c>
      <c r="O19" s="5">
        <f>'Pivot Table II'!F7</f>
        <v>163.92897775701854</v>
      </c>
      <c r="P19" s="5">
        <f>'Pivot Table II'!G7</f>
        <v>249.64671349337326</v>
      </c>
      <c r="Q19" s="5">
        <f>'Pivot Table II'!H7</f>
        <v>390.50352847680853</v>
      </c>
      <c r="R19" s="5">
        <f>'Pivot Table II'!I7</f>
        <v>1013.8091832637829</v>
      </c>
      <c r="T19">
        <v>2001</v>
      </c>
      <c r="U19" s="2">
        <f>Q11/Q37</f>
        <v>2.9468858678469809</v>
      </c>
      <c r="V19" s="2">
        <f>Q24/Q37</f>
        <v>3.0272289453318018</v>
      </c>
    </row>
    <row r="20" spans="1:22">
      <c r="A20">
        <f>'Conditional Expectations (I)'!A29</f>
        <v>2</v>
      </c>
      <c r="B20">
        <f>'Conditional Expectations (I)'!B29</f>
        <v>2</v>
      </c>
      <c r="C20">
        <f>'Conditional Expectations (I)'!C29</f>
        <v>6</v>
      </c>
      <c r="D20">
        <f>'Conditional Expectations (I)'!D29</f>
        <v>613</v>
      </c>
      <c r="E20" s="2">
        <f>'Conditional Expectations (I)'!G29</f>
        <v>0.11912111768996571</v>
      </c>
      <c r="F20" s="5">
        <f t="shared" si="0"/>
        <v>73.021245143948974</v>
      </c>
      <c r="G20">
        <v>244</v>
      </c>
      <c r="J20">
        <v>3</v>
      </c>
      <c r="K20" s="5">
        <f>'Pivot Table II'!B8</f>
        <v>0</v>
      </c>
      <c r="L20" s="5">
        <f>'Pivot Table II'!C8</f>
        <v>0</v>
      </c>
      <c r="M20" s="5">
        <f>'Pivot Table II'!D8</f>
        <v>0</v>
      </c>
      <c r="N20" s="5">
        <f>'Pivot Table II'!E8</f>
        <v>71.997629883188679</v>
      </c>
      <c r="O20" s="5">
        <f>'Pivot Table II'!F8</f>
        <v>187.25804508227006</v>
      </c>
      <c r="P20" s="5">
        <f>'Pivot Table II'!G8</f>
        <v>406.05893922696669</v>
      </c>
      <c r="Q20" s="5">
        <f>'Pivot Table II'!H8</f>
        <v>781.74114886351276</v>
      </c>
      <c r="R20" s="5">
        <f>'Pivot Table II'!I8</f>
        <v>1447.0557630559383</v>
      </c>
    </row>
    <row r="21" spans="1:22">
      <c r="A21">
        <f>'Conditional Expectations (I)'!A30</f>
        <v>1</v>
      </c>
      <c r="B21">
        <f>'Conditional Expectations (I)'!B30</f>
        <v>2</v>
      </c>
      <c r="C21">
        <f>'Conditional Expectations (I)'!C30</f>
        <v>6</v>
      </c>
      <c r="D21">
        <f>'Conditional Expectations (I)'!D30</f>
        <v>277</v>
      </c>
      <c r="E21" s="2">
        <f>'Conditional Expectations (I)'!G30</f>
        <v>0.31423915154971893</v>
      </c>
      <c r="F21" s="5">
        <f t="shared" si="0"/>
        <v>87.04424497927215</v>
      </c>
      <c r="G21">
        <v>103</v>
      </c>
      <c r="J21">
        <v>4</v>
      </c>
      <c r="K21" s="5">
        <f>'Pivot Table II'!B9</f>
        <v>0</v>
      </c>
      <c r="L21" s="5">
        <f>'Pivot Table II'!C9</f>
        <v>0</v>
      </c>
      <c r="M21" s="5">
        <f>'Pivot Table II'!D9</f>
        <v>0</v>
      </c>
      <c r="N21" s="5">
        <f>'Pivot Table II'!E9</f>
        <v>0</v>
      </c>
      <c r="O21" s="5">
        <f>'Pivot Table II'!F9</f>
        <v>139.96644783546247</v>
      </c>
      <c r="P21" s="5">
        <f>'Pivot Table II'!G9</f>
        <v>576.52809512243266</v>
      </c>
      <c r="Q21" s="5">
        <f>'Pivot Table II'!H9</f>
        <v>1387.870073224942</v>
      </c>
      <c r="R21" s="5">
        <f>'Pivot Table II'!I9</f>
        <v>2104.3646161828374</v>
      </c>
    </row>
    <row r="22" spans="1:22">
      <c r="A22">
        <f>'Conditional Expectations (I)'!A31</f>
        <v>1</v>
      </c>
      <c r="B22">
        <f>'Conditional Expectations (I)'!B31</f>
        <v>1</v>
      </c>
      <c r="C22">
        <f>'Conditional Expectations (I)'!C31</f>
        <v>6</v>
      </c>
      <c r="D22">
        <f>'Conditional Expectations (I)'!D31</f>
        <v>1091</v>
      </c>
      <c r="E22" s="2">
        <f>'Conditional Expectations (I)'!G31</f>
        <v>8.5695814916892057E-2</v>
      </c>
      <c r="F22" s="5">
        <f t="shared" si="0"/>
        <v>93.494134074329239</v>
      </c>
      <c r="G22">
        <v>238</v>
      </c>
      <c r="J22">
        <v>5</v>
      </c>
      <c r="K22" s="5">
        <f>'Pivot Table II'!B10</f>
        <v>0</v>
      </c>
      <c r="L22" s="5">
        <f>'Pivot Table II'!C10</f>
        <v>0</v>
      </c>
      <c r="M22" s="5">
        <f>'Pivot Table II'!D10</f>
        <v>0</v>
      </c>
      <c r="N22" s="5">
        <f>'Pivot Table II'!E10</f>
        <v>0</v>
      </c>
      <c r="O22" s="5">
        <f>'Pivot Table II'!F10</f>
        <v>0</v>
      </c>
      <c r="P22" s="5">
        <f>'Pivot Table II'!G10</f>
        <v>607.33703791221274</v>
      </c>
      <c r="Q22" s="5">
        <f>'Pivot Table II'!H10</f>
        <v>2352.6167073653437</v>
      </c>
      <c r="R22" s="5">
        <f>'Pivot Table II'!I10</f>
        <v>2959.9537452775567</v>
      </c>
    </row>
    <row r="23" spans="1:22">
      <c r="A23">
        <f>'Conditional Expectations (I)'!A32</f>
        <v>0</v>
      </c>
      <c r="B23">
        <f>'Conditional Expectations (I)'!B32</f>
        <v>0</v>
      </c>
      <c r="C23">
        <f>'Conditional Expectations (I)'!C32</f>
        <v>6</v>
      </c>
      <c r="D23">
        <f>'Conditional Expectations (I)'!D32</f>
        <v>3464</v>
      </c>
      <c r="E23" s="2">
        <f>'Conditional Expectations (I)'!G32</f>
        <v>7.2863325845706248E-2</v>
      </c>
      <c r="F23" s="5">
        <f t="shared" si="0"/>
        <v>252.39856072952645</v>
      </c>
      <c r="G23">
        <v>604</v>
      </c>
      <c r="J23">
        <v>6</v>
      </c>
      <c r="K23" s="5">
        <f>'Pivot Table II'!B11</f>
        <v>0</v>
      </c>
      <c r="L23" s="5">
        <f>'Pivot Table II'!C11</f>
        <v>0</v>
      </c>
      <c r="M23" s="5">
        <f>'Pivot Table II'!D11</f>
        <v>0</v>
      </c>
      <c r="N23" s="5">
        <f>'Pivot Table II'!E11</f>
        <v>0</v>
      </c>
      <c r="O23" s="5">
        <f>'Pivot Table II'!F11</f>
        <v>0</v>
      </c>
      <c r="P23" s="5">
        <f>'Pivot Table II'!G11</f>
        <v>0</v>
      </c>
      <c r="Q23" s="5">
        <f>'Pivot Table II'!H11</f>
        <v>4514.3164178573379</v>
      </c>
      <c r="R23" s="5">
        <f>'Pivot Table II'!I11</f>
        <v>4514.3164178573379</v>
      </c>
    </row>
    <row r="24" spans="1:22">
      <c r="K24" s="5">
        <f>'Pivot Table II'!B12</f>
        <v>252.39856072952645</v>
      </c>
      <c r="L24" s="5">
        <f>'Pivot Table II'!C12</f>
        <v>93.494134074329239</v>
      </c>
      <c r="M24" s="5">
        <f>'Pivot Table II'!D12</f>
        <v>160.06549012322114</v>
      </c>
      <c r="N24" s="5">
        <f>'Pivot Table II'!E12</f>
        <v>285.31364546502533</v>
      </c>
      <c r="O24" s="5">
        <f>'Pivot Table II'!F12</f>
        <v>556.62650598854748</v>
      </c>
      <c r="P24" s="5">
        <f>'Pivot Table II'!G12</f>
        <v>1961.1519367186359</v>
      </c>
      <c r="Q24" s="5">
        <f>'Pivot Table II'!H12</f>
        <v>9575.1251540844896</v>
      </c>
      <c r="R24" s="5">
        <f>'Pivot Table II'!I12</f>
        <v>12884.175427183774</v>
      </c>
    </row>
    <row r="27" spans="1:22">
      <c r="I27" t="s">
        <v>23</v>
      </c>
    </row>
    <row r="28" spans="1:22">
      <c r="K28" t="s">
        <v>1</v>
      </c>
    </row>
    <row r="29" spans="1:22">
      <c r="K29">
        <v>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</row>
    <row r="30" spans="1:22">
      <c r="I30" t="s">
        <v>0</v>
      </c>
      <c r="J30">
        <v>0</v>
      </c>
      <c r="K30" s="6">
        <f>'Pivot Table III'!B5</f>
        <v>3464</v>
      </c>
      <c r="L30" s="6">
        <f>'Pivot Table III'!C5</f>
        <v>0</v>
      </c>
      <c r="M30" s="6">
        <f>'Pivot Table III'!D5</f>
        <v>0</v>
      </c>
      <c r="N30" s="6">
        <f>'Pivot Table III'!E5</f>
        <v>0</v>
      </c>
      <c r="O30" s="6">
        <f>'Pivot Table III'!F5</f>
        <v>0</v>
      </c>
      <c r="P30" s="6">
        <f>'Pivot Table III'!G5</f>
        <v>0</v>
      </c>
      <c r="Q30" s="6">
        <f>'Pivot Table III'!H5</f>
        <v>0</v>
      </c>
      <c r="R30" s="6">
        <f>'Pivot Table III'!I5</f>
        <v>3464</v>
      </c>
    </row>
    <row r="31" spans="1:22">
      <c r="J31">
        <v>1</v>
      </c>
      <c r="K31" s="6">
        <f>'Pivot Table III'!B6</f>
        <v>0</v>
      </c>
      <c r="L31" s="6">
        <f>'Pivot Table III'!C6</f>
        <v>1091</v>
      </c>
      <c r="M31" s="6">
        <f>'Pivot Table III'!D6</f>
        <v>277</v>
      </c>
      <c r="N31" s="6">
        <f>'Pivot Table III'!E6</f>
        <v>129</v>
      </c>
      <c r="O31" s="6">
        <f>'Pivot Table III'!F6</f>
        <v>78</v>
      </c>
      <c r="P31" s="6">
        <f>'Pivot Table III'!G6</f>
        <v>119</v>
      </c>
      <c r="Q31" s="6">
        <f>'Pivot Table III'!H6</f>
        <v>129</v>
      </c>
      <c r="R31" s="6">
        <f>'Pivot Table III'!I6</f>
        <v>1823</v>
      </c>
    </row>
    <row r="32" spans="1:22">
      <c r="J32">
        <v>2</v>
      </c>
      <c r="K32" s="6">
        <f>'Pivot Table III'!B7</f>
        <v>0</v>
      </c>
      <c r="L32" s="6">
        <f>'Pivot Table III'!C7</f>
        <v>0</v>
      </c>
      <c r="M32" s="6">
        <f>'Pivot Table III'!D7</f>
        <v>613</v>
      </c>
      <c r="N32" s="6">
        <f>'Pivot Table III'!E7</f>
        <v>255</v>
      </c>
      <c r="O32" s="6">
        <f>'Pivot Table III'!F7</f>
        <v>155</v>
      </c>
      <c r="P32" s="6">
        <f>'Pivot Table III'!G7</f>
        <v>173</v>
      </c>
      <c r="Q32" s="6">
        <f>'Pivot Table III'!H7</f>
        <v>234</v>
      </c>
      <c r="R32" s="6">
        <f>'Pivot Table III'!I7</f>
        <v>1430</v>
      </c>
    </row>
    <row r="33" spans="10:18">
      <c r="J33">
        <v>3</v>
      </c>
      <c r="K33" s="6">
        <f>'Pivot Table III'!B8</f>
        <v>0</v>
      </c>
      <c r="L33" s="6">
        <f>'Pivot Table III'!C8</f>
        <v>0</v>
      </c>
      <c r="M33" s="6">
        <f>'Pivot Table III'!D8</f>
        <v>0</v>
      </c>
      <c r="N33" s="6">
        <f>'Pivot Table III'!E8</f>
        <v>322</v>
      </c>
      <c r="O33" s="6">
        <f>'Pivot Table III'!F8</f>
        <v>181</v>
      </c>
      <c r="P33" s="6">
        <f>'Pivot Table III'!G8</f>
        <v>225</v>
      </c>
      <c r="Q33" s="6">
        <f>'Pivot Table III'!H8</f>
        <v>357</v>
      </c>
      <c r="R33" s="6">
        <f>'Pivot Table III'!I8</f>
        <v>1085</v>
      </c>
    </row>
    <row r="34" spans="10:18">
      <c r="J34">
        <v>4</v>
      </c>
      <c r="K34" s="6">
        <f>'Pivot Table III'!B9</f>
        <v>0</v>
      </c>
      <c r="L34" s="6">
        <f>'Pivot Table III'!C9</f>
        <v>0</v>
      </c>
      <c r="M34" s="6">
        <f>'Pivot Table III'!D9</f>
        <v>0</v>
      </c>
      <c r="N34" s="6">
        <f>'Pivot Table III'!E9</f>
        <v>0</v>
      </c>
      <c r="O34" s="6">
        <f>'Pivot Table III'!F9</f>
        <v>240</v>
      </c>
      <c r="P34" s="6">
        <f>'Pivot Table III'!G9</f>
        <v>284</v>
      </c>
      <c r="Q34" s="6">
        <f>'Pivot Table III'!H9</f>
        <v>512</v>
      </c>
      <c r="R34" s="6">
        <f>'Pivot Table III'!I9</f>
        <v>1036</v>
      </c>
    </row>
    <row r="35" spans="10:18">
      <c r="J35">
        <v>5</v>
      </c>
      <c r="K35" s="6">
        <f>'Pivot Table III'!B10</f>
        <v>0</v>
      </c>
      <c r="L35" s="6">
        <f>'Pivot Table III'!C10</f>
        <v>0</v>
      </c>
      <c r="M35" s="6">
        <f>'Pivot Table III'!D10</f>
        <v>0</v>
      </c>
      <c r="N35" s="6">
        <f>'Pivot Table III'!E10</f>
        <v>0</v>
      </c>
      <c r="O35" s="6">
        <f>'Pivot Table III'!F10</f>
        <v>0</v>
      </c>
      <c r="P35" s="6">
        <f>'Pivot Table III'!G10</f>
        <v>335</v>
      </c>
      <c r="Q35" s="6">
        <f>'Pivot Table III'!H10</f>
        <v>728</v>
      </c>
      <c r="R35" s="6">
        <f>'Pivot Table III'!I10</f>
        <v>1063</v>
      </c>
    </row>
    <row r="36" spans="10:18">
      <c r="J36">
        <v>6</v>
      </c>
      <c r="K36" s="6">
        <f>'Pivot Table III'!B11</f>
        <v>0</v>
      </c>
      <c r="L36" s="6">
        <f>'Pivot Table III'!C11</f>
        <v>0</v>
      </c>
      <c r="M36" s="6">
        <f>'Pivot Table III'!D11</f>
        <v>0</v>
      </c>
      <c r="N36" s="6">
        <f>'Pivot Table III'!E11</f>
        <v>0</v>
      </c>
      <c r="O36" s="6">
        <f>'Pivot Table III'!F11</f>
        <v>0</v>
      </c>
      <c r="P36" s="6">
        <f>'Pivot Table III'!G11</f>
        <v>0</v>
      </c>
      <c r="Q36" s="6">
        <f>'Pivot Table III'!H11</f>
        <v>1203</v>
      </c>
      <c r="R36" s="6">
        <f>'Pivot Table III'!I11</f>
        <v>1203</v>
      </c>
    </row>
    <row r="37" spans="10:18">
      <c r="K37" s="6">
        <f>'Pivot Table III'!B12</f>
        <v>3464</v>
      </c>
      <c r="L37" s="6">
        <f>'Pivot Table III'!C12</f>
        <v>1091</v>
      </c>
      <c r="M37" s="6">
        <f>'Pivot Table III'!D12</f>
        <v>890</v>
      </c>
      <c r="N37" s="6">
        <f>'Pivot Table III'!E12</f>
        <v>706</v>
      </c>
      <c r="O37" s="6">
        <f>'Pivot Table III'!F12</f>
        <v>654</v>
      </c>
      <c r="P37" s="6">
        <f>'Pivot Table III'!G12</f>
        <v>1136</v>
      </c>
      <c r="Q37" s="6">
        <f>'Pivot Table III'!H12</f>
        <v>3163</v>
      </c>
      <c r="R37" s="6">
        <f>'Pivot Table III'!I12</f>
        <v>11104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I12"/>
  <sheetViews>
    <sheetView workbookViewId="0"/>
  </sheetViews>
  <sheetFormatPr defaultRowHeight="15"/>
  <cols>
    <col min="1" max="1" width="13.85546875" bestFit="1" customWidth="1"/>
    <col min="2" max="2" width="16.28515625" bestFit="1" customWidth="1"/>
    <col min="3" max="6" width="4" customWidth="1"/>
    <col min="7" max="8" width="5" customWidth="1"/>
    <col min="9" max="9" width="11.28515625" bestFit="1" customWidth="1"/>
  </cols>
  <sheetData>
    <row r="3" spans="1:9">
      <c r="A3" s="12" t="s">
        <v>30</v>
      </c>
      <c r="B3" s="12" t="s">
        <v>24</v>
      </c>
    </row>
    <row r="4" spans="1:9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>
      <c r="A5" s="11">
        <v>0</v>
      </c>
      <c r="B5" s="6">
        <v>604</v>
      </c>
      <c r="C5" s="6"/>
      <c r="D5" s="6"/>
      <c r="E5" s="6"/>
      <c r="F5" s="6"/>
      <c r="G5" s="6"/>
      <c r="H5" s="6"/>
      <c r="I5" s="6">
        <v>604</v>
      </c>
    </row>
    <row r="6" spans="1:9">
      <c r="A6" s="11">
        <v>1</v>
      </c>
      <c r="B6" s="6"/>
      <c r="C6" s="6">
        <v>238</v>
      </c>
      <c r="D6" s="6">
        <v>103</v>
      </c>
      <c r="E6" s="6">
        <v>78</v>
      </c>
      <c r="F6" s="6">
        <v>44</v>
      </c>
      <c r="G6" s="6">
        <v>136</v>
      </c>
      <c r="H6" s="6">
        <v>190</v>
      </c>
      <c r="I6" s="6">
        <v>789</v>
      </c>
    </row>
    <row r="7" spans="1:9">
      <c r="A7" s="11">
        <v>2</v>
      </c>
      <c r="B7" s="6"/>
      <c r="C7" s="6"/>
      <c r="D7" s="6">
        <v>244</v>
      </c>
      <c r="E7" s="6">
        <v>118</v>
      </c>
      <c r="F7" s="6">
        <v>114</v>
      </c>
      <c r="G7" s="6">
        <v>244</v>
      </c>
      <c r="H7" s="6">
        <v>442</v>
      </c>
      <c r="I7" s="6">
        <v>1162</v>
      </c>
    </row>
    <row r="8" spans="1:9">
      <c r="A8" s="11">
        <v>3</v>
      </c>
      <c r="B8" s="6"/>
      <c r="C8" s="6"/>
      <c r="D8" s="6"/>
      <c r="E8" s="6">
        <v>148</v>
      </c>
      <c r="F8" s="6">
        <v>170</v>
      </c>
      <c r="G8" s="6">
        <v>373</v>
      </c>
      <c r="H8" s="6">
        <v>817</v>
      </c>
      <c r="I8" s="6">
        <v>1508</v>
      </c>
    </row>
    <row r="9" spans="1:9">
      <c r="A9" s="11">
        <v>4</v>
      </c>
      <c r="B9" s="6"/>
      <c r="C9" s="6"/>
      <c r="D9" s="6"/>
      <c r="E9" s="6"/>
      <c r="F9" s="6">
        <v>201</v>
      </c>
      <c r="G9" s="6">
        <v>542</v>
      </c>
      <c r="H9" s="6">
        <v>1393</v>
      </c>
      <c r="I9" s="6">
        <v>2136</v>
      </c>
    </row>
    <row r="10" spans="1:9">
      <c r="A10" s="11">
        <v>5</v>
      </c>
      <c r="B10" s="6"/>
      <c r="C10" s="6"/>
      <c r="D10" s="6"/>
      <c r="E10" s="6"/>
      <c r="F10" s="6"/>
      <c r="G10" s="6">
        <v>582</v>
      </c>
      <c r="H10" s="6">
        <v>2227</v>
      </c>
      <c r="I10" s="6">
        <v>2809</v>
      </c>
    </row>
    <row r="11" spans="1:9">
      <c r="A11" s="11">
        <v>6</v>
      </c>
      <c r="B11" s="6"/>
      <c r="C11" s="6"/>
      <c r="D11" s="6"/>
      <c r="E11" s="6"/>
      <c r="F11" s="6"/>
      <c r="G11" s="6"/>
      <c r="H11" s="6">
        <v>4252</v>
      </c>
      <c r="I11" s="6">
        <v>4252</v>
      </c>
    </row>
    <row r="12" spans="1:9">
      <c r="A12" s="11" t="s">
        <v>26</v>
      </c>
      <c r="B12" s="6">
        <v>604</v>
      </c>
      <c r="C12" s="6">
        <v>238</v>
      </c>
      <c r="D12" s="6">
        <v>347</v>
      </c>
      <c r="E12" s="6">
        <v>344</v>
      </c>
      <c r="F12" s="6">
        <v>529</v>
      </c>
      <c r="G12" s="6">
        <v>1877</v>
      </c>
      <c r="H12" s="6">
        <v>9321</v>
      </c>
      <c r="I12" s="6">
        <v>13260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I12"/>
  <sheetViews>
    <sheetView workbookViewId="0"/>
  </sheetViews>
  <sheetFormatPr defaultRowHeight="15"/>
  <cols>
    <col min="1" max="1" width="14.140625" bestFit="1" customWidth="1"/>
    <col min="2" max="2" width="16.28515625" bestFit="1" customWidth="1"/>
    <col min="3" max="8" width="12" customWidth="1"/>
    <col min="9" max="9" width="12" bestFit="1" customWidth="1"/>
  </cols>
  <sheetData>
    <row r="3" spans="1:9">
      <c r="A3" s="12" t="s">
        <v>31</v>
      </c>
      <c r="B3" s="12" t="s">
        <v>24</v>
      </c>
    </row>
    <row r="4" spans="1:9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>
      <c r="A5" s="11">
        <v>0</v>
      </c>
      <c r="B5" s="6">
        <v>252.39856072952645</v>
      </c>
      <c r="C5" s="6"/>
      <c r="D5" s="6"/>
      <c r="E5" s="6"/>
      <c r="F5" s="6"/>
      <c r="G5" s="6"/>
      <c r="H5" s="6"/>
      <c r="I5" s="6">
        <v>252.39856072952645</v>
      </c>
    </row>
    <row r="6" spans="1:9">
      <c r="A6" s="11">
        <v>1</v>
      </c>
      <c r="B6" s="6"/>
      <c r="C6" s="6">
        <v>93.494134074329239</v>
      </c>
      <c r="D6" s="6">
        <v>87.04424497927215</v>
      </c>
      <c r="E6" s="6">
        <v>76.607297189203081</v>
      </c>
      <c r="F6" s="6">
        <v>65.473035313796402</v>
      </c>
      <c r="G6" s="6">
        <v>121.58115096365039</v>
      </c>
      <c r="H6" s="6">
        <v>148.07727829654448</v>
      </c>
      <c r="I6" s="6">
        <v>592.27714081679574</v>
      </c>
    </row>
    <row r="7" spans="1:9">
      <c r="A7" s="11">
        <v>2</v>
      </c>
      <c r="B7" s="6"/>
      <c r="C7" s="6"/>
      <c r="D7" s="6">
        <v>73.021245143948974</v>
      </c>
      <c r="E7" s="6">
        <v>136.70871839263359</v>
      </c>
      <c r="F7" s="6">
        <v>163.92897775701854</v>
      </c>
      <c r="G7" s="6">
        <v>249.64671349337326</v>
      </c>
      <c r="H7" s="6">
        <v>390.50352847680853</v>
      </c>
      <c r="I7" s="6">
        <v>1013.8091832637829</v>
      </c>
    </row>
    <row r="8" spans="1:9">
      <c r="A8" s="11">
        <v>3</v>
      </c>
      <c r="B8" s="6"/>
      <c r="C8" s="6"/>
      <c r="D8" s="6"/>
      <c r="E8" s="6">
        <v>71.997629883188679</v>
      </c>
      <c r="F8" s="6">
        <v>187.25804508227006</v>
      </c>
      <c r="G8" s="6">
        <v>406.05893922696669</v>
      </c>
      <c r="H8" s="6">
        <v>781.74114886351276</v>
      </c>
      <c r="I8" s="6">
        <v>1447.0557630559383</v>
      </c>
    </row>
    <row r="9" spans="1:9">
      <c r="A9" s="11">
        <v>4</v>
      </c>
      <c r="B9" s="6"/>
      <c r="C9" s="6"/>
      <c r="D9" s="6"/>
      <c r="E9" s="6"/>
      <c r="F9" s="6">
        <v>139.96644783546247</v>
      </c>
      <c r="G9" s="6">
        <v>576.52809512243266</v>
      </c>
      <c r="H9" s="6">
        <v>1387.870073224942</v>
      </c>
      <c r="I9" s="6">
        <v>2104.3646161828374</v>
      </c>
    </row>
    <row r="10" spans="1:9">
      <c r="A10" s="11">
        <v>5</v>
      </c>
      <c r="B10" s="6"/>
      <c r="C10" s="6"/>
      <c r="D10" s="6"/>
      <c r="E10" s="6"/>
      <c r="F10" s="6"/>
      <c r="G10" s="6">
        <v>607.33703791221274</v>
      </c>
      <c r="H10" s="6">
        <v>2352.6167073653437</v>
      </c>
      <c r="I10" s="6">
        <v>2959.9537452775567</v>
      </c>
    </row>
    <row r="11" spans="1:9">
      <c r="A11" s="11">
        <v>6</v>
      </c>
      <c r="B11" s="6"/>
      <c r="C11" s="6"/>
      <c r="D11" s="6"/>
      <c r="E11" s="6"/>
      <c r="F11" s="6"/>
      <c r="G11" s="6"/>
      <c r="H11" s="6">
        <v>4514.3164178573379</v>
      </c>
      <c r="I11" s="6">
        <v>4514.3164178573379</v>
      </c>
    </row>
    <row r="12" spans="1:9">
      <c r="A12" s="11" t="s">
        <v>26</v>
      </c>
      <c r="B12" s="6">
        <v>252.39856072952645</v>
      </c>
      <c r="C12" s="6">
        <v>93.494134074329239</v>
      </c>
      <c r="D12" s="6">
        <v>160.06549012322114</v>
      </c>
      <c r="E12" s="6">
        <v>285.31364546502533</v>
      </c>
      <c r="F12" s="6">
        <v>556.62650598854748</v>
      </c>
      <c r="G12" s="6">
        <v>1961.1519367186359</v>
      </c>
      <c r="H12" s="6">
        <v>9575.1251540844896</v>
      </c>
      <c r="I12" s="6">
        <v>12884.175427183774</v>
      </c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Introduction</vt:lpstr>
      <vt:lpstr>Table 2 data</vt:lpstr>
      <vt:lpstr>Parameter Estimation</vt:lpstr>
      <vt:lpstr>In-Sample Fit</vt:lpstr>
      <vt:lpstr>Tracking Plots</vt:lpstr>
      <vt:lpstr>Conditional Expectations (I)</vt:lpstr>
      <vt:lpstr>Conditional Expectations (II)</vt:lpstr>
      <vt:lpstr>Pivot Table I</vt:lpstr>
      <vt:lpstr>Pivot Table II</vt:lpstr>
      <vt:lpstr>Pivot Table III</vt:lpstr>
      <vt:lpstr>E(P^l,Theta^m)</vt:lpstr>
      <vt:lpstr>DERT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2011-01-20T06:51:31Z</dcterms:modified>
</cp:coreProperties>
</file>