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Local Documents\Research\Khalid\CNT Simulation\"/>
    </mc:Choice>
  </mc:AlternateContent>
  <xr:revisionPtr revIDLastSave="0" documentId="8_{4947BCBB-96E6-48BB-AF5F-27F179696F12}" xr6:coauthVersionLast="46" xr6:coauthVersionMax="46" xr10:uidLastSave="{00000000-0000-0000-0000-000000000000}"/>
  <bookViews>
    <workbookView xWindow="38280" yWindow="5115" windowWidth="29040" windowHeight="16440" activeTab="4" xr2:uid="{00000000-000D-0000-FFFF-FFFF00000000}"/>
  </bookViews>
  <sheets>
    <sheet name="Export Summary" sheetId="1" r:id="rId1"/>
    <sheet name="Sheet 1" sheetId="2" r:id="rId2"/>
    <sheet name="Value of Vo and Rf" sheetId="3" r:id="rId3"/>
    <sheet name="Sheet 2" sheetId="4" r:id="rId4"/>
    <sheet name="Sheet 3" sheetId="5" r:id="rId5"/>
    <sheet name="COVID DNA Detection Cap" sheetId="6" r:id="rId6"/>
    <sheet name="COVID Detection Clean Sheet" sheetId="7" r:id="rId7"/>
    <sheet name="Detection Curve"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7" l="1"/>
  <c r="F41" i="7" s="1"/>
  <c r="F39" i="7"/>
  <c r="F27" i="7"/>
  <c r="F28" i="7" s="1"/>
  <c r="F29" i="7" s="1"/>
  <c r="B26" i="7"/>
  <c r="D26" i="7" s="1"/>
  <c r="B23" i="7"/>
  <c r="G44" i="7" s="1"/>
  <c r="F22" i="7"/>
  <c r="F23" i="7" s="1"/>
  <c r="F24" i="7" s="1"/>
  <c r="F25" i="7" s="1"/>
  <c r="F20" i="7"/>
  <c r="B20" i="7"/>
  <c r="F19" i="7"/>
  <c r="B19" i="7"/>
  <c r="E13" i="7"/>
  <c r="E7" i="7"/>
  <c r="E9" i="7" s="1"/>
  <c r="B6" i="7"/>
  <c r="B15" i="7" s="1"/>
  <c r="B16" i="7" s="1"/>
  <c r="B17" i="7" s="1"/>
  <c r="E5" i="7"/>
  <c r="E4" i="7"/>
  <c r="B13" i="7" s="1"/>
  <c r="C14" i="7" s="1"/>
  <c r="C18" i="7" s="1"/>
  <c r="F47" i="7" s="1"/>
  <c r="C39" i="6"/>
  <c r="F33" i="6"/>
  <c r="F34" i="6" s="1"/>
  <c r="F35" i="6" s="1"/>
  <c r="F36" i="6" s="1"/>
  <c r="D31" i="6"/>
  <c r="F30" i="6"/>
  <c r="F31" i="6" s="1"/>
  <c r="G28" i="6" s="1"/>
  <c r="G27" i="6" s="1"/>
  <c r="D28" i="6"/>
  <c r="D26" i="6"/>
  <c r="D24" i="6"/>
  <c r="C24" i="6"/>
  <c r="F23" i="6"/>
  <c r="D23" i="6"/>
  <c r="C23" i="6"/>
  <c r="F22" i="6"/>
  <c r="G22" i="6" s="1"/>
  <c r="D22" i="6"/>
  <c r="C20" i="6"/>
  <c r="C19" i="6"/>
  <c r="F20" i="6" s="1"/>
  <c r="F18" i="6"/>
  <c r="E15" i="6"/>
  <c r="C15" i="6"/>
  <c r="C16" i="6" s="1"/>
  <c r="C17" i="6" s="1"/>
  <c r="D17" i="6" s="1"/>
  <c r="F13" i="6"/>
  <c r="E13" i="6"/>
  <c r="C13" i="6"/>
  <c r="D14" i="6" s="1"/>
  <c r="D18" i="6" s="1"/>
  <c r="F12" i="6"/>
  <c r="G12" i="6" s="1"/>
  <c r="G14" i="6" s="1"/>
  <c r="G16" i="6" s="1"/>
  <c r="F7" i="6"/>
  <c r="F9" i="6" s="1"/>
  <c r="C6" i="6"/>
  <c r="F10" i="6" s="1"/>
  <c r="F5" i="6"/>
  <c r="F4" i="6"/>
  <c r="F31" i="5"/>
  <c r="H31" i="5" s="1"/>
  <c r="F30" i="5"/>
  <c r="H30" i="5" s="1"/>
  <c r="F29" i="5"/>
  <c r="H29" i="5" s="1"/>
  <c r="E29" i="5"/>
  <c r="H28" i="5"/>
  <c r="F28" i="5"/>
  <c r="G23" i="5"/>
  <c r="C23" i="5"/>
  <c r="C24" i="5" s="1"/>
  <c r="G24" i="5" s="1"/>
  <c r="G22" i="5"/>
  <c r="E31" i="5" s="1"/>
  <c r="C22" i="5"/>
  <c r="G21" i="5"/>
  <c r="E30" i="5" s="1"/>
  <c r="G20" i="5"/>
  <c r="E28" i="5" s="1"/>
  <c r="G19" i="5"/>
  <c r="G18" i="5"/>
  <c r="C18" i="5"/>
  <c r="G17" i="5"/>
  <c r="I17" i="5" s="1"/>
  <c r="G15" i="5"/>
  <c r="G14" i="5"/>
  <c r="G4" i="5"/>
  <c r="G5" i="5" s="1"/>
  <c r="G6" i="5" s="1"/>
  <c r="J3" i="5" s="1"/>
  <c r="G3" i="5"/>
  <c r="D8" i="4"/>
  <c r="D7" i="4"/>
  <c r="D6" i="4"/>
  <c r="D5" i="4"/>
  <c r="D4" i="4"/>
  <c r="D3" i="4"/>
  <c r="H21" i="3"/>
  <c r="K19" i="3"/>
  <c r="I19" i="3"/>
  <c r="H19" i="3"/>
  <c r="L22" i="3" s="1"/>
  <c r="L19" i="3" s="1"/>
  <c r="G19" i="3"/>
  <c r="F19" i="3" s="1"/>
  <c r="C18" i="3"/>
  <c r="C17" i="3"/>
  <c r="F6" i="3" s="1"/>
  <c r="E16" i="3"/>
  <c r="F15" i="3"/>
  <c r="D14" i="3"/>
  <c r="G3" i="3" s="1"/>
  <c r="D13" i="3"/>
  <c r="D19" i="3" s="1"/>
  <c r="D20" i="3" s="1"/>
  <c r="G11" i="3"/>
  <c r="D10" i="3"/>
  <c r="D9" i="3"/>
  <c r="I6" i="3"/>
  <c r="H6" i="3"/>
  <c r="G6" i="3"/>
  <c r="E5" i="3"/>
  <c r="D5" i="3"/>
  <c r="E4" i="3"/>
  <c r="D4" i="3"/>
  <c r="C29" i="2"/>
  <c r="C32" i="2" s="1"/>
  <c r="E17" i="2"/>
  <c r="B10" i="2"/>
  <c r="B11" i="2" s="1"/>
  <c r="B14" i="2" s="1"/>
  <c r="B15" i="2" s="1"/>
  <c r="B19" i="2" s="1"/>
  <c r="E9" i="2"/>
  <c r="B9" i="2"/>
  <c r="E5" i="2"/>
  <c r="E10" i="2" s="1"/>
  <c r="E11" i="2" s="1"/>
  <c r="E14" i="2" s="1"/>
  <c r="E15" i="2" s="1"/>
  <c r="E19" i="2" s="1"/>
  <c r="G19" i="2" s="1"/>
  <c r="B5" i="2"/>
  <c r="J11" i="5" l="1"/>
  <c r="J29" i="5" s="1"/>
  <c r="L29" i="5" s="1"/>
  <c r="M3" i="5"/>
  <c r="M11" i="5" s="1"/>
  <c r="N11" i="5" s="1"/>
  <c r="J4" i="5"/>
  <c r="M4" i="5" s="1"/>
  <c r="M5" i="5" s="1"/>
  <c r="B31" i="7"/>
  <c r="B32" i="7" s="1"/>
  <c r="F43" i="7"/>
  <c r="F44" i="7" s="1"/>
  <c r="G25" i="5"/>
  <c r="H25" i="5" s="1"/>
  <c r="H24" i="5"/>
  <c r="B43" i="7"/>
  <c r="B44" i="7" s="1"/>
  <c r="B46" i="7" s="1"/>
  <c r="B48" i="7" s="1"/>
  <c r="E10" i="7"/>
  <c r="D16" i="3"/>
  <c r="D3" i="3" s="1"/>
  <c r="F8" i="3"/>
  <c r="J7" i="3" s="1"/>
  <c r="J30" i="5" l="1"/>
  <c r="L30" i="5" s="1"/>
  <c r="I7" i="3"/>
  <c r="J31" i="5"/>
  <c r="L31" i="5" s="1"/>
  <c r="J28" i="5"/>
  <c r="L28" i="5" s="1"/>
  <c r="M6" i="5"/>
  <c r="N6" i="5" s="1"/>
  <c r="N5" i="5"/>
  <c r="G52" i="7"/>
  <c r="H7" i="3"/>
  <c r="F7" i="3"/>
  <c r="B52" i="7"/>
  <c r="B34" i="7"/>
  <c r="G7" i="3"/>
  <c r="B51" i="7" l="1"/>
  <c r="F36" i="7"/>
  <c r="F37" i="7" s="1"/>
  <c r="B36" i="7"/>
  <c r="B50" i="7" s="1"/>
  <c r="F52" i="7"/>
  <c r="F13" i="3"/>
  <c r="F14" i="3"/>
</calcChain>
</file>

<file path=xl/sharedStrings.xml><?xml version="1.0" encoding="utf-8"?>
<sst xmlns="http://schemas.openxmlformats.org/spreadsheetml/2006/main" count="353" uniqueCount="243">
  <si>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</si>
  <si>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</si>
  <si>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</si>
  <si>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</si>
  <si>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</si>
  <si>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</si>
  <si>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Pi</t>
  </si>
  <si>
    <t>f</t>
  </si>
  <si>
    <t>C</t>
  </si>
  <si>
    <t xml:space="preserve"> R</t>
  </si>
  <si>
    <t xml:space="preserve"> T</t>
  </si>
  <si>
    <t>2piFC</t>
  </si>
  <si>
    <t xml:space="preserve">1/2piFC </t>
  </si>
  <si>
    <t>R^2 + Xc^2</t>
  </si>
  <si>
    <t>Sqrt (R^2 + Xc^2)</t>
  </si>
  <si>
    <t>V</t>
  </si>
  <si>
    <t>V work</t>
  </si>
  <si>
    <t xml:space="preserve">i </t>
  </si>
  <si>
    <t>V out =</t>
  </si>
  <si>
    <t>V fix</t>
  </si>
  <si>
    <t>=</t>
  </si>
  <si>
    <t>V in</t>
  </si>
  <si>
    <t>i</t>
  </si>
  <si>
    <t>Vwork</t>
  </si>
  <si>
    <t>(Vout - Vwork)/R f = i</t>
  </si>
  <si>
    <t>R f</t>
  </si>
  <si>
    <t>V out</t>
  </si>
  <si>
    <t>Vmax</t>
  </si>
  <si>
    <t>Vmin</t>
  </si>
  <si>
    <t>amplitude</t>
  </si>
  <si>
    <t>Value of Vo and Rf</t>
  </si>
  <si>
    <t>Formula</t>
  </si>
  <si>
    <t>Values</t>
  </si>
  <si>
    <t>Calculated Values</t>
  </si>
  <si>
    <t>Vo</t>
  </si>
  <si>
    <t>(I*Rf)+Vwork</t>
  </si>
  <si>
    <t>Vwork (1+Rf/Z)</t>
  </si>
  <si>
    <t>-2fVpeak t+1.65</t>
  </si>
  <si>
    <t>2fVpeak t+1.65</t>
  </si>
  <si>
    <t>T/4</t>
  </si>
  <si>
    <t>T/2</t>
  </si>
  <si>
    <t>3T/4</t>
  </si>
  <si>
    <t>T</t>
  </si>
  <si>
    <t>T0</t>
  </si>
  <si>
    <t>Rf</t>
  </si>
  <si>
    <t>t</t>
  </si>
  <si>
    <t>Between 1 and -1</t>
  </si>
  <si>
    <t>t=(t+T/4)</t>
  </si>
  <si>
    <t>Vpeak</t>
  </si>
  <si>
    <t>(Vmax-Vmin)/2</t>
  </si>
  <si>
    <t>V peak to peak</t>
  </si>
  <si>
    <t>(Vmax-Vmin)</t>
  </si>
  <si>
    <t>R</t>
  </si>
  <si>
    <t>Xc</t>
  </si>
  <si>
    <t>1/(2pifC)</t>
  </si>
  <si>
    <t>Term 1</t>
  </si>
  <si>
    <t>Z</t>
  </si>
  <si>
    <t>Sqrt(R^2+Xc^2)</t>
  </si>
  <si>
    <t>Term 2</t>
  </si>
  <si>
    <t>Term 3</t>
  </si>
  <si>
    <t>(Vo-Vwork)/Rf = Vpeak/(sqrt(R^2 + Xc^2)</t>
  </si>
  <si>
    <t>&lt;- Vo based value of i</t>
  </si>
  <si>
    <t>1/f</t>
  </si>
  <si>
    <t>V/s</t>
  </si>
  <si>
    <t>4fVpeak</t>
  </si>
  <si>
    <t>2f(Vmax-Vmin) t</t>
  </si>
  <si>
    <t>2f(Vmax-Vmin)</t>
  </si>
  <si>
    <t>t=T/x; x=1,2,3,4</t>
  </si>
  <si>
    <t>2f(Vmax-Vmin) C Rf</t>
  </si>
  <si>
    <t>Rf e^-(t/RC)</t>
  </si>
  <si>
    <t>Phase of Z</t>
  </si>
  <si>
    <t>Arctan(X_c/R)</t>
  </si>
  <si>
    <t>Phase degree</t>
  </si>
  <si>
    <t>Vref</t>
  </si>
  <si>
    <t>e^-(t/RC)</t>
  </si>
  <si>
    <t>Sheet 2</t>
  </si>
  <si>
    <t>Vx(t)</t>
  </si>
  <si>
    <t>Sheet 3</t>
  </si>
  <si>
    <t>Inputs</t>
  </si>
  <si>
    <t>CNT radius, r</t>
  </si>
  <si>
    <t xml:space="preserve">CNT Surface Area </t>
  </si>
  <si>
    <t>Capacitane of Pair, C</t>
  </si>
  <si>
    <t>Capacitance of Chip</t>
  </si>
  <si>
    <t>CNT Length, h</t>
  </si>
  <si>
    <t>Base Area of Nanostructure</t>
  </si>
  <si>
    <t>Energy, E</t>
  </si>
  <si>
    <t>Energy of Chip</t>
  </si>
  <si>
    <t>Width of Nano Structure, x</t>
  </si>
  <si>
    <t>No of CNTs in Base area</t>
  </si>
  <si>
    <t>Wh</t>
  </si>
  <si>
    <t>Wh/Lit</t>
  </si>
  <si>
    <t>Length of Nanostructure, y</t>
  </si>
  <si>
    <t>Total Surface Area, A</t>
  </si>
  <si>
    <t>mAh</t>
  </si>
  <si>
    <t>mAh/Lit</t>
  </si>
  <si>
    <t>Gap between Nanostructures, d</t>
  </si>
  <si>
    <t>Eo</t>
  </si>
  <si>
    <t>Voltage charging MAX, V</t>
  </si>
  <si>
    <t>Charging Current,  I Amp</t>
  </si>
  <si>
    <t>Er</t>
  </si>
  <si>
    <t>Voltage Operating</t>
  </si>
  <si>
    <t>Breakdown Voltage; V/cm</t>
  </si>
  <si>
    <t xml:space="preserve">Time to charge, time, </t>
  </si>
  <si>
    <t>For Chip</t>
  </si>
  <si>
    <t>mins</t>
  </si>
  <si>
    <t>V/um</t>
  </si>
  <si>
    <t>Length of Chip</t>
  </si>
  <si>
    <t>1 inch</t>
  </si>
  <si>
    <t>Chip Area, A</t>
  </si>
  <si>
    <t>Width of Chip</t>
  </si>
  <si>
    <t>No of pairs</t>
  </si>
  <si>
    <t>Si thickness</t>
  </si>
  <si>
    <t>Volume Si</t>
  </si>
  <si>
    <t>Sum of all sub volumes</t>
  </si>
  <si>
    <t>SiO2</t>
  </si>
  <si>
    <t>Vol SiO2</t>
  </si>
  <si>
    <t>Metal 1</t>
  </si>
  <si>
    <t>Vol M1</t>
  </si>
  <si>
    <t>Metal 2</t>
  </si>
  <si>
    <t>Vol M2</t>
  </si>
  <si>
    <t>Catalyst</t>
  </si>
  <si>
    <t>Vol Catalyst</t>
  </si>
  <si>
    <t>CNT</t>
  </si>
  <si>
    <t>Vol CNT</t>
  </si>
  <si>
    <t>Dielectric</t>
  </si>
  <si>
    <t>Vol Dielectric</t>
  </si>
  <si>
    <t>Total Thickness</t>
  </si>
  <si>
    <t>Total Volume Pair</t>
  </si>
  <si>
    <t>Lit</t>
  </si>
  <si>
    <t>Total Vol of Chip</t>
  </si>
  <si>
    <t>J/Kg.K</t>
  </si>
  <si>
    <t>Resistivity  Ohm/m</t>
  </si>
  <si>
    <t>Resistivity</t>
  </si>
  <si>
    <t>Density</t>
  </si>
  <si>
    <t>Mass</t>
  </si>
  <si>
    <t>Resistance</t>
  </si>
  <si>
    <t>Power</t>
  </si>
  <si>
    <t>Q =Pt</t>
  </si>
  <si>
    <t>Specific Heat Capacity</t>
  </si>
  <si>
    <t>Delta Temp</t>
  </si>
  <si>
    <t>Aluminum</t>
  </si>
  <si>
    <t>Titanium</t>
  </si>
  <si>
    <t>Fe</t>
  </si>
  <si>
    <t>Carbon CNTs</t>
  </si>
  <si>
    <t>COVID DNA Detection Cap</t>
  </si>
  <si>
    <t>M</t>
  </si>
  <si>
    <t>z</t>
  </si>
  <si>
    <t>z^2</t>
  </si>
  <si>
    <t>e</t>
  </si>
  <si>
    <t>e^2</t>
  </si>
  <si>
    <t>Co</t>
  </si>
  <si>
    <t xml:space="preserve">1 miliMolar (moles/m^3 </t>
  </si>
  <si>
    <t>0.001mol/L or M</t>
  </si>
  <si>
    <t>er</t>
  </si>
  <si>
    <t>F=eNa</t>
  </si>
  <si>
    <t>eo</t>
  </si>
  <si>
    <t>.1M=</t>
  </si>
  <si>
    <t>mMolar/Lit</t>
  </si>
  <si>
    <t>k</t>
  </si>
  <si>
    <t>mM*F</t>
  </si>
  <si>
    <t>n=C*Na</t>
  </si>
  <si>
    <t>V_Zeta</t>
  </si>
  <si>
    <t>CEDL</t>
  </si>
  <si>
    <t>Sq of sqrt should be</t>
  </si>
  <si>
    <t>Na</t>
  </si>
  <si>
    <t>sqrt should be</t>
  </si>
  <si>
    <t>C_EDL/A</t>
  </si>
  <si>
    <t>CEDL 1 CNT</t>
  </si>
  <si>
    <t>Sqrt</t>
  </si>
  <si>
    <t>Cosh</t>
  </si>
  <si>
    <t>d-EDL</t>
  </si>
  <si>
    <t>C-EDL</t>
  </si>
  <si>
    <t>F/m^2</t>
  </si>
  <si>
    <t>Co=ni/Na</t>
  </si>
  <si>
    <t>uF/cm^2</t>
  </si>
  <si>
    <t>CEDL 1 NS</t>
  </si>
  <si>
    <t>F=eNA</t>
  </si>
  <si>
    <t>R=kNa</t>
  </si>
  <si>
    <t>CNT r</t>
  </si>
  <si>
    <t>CNT h</t>
  </si>
  <si>
    <t>SA 1 CNT</t>
  </si>
  <si>
    <t>squared</t>
  </si>
  <si>
    <t>kT</t>
  </si>
  <si>
    <t>cosh^-1</t>
  </si>
  <si>
    <t>Cd</t>
  </si>
  <si>
    <t>Sqrt .1</t>
  </si>
  <si>
    <t>Cd/cosh</t>
  </si>
  <si>
    <t>(Cd/cosh)/228</t>
  </si>
  <si>
    <t>L</t>
  </si>
  <si>
    <t>W</t>
  </si>
  <si>
    <t xml:space="preserve">CNT No: </t>
  </si>
  <si>
    <t>COVID Detection Clean Sheet</t>
  </si>
  <si>
    <t xml:space="preserve">Vol of 1 molecule </t>
  </si>
  <si>
    <t>Area of 1 molecule</t>
  </si>
  <si>
    <t>Gap between molecules</t>
  </si>
  <si>
    <t>No of Functional molecules 1 CNT</t>
  </si>
  <si>
    <t>No of Functional molecules 1 NS</t>
  </si>
  <si>
    <t>Concentration of Functional Molecules on 1 NS</t>
  </si>
  <si>
    <t>moles/m3</t>
  </si>
  <si>
    <t>SA  1 NS</t>
  </si>
  <si>
    <t>C-H Per unit area</t>
  </si>
  <si>
    <t>er DNA</t>
  </si>
  <si>
    <t>0.33nm = 1 nucleotide</t>
  </si>
  <si>
    <t>C-H Per 1 CNT</t>
  </si>
  <si>
    <t>L DNA</t>
  </si>
  <si>
    <t xml:space="preserve">20 nucleotide </t>
  </si>
  <si>
    <t>C-H Per Ns</t>
  </si>
  <si>
    <t xml:space="preserve">Radius of Functional Molecule </t>
  </si>
  <si>
    <t>2 nm diameter (17.6-26 A)</t>
  </si>
  <si>
    <t>1/C=1/CH+1/CEDL</t>
  </si>
  <si>
    <t xml:space="preserve">C </t>
  </si>
  <si>
    <t>0.1 pF</t>
  </si>
  <si>
    <t>Freq F</t>
  </si>
  <si>
    <t>100KHz ideal for fM conc</t>
  </si>
  <si>
    <t>Z= Impedance C</t>
  </si>
  <si>
    <t>1/2pifC</t>
  </si>
  <si>
    <t>R=</t>
  </si>
  <si>
    <t>100K Ohm</t>
  </si>
  <si>
    <t>i=</t>
  </si>
  <si>
    <t>nAmps for fM</t>
  </si>
  <si>
    <t>Z (RC)=</t>
  </si>
  <si>
    <t>z=(R^2+(1/2pifc)^2)^(1/2)</t>
  </si>
  <si>
    <t>i with R =Vzeta/Z</t>
  </si>
  <si>
    <t>er DNA Hyberidization</t>
  </si>
  <si>
    <t>C-H1 Per unit area</t>
  </si>
  <si>
    <t>C-H1 Per 1 CNT</t>
  </si>
  <si>
    <t>C-H1 Per Ns</t>
  </si>
  <si>
    <t>1/C=1/CH+1/CH+1/CEDL</t>
  </si>
  <si>
    <t>1/CH-H1=1/C+1/C-H</t>
  </si>
  <si>
    <t>CH-H1</t>
  </si>
  <si>
    <t>Ch-h1=[eoer/(l1+l2)]*SA1CNT*#ofCNTs</t>
  </si>
  <si>
    <t>Z CEDL 1 NS</t>
  </si>
  <si>
    <t>Delta I change</t>
  </si>
  <si>
    <t xml:space="preserve">Delta Z change </t>
  </si>
  <si>
    <t>Ohms</t>
  </si>
  <si>
    <t xml:space="preserve">Delta C change </t>
  </si>
  <si>
    <t xml:space="preserve">Delta Change </t>
  </si>
  <si>
    <t>Z C-EDL - Z Cedl+Ch</t>
  </si>
  <si>
    <t>Z C-EDL - Z Cedl+Ch+Ch1</t>
  </si>
  <si>
    <t>Detection Curve</t>
  </si>
  <si>
    <t>Concentration of Functional Groups</t>
  </si>
  <si>
    <t xml:space="preserve">Concentration of Ions in Solution </t>
  </si>
  <si>
    <t>Delta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</si>
</sst>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0E+00"/>
    <numFmt numFmtId="165" formatCode="0.00000E+00"/>
    <numFmt numFmtId="166" formatCode="0.0000E+00"/>
    <numFmt numFmtId="167" formatCode="0.0########E+00"/>
    <numFmt numFmtId="168" formatCode="0.0#########################E+00"/>
    <numFmt numFmtId="169" formatCode="0.0####E+00"/>
    <numFmt numFmtId="170" formatCode="0.0#########E+00"/>
    <numFmt numFmtId="171" formatCode="0.0#####E+00"/>
    <numFmt numFmtId="172" formatCode="0.0###E+00"/>
    <numFmt numFmtId="173" formatCode="0.0##############E+00"/>
    <numFmt numFmtId="174" formatCode="0.0#######E+00"/>
    <numFmt numFmtId="175" formatCode="0.0E+00"/>
    <numFmt numFmtId="176" formatCode="0.0#############E+00"/>
    <numFmt numFmtId="177" formatCode="0.0#################E+00"/>
    <numFmt numFmtId="178" formatCode="0.0######E+00"/>
    <numFmt numFmtId="179" formatCode="0.0################E+00"/>
    <numFmt numFmtId="180" formatCode="0.0############E+00"/>
    <numFmt numFmtId="181" formatCode="0.0##################E+00"/>
    <numFmt numFmtId="182" formatCode="0.0###############E+00"/>
    <numFmt numFmtId="183" formatCode="0.0###########E+00"/>
    <numFmt numFmtId="184" formatCode="0.0###################E+00"/>
    <numFmt numFmtId="185" formatCode="0.0#######################################E+00"/>
    <numFmt numFmtId="186" formatCode="0.0########################E+00"/>
    <numFmt numFmtId="187" formatCode="0.0#E+00"/>
    <numFmt numFmtId="188" formatCode="0.0####################E+00"/>
    <numFmt numFmtId="189" formatCode="0.0###############################E+00"/>
    <numFmt numFmtId="190" formatCode="0.0#####################E+00"/>
    <numFmt numFmtId="191" formatCode="0.0##########################E+00"/>
    <numFmt numFmtId="192" formatCode="0.0#######################E+00"/>
    <numFmt numFmtId="193" formatCode="0.0########################################E+00"/>
    <numFmt numFmtId="194" formatCode="0.0################################E+00"/>
    <numFmt numFmtId="195" formatCode="0.0##E+00"/>
    <numFmt numFmtId="196" formatCode="0.0############################E+00"/>
    <numFmt numFmtId="197" formatCode="0.0##########E+00"/>
  </numFmts>
  <fonts count="6">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2"/>
      <color indexed="8"/>
      <name val="Helvetica"/>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31"/>
        <bgColor auto="1"/>
      </patternFill>
    </fill>
  </fills>
  <borders count="89">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4"/>
      </left>
      <right style="thin">
        <color indexed="19"/>
      </right>
      <top style="thin">
        <color indexed="14"/>
      </top>
      <bottom style="thin">
        <color indexed="19"/>
      </bottom>
      <diagonal/>
    </border>
    <border>
      <left style="thin">
        <color indexed="19"/>
      </left>
      <right style="thin">
        <color indexed="19"/>
      </right>
      <top style="thin">
        <color indexed="14"/>
      </top>
      <bottom style="thin">
        <color indexed="19"/>
      </bottom>
      <diagonal/>
    </border>
    <border>
      <left style="thin">
        <color indexed="19"/>
      </left>
      <right style="thin">
        <color indexed="14"/>
      </right>
      <top style="thin">
        <color indexed="14"/>
      </top>
      <bottom style="thin">
        <color indexed="19"/>
      </bottom>
      <diagonal/>
    </border>
    <border>
      <left style="thin">
        <color indexed="14"/>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4"/>
      </right>
      <top style="thin">
        <color indexed="19"/>
      </top>
      <bottom style="thin">
        <color indexed="19"/>
      </bottom>
      <diagonal/>
    </border>
    <border>
      <left style="thin">
        <color indexed="19"/>
      </left>
      <right style="thin">
        <color indexed="19"/>
      </right>
      <top style="thin">
        <color indexed="19"/>
      </top>
      <bottom style="thin">
        <color indexed="14"/>
      </bottom>
      <diagonal/>
    </border>
    <border>
      <left style="thin">
        <color indexed="19"/>
      </left>
      <right style="thin">
        <color indexed="14"/>
      </right>
      <top style="thin">
        <color indexed="19"/>
      </top>
      <bottom style="thin">
        <color indexed="14"/>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3"/>
      </left>
      <right style="thin">
        <color indexed="13"/>
      </right>
      <top style="thin">
        <color indexed="13"/>
      </top>
      <bottom style="thin">
        <color indexed="30"/>
      </bottom>
      <diagonal/>
    </border>
    <border>
      <left style="thin">
        <color indexed="13"/>
      </left>
      <right style="thin">
        <color indexed="30"/>
      </right>
      <top style="thin">
        <color indexed="13"/>
      </top>
      <bottom style="thin">
        <color indexed="13"/>
      </bottom>
      <diagonal/>
    </border>
    <border>
      <left style="thin">
        <color indexed="30"/>
      </left>
      <right style="thin">
        <color indexed="13"/>
      </right>
      <top style="thin">
        <color indexed="30"/>
      </top>
      <bottom style="thin">
        <color indexed="30"/>
      </bottom>
      <diagonal/>
    </border>
    <border>
      <left style="thin">
        <color indexed="13"/>
      </left>
      <right style="thin">
        <color indexed="30"/>
      </right>
      <top style="thin">
        <color indexed="30"/>
      </top>
      <bottom style="thin">
        <color indexed="30"/>
      </bottom>
      <diagonal/>
    </border>
    <border>
      <left style="thin">
        <color indexed="30"/>
      </left>
      <right style="thin">
        <color indexed="13"/>
      </right>
      <top style="thin">
        <color indexed="13"/>
      </top>
      <bottom style="thin">
        <color indexed="13"/>
      </bottom>
      <diagonal/>
    </border>
    <border>
      <left style="thin">
        <color indexed="13"/>
      </left>
      <right style="thin">
        <color indexed="13"/>
      </right>
      <top style="thin">
        <color indexed="30"/>
      </top>
      <bottom style="thin">
        <color indexed="13"/>
      </bottom>
      <diagonal/>
    </border>
    <border>
      <left style="medium">
        <color indexed="8"/>
      </left>
      <right style="thin">
        <color indexed="14"/>
      </right>
      <top style="medium">
        <color indexed="8"/>
      </top>
      <bottom style="thin">
        <color indexed="13"/>
      </bottom>
      <diagonal/>
    </border>
    <border>
      <left style="thin">
        <color indexed="14"/>
      </left>
      <right style="medium">
        <color indexed="8"/>
      </right>
      <top style="medium">
        <color indexed="8"/>
      </top>
      <bottom style="thin">
        <color indexed="13"/>
      </bottom>
      <diagonal/>
    </border>
    <border>
      <left style="medium">
        <color indexed="8"/>
      </left>
      <right style="thin">
        <color indexed="13"/>
      </right>
      <top style="thin">
        <color indexed="14"/>
      </top>
      <bottom style="thin">
        <color indexed="13"/>
      </bottom>
      <diagonal/>
    </border>
    <border>
      <left style="medium">
        <color indexed="8"/>
      </left>
      <right style="thin">
        <color indexed="14"/>
      </right>
      <top style="thin">
        <color indexed="13"/>
      </top>
      <bottom style="thin">
        <color indexed="13"/>
      </bottom>
      <diagonal/>
    </border>
    <border>
      <left style="thin">
        <color indexed="14"/>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30"/>
      </bottom>
      <diagonal/>
    </border>
    <border>
      <left style="thin">
        <color indexed="14"/>
      </left>
      <right style="medium">
        <color indexed="17"/>
      </right>
      <top style="thin">
        <color indexed="13"/>
      </top>
      <bottom style="thin">
        <color indexed="13"/>
      </bottom>
      <diagonal/>
    </border>
    <border>
      <left style="medium">
        <color indexed="17"/>
      </left>
      <right style="thin">
        <color indexed="13"/>
      </right>
      <top style="thin">
        <color indexed="30"/>
      </top>
      <bottom style="thin">
        <color indexed="30"/>
      </bottom>
      <diagonal/>
    </border>
    <border>
      <left style="medium">
        <color indexed="8"/>
      </left>
      <right style="thin">
        <color indexed="13"/>
      </right>
      <top style="thin">
        <color indexed="30"/>
      </top>
      <bottom style="thin">
        <color indexed="13"/>
      </bottom>
      <diagonal/>
    </border>
    <border>
      <left style="medium">
        <color indexed="8"/>
      </left>
      <right style="thin">
        <color indexed="14"/>
      </right>
      <top style="thin">
        <color indexed="13"/>
      </top>
      <bottom style="medium">
        <color indexed="8"/>
      </bottom>
      <diagonal/>
    </border>
    <border>
      <left style="thin">
        <color indexed="14"/>
      </left>
      <right style="medium">
        <color indexed="8"/>
      </right>
      <top style="thin">
        <color indexed="13"/>
      </top>
      <bottom style="medium">
        <color indexed="8"/>
      </bottom>
      <diagonal/>
    </border>
    <border>
      <left style="thin">
        <color indexed="13"/>
      </left>
      <right style="thin">
        <color indexed="14"/>
      </right>
      <top style="medium">
        <color indexed="8"/>
      </top>
      <bottom style="thin">
        <color indexed="13"/>
      </bottom>
      <diagonal/>
    </border>
    <border>
      <left style="thin">
        <color indexed="14"/>
      </left>
      <right style="thin">
        <color indexed="13"/>
      </right>
      <top style="medium">
        <color indexed="8"/>
      </top>
      <bottom style="thin">
        <color indexed="13"/>
      </bottom>
      <diagonal/>
    </border>
    <border>
      <left style="thin">
        <color indexed="13"/>
      </left>
      <right style="thin">
        <color indexed="14"/>
      </right>
      <top style="thin">
        <color indexed="13"/>
      </top>
      <bottom style="medium">
        <color indexed="8"/>
      </bottom>
      <diagonal/>
    </border>
    <border>
      <left style="thin">
        <color indexed="14"/>
      </left>
      <right style="thin">
        <color indexed="13"/>
      </right>
      <top style="thin">
        <color indexed="13"/>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3"/>
      </right>
      <top style="medium">
        <color indexed="8"/>
      </top>
      <bottom style="medium">
        <color indexed="21"/>
      </bottom>
      <diagonal/>
    </border>
    <border>
      <left style="thin">
        <color indexed="13"/>
      </left>
      <right style="thin">
        <color indexed="13"/>
      </right>
      <top style="medium">
        <color indexed="8"/>
      </top>
      <bottom style="medium">
        <color indexed="21"/>
      </bottom>
      <diagonal/>
    </border>
    <border>
      <left style="thin">
        <color indexed="13"/>
      </left>
      <right style="thin">
        <color indexed="14"/>
      </right>
      <top style="medium">
        <color indexed="8"/>
      </top>
      <bottom style="medium">
        <color indexed="8"/>
      </bottom>
      <diagonal/>
    </border>
    <border>
      <left style="thin">
        <color indexed="14"/>
      </left>
      <right style="thin">
        <color indexed="13"/>
      </right>
      <top style="medium">
        <color indexed="8"/>
      </top>
      <bottom style="medium">
        <color indexed="8"/>
      </bottom>
      <diagonal/>
    </border>
    <border>
      <left style="thin">
        <color indexed="13"/>
      </left>
      <right style="medium">
        <color indexed="21"/>
      </right>
      <top style="medium">
        <color indexed="8"/>
      </top>
      <bottom style="thin">
        <color indexed="13"/>
      </bottom>
      <diagonal/>
    </border>
    <border>
      <left style="medium">
        <color indexed="21"/>
      </left>
      <right style="thin">
        <color indexed="13"/>
      </right>
      <top style="medium">
        <color indexed="21"/>
      </top>
      <bottom style="thin">
        <color indexed="13"/>
      </bottom>
      <diagonal/>
    </border>
    <border>
      <left style="thin">
        <color indexed="13"/>
      </left>
      <right style="medium">
        <color indexed="21"/>
      </right>
      <top style="medium">
        <color indexed="21"/>
      </top>
      <bottom style="thin">
        <color indexed="13"/>
      </bottom>
      <diagonal/>
    </border>
    <border>
      <left style="medium">
        <color indexed="21"/>
      </left>
      <right style="thin">
        <color indexed="13"/>
      </right>
      <top style="thin">
        <color indexed="13"/>
      </top>
      <bottom style="thin">
        <color indexed="13"/>
      </bottom>
      <diagonal/>
    </border>
    <border>
      <left style="thin">
        <color indexed="13"/>
      </left>
      <right style="medium">
        <color indexed="21"/>
      </right>
      <top style="thin">
        <color indexed="13"/>
      </top>
      <bottom style="thin">
        <color indexed="13"/>
      </bottom>
      <diagonal/>
    </border>
    <border>
      <left style="medium">
        <color indexed="21"/>
      </left>
      <right style="thin">
        <color indexed="13"/>
      </right>
      <top style="thin">
        <color indexed="13"/>
      </top>
      <bottom style="medium">
        <color indexed="21"/>
      </bottom>
      <diagonal/>
    </border>
    <border>
      <left style="thin">
        <color indexed="13"/>
      </left>
      <right style="medium">
        <color indexed="21"/>
      </right>
      <top style="thin">
        <color indexed="13"/>
      </top>
      <bottom style="medium">
        <color indexed="21"/>
      </bottom>
      <diagonal/>
    </border>
    <border>
      <left style="medium">
        <color indexed="8"/>
      </left>
      <right style="thin">
        <color indexed="14"/>
      </right>
      <top style="thin">
        <color indexed="13"/>
      </top>
      <bottom style="medium">
        <color indexed="23"/>
      </bottom>
      <diagonal/>
    </border>
    <border>
      <left style="thin">
        <color indexed="14"/>
      </left>
      <right style="medium">
        <color indexed="8"/>
      </right>
      <top style="thin">
        <color indexed="13"/>
      </top>
      <bottom style="medium">
        <color indexed="23"/>
      </bottom>
      <diagonal/>
    </border>
    <border>
      <left style="thin">
        <color indexed="13"/>
      </left>
      <right style="thin">
        <color indexed="13"/>
      </right>
      <top style="medium">
        <color indexed="21"/>
      </top>
      <bottom style="thin">
        <color indexed="13"/>
      </bottom>
      <diagonal/>
    </border>
    <border>
      <left style="medium">
        <color indexed="23"/>
      </left>
      <right style="thin">
        <color indexed="14"/>
      </right>
      <top style="medium">
        <color indexed="23"/>
      </top>
      <bottom style="thin">
        <color indexed="13"/>
      </bottom>
      <diagonal/>
    </border>
    <border>
      <left style="thin">
        <color indexed="14"/>
      </left>
      <right style="medium">
        <color indexed="23"/>
      </right>
      <top style="medium">
        <color indexed="23"/>
      </top>
      <bottom style="thin">
        <color indexed="13"/>
      </bottom>
      <diagonal/>
    </border>
    <border>
      <left style="medium">
        <color indexed="23"/>
      </left>
      <right style="thin">
        <color indexed="13"/>
      </right>
      <top style="thin">
        <color indexed="13"/>
      </top>
      <bottom style="thin">
        <color indexed="13"/>
      </bottom>
      <diagonal/>
    </border>
    <border>
      <left style="medium">
        <color indexed="23"/>
      </left>
      <right style="thin">
        <color indexed="14"/>
      </right>
      <top style="thin">
        <color indexed="13"/>
      </top>
      <bottom style="thin">
        <color indexed="13"/>
      </bottom>
      <diagonal/>
    </border>
    <border>
      <left style="thin">
        <color indexed="14"/>
      </left>
      <right style="medium">
        <color indexed="23"/>
      </right>
      <top style="thin">
        <color indexed="13"/>
      </top>
      <bottom style="thin">
        <color indexed="13"/>
      </bottom>
      <diagonal/>
    </border>
    <border>
      <left style="medium">
        <color indexed="23"/>
      </left>
      <right style="thin">
        <color indexed="14"/>
      </right>
      <top style="thin">
        <color indexed="13"/>
      </top>
      <bottom style="medium">
        <color indexed="23"/>
      </bottom>
      <diagonal/>
    </border>
    <border>
      <left style="thin">
        <color indexed="14"/>
      </left>
      <right style="medium">
        <color indexed="23"/>
      </right>
      <top style="thin">
        <color indexed="13"/>
      </top>
      <bottom style="medium">
        <color indexed="23"/>
      </bottom>
      <diagonal/>
    </border>
    <border>
      <left style="thin">
        <color indexed="13"/>
      </left>
      <right style="thin">
        <color indexed="13"/>
      </right>
      <top style="thin">
        <color indexed="13"/>
      </top>
      <bottom style="medium">
        <color indexed="21"/>
      </bottom>
      <diagonal/>
    </border>
    <border>
      <left style="thin">
        <color indexed="13"/>
      </left>
      <right style="thin">
        <color indexed="14"/>
      </right>
      <top style="medium">
        <color indexed="23"/>
      </top>
      <bottom style="thin">
        <color indexed="13"/>
      </bottom>
      <diagonal/>
    </border>
    <border>
      <left style="thin">
        <color indexed="14"/>
      </left>
      <right style="thin">
        <color indexed="13"/>
      </right>
      <top style="medium">
        <color indexed="23"/>
      </top>
      <bottom style="thin">
        <color indexed="13"/>
      </bottom>
      <diagonal/>
    </border>
    <border>
      <left style="thin">
        <color indexed="13"/>
      </left>
      <right style="thin">
        <color indexed="13"/>
      </right>
      <top style="medium">
        <color indexed="21"/>
      </top>
      <bottom style="medium">
        <color indexed="21"/>
      </bottom>
      <diagonal/>
    </border>
    <border>
      <left style="thin">
        <color indexed="13"/>
      </left>
      <right style="thin">
        <color indexed="14"/>
      </right>
      <top style="thin">
        <color indexed="13"/>
      </top>
      <bottom style="medium">
        <color indexed="23"/>
      </bottom>
      <diagonal/>
    </border>
    <border>
      <left style="thin">
        <color indexed="14"/>
      </left>
      <right style="thin">
        <color indexed="13"/>
      </right>
      <top style="thin">
        <color indexed="13"/>
      </top>
      <bottom style="medium">
        <color indexed="23"/>
      </bottom>
      <diagonal/>
    </border>
    <border>
      <left style="thin">
        <color indexed="13"/>
      </left>
      <right style="thin">
        <color indexed="14"/>
      </right>
      <top style="medium">
        <color indexed="23"/>
      </top>
      <bottom style="medium">
        <color indexed="20"/>
      </bottom>
      <diagonal/>
    </border>
    <border>
      <left style="thin">
        <color indexed="14"/>
      </left>
      <right style="thin">
        <color indexed="13"/>
      </right>
      <top style="medium">
        <color indexed="23"/>
      </top>
      <bottom style="medium">
        <color indexed="20"/>
      </bottom>
      <diagonal/>
    </border>
    <border>
      <left style="medium">
        <color indexed="20"/>
      </left>
      <right style="thin">
        <color indexed="14"/>
      </right>
      <top style="medium">
        <color indexed="20"/>
      </top>
      <bottom style="thin">
        <color indexed="13"/>
      </bottom>
      <diagonal/>
    </border>
    <border>
      <left style="thin">
        <color indexed="14"/>
      </left>
      <right style="medium">
        <color indexed="20"/>
      </right>
      <top style="medium">
        <color indexed="20"/>
      </top>
      <bottom style="thin">
        <color indexed="13"/>
      </bottom>
      <diagonal/>
    </border>
    <border>
      <left style="medium">
        <color indexed="20"/>
      </left>
      <right style="thin">
        <color indexed="13"/>
      </right>
      <top style="thin">
        <color indexed="13"/>
      </top>
      <bottom style="thin">
        <color indexed="13"/>
      </bottom>
      <diagonal/>
    </border>
    <border>
      <left style="medium">
        <color indexed="20"/>
      </left>
      <right style="thin">
        <color indexed="14"/>
      </right>
      <top style="thin">
        <color indexed="13"/>
      </top>
      <bottom style="thin">
        <color indexed="13"/>
      </bottom>
      <diagonal/>
    </border>
    <border>
      <left style="thin">
        <color indexed="14"/>
      </left>
      <right style="medium">
        <color indexed="20"/>
      </right>
      <top style="thin">
        <color indexed="13"/>
      </top>
      <bottom style="thin">
        <color indexed="13"/>
      </bottom>
      <diagonal/>
    </border>
    <border>
      <left style="medium">
        <color indexed="20"/>
      </left>
      <right style="thin">
        <color indexed="14"/>
      </right>
      <top style="thin">
        <color indexed="13"/>
      </top>
      <bottom style="medium">
        <color indexed="20"/>
      </bottom>
      <diagonal/>
    </border>
    <border>
      <left style="thin">
        <color indexed="14"/>
      </left>
      <right style="medium">
        <color indexed="20"/>
      </right>
      <top style="thin">
        <color indexed="13"/>
      </top>
      <bottom style="medium">
        <color indexed="20"/>
      </bottom>
      <diagonal/>
    </border>
    <border>
      <left style="thin">
        <color indexed="13"/>
      </left>
      <right style="thin">
        <color indexed="14"/>
      </right>
      <top style="medium">
        <color indexed="20"/>
      </top>
      <bottom style="thin">
        <color indexed="13"/>
      </bottom>
      <diagonal/>
    </border>
    <border>
      <left style="thin">
        <color indexed="14"/>
      </left>
      <right style="thin">
        <color indexed="13"/>
      </right>
      <top style="medium">
        <color indexed="20"/>
      </top>
      <bottom style="thin">
        <color indexed="13"/>
      </bottom>
      <diagonal/>
    </border>
  </borders>
  <cellStyleXfs count="1">
    <xf numFmtId="0" fontId="0" fillId="0" borderId="0" applyNumberFormat="0" applyFill="0" applyBorder="0" applyProtection="0">
      <alignment vertical="top" wrapText="1"/>
    </xf>
  </cellStyleXfs>
  <cellXfs count="262">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4" fillId="4" borderId="1" xfId="0" applyFont="1" applyFill="1" applyBorder="1" applyAlignment="1">
      <alignment vertical="top" wrapText="1"/>
    </xf>
    <xf numFmtId="0" fontId="4" fillId="5" borderId="2" xfId="0"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4" fillId="5" borderId="5" xfId="0" applyFont="1" applyFill="1" applyBorder="1" applyAlignment="1">
      <alignment vertical="top" wrapText="1"/>
    </xf>
    <xf numFmtId="0" fontId="0" fillId="0" borderId="6" xfId="0" applyNumberFormat="1" applyFont="1" applyBorder="1" applyAlignment="1">
      <alignment vertical="top" wrapText="1"/>
    </xf>
    <xf numFmtId="0" fontId="0" fillId="0" borderId="7" xfId="0" applyFont="1" applyBorder="1" applyAlignment="1">
      <alignment vertical="top" wrapText="1"/>
    </xf>
    <xf numFmtId="0" fontId="0" fillId="0" borderId="7" xfId="0" applyNumberFormat="1" applyFont="1" applyBorder="1" applyAlignment="1">
      <alignment vertical="top" wrapText="1"/>
    </xf>
    <xf numFmtId="49" fontId="4" fillId="5" borderId="5" xfId="0" applyNumberFormat="1" applyFont="1" applyFill="1" applyBorder="1" applyAlignment="1">
      <alignment vertical="top" wrapText="1"/>
    </xf>
    <xf numFmtId="49" fontId="0" fillId="0" borderId="7" xfId="0" applyNumberFormat="1" applyFont="1" applyBorder="1" applyAlignment="1">
      <alignment vertical="top" wrapText="1"/>
    </xf>
    <xf numFmtId="0" fontId="0" fillId="6" borderId="6" xfId="0" applyNumberFormat="1" applyFont="1" applyFill="1" applyBorder="1" applyAlignment="1">
      <alignment vertical="top" wrapText="1"/>
    </xf>
    <xf numFmtId="0" fontId="0" fillId="7" borderId="6" xfId="0" applyNumberFormat="1" applyFont="1" applyFill="1" applyBorder="1" applyAlignment="1">
      <alignment vertical="top" wrapText="1"/>
    </xf>
    <xf numFmtId="0" fontId="0" fillId="0" borderId="6" xfId="0" applyFont="1" applyBorder="1" applyAlignment="1">
      <alignment vertical="top" wrapText="1"/>
    </xf>
    <xf numFmtId="0" fontId="0" fillId="8" borderId="7" xfId="0" applyNumberFormat="1" applyFont="1" applyFill="1" applyBorder="1" applyAlignment="1">
      <alignment vertical="top" wrapText="1"/>
    </xf>
    <xf numFmtId="0" fontId="4" fillId="5" borderId="8" xfId="0" applyFont="1" applyFill="1" applyBorder="1" applyAlignment="1">
      <alignment vertical="top" wrapText="1"/>
    </xf>
    <xf numFmtId="0" fontId="0" fillId="0" borderId="9" xfId="0" applyFont="1" applyBorder="1" applyAlignment="1">
      <alignment vertical="top" wrapText="1"/>
    </xf>
    <xf numFmtId="0" fontId="0" fillId="0" borderId="1" xfId="0" applyFont="1" applyBorder="1" applyAlignment="1">
      <alignment vertical="top" wrapText="1"/>
    </xf>
    <xf numFmtId="49" fontId="5" fillId="0" borderId="10" xfId="0" applyNumberFormat="1" applyFont="1" applyBorder="1" applyAlignment="1">
      <alignment horizontal="left" vertical="center" wrapText="1" readingOrder="1"/>
    </xf>
    <xf numFmtId="49" fontId="5" fillId="0" borderId="11" xfId="0" applyNumberFormat="1" applyFont="1" applyBorder="1" applyAlignment="1">
      <alignment horizontal="left" vertical="center" wrapText="1" readingOrder="1"/>
    </xf>
    <xf numFmtId="0" fontId="5" fillId="0" borderId="11" xfId="0" applyNumberFormat="1" applyFont="1" applyBorder="1" applyAlignment="1">
      <alignment vertical="center" wrapText="1" readingOrder="1"/>
    </xf>
    <xf numFmtId="0" fontId="0" fillId="0" borderId="11" xfId="0" applyFont="1" applyBorder="1" applyAlignment="1">
      <alignment vertical="center" wrapText="1"/>
    </xf>
    <xf numFmtId="0" fontId="0" fillId="0" borderId="12" xfId="0" applyFont="1" applyBorder="1" applyAlignment="1">
      <alignment vertical="center" wrapText="1"/>
    </xf>
    <xf numFmtId="49" fontId="5" fillId="0" borderId="13" xfId="0" applyNumberFormat="1" applyFont="1" applyBorder="1" applyAlignment="1">
      <alignment horizontal="left" vertical="center" wrapText="1" readingOrder="1"/>
    </xf>
    <xf numFmtId="49" fontId="5" fillId="0" borderId="14" xfId="0" applyNumberFormat="1" applyFont="1" applyBorder="1" applyAlignment="1">
      <alignment horizontal="left" vertical="center" wrapText="1" readingOrder="1"/>
    </xf>
    <xf numFmtId="0" fontId="5" fillId="6" borderId="14" xfId="0" applyNumberFormat="1" applyFont="1" applyFill="1" applyBorder="1" applyAlignment="1">
      <alignment vertical="center" wrapText="1" readingOrder="1"/>
    </xf>
    <xf numFmtId="0" fontId="0" fillId="0" borderId="14" xfId="0" applyFont="1" applyBorder="1" applyAlignment="1">
      <alignment vertical="center" wrapText="1"/>
    </xf>
    <xf numFmtId="0" fontId="5" fillId="0" borderId="15" xfId="0" applyNumberFormat="1" applyFont="1" applyBorder="1" applyAlignment="1">
      <alignment vertical="center" wrapText="1" readingOrder="1"/>
    </xf>
    <xf numFmtId="0" fontId="5" fillId="0" borderId="14" xfId="0" applyNumberFormat="1" applyFont="1" applyBorder="1" applyAlignment="1">
      <alignment vertical="center" wrapText="1" readingOrder="1"/>
    </xf>
    <xf numFmtId="0" fontId="0" fillId="0" borderId="15" xfId="0" applyFont="1" applyBorder="1" applyAlignment="1">
      <alignment vertical="center" wrapText="1"/>
    </xf>
    <xf numFmtId="0" fontId="4" fillId="0" borderId="13" xfId="0" applyFont="1" applyBorder="1" applyAlignment="1">
      <alignment vertical="center" wrapText="1"/>
    </xf>
    <xf numFmtId="0" fontId="5" fillId="9" borderId="14" xfId="0" applyNumberFormat="1" applyFont="1" applyFill="1" applyBorder="1" applyAlignment="1">
      <alignment vertical="center" wrapText="1" readingOrder="1"/>
    </xf>
    <xf numFmtId="0" fontId="5" fillId="0" borderId="13" xfId="0" applyFont="1" applyBorder="1" applyAlignment="1">
      <alignment horizontal="left" vertical="center" wrapText="1" readingOrder="1"/>
    </xf>
    <xf numFmtId="0" fontId="5" fillId="0" borderId="14" xfId="0" applyFont="1" applyBorder="1" applyAlignment="1">
      <alignment horizontal="left" vertical="center" wrapText="1" readingOrder="1"/>
    </xf>
    <xf numFmtId="0" fontId="5" fillId="0" borderId="14" xfId="0" applyFont="1" applyBorder="1" applyAlignment="1">
      <alignment vertical="center" wrapText="1" readingOrder="1"/>
    </xf>
    <xf numFmtId="0" fontId="4" fillId="0" borderId="14"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49" fontId="4" fillId="10" borderId="2" xfId="0" applyNumberFormat="1" applyFont="1" applyFill="1" applyBorder="1" applyAlignment="1">
      <alignment vertical="top" wrapText="1"/>
    </xf>
    <xf numFmtId="49" fontId="0" fillId="10" borderId="3" xfId="0" applyNumberFormat="1" applyFont="1" applyFill="1" applyBorder="1" applyAlignment="1">
      <alignment vertical="top" wrapText="1"/>
    </xf>
    <xf numFmtId="0" fontId="0" fillId="10" borderId="4" xfId="0" applyFont="1" applyFill="1" applyBorder="1" applyAlignment="1">
      <alignment vertical="top" wrapText="1"/>
    </xf>
    <xf numFmtId="0" fontId="0" fillId="10" borderId="4" xfId="0" applyNumberFormat="1" applyFont="1" applyFill="1" applyBorder="1" applyAlignment="1">
      <alignment vertical="top" wrapText="1"/>
    </xf>
    <xf numFmtId="49" fontId="0" fillId="10" borderId="4" xfId="0" applyNumberFormat="1" applyFont="1" applyFill="1" applyBorder="1" applyAlignment="1">
      <alignment vertical="top" wrapText="1"/>
    </xf>
    <xf numFmtId="49" fontId="0" fillId="0" borderId="6" xfId="0" applyNumberFormat="1" applyFont="1" applyBorder="1" applyAlignment="1">
      <alignment vertical="top" wrapText="1"/>
    </xf>
    <xf numFmtId="0" fontId="0" fillId="11" borderId="7" xfId="0" applyNumberFormat="1" applyFont="1" applyFill="1" applyBorder="1" applyAlignment="1">
      <alignment vertical="top" wrapText="1"/>
    </xf>
    <xf numFmtId="0" fontId="0" fillId="7" borderId="7" xfId="0" applyNumberFormat="1" applyFont="1" applyFill="1" applyBorder="1" applyAlignment="1">
      <alignment vertical="top" wrapText="1"/>
    </xf>
    <xf numFmtId="0" fontId="0" fillId="12" borderId="7" xfId="0" applyNumberFormat="1" applyFont="1" applyFill="1" applyBorder="1" applyAlignment="1">
      <alignment vertical="top" wrapText="1"/>
    </xf>
    <xf numFmtId="0" fontId="0" fillId="13" borderId="7" xfId="0" applyNumberFormat="1" applyFont="1" applyFill="1" applyBorder="1" applyAlignment="1">
      <alignment vertical="top" wrapText="1"/>
    </xf>
    <xf numFmtId="0" fontId="0" fillId="13" borderId="7" xfId="0" applyFont="1" applyFill="1" applyBorder="1" applyAlignment="1">
      <alignment vertical="top" wrapText="1"/>
    </xf>
    <xf numFmtId="0" fontId="0" fillId="9" borderId="7" xfId="0" applyNumberFormat="1" applyFont="1" applyFill="1" applyBorder="1" applyAlignment="1">
      <alignment vertical="top" wrapText="1"/>
    </xf>
    <xf numFmtId="164" fontId="0" fillId="9" borderId="7" xfId="0" applyNumberFormat="1" applyFont="1" applyFill="1" applyBorder="1" applyAlignment="1">
      <alignment vertical="top" wrapText="1"/>
    </xf>
    <xf numFmtId="165" fontId="0" fillId="0" borderId="7" xfId="0" applyNumberFormat="1" applyFont="1" applyBorder="1" applyAlignment="1">
      <alignment vertical="top" wrapText="1"/>
    </xf>
    <xf numFmtId="0" fontId="0" fillId="14" borderId="7" xfId="0" applyNumberFormat="1" applyFont="1" applyFill="1" applyBorder="1" applyAlignment="1">
      <alignment vertical="top" wrapText="1"/>
    </xf>
    <xf numFmtId="0" fontId="0" fillId="15" borderId="7" xfId="0" applyNumberFormat="1" applyFont="1" applyFill="1" applyBorder="1" applyAlignment="1">
      <alignment vertical="top" wrapText="1"/>
    </xf>
    <xf numFmtId="0" fontId="0" fillId="0" borderId="18" xfId="0" applyFont="1" applyBorder="1" applyAlignment="1">
      <alignment vertical="top" wrapText="1"/>
    </xf>
    <xf numFmtId="0" fontId="0" fillId="0" borderId="19" xfId="0" applyFont="1" applyBorder="1" applyAlignment="1">
      <alignment vertical="top" wrapText="1"/>
    </xf>
    <xf numFmtId="49" fontId="0" fillId="7" borderId="20" xfId="0" applyNumberFormat="1" applyFont="1" applyFill="1" applyBorder="1" applyAlignment="1">
      <alignment vertical="top" wrapText="1"/>
    </xf>
    <xf numFmtId="49" fontId="0" fillId="0" borderId="21" xfId="0" applyNumberFormat="1" applyFont="1" applyBorder="1" applyAlignment="1">
      <alignment vertical="top" wrapText="1"/>
    </xf>
    <xf numFmtId="49" fontId="0" fillId="7" borderId="21" xfId="0" applyNumberFormat="1" applyFont="1" applyFill="1" applyBorder="1" applyAlignment="1">
      <alignment vertical="top" wrapText="1"/>
    </xf>
    <xf numFmtId="49" fontId="0" fillId="0" borderId="22" xfId="0" applyNumberFormat="1" applyFont="1" applyBorder="1" applyAlignment="1">
      <alignment vertical="top" wrapText="1"/>
    </xf>
    <xf numFmtId="0" fontId="0" fillId="0" borderId="23" xfId="0" applyNumberFormat="1" applyFont="1" applyBorder="1" applyAlignment="1">
      <alignment vertical="top" wrapText="1"/>
    </xf>
    <xf numFmtId="164" fontId="0" fillId="0" borderId="7" xfId="0" applyNumberFormat="1" applyFont="1" applyBorder="1" applyAlignment="1">
      <alignment vertical="top" wrapText="1"/>
    </xf>
    <xf numFmtId="166" fontId="0" fillId="0" borderId="19" xfId="0" applyNumberFormat="1" applyFont="1" applyBorder="1" applyAlignment="1">
      <alignment vertical="top" wrapText="1"/>
    </xf>
    <xf numFmtId="0" fontId="0" fillId="0" borderId="23" xfId="0" applyFont="1" applyBorder="1" applyAlignment="1">
      <alignment vertical="top" wrapText="1"/>
    </xf>
    <xf numFmtId="0" fontId="0" fillId="16" borderId="7" xfId="0" applyNumberFormat="1" applyFont="1" applyFill="1" applyBorder="1" applyAlignment="1">
      <alignment vertical="top" wrapText="1"/>
    </xf>
    <xf numFmtId="49" fontId="0" fillId="0" borderId="19" xfId="0" applyNumberFormat="1" applyFont="1" applyBorder="1" applyAlignment="1">
      <alignment vertical="top" wrapText="1"/>
    </xf>
    <xf numFmtId="0" fontId="0" fillId="0" borderId="24" xfId="0" applyFont="1" applyBorder="1" applyAlignment="1">
      <alignment vertical="top" wrapText="1"/>
    </xf>
    <xf numFmtId="166" fontId="0" fillId="0" borderId="25" xfId="0" applyNumberFormat="1" applyFont="1" applyBorder="1" applyAlignment="1">
      <alignment vertical="top" wrapText="1"/>
    </xf>
    <xf numFmtId="0" fontId="0" fillId="0" borderId="21" xfId="0" applyFont="1" applyBorder="1" applyAlignment="1">
      <alignment vertical="top" wrapText="1"/>
    </xf>
    <xf numFmtId="0" fontId="0" fillId="0" borderId="0" xfId="0" applyNumberFormat="1" applyFont="1" applyAlignment="1">
      <alignment vertical="top" wrapText="1"/>
    </xf>
    <xf numFmtId="49" fontId="4" fillId="5" borderId="2" xfId="0" applyNumberFormat="1" applyFont="1" applyFill="1" applyBorder="1" applyAlignment="1">
      <alignment vertical="top" wrapText="1"/>
    </xf>
    <xf numFmtId="0"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0" fillId="0" borderId="0" xfId="0" applyNumberFormat="1" applyFont="1" applyAlignment="1">
      <alignment vertical="top" wrapText="1"/>
    </xf>
    <xf numFmtId="49" fontId="0" fillId="0" borderId="3" xfId="0" applyNumberFormat="1" applyFont="1" applyBorder="1" applyAlignment="1">
      <alignment vertical="top" wrapText="1"/>
    </xf>
    <xf numFmtId="167" fontId="0" fillId="0" borderId="4" xfId="0" applyNumberFormat="1" applyFont="1" applyBorder="1" applyAlignment="1">
      <alignment vertical="top" wrapText="1"/>
    </xf>
    <xf numFmtId="49" fontId="0" fillId="0" borderId="4" xfId="0" applyNumberFormat="1" applyFont="1" applyBorder="1" applyAlignment="1">
      <alignment vertical="top" wrapText="1"/>
    </xf>
    <xf numFmtId="168" fontId="0" fillId="0" borderId="4" xfId="0" applyNumberFormat="1" applyFont="1" applyBorder="1" applyAlignment="1">
      <alignment vertical="top" wrapText="1"/>
    </xf>
    <xf numFmtId="0" fontId="0" fillId="8" borderId="4" xfId="0" applyNumberFormat="1" applyFont="1" applyFill="1" applyBorder="1" applyAlignment="1">
      <alignment vertical="top" wrapText="1"/>
    </xf>
    <xf numFmtId="0" fontId="0" fillId="8" borderId="4" xfId="0" applyFont="1" applyFill="1" applyBorder="1" applyAlignment="1">
      <alignment vertical="top" wrapText="1"/>
    </xf>
    <xf numFmtId="169" fontId="0" fillId="0" borderId="7" xfId="0" applyNumberFormat="1" applyFont="1" applyBorder="1" applyAlignment="1">
      <alignment vertical="top" wrapText="1"/>
    </xf>
    <xf numFmtId="170" fontId="0" fillId="0" borderId="7" xfId="0" applyNumberFormat="1" applyFont="1" applyBorder="1" applyAlignment="1">
      <alignment vertical="top" wrapText="1"/>
    </xf>
    <xf numFmtId="0" fontId="0" fillId="8" borderId="7" xfId="0" applyFont="1" applyFill="1" applyBorder="1" applyAlignment="1">
      <alignment vertical="top" wrapText="1"/>
    </xf>
    <xf numFmtId="171" fontId="0" fillId="0" borderId="7" xfId="0" applyNumberFormat="1" applyFont="1" applyBorder="1" applyAlignment="1">
      <alignment vertical="top" wrapText="1"/>
    </xf>
    <xf numFmtId="172" fontId="0" fillId="0" borderId="7" xfId="0" applyNumberFormat="1" applyFont="1" applyBorder="1" applyAlignment="1">
      <alignment vertical="top" wrapText="1"/>
    </xf>
    <xf numFmtId="170" fontId="0" fillId="8" borderId="7" xfId="0" applyNumberFormat="1" applyFont="1" applyFill="1" applyBorder="1" applyAlignment="1">
      <alignment vertical="top" wrapText="1"/>
    </xf>
    <xf numFmtId="173" fontId="0" fillId="0" borderId="7" xfId="0" applyNumberFormat="1" applyFont="1" applyBorder="1" applyAlignment="1">
      <alignment vertical="top" wrapText="1"/>
    </xf>
    <xf numFmtId="174" fontId="0" fillId="0" borderId="7" xfId="0" applyNumberFormat="1" applyFont="1" applyBorder="1" applyAlignment="1">
      <alignment vertical="top" wrapText="1"/>
    </xf>
    <xf numFmtId="175" fontId="0" fillId="0" borderId="7" xfId="0" applyNumberFormat="1" applyFont="1" applyBorder="1" applyAlignment="1">
      <alignment vertical="top" wrapText="1"/>
    </xf>
    <xf numFmtId="176" fontId="0" fillId="0" borderId="7" xfId="0" applyNumberFormat="1" applyFont="1" applyBorder="1" applyAlignment="1">
      <alignment vertical="top" wrapText="1"/>
    </xf>
    <xf numFmtId="177" fontId="0" fillId="0" borderId="7" xfId="0" applyNumberFormat="1" applyFont="1" applyBorder="1" applyAlignment="1">
      <alignment vertical="top" wrapText="1"/>
    </xf>
    <xf numFmtId="178" fontId="0" fillId="0" borderId="7" xfId="0" applyNumberFormat="1" applyFont="1" applyBorder="1" applyAlignment="1">
      <alignment vertical="top" wrapText="1"/>
    </xf>
    <xf numFmtId="179" fontId="0" fillId="0" borderId="7" xfId="0" applyNumberFormat="1" applyFont="1" applyBorder="1" applyAlignment="1">
      <alignment vertical="top" wrapText="1"/>
    </xf>
    <xf numFmtId="180" fontId="0" fillId="0" borderId="7" xfId="0" applyNumberFormat="1" applyFont="1" applyBorder="1" applyAlignment="1">
      <alignment vertical="top" wrapText="1"/>
    </xf>
    <xf numFmtId="181" fontId="0" fillId="0" borderId="7" xfId="0" applyNumberFormat="1" applyFont="1" applyBorder="1" applyAlignment="1">
      <alignment vertical="top" wrapText="1"/>
    </xf>
    <xf numFmtId="182" fontId="0" fillId="0" borderId="7" xfId="0" applyNumberFormat="1" applyFont="1" applyBorder="1" applyAlignment="1">
      <alignment vertical="top" wrapText="1"/>
    </xf>
    <xf numFmtId="49" fontId="4" fillId="0" borderId="6" xfId="0" applyNumberFormat="1" applyFont="1" applyBorder="1" applyAlignment="1">
      <alignment vertical="top" wrapText="1"/>
    </xf>
    <xf numFmtId="49" fontId="4" fillId="0" borderId="7" xfId="0" applyNumberFormat="1" applyFont="1" applyBorder="1" applyAlignment="1">
      <alignment vertical="top" wrapText="1"/>
    </xf>
    <xf numFmtId="0" fontId="4" fillId="5" borderId="5" xfId="0" applyNumberFormat="1" applyFont="1" applyFill="1" applyBorder="1" applyAlignment="1">
      <alignment vertical="top" wrapText="1"/>
    </xf>
    <xf numFmtId="183" fontId="0" fillId="0" borderId="7" xfId="0" applyNumberFormat="1" applyFont="1" applyBorder="1" applyAlignment="1">
      <alignment vertical="top" wrapText="1"/>
    </xf>
    <xf numFmtId="0" fontId="0" fillId="0" borderId="0" xfId="0" applyNumberFormat="1" applyFont="1" applyAlignment="1">
      <alignment vertical="top" wrapText="1"/>
    </xf>
    <xf numFmtId="173" fontId="0" fillId="0" borderId="4" xfId="0" applyNumberFormat="1" applyFont="1" applyBorder="1" applyAlignment="1">
      <alignment vertical="top" wrapText="1"/>
    </xf>
    <xf numFmtId="184" fontId="0" fillId="0" borderId="7" xfId="0" applyNumberFormat="1" applyFont="1" applyBorder="1" applyAlignment="1">
      <alignment vertical="top" wrapText="1"/>
    </xf>
    <xf numFmtId="0" fontId="0" fillId="0" borderId="26" xfId="0" applyFont="1" applyBorder="1" applyAlignment="1">
      <alignment vertical="top" wrapText="1"/>
    </xf>
    <xf numFmtId="49" fontId="0" fillId="0" borderId="26" xfId="0" applyNumberFormat="1" applyFont="1" applyBorder="1" applyAlignment="1">
      <alignment vertical="top" wrapText="1"/>
    </xf>
    <xf numFmtId="185" fontId="0" fillId="0" borderId="7" xfId="0" applyNumberFormat="1" applyFont="1" applyBorder="1" applyAlignment="1">
      <alignment vertical="top" wrapText="1"/>
    </xf>
    <xf numFmtId="183" fontId="0" fillId="0" borderId="27" xfId="0" applyNumberFormat="1" applyFont="1" applyBorder="1" applyAlignment="1">
      <alignment vertical="top" wrapText="1"/>
    </xf>
    <xf numFmtId="49" fontId="0" fillId="7" borderId="28" xfId="0" applyNumberFormat="1" applyFont="1" applyFill="1" applyBorder="1" applyAlignment="1">
      <alignment vertical="top" wrapText="1"/>
    </xf>
    <xf numFmtId="49" fontId="0" fillId="7" borderId="29" xfId="0" applyNumberFormat="1" applyFont="1" applyFill="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49" fontId="0" fillId="0" borderId="31" xfId="0" applyNumberFormat="1" applyFont="1" applyBorder="1" applyAlignment="1">
      <alignment vertical="top" wrapText="1"/>
    </xf>
    <xf numFmtId="186" fontId="0" fillId="0" borderId="7" xfId="0" applyNumberFormat="1" applyFont="1" applyBorder="1" applyAlignment="1">
      <alignment vertical="top" wrapText="1"/>
    </xf>
    <xf numFmtId="164" fontId="0" fillId="6" borderId="7" xfId="0" applyNumberFormat="1" applyFont="1" applyFill="1" applyBorder="1" applyAlignment="1">
      <alignment vertical="top" wrapText="1"/>
    </xf>
    <xf numFmtId="187" fontId="0" fillId="0" borderId="7" xfId="0" applyNumberFormat="1" applyFont="1" applyBorder="1" applyAlignment="1">
      <alignment vertical="top" wrapText="1"/>
    </xf>
    <xf numFmtId="49" fontId="0" fillId="11" borderId="7" xfId="0" applyNumberFormat="1" applyFont="1" applyFill="1" applyBorder="1" applyAlignment="1">
      <alignment vertical="top" wrapText="1"/>
    </xf>
    <xf numFmtId="49" fontId="0" fillId="7" borderId="7" xfId="0" applyNumberFormat="1" applyFont="1" applyFill="1" applyBorder="1" applyAlignment="1">
      <alignment vertical="top" wrapText="1"/>
    </xf>
    <xf numFmtId="188" fontId="0" fillId="8" borderId="7" xfId="0" applyNumberFormat="1" applyFont="1" applyFill="1" applyBorder="1" applyAlignment="1">
      <alignment vertical="top" wrapText="1"/>
    </xf>
    <xf numFmtId="0" fontId="0" fillId="6" borderId="7" xfId="0" applyNumberFormat="1" applyFont="1" applyFill="1" applyBorder="1" applyAlignment="1">
      <alignment vertical="top" wrapText="1"/>
    </xf>
    <xf numFmtId="189" fontId="0" fillId="14" borderId="7" xfId="0" applyNumberFormat="1" applyFont="1" applyFill="1" applyBorder="1" applyAlignment="1">
      <alignment vertical="top" wrapText="1"/>
    </xf>
    <xf numFmtId="49" fontId="0" fillId="6" borderId="7" xfId="0" applyNumberFormat="1" applyFont="1" applyFill="1" applyBorder="1" applyAlignment="1">
      <alignment vertical="top" wrapText="1"/>
    </xf>
    <xf numFmtId="49" fontId="0" fillId="14" borderId="7" xfId="0" applyNumberFormat="1" applyFont="1" applyFill="1" applyBorder="1" applyAlignment="1">
      <alignment vertical="top" wrapText="1"/>
    </xf>
    <xf numFmtId="49" fontId="0" fillId="8" borderId="7" xfId="0" applyNumberFormat="1" applyFont="1" applyFill="1" applyBorder="1" applyAlignment="1">
      <alignment vertical="top" wrapText="1"/>
    </xf>
    <xf numFmtId="190" fontId="0" fillId="0" borderId="7" xfId="0" applyNumberFormat="1" applyFont="1" applyBorder="1" applyAlignment="1">
      <alignment vertical="top" wrapText="1"/>
    </xf>
    <xf numFmtId="191" fontId="0" fillId="14" borderId="7" xfId="0" applyNumberFormat="1" applyFont="1" applyFill="1" applyBorder="1" applyAlignment="1">
      <alignment vertical="top" wrapText="1"/>
    </xf>
    <xf numFmtId="167" fontId="0" fillId="0" borderId="7" xfId="0" applyNumberFormat="1" applyFont="1" applyBorder="1" applyAlignment="1">
      <alignment vertical="top" wrapText="1"/>
    </xf>
    <xf numFmtId="0" fontId="0" fillId="12" borderId="7" xfId="0" applyFont="1" applyFill="1" applyBorder="1" applyAlignment="1">
      <alignment vertical="top" wrapText="1"/>
    </xf>
    <xf numFmtId="49" fontId="0" fillId="12" borderId="7" xfId="0" applyNumberFormat="1" applyFont="1" applyFill="1" applyBorder="1" applyAlignment="1">
      <alignment vertical="top" wrapText="1"/>
    </xf>
    <xf numFmtId="168" fontId="0" fillId="0" borderId="7" xfId="0" applyNumberFormat="1" applyFont="1" applyBorder="1" applyAlignment="1">
      <alignment vertical="top" wrapText="1"/>
    </xf>
    <xf numFmtId="0" fontId="0" fillId="0" borderId="0" xfId="0" applyNumberFormat="1" applyFont="1" applyAlignment="1">
      <alignment vertical="top" wrapText="1"/>
    </xf>
    <xf numFmtId="0" fontId="4" fillId="4" borderId="18" xfId="0" applyFont="1" applyFill="1" applyBorder="1" applyAlignment="1">
      <alignment vertical="top" wrapText="1"/>
    </xf>
    <xf numFmtId="49" fontId="4" fillId="5" borderId="32" xfId="0" applyNumberFormat="1" applyFont="1" applyFill="1" applyBorder="1" applyAlignment="1">
      <alignment vertical="top" wrapText="1"/>
    </xf>
    <xf numFmtId="164" fontId="0" fillId="0" borderId="33" xfId="0" applyNumberFormat="1" applyFont="1" applyBorder="1" applyAlignment="1">
      <alignment vertical="top" wrapText="1"/>
    </xf>
    <xf numFmtId="49" fontId="0" fillId="0" borderId="34" xfId="0" applyNumberFormat="1" applyFont="1" applyBorder="1" applyAlignment="1">
      <alignment vertical="top" wrapText="1"/>
    </xf>
    <xf numFmtId="49" fontId="4" fillId="5" borderId="35" xfId="0" applyNumberFormat="1" applyFont="1" applyFill="1" applyBorder="1" applyAlignment="1">
      <alignment vertical="top" wrapText="1"/>
    </xf>
    <xf numFmtId="0" fontId="0" fillId="0" borderId="36" xfId="0" applyNumberFormat="1" applyFont="1" applyBorder="1" applyAlignment="1">
      <alignment vertical="top" wrapText="1"/>
    </xf>
    <xf numFmtId="184" fontId="0" fillId="0" borderId="36" xfId="0" applyNumberFormat="1" applyFont="1" applyBorder="1" applyAlignment="1">
      <alignment vertical="top" wrapText="1"/>
    </xf>
    <xf numFmtId="0" fontId="0" fillId="0" borderId="37" xfId="0" applyFont="1" applyBorder="1" applyAlignment="1">
      <alignment vertical="top" wrapText="1"/>
    </xf>
    <xf numFmtId="164" fontId="0" fillId="0" borderId="38" xfId="0" applyNumberFormat="1" applyFont="1" applyBorder="1" applyAlignment="1">
      <alignment vertical="top" wrapText="1"/>
    </xf>
    <xf numFmtId="49" fontId="0" fillId="7" borderId="39" xfId="0" applyNumberFormat="1" applyFont="1" applyFill="1" applyBorder="1" applyAlignment="1">
      <alignment vertical="top" wrapText="1"/>
    </xf>
    <xf numFmtId="0" fontId="0" fillId="0" borderId="40" xfId="0" applyFont="1" applyBorder="1" applyAlignment="1">
      <alignment vertical="top" wrapText="1"/>
    </xf>
    <xf numFmtId="173" fontId="0" fillId="0" borderId="36" xfId="0" applyNumberFormat="1" applyFont="1" applyBorder="1" applyAlignment="1">
      <alignment vertical="top" wrapText="1"/>
    </xf>
    <xf numFmtId="186" fontId="0" fillId="0" borderId="36" xfId="0" applyNumberFormat="1" applyFont="1" applyBorder="1" applyAlignment="1">
      <alignment vertical="top" wrapText="1"/>
    </xf>
    <xf numFmtId="187" fontId="0" fillId="0" borderId="36" xfId="0" applyNumberFormat="1" applyFont="1" applyBorder="1" applyAlignment="1">
      <alignment vertical="top" wrapText="1"/>
    </xf>
    <xf numFmtId="49" fontId="4" fillId="5" borderId="41" xfId="0" applyNumberFormat="1" applyFont="1" applyFill="1" applyBorder="1" applyAlignment="1">
      <alignment vertical="top" wrapText="1"/>
    </xf>
    <xf numFmtId="164" fontId="0" fillId="0" borderId="42" xfId="0" applyNumberFormat="1" applyFont="1" applyBorder="1" applyAlignment="1">
      <alignment vertical="top" wrapText="1"/>
    </xf>
    <xf numFmtId="49" fontId="4" fillId="5" borderId="43" xfId="0" applyNumberFormat="1" applyFont="1" applyFill="1" applyBorder="1" applyAlignment="1">
      <alignment vertical="top" wrapText="1"/>
    </xf>
    <xf numFmtId="180" fontId="0" fillId="8" borderId="44" xfId="0" applyNumberFormat="1" applyFont="1" applyFill="1" applyBorder="1" applyAlignment="1">
      <alignment vertical="top" wrapText="1"/>
    </xf>
    <xf numFmtId="0" fontId="4" fillId="5" borderId="45" xfId="0" applyFont="1" applyFill="1" applyBorder="1" applyAlignment="1">
      <alignment vertical="top" wrapText="1"/>
    </xf>
    <xf numFmtId="49" fontId="0" fillId="0" borderId="46" xfId="0" applyNumberFormat="1" applyFont="1" applyBorder="1" applyAlignment="1">
      <alignment vertical="top" wrapText="1"/>
    </xf>
    <xf numFmtId="192" fontId="0" fillId="14" borderId="7" xfId="0" applyNumberFormat="1" applyFont="1" applyFill="1" applyBorder="1" applyAlignment="1">
      <alignment vertical="top" wrapText="1"/>
    </xf>
    <xf numFmtId="49" fontId="4" fillId="5" borderId="47" xfId="0" applyNumberFormat="1" applyFont="1" applyFill="1" applyBorder="1" applyAlignment="1">
      <alignment vertical="top" wrapText="1"/>
    </xf>
    <xf numFmtId="0" fontId="0" fillId="12" borderId="48" xfId="0" applyNumberFormat="1" applyFont="1" applyFill="1" applyBorder="1" applyAlignment="1">
      <alignment vertical="top" wrapText="1"/>
    </xf>
    <xf numFmtId="176" fontId="0" fillId="0" borderId="44" xfId="0" applyNumberFormat="1" applyFont="1" applyBorder="1" applyAlignment="1">
      <alignment vertical="top" wrapText="1"/>
    </xf>
    <xf numFmtId="180" fontId="0" fillId="8" borderId="46" xfId="0" applyNumberFormat="1" applyFont="1" applyFill="1" applyBorder="1" applyAlignment="1">
      <alignment vertical="top" wrapText="1"/>
    </xf>
    <xf numFmtId="0" fontId="4" fillId="5" borderId="19" xfId="0" applyFont="1" applyFill="1" applyBorder="1" applyAlignment="1">
      <alignment vertical="top" wrapText="1"/>
    </xf>
    <xf numFmtId="49" fontId="0" fillId="0" borderId="49" xfId="0" applyNumberFormat="1" applyFont="1" applyBorder="1" applyAlignment="1">
      <alignment vertical="top" wrapText="1"/>
    </xf>
    <xf numFmtId="181" fontId="0" fillId="14" borderId="50" xfId="0" applyNumberFormat="1" applyFont="1" applyFill="1" applyBorder="1" applyAlignment="1">
      <alignment vertical="top" wrapText="1"/>
    </xf>
    <xf numFmtId="164" fontId="0" fillId="0" borderId="44" xfId="0" applyNumberFormat="1" applyFont="1" applyBorder="1" applyAlignment="1">
      <alignment vertical="top" wrapText="1"/>
    </xf>
    <xf numFmtId="49" fontId="0" fillId="0" borderId="20" xfId="0" applyNumberFormat="1" applyFont="1" applyBorder="1" applyAlignment="1">
      <alignment vertical="top" wrapText="1"/>
    </xf>
    <xf numFmtId="193" fontId="0" fillId="0" borderId="22" xfId="0" applyNumberFormat="1" applyFont="1" applyBorder="1" applyAlignment="1">
      <alignment vertical="top" wrapText="1"/>
    </xf>
    <xf numFmtId="49" fontId="4" fillId="5" borderId="45" xfId="0" applyNumberFormat="1" applyFont="1" applyFill="1" applyBorder="1" applyAlignment="1">
      <alignment vertical="top" wrapText="1"/>
    </xf>
    <xf numFmtId="169" fontId="0" fillId="0" borderId="46" xfId="0" applyNumberFormat="1" applyFont="1" applyBorder="1" applyAlignment="1">
      <alignment vertical="top" wrapText="1"/>
    </xf>
    <xf numFmtId="49" fontId="0" fillId="0" borderId="23" xfId="0" applyNumberFormat="1" applyFont="1" applyBorder="1" applyAlignment="1">
      <alignment vertical="top" wrapText="1"/>
    </xf>
    <xf numFmtId="194" fontId="0" fillId="0" borderId="19" xfId="0" applyNumberFormat="1" applyFont="1" applyBorder="1" applyAlignment="1">
      <alignment vertical="top" wrapText="1"/>
    </xf>
    <xf numFmtId="167" fontId="0" fillId="0" borderId="33" xfId="0" applyNumberFormat="1" applyFont="1" applyBorder="1" applyAlignment="1">
      <alignment vertical="top" wrapText="1"/>
    </xf>
    <xf numFmtId="170" fontId="0" fillId="0" borderId="19" xfId="0" applyNumberFormat="1" applyFont="1" applyBorder="1" applyAlignment="1">
      <alignment vertical="top" wrapText="1"/>
    </xf>
    <xf numFmtId="172" fontId="0" fillId="0" borderId="36" xfId="0" applyNumberFormat="1" applyFont="1" applyBorder="1" applyAlignment="1">
      <alignment vertical="top" wrapText="1"/>
    </xf>
    <xf numFmtId="164" fontId="0" fillId="0" borderId="19" xfId="0" applyNumberFormat="1" applyFont="1" applyBorder="1" applyAlignment="1">
      <alignment vertical="top" wrapText="1"/>
    </xf>
    <xf numFmtId="168" fontId="0" fillId="11" borderId="36" xfId="0" applyNumberFormat="1" applyFont="1" applyFill="1" applyBorder="1" applyAlignment="1">
      <alignment vertical="top" wrapText="1"/>
    </xf>
    <xf numFmtId="195" fontId="0" fillId="7" borderId="19" xfId="0" applyNumberFormat="1" applyFont="1" applyFill="1" applyBorder="1" applyAlignment="1">
      <alignment vertical="top" wrapText="1"/>
    </xf>
    <xf numFmtId="169" fontId="0" fillId="0" borderId="36" xfId="0" applyNumberFormat="1" applyFont="1" applyBorder="1" applyAlignment="1">
      <alignment vertical="top" wrapText="1"/>
    </xf>
    <xf numFmtId="168" fontId="0" fillId="0" borderId="19" xfId="0" applyNumberFormat="1" applyFont="1" applyBorder="1" applyAlignment="1">
      <alignment vertical="top" wrapText="1"/>
    </xf>
    <xf numFmtId="0" fontId="0" fillId="0" borderId="25" xfId="0" applyFont="1" applyBorder="1" applyAlignment="1">
      <alignment vertical="top" wrapText="1"/>
    </xf>
    <xf numFmtId="196" fontId="0" fillId="7" borderId="25" xfId="0" applyNumberFormat="1" applyFont="1" applyFill="1" applyBorder="1" applyAlignment="1">
      <alignment vertical="top" wrapText="1"/>
    </xf>
    <xf numFmtId="167" fontId="0" fillId="14" borderId="42" xfId="0" applyNumberFormat="1" applyFont="1" applyFill="1" applyBorder="1" applyAlignment="1">
      <alignment vertical="top" wrapText="1"/>
    </xf>
    <xf numFmtId="183" fontId="0" fillId="0" borderId="50" xfId="0" applyNumberFormat="1" applyFont="1" applyBorder="1" applyAlignment="1">
      <alignment vertical="top" wrapText="1"/>
    </xf>
    <xf numFmtId="0" fontId="0" fillId="0" borderId="51" xfId="0" applyFont="1" applyBorder="1" applyAlignment="1">
      <alignment vertical="top" wrapText="1"/>
    </xf>
    <xf numFmtId="0" fontId="0" fillId="0" borderId="52" xfId="0" applyFont="1" applyBorder="1" applyAlignment="1">
      <alignment vertical="top" wrapText="1"/>
    </xf>
    <xf numFmtId="0" fontId="4" fillId="5" borderId="53" xfId="0" applyFont="1" applyFill="1" applyBorder="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49" fontId="0" fillId="0" borderId="56" xfId="0" applyNumberFormat="1" applyFont="1" applyBorder="1" applyAlignment="1">
      <alignment vertical="top" wrapText="1"/>
    </xf>
    <xf numFmtId="0" fontId="0" fillId="0" borderId="57" xfId="0" applyNumberFormat="1" applyFont="1" applyBorder="1" applyAlignment="1">
      <alignment vertical="top" wrapText="1"/>
    </xf>
    <xf numFmtId="0" fontId="0" fillId="0" borderId="58" xfId="0" applyFont="1" applyBorder="1" applyAlignment="1">
      <alignment vertical="top" wrapText="1"/>
    </xf>
    <xf numFmtId="0" fontId="0" fillId="0" borderId="33" xfId="0" applyNumberFormat="1" applyFont="1" applyBorder="1" applyAlignment="1">
      <alignment vertical="top" wrapText="1"/>
    </xf>
    <xf numFmtId="0" fontId="0" fillId="0" borderId="59" xfId="0" applyFont="1" applyBorder="1" applyAlignment="1">
      <alignment vertical="top" wrapText="1"/>
    </xf>
    <xf numFmtId="49" fontId="0" fillId="0" borderId="58" xfId="0" applyNumberFormat="1" applyFont="1" applyBorder="1" applyAlignment="1">
      <alignment vertical="top" wrapText="1"/>
    </xf>
    <xf numFmtId="0" fontId="0" fillId="0" borderId="59" xfId="0" applyNumberFormat="1" applyFont="1" applyBorder="1" applyAlignment="1">
      <alignment vertical="top" wrapText="1"/>
    </xf>
    <xf numFmtId="167" fontId="0" fillId="0" borderId="36" xfId="0" applyNumberFormat="1" applyFont="1" applyBorder="1" applyAlignment="1">
      <alignment vertical="top" wrapText="1"/>
    </xf>
    <xf numFmtId="49" fontId="0" fillId="0" borderId="60" xfId="0" applyNumberFormat="1" applyFont="1" applyBorder="1" applyAlignment="1">
      <alignment vertical="top" wrapText="1"/>
    </xf>
    <xf numFmtId="182" fontId="0" fillId="8" borderId="61" xfId="0" applyNumberFormat="1" applyFont="1" applyFill="1" applyBorder="1" applyAlignment="1">
      <alignment vertical="top" wrapText="1"/>
    </xf>
    <xf numFmtId="49" fontId="4" fillId="5" borderId="62" xfId="0" applyNumberFormat="1" applyFont="1" applyFill="1" applyBorder="1" applyAlignment="1">
      <alignment vertical="top" wrapText="1"/>
    </xf>
    <xf numFmtId="170" fontId="0" fillId="0" borderId="63" xfId="0" applyNumberFormat="1" applyFont="1" applyBorder="1" applyAlignment="1">
      <alignment vertical="top" wrapText="1"/>
    </xf>
    <xf numFmtId="0" fontId="0" fillId="0" borderId="64" xfId="0" applyFont="1" applyBorder="1" applyAlignment="1">
      <alignment vertical="top" wrapText="1"/>
    </xf>
    <xf numFmtId="164" fontId="0" fillId="0" borderId="64" xfId="0" applyNumberFormat="1" applyFont="1" applyBorder="1" applyAlignment="1">
      <alignment vertical="top" wrapText="1"/>
    </xf>
    <xf numFmtId="49" fontId="4" fillId="5" borderId="65" xfId="0" applyNumberFormat="1" applyFont="1" applyFill="1" applyBorder="1" applyAlignment="1">
      <alignment vertical="top" wrapText="1"/>
    </xf>
    <xf numFmtId="178" fontId="0" fillId="0" borderId="66" xfId="0" applyNumberFormat="1" applyFont="1" applyBorder="1" applyAlignment="1">
      <alignment vertical="top" wrapText="1"/>
    </xf>
    <xf numFmtId="0" fontId="0" fillId="0" borderId="67" xfId="0" applyFont="1" applyBorder="1" applyAlignment="1">
      <alignment vertical="top" wrapText="1"/>
    </xf>
    <xf numFmtId="49" fontId="4" fillId="5" borderId="68" xfId="0" applyNumberFormat="1" applyFont="1" applyFill="1" applyBorder="1" applyAlignment="1">
      <alignment vertical="top" wrapText="1"/>
    </xf>
    <xf numFmtId="190" fontId="0" fillId="7" borderId="69" xfId="0" applyNumberFormat="1" applyFont="1" applyFill="1" applyBorder="1" applyAlignment="1">
      <alignment vertical="top" wrapText="1"/>
    </xf>
    <xf numFmtId="49" fontId="0" fillId="0" borderId="67" xfId="0" applyNumberFormat="1" applyFont="1" applyBorder="1" applyAlignment="1">
      <alignment vertical="top" wrapText="1"/>
    </xf>
    <xf numFmtId="0" fontId="0" fillId="11" borderId="69" xfId="0" applyNumberFormat="1" applyFont="1" applyFill="1" applyBorder="1" applyAlignment="1">
      <alignment vertical="top" wrapText="1"/>
    </xf>
    <xf numFmtId="49" fontId="4" fillId="5" borderId="70" xfId="0" applyNumberFormat="1" applyFont="1" applyFill="1" applyBorder="1" applyAlignment="1">
      <alignment vertical="top" wrapText="1"/>
    </xf>
    <xf numFmtId="180" fontId="0" fillId="0" borderId="71" xfId="0" applyNumberFormat="1" applyFont="1" applyBorder="1" applyAlignment="1">
      <alignment vertical="top" wrapText="1"/>
    </xf>
    <xf numFmtId="0" fontId="0" fillId="0" borderId="72" xfId="0" applyFont="1" applyBorder="1" applyAlignment="1">
      <alignment vertical="top" wrapText="1"/>
    </xf>
    <xf numFmtId="164" fontId="0" fillId="0" borderId="72" xfId="0" applyNumberFormat="1" applyFont="1" applyBorder="1" applyAlignment="1">
      <alignment vertical="top" wrapText="1"/>
    </xf>
    <xf numFmtId="0" fontId="4" fillId="5" borderId="65" xfId="0" applyFont="1" applyFill="1" applyBorder="1" applyAlignment="1">
      <alignment vertical="top" wrapText="1"/>
    </xf>
    <xf numFmtId="0" fontId="0" fillId="0" borderId="66" xfId="0" applyFont="1" applyBorder="1" applyAlignment="1">
      <alignment vertical="top" wrapText="1"/>
    </xf>
    <xf numFmtId="164" fontId="0" fillId="0" borderId="57" xfId="0" applyNumberFormat="1" applyFont="1" applyBorder="1" applyAlignment="1">
      <alignment vertical="top" wrapText="1"/>
    </xf>
    <xf numFmtId="179" fontId="0" fillId="7" borderId="71" xfId="0" applyNumberFormat="1" applyFont="1" applyFill="1" applyBorder="1" applyAlignment="1">
      <alignment vertical="top" wrapText="1"/>
    </xf>
    <xf numFmtId="167" fontId="0" fillId="0" borderId="59" xfId="0" applyNumberFormat="1" applyFont="1" applyBorder="1" applyAlignment="1">
      <alignment vertical="top" wrapText="1"/>
    </xf>
    <xf numFmtId="0" fontId="4" fillId="5" borderId="73" xfId="0" applyFont="1" applyFill="1" applyBorder="1" applyAlignment="1">
      <alignment vertical="top" wrapText="1"/>
    </xf>
    <xf numFmtId="0" fontId="0" fillId="0" borderId="74" xfId="0" applyFont="1" applyBorder="1" applyAlignment="1">
      <alignment vertical="top" wrapText="1"/>
    </xf>
    <xf numFmtId="181" fontId="0" fillId="7" borderId="61" xfId="0" applyNumberFormat="1" applyFont="1" applyFill="1" applyBorder="1" applyAlignment="1">
      <alignment vertical="top" wrapText="1"/>
    </xf>
    <xf numFmtId="0" fontId="0" fillId="0" borderId="46" xfId="0" applyFont="1" applyBorder="1" applyAlignment="1">
      <alignment vertical="top" wrapText="1"/>
    </xf>
    <xf numFmtId="0" fontId="0" fillId="0" borderId="75" xfId="0" applyFont="1" applyBorder="1" applyAlignment="1">
      <alignment vertical="top" wrapText="1"/>
    </xf>
    <xf numFmtId="164" fontId="0" fillId="0" borderId="75" xfId="0" applyNumberFormat="1" applyFont="1" applyBorder="1" applyAlignment="1">
      <alignment vertical="top" wrapText="1"/>
    </xf>
    <xf numFmtId="167" fontId="0" fillId="0" borderId="42" xfId="0" applyNumberFormat="1" applyFont="1" applyBorder="1" applyAlignment="1">
      <alignment vertical="top" wrapText="1"/>
    </xf>
    <xf numFmtId="0" fontId="4" fillId="5" borderId="43" xfId="0" applyFont="1" applyFill="1" applyBorder="1" applyAlignment="1">
      <alignment vertical="top" wrapText="1"/>
    </xf>
    <xf numFmtId="0" fontId="0" fillId="0" borderId="44" xfId="0" applyFont="1" applyBorder="1" applyAlignment="1">
      <alignment vertical="top" wrapText="1"/>
    </xf>
    <xf numFmtId="0" fontId="4" fillId="5" borderId="76" xfId="0" applyFont="1" applyFill="1" applyBorder="1" applyAlignment="1">
      <alignment vertical="top" wrapText="1"/>
    </xf>
    <xf numFmtId="0" fontId="0" fillId="0" borderId="77" xfId="0" applyFont="1" applyBorder="1" applyAlignment="1">
      <alignment vertical="top" wrapText="1"/>
    </xf>
    <xf numFmtId="178" fontId="0" fillId="0" borderId="57" xfId="0" applyNumberFormat="1" applyFont="1" applyBorder="1" applyAlignment="1">
      <alignment vertical="top" wrapText="1"/>
    </xf>
    <xf numFmtId="182" fontId="0" fillId="7" borderId="61" xfId="0" applyNumberFormat="1" applyFont="1" applyFill="1" applyBorder="1" applyAlignment="1">
      <alignment vertical="top" wrapText="1"/>
    </xf>
    <xf numFmtId="182" fontId="0" fillId="0" borderId="58" xfId="0" applyNumberFormat="1" applyFont="1" applyBorder="1" applyAlignment="1">
      <alignment vertical="top" wrapText="1"/>
    </xf>
    <xf numFmtId="0" fontId="0" fillId="0" borderId="69" xfId="0" applyNumberFormat="1" applyFont="1" applyBorder="1" applyAlignment="1">
      <alignment vertical="top" wrapText="1"/>
    </xf>
    <xf numFmtId="183" fontId="0" fillId="0" borderId="71" xfId="0" applyNumberFormat="1" applyFont="1" applyBorder="1" applyAlignment="1">
      <alignment vertical="top" wrapText="1"/>
    </xf>
    <xf numFmtId="181" fontId="0" fillId="7" borderId="71" xfId="0" applyNumberFormat="1" applyFont="1" applyFill="1" applyBorder="1" applyAlignment="1">
      <alignment vertical="top" wrapText="1"/>
    </xf>
    <xf numFmtId="0" fontId="4" fillId="5" borderId="78" xfId="0" applyFont="1" applyFill="1" applyBorder="1" applyAlignment="1">
      <alignment vertical="top" wrapText="1"/>
    </xf>
    <xf numFmtId="0" fontId="0" fillId="0" borderId="79" xfId="0" applyFont="1" applyBorder="1" applyAlignment="1">
      <alignment vertical="top" wrapText="1"/>
    </xf>
    <xf numFmtId="49" fontId="4" fillId="5" borderId="80" xfId="0" applyNumberFormat="1" applyFont="1" applyFill="1" applyBorder="1" applyAlignment="1">
      <alignment vertical="top" wrapText="1"/>
    </xf>
    <xf numFmtId="179" fontId="0" fillId="17" borderId="81" xfId="0" applyNumberFormat="1" applyFont="1" applyFill="1" applyBorder="1" applyAlignment="1">
      <alignment vertical="top" wrapText="1"/>
    </xf>
    <xf numFmtId="0" fontId="0" fillId="0" borderId="82" xfId="0" applyFont="1" applyBorder="1" applyAlignment="1">
      <alignment vertical="top" wrapText="1"/>
    </xf>
    <xf numFmtId="49" fontId="4" fillId="5" borderId="83" xfId="0" applyNumberFormat="1" applyFont="1" applyFill="1" applyBorder="1" applyAlignment="1">
      <alignment vertical="top" wrapText="1"/>
    </xf>
    <xf numFmtId="197" fontId="0" fillId="0" borderId="84" xfId="0" applyNumberFormat="1" applyFont="1" applyBorder="1" applyAlignment="1">
      <alignment vertical="top" wrapText="1"/>
    </xf>
    <xf numFmtId="49" fontId="0" fillId="0" borderId="82" xfId="0" applyNumberFormat="1" applyFont="1" applyBorder="1" applyAlignment="1">
      <alignment vertical="top" wrapText="1"/>
    </xf>
    <xf numFmtId="164" fontId="0" fillId="0" borderId="18" xfId="0" applyNumberFormat="1" applyFont="1" applyBorder="1" applyAlignment="1">
      <alignment vertical="top" wrapText="1"/>
    </xf>
    <xf numFmtId="49" fontId="4" fillId="5" borderId="85" xfId="0" applyNumberFormat="1" applyFont="1" applyFill="1" applyBorder="1" applyAlignment="1">
      <alignment vertical="top" wrapText="1"/>
    </xf>
    <xf numFmtId="190" fontId="0" fillId="0" borderId="86" xfId="0" applyNumberFormat="1" applyFont="1" applyBorder="1" applyAlignment="1">
      <alignment vertical="top" wrapText="1"/>
    </xf>
    <xf numFmtId="183" fontId="0" fillId="0" borderId="21" xfId="0" applyNumberFormat="1" applyFont="1" applyBorder="1" applyAlignment="1">
      <alignment vertical="top" wrapText="1"/>
    </xf>
    <xf numFmtId="183" fontId="0" fillId="0" borderId="22" xfId="0" applyNumberFormat="1" applyFont="1" applyBorder="1" applyAlignment="1">
      <alignment vertical="top" wrapText="1"/>
    </xf>
    <xf numFmtId="0" fontId="4" fillId="5" borderId="87" xfId="0" applyFont="1" applyFill="1" applyBorder="1" applyAlignment="1">
      <alignment vertical="top" wrapText="1"/>
    </xf>
    <xf numFmtId="0" fontId="0" fillId="0" borderId="88" xfId="0" applyFont="1" applyBorder="1" applyAlignment="1">
      <alignment vertical="top" wrapText="1"/>
    </xf>
    <xf numFmtId="49" fontId="0" fillId="0" borderId="18" xfId="0" applyNumberFormat="1" applyFont="1" applyBorder="1" applyAlignment="1">
      <alignment vertical="top" wrapText="1"/>
    </xf>
    <xf numFmtId="49" fontId="0" fillId="0" borderId="25" xfId="0" applyNumberFormat="1" applyFont="1" applyBorder="1" applyAlignment="1">
      <alignment vertical="top" wrapText="1"/>
    </xf>
    <xf numFmtId="164" fontId="0" fillId="0" borderId="21" xfId="0" applyNumberFormat="1" applyFont="1" applyBorder="1" applyAlignment="1">
      <alignment vertical="top" wrapText="1"/>
    </xf>
    <xf numFmtId="0" fontId="0" fillId="0" borderId="0" xfId="0" applyNumberFormat="1" applyFont="1" applyAlignment="1">
      <alignment vertical="top" wrapText="1"/>
    </xf>
    <xf numFmtId="177" fontId="0" fillId="0" borderId="6" xfId="0" applyNumberFormat="1" applyFont="1" applyBorder="1" applyAlignment="1">
      <alignment vertical="top" wrapText="1"/>
    </xf>
    <xf numFmtId="195" fontId="0" fillId="0" borderId="7"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49" fontId="5" fillId="0" borderId="14" xfId="0" applyNumberFormat="1" applyFont="1" applyBorder="1" applyAlignment="1">
      <alignment horizontal="left" vertical="center" wrapText="1" readingOrder="1"/>
    </xf>
    <xf numFmtId="0" fontId="0" fillId="0" borderId="14" xfId="0"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8BA00"/>
      <rgbColor rgb="FFFEFB66"/>
      <rgbColor rgb="FF88F94E"/>
      <rgbColor rgb="FFCACACA"/>
      <rgbColor rgb="FFFF9300"/>
      <rgbColor rgb="FFED220B"/>
      <rgbColor rgb="FF72FCE9"/>
      <rgbColor rgb="FFFF968C"/>
      <rgbColor rgb="FFFAE232"/>
      <rgbColor rgb="FFFF8CC5"/>
      <rgbColor rgb="FF16E6CF"/>
      <rgbColor rgb="FF56C1FE"/>
      <rgbColor rgb="FFB8B8B8"/>
      <rgbColor rgb="FFFFFFFF"/>
      <rgbColor rgb="FFFEFDC9"/>
      <rgbColor rgb="FF00A1FE"/>
      <rgbColor rgb="FF919191"/>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8212400000000001E-2"/>
          <c:y val="0.12368"/>
          <c:w val="0.89928799999999998"/>
          <c:h val="0.81033699999999997"/>
        </c:manualLayout>
      </c:layout>
      <c:lineChart>
        <c:grouping val="standard"/>
        <c:varyColors val="0"/>
        <c:ser>
          <c:idx val="0"/>
          <c:order val="0"/>
          <c:tx>
            <c:strRef>
              <c:f>'Sheet 2'!$D$2</c:f>
              <c:strCache>
                <c:ptCount val="1"/>
                <c:pt idx="0">
                  <c:v>Vx(t)</c:v>
                </c:pt>
              </c:strCache>
            </c:strRef>
          </c:tx>
          <c:spPr>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spPr>
              <a:noFill/>
              <a:ln>
                <a:noFill/>
              </a:ln>
              <a:effectLst/>
            </c:spPr>
            <c:txPr>
              <a:bodyPr/>
              <a:lstStyle/>
              <a:p>
                <a:pPr>
                  <a:defRPr sz="1200" b="0" i="0" u="none" strike="noStrike">
                    <a:solidFill>
                      <a:srgbClr val="000000"/>
                    </a:solidFill>
                    <a:latin typeface="Helvetica"/>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2'!$A$3:$A$7</c:f>
              <c:strCache>
                <c:ptCount val="3"/>
                <c:pt idx="0">
                  <c:v>Vmax</c:v>
                </c:pt>
                <c:pt idx="1">
                  <c:v>Vmin</c:v>
                </c:pt>
                <c:pt idx="2">
                  <c:v>f</c:v>
                </c:pt>
              </c:strCache>
            </c:strRef>
          </c:cat>
          <c:val>
            <c:numRef>
              <c:f>'Sheet 2'!$D$3:$D$7</c:f>
              <c:numCache>
                <c:formatCode>General</c:formatCode>
                <c:ptCount val="5"/>
                <c:pt idx="0">
                  <c:v>0</c:v>
                </c:pt>
                <c:pt idx="1">
                  <c:v>0.25</c:v>
                </c:pt>
                <c:pt idx="2">
                  <c:v>0.5</c:v>
                </c:pt>
                <c:pt idx="3">
                  <c:v>0.75</c:v>
                </c:pt>
                <c:pt idx="4">
                  <c:v>1</c:v>
                </c:pt>
              </c:numCache>
            </c:numRef>
          </c:val>
          <c:smooth val="0"/>
          <c:extLst>
            <c:ext xmlns:c16="http://schemas.microsoft.com/office/drawing/2014/chart" uri="{C3380CC4-5D6E-409C-BE32-E72D297353CC}">
              <c16:uniqueId val="{00000000-5960-4AD3-A937-636A76A93845}"/>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midCat"/>
        <c:majorUnit val="0.25"/>
        <c:minorUnit val="0.125"/>
      </c:valAx>
      <c:spPr>
        <a:noFill/>
        <a:ln w="12700" cap="flat">
          <a:noFill/>
          <a:miter lim="400000"/>
        </a:ln>
        <a:effectLst/>
      </c:spPr>
    </c:plotArea>
    <c:legend>
      <c:legendPos val="t"/>
      <c:layout>
        <c:manualLayout>
          <c:xMode val="edge"/>
          <c:yMode val="edge"/>
          <c:x val="5.4081299999999999E-2"/>
          <c:y val="0"/>
          <c:w val="0.9"/>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∆C vs Concentration of Ions in Solution</a:t>
            </a:r>
          </a:p>
        </c:rich>
      </c:tx>
      <c:layout>
        <c:manualLayout>
          <c:xMode val="edge"/>
          <c:yMode val="edge"/>
          <c:x val="0.255081"/>
          <c:y val="3.6615799999999997E-2"/>
          <c:w val="0.489838"/>
          <c:h val="7.9305200000000006E-2"/>
        </c:manualLayout>
      </c:layout>
      <c:overlay val="1"/>
      <c:spPr>
        <a:noFill/>
        <a:effectLst/>
      </c:spPr>
    </c:title>
    <c:autoTitleDeleted val="0"/>
    <c:plotArea>
      <c:layout>
        <c:manualLayout>
          <c:layoutTarget val="inner"/>
          <c:xMode val="edge"/>
          <c:yMode val="edge"/>
          <c:x val="0.16370000000000001"/>
          <c:y val="0.115921"/>
          <c:w val="0.80170699999999995"/>
          <c:h val="0.75871699999999997"/>
        </c:manualLayout>
      </c:layout>
      <c:lineChart>
        <c:grouping val="standard"/>
        <c:varyColors val="0"/>
        <c:ser>
          <c:idx val="0"/>
          <c:order val="0"/>
          <c:tx>
            <c:v>∆C</c:v>
          </c:tx>
          <c:spPr>
            <a:ln w="50800" cap="flat">
              <a:solidFill>
                <a:schemeClr val="accent1"/>
              </a:solidFill>
              <a:prstDash val="solid"/>
              <a:miter lim="400000"/>
            </a:ln>
            <a:effectLst/>
          </c:spPr>
          <c:marker>
            <c:symbol val="none"/>
          </c:marker>
          <c:cat>
            <c:numRef>
              <c:f>'Detection Curve'!$C$4:$C$11</c:f>
              <c:numCache>
                <c:formatCode>0.0###########E+00</c:formatCode>
                <c:ptCount val="8"/>
                <c:pt idx="0" formatCode="0.0##############E+00">
                  <c:v>1.0000000000000001E-15</c:v>
                </c:pt>
                <c:pt idx="1">
                  <c:v>9.9999999999999998E-13</c:v>
                </c:pt>
                <c:pt idx="2" formatCode="0.0########E+00">
                  <c:v>1.0000000000000001E-9</c:v>
                </c:pt>
                <c:pt idx="3" formatCode="0.0#####E+00">
                  <c:v>9.9999999999999995E-7</c:v>
                </c:pt>
                <c:pt idx="4" formatCode="0.0##E+00">
                  <c:v>1E-3</c:v>
                </c:pt>
                <c:pt idx="5" formatCode="0.0E+00">
                  <c:v>0.1</c:v>
                </c:pt>
                <c:pt idx="6" formatCode="0E+00">
                  <c:v>1</c:v>
                </c:pt>
                <c:pt idx="7" formatCode="0E+00">
                  <c:v>10</c:v>
                </c:pt>
              </c:numCache>
            </c:numRef>
          </c:cat>
          <c:val>
            <c:numRef>
              <c:f>'Detection Curve'!$D$4:$D$11</c:f>
              <c:numCache>
                <c:formatCode>0.0################E+00</c:formatCode>
                <c:ptCount val="8"/>
                <c:pt idx="0">
                  <c:v>3.2999999999999999E-16</c:v>
                </c:pt>
                <c:pt idx="1">
                  <c:v>3.2999999999999999E-16</c:v>
                </c:pt>
                <c:pt idx="2" formatCode="0.0#############E+00">
                  <c:v>3.3000000000000001E-13</c:v>
                </c:pt>
                <c:pt idx="3" formatCode="0.0###########E+00">
                  <c:v>2.5599999999999999E-10</c:v>
                </c:pt>
                <c:pt idx="4" formatCode="0.0#########E+00">
                  <c:v>1.15E-8</c:v>
                </c:pt>
                <c:pt idx="5" formatCode="0.0#########E+00">
                  <c:v>1.6800000000000002E-8</c:v>
                </c:pt>
                <c:pt idx="6" formatCode="0.0#########E+00">
                  <c:v>1.74E-8</c:v>
                </c:pt>
                <c:pt idx="7" formatCode="0.0#########E+00">
                  <c:v>1.7599999999999999E-8</c:v>
                </c:pt>
              </c:numCache>
            </c:numRef>
          </c:val>
          <c:smooth val="0"/>
          <c:extLst>
            <c:ext xmlns:c16="http://schemas.microsoft.com/office/drawing/2014/chart" uri="{C3380CC4-5D6E-409C-BE32-E72D297353CC}">
              <c16:uniqueId val="{00000000-EED7-4ED9-B9B5-3295DCD4C2BA}"/>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majorGridlines>
          <c:spPr>
            <a:ln w="12700" cap="flat">
              <a:solidFill>
                <a:srgbClr val="929292"/>
              </a:solidFill>
              <a:custDash>
                <a:ds d="100000" sp="200000"/>
              </a:custDash>
              <a:miter lim="400000"/>
            </a:ln>
          </c:spPr>
        </c:majorGridlines>
        <c:title>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Concentration of Ions/ M</a:t>
                </a:r>
              </a:p>
            </c:rich>
          </c:tx>
          <c:overlay val="1"/>
        </c:title>
        <c:numFmt formatCode="0.0##############E+00" sourceLinked="1"/>
        <c:majorTickMark val="cross"/>
        <c:minorTickMark val="in"/>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sz="1000" b="0" i="0" u="none" strike="noStrike">
                    <a:solidFill>
                      <a:srgbClr val="000000"/>
                    </a:solidFill>
                    <a:latin typeface="Helvetica Neue"/>
                  </a:defRPr>
                </a:pPr>
                <a:r>
                  <a:rPr sz="1000" b="0" i="0" u="none" strike="noStrike">
                    <a:solidFill>
                      <a:srgbClr val="000000"/>
                    </a:solidFill>
                    <a:latin typeface="Helvetica Neue"/>
                  </a:rPr>
                  <a:t>∆C/F</a:t>
                </a:r>
              </a:p>
            </c:rich>
          </c:tx>
          <c:overlay val="1"/>
        </c:title>
        <c:numFmt formatCode="0.0################E+00"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4.4999999999999998E-9"/>
        <c:minorUnit val="2.2499999999999999E-9"/>
      </c:valAx>
      <c:spPr>
        <a:noFill/>
        <a:ln w="12700" cap="flat">
          <a:solidFill>
            <a:srgbClr val="000000"/>
          </a:solidFill>
          <a:prstDash val="solid"/>
          <a:miter lim="400000"/>
        </a:ln>
        <a:effectLst/>
      </c:spPr>
    </c:plotArea>
    <c:legend>
      <c:legendPos val="t"/>
      <c:layout>
        <c:manualLayout>
          <c:xMode val="edge"/>
          <c:yMode val="edge"/>
          <c:x val="0.124421"/>
          <c:y val="0"/>
          <c:w val="0.83609100000000003"/>
          <c:h val="6.161590000000000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531902</xdr:colOff>
      <xdr:row>22</xdr:row>
      <xdr:rowOff>247281</xdr:rowOff>
    </xdr:from>
    <xdr:to>
      <xdr:col>7</xdr:col>
      <xdr:colOff>1164817</xdr:colOff>
      <xdr:row>24</xdr:row>
      <xdr:rowOff>951</xdr:rowOff>
    </xdr:to>
    <mc:AlternateContent xmlns:mc="http://schemas.openxmlformats.org/markup-compatibility/2006">
      <mc:Choice xmlns:a14="http://schemas.microsoft.com/office/drawing/2010/main" Requires="a14">
        <xdr:sp macro="" textlink="">
          <xdr:nvSpPr>
            <xdr:cNvPr id="2" name="Shape 2">
              <a:extLst>
                <a:ext uri="{FF2B5EF4-FFF2-40B4-BE49-F238E27FC236}">
                  <a16:creationId xmlns:a16="http://schemas.microsoft.com/office/drawing/2014/main" id="{00000000-0008-0000-0200-000002000000}"/>
                </a:ext>
              </a:extLst>
            </xdr:cNvPr>
            <xdr:cNvSpPr txBox="1"/>
          </xdr:nvSpPr>
          <xdr:spPr>
            <a:xfrm>
              <a:off x="1776502" y="6438531"/>
              <a:ext cx="7998916" cy="273101"/>
            </a:xfrm>
            <a:prstGeom prst="rect">
              <a:avLst/>
            </a:prstGeom>
            <a:noFill/>
            <a:ln w="12700" cap="flat">
              <a:noFill/>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r>
                      <a:rPr sz="2400" i="1">
                        <a:solidFill>
                          <a:srgbClr val="000000"/>
                        </a:solidFill>
                        <a:latin typeface="Cambria Math" panose="02040503050406030204" pitchFamily="18" charset="0"/>
                      </a:rPr>
                      <m:t>𝑉𝑜</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𝑅𝑓</m:t>
                    </m:r>
                    <m:r>
                      <a:rPr sz="2400" i="1">
                        <a:solidFill>
                          <a:srgbClr val="000000"/>
                        </a:solidFill>
                        <a:latin typeface="Cambria Math" panose="02040503050406030204" pitchFamily="18" charset="0"/>
                      </a:rPr>
                      <m:t>([±2</m:t>
                    </m:r>
                    <m:r>
                      <a:rPr sz="2400" i="1">
                        <a:solidFill>
                          <a:srgbClr val="000000"/>
                        </a:solidFill>
                        <a:latin typeface="Cambria Math" panose="02040503050406030204" pitchFamily="18" charset="0"/>
                      </a:rPr>
                      <m:t>𝑓</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𝑉𝑚𝑎𝑥</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𝑉𝑚𝑖𝑛</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𝐶</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𝑡</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𝑅𝑓</m:t>
                    </m:r>
                    <m:r>
                      <a:rPr sz="2400" i="1">
                        <a:solidFill>
                          <a:srgbClr val="000000"/>
                        </a:solidFill>
                        <a:latin typeface="Cambria Math" panose="02040503050406030204" pitchFamily="18" charset="0"/>
                      </a:rPr>
                      <m:t>)]−[</m:t>
                    </m:r>
                    <m:sSup>
                      <m:sSupPr>
                        <m:ctrlPr>
                          <a:rPr sz="2400" i="1">
                            <a:solidFill>
                              <a:srgbClr val="000000"/>
                            </a:solidFill>
                            <a:latin typeface="Cambria Math" panose="02040503050406030204" pitchFamily="18" charset="0"/>
                          </a:rPr>
                        </m:ctrlPr>
                      </m:sSupPr>
                      <m:e>
                        <m:r>
                          <a:rPr sz="2400" i="1">
                            <a:solidFill>
                              <a:srgbClr val="000000"/>
                            </a:solidFill>
                            <a:latin typeface="Cambria Math" panose="02040503050406030204" pitchFamily="18" charset="0"/>
                          </a:rPr>
                          <m:t>𝑒</m:t>
                        </m:r>
                      </m:e>
                      <m:sup>
                        <m:r>
                          <a:rPr sz="2400" i="1">
                            <a:solidFill>
                              <a:srgbClr val="000000"/>
                            </a:solidFill>
                            <a:latin typeface="Cambria Math" panose="02040503050406030204" pitchFamily="18" charset="0"/>
                          </a:rPr>
                          <m:t>−</m:t>
                        </m:r>
                      </m:sup>
                    </m:sSup>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𝑡</m:t>
                    </m:r>
                    <m:r>
                      <a:rPr sz="2400" i="1">
                        <a:solidFill>
                          <a:srgbClr val="000000"/>
                        </a:solidFill>
                        <a:latin typeface="Cambria Math" panose="02040503050406030204" pitchFamily="18" charset="0"/>
                      </a:rPr>
                      <m:t>/</m:t>
                    </m:r>
                    <m:r>
                      <a:rPr sz="2400" i="1">
                        <a:solidFill>
                          <a:srgbClr val="000000"/>
                        </a:solidFill>
                        <a:latin typeface="Cambria Math" panose="02040503050406030204" pitchFamily="18" charset="0"/>
                      </a:rPr>
                      <m:t>𝑅𝐶</m:t>
                    </m:r>
                    <m:r>
                      <a:rPr sz="2400" i="1">
                        <a:solidFill>
                          <a:srgbClr val="000000"/>
                        </a:solidFill>
                        <a:latin typeface="Cambria Math" panose="02040503050406030204" pitchFamily="18" charset="0"/>
                      </a:rPr>
                      <m:t>)])+1.65</m:t>
                    </m:r>
                  </m:oMath>
                </m:oMathPara>
              </a14:m>
              <a:endParaRPr sz="2400">
                <a:solidFill>
                  <a:srgbClr val="000000"/>
                </a:solidFill>
              </a:endParaRPr>
            </a:p>
          </xdr:txBody>
        </xdr:sp>
      </mc:Choice>
      <mc:Fallback>
        <xdr:sp macro="" textlink="">
          <xdr:nvSpPr>
            <xdr:cNvPr id="2" name="Shape 2">
              <a:extLst>
                <a:ext uri="{FF2B5EF4-FFF2-40B4-BE49-F238E27FC236}">
                  <a16:creationId xmlns:a16="http://schemas.microsoft.com/office/drawing/2014/main" id="{00000000-0008-0000-0200-000002000000}"/>
                </a:ext>
              </a:extLst>
            </xdr:cNvPr>
            <xdr:cNvSpPr txBox="1"/>
          </xdr:nvSpPr>
          <xdr:spPr>
            <a:xfrm>
              <a:off x="1776502" y="6438531"/>
              <a:ext cx="7998916" cy="273101"/>
            </a:xfrm>
            <a:prstGeom prst="rect">
              <a:avLst/>
            </a:prstGeom>
            <a:noFill/>
            <a:ln w="12700" cap="flat">
              <a:noFill/>
              <a:miter lim="400000"/>
            </a:ln>
            <a:effectLst/>
          </xdr:spPr>
          <xdr:txBody>
            <a:bodyPr wrap="none" lIns="0" tIns="0" rIns="0" bIns="0">
              <a:spAutoFit/>
            </a:bodyPr>
            <a:lstStyle/>
            <a:p>
              <a:pPr/>
              <a:r>
                <a:rPr sz="2400" i="0">
                  <a:solidFill>
                    <a:srgbClr val="000000"/>
                  </a:solidFill>
                  <a:latin typeface="Cambria Math" panose="02040503050406030204" pitchFamily="18" charset="0"/>
                </a:rPr>
                <a:t>𝑉𝑜=𝑅𝑓([±2𝑓(𝑉𝑚𝑎𝑥−𝑉𝑚𝑖𝑛)][𝐶+(𝑡/𝑅𝑓)]−[𝑒^− (𝑡/𝑅𝐶)])+1.65</a:t>
              </a:r>
              <a:endParaRPr sz="2400">
                <a:solidFill>
                  <a:srgbClr val="000000"/>
                </a:solidFill>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622300</xdr:colOff>
      <xdr:row>2</xdr:row>
      <xdr:rowOff>82879</xdr:rowOff>
    </xdr:from>
    <xdr:to>
      <xdr:col>8</xdr:col>
      <xdr:colOff>723900</xdr:colOff>
      <xdr:row>17</xdr:row>
      <xdr:rowOff>70814</xdr:rowOff>
    </xdr:to>
    <xdr:graphicFrame macro="">
      <xdr:nvGraphicFramePr>
        <xdr:cNvPr id="4" name="Chart 4">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521503</xdr:colOff>
      <xdr:row>2</xdr:row>
      <xdr:rowOff>58404</xdr:rowOff>
    </xdr:from>
    <xdr:to>
      <xdr:col>12</xdr:col>
      <xdr:colOff>226449</xdr:colOff>
      <xdr:row>3</xdr:row>
      <xdr:rowOff>263306</xdr:rowOff>
    </xdr:to>
    <mc:AlternateContent xmlns:mc="http://schemas.openxmlformats.org/markup-compatibility/2006">
      <mc:Choice xmlns:a14="http://schemas.microsoft.com/office/drawing/2010/main" Requires="a14">
        <xdr:sp macro="" textlink="">
          <xdr:nvSpPr>
            <xdr:cNvPr id="6" name="Shape 6">
              <a:extLst>
                <a:ext uri="{FF2B5EF4-FFF2-40B4-BE49-F238E27FC236}">
                  <a16:creationId xmlns:a16="http://schemas.microsoft.com/office/drawing/2014/main" id="{00000000-0008-0000-0500-000006000000}"/>
                </a:ext>
              </a:extLst>
            </xdr:cNvPr>
            <xdr:cNvSpPr txBox="1"/>
          </xdr:nvSpPr>
          <xdr:spPr>
            <a:xfrm>
              <a:off x="10097303" y="720709"/>
              <a:ext cx="5927947" cy="516053"/>
            </a:xfrm>
            <a:prstGeom prst="rect">
              <a:avLst/>
            </a:prstGeom>
            <a:noFill/>
            <a:ln w="12700" cap="flat">
              <a:noFill/>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200">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𝐸𝐷𝐿</m:t>
                        </m:r>
                      </m:sub>
                    </m:sSub>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𝐴</m:t>
                    </m:r>
                    <m:r>
                      <a:rPr sz="2200" i="1">
                        <a:solidFill>
                          <a:srgbClr val="000000"/>
                        </a:solidFill>
                        <a:latin typeface="Cambria Math" panose="02040503050406030204" pitchFamily="18" charset="0"/>
                      </a:rPr>
                      <m:t>∗</m:t>
                    </m:r>
                    <m:rad>
                      <m:radPr>
                        <m:degHide m:val="on"/>
                        <m:ctrlPr>
                          <a:rPr sz="2200" i="1">
                            <a:solidFill>
                              <a:srgbClr val="000000"/>
                            </a:solidFill>
                            <a:latin typeface="Cambria Math" panose="02040503050406030204" pitchFamily="18" charset="0"/>
                          </a:rPr>
                        </m:ctrlPr>
                      </m:radPr>
                      <m:deg/>
                      <m:e>
                        <m:r>
                          <a:rPr sz="2200" i="1">
                            <a:solidFill>
                              <a:srgbClr val="000000"/>
                            </a:solidFill>
                            <a:latin typeface="Cambria Math" panose="02040503050406030204" pitchFamily="18" charset="0"/>
                          </a:rPr>
                          <m:t>(2</m:t>
                        </m:r>
                        <m:sSup>
                          <m:sSupPr>
                            <m:ctrlPr>
                              <a:rPr sz="2200" i="1">
                                <a:solidFill>
                                  <a:srgbClr val="000000"/>
                                </a:solidFill>
                                <a:latin typeface="Cambria Math" panose="02040503050406030204" pitchFamily="18" charset="0"/>
                              </a:rPr>
                            </m:ctrlPr>
                          </m:sSupPr>
                          <m:e>
                            <m:r>
                              <a:rPr sz="2200" i="1">
                                <a:solidFill>
                                  <a:srgbClr val="000000"/>
                                </a:solidFill>
                                <a:latin typeface="Cambria Math" panose="02040503050406030204" pitchFamily="18" charset="0"/>
                              </a:rPr>
                              <m:t>𝑧</m:t>
                            </m:r>
                          </m:e>
                          <m:sup>
                            <m:r>
                              <a:rPr sz="2200" i="1">
                                <a:solidFill>
                                  <a:srgbClr val="000000"/>
                                </a:solidFill>
                                <a:latin typeface="Cambria Math" panose="02040503050406030204" pitchFamily="18" charset="0"/>
                              </a:rPr>
                              <m:t>2</m:t>
                            </m:r>
                          </m:sup>
                        </m:sSup>
                        <m:sSup>
                          <m:sSupPr>
                            <m:ctrlPr>
                              <a:rPr sz="2200" i="1">
                                <a:solidFill>
                                  <a:srgbClr val="000000"/>
                                </a:solidFill>
                                <a:latin typeface="Cambria Math" panose="02040503050406030204" pitchFamily="18" charset="0"/>
                              </a:rPr>
                            </m:ctrlPr>
                          </m:sSupPr>
                          <m:e>
                            <m:r>
                              <a:rPr sz="2200" i="1">
                                <a:solidFill>
                                  <a:srgbClr val="000000"/>
                                </a:solidFill>
                                <a:latin typeface="Cambria Math" panose="02040503050406030204" pitchFamily="18" charset="0"/>
                              </a:rPr>
                              <m:t>𝑒</m:t>
                            </m:r>
                          </m:e>
                          <m:sup>
                            <m:r>
                              <a:rPr sz="2200" i="1">
                                <a:solidFill>
                                  <a:srgbClr val="000000"/>
                                </a:solidFill>
                                <a:latin typeface="Cambria Math" panose="02040503050406030204" pitchFamily="18" charset="0"/>
                              </a:rPr>
                              <m:t>2</m:t>
                            </m:r>
                          </m:sup>
                        </m:sSup>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𝑜</m:t>
                            </m:r>
                          </m:sub>
                        </m:sSub>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𝑟</m:t>
                            </m:r>
                          </m:sub>
                        </m:sSub>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𝑜</m:t>
                            </m:r>
                          </m:sub>
                        </m:sSub>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𝑘𝑇</m:t>
                        </m:r>
                        <m:r>
                          <a:rPr sz="2200" i="1">
                            <a:solidFill>
                              <a:srgbClr val="000000"/>
                            </a:solidFill>
                            <a:latin typeface="Cambria Math" panose="02040503050406030204" pitchFamily="18" charset="0"/>
                          </a:rPr>
                          <m:t>)</m:t>
                        </m:r>
                      </m:e>
                    </m:rad>
                    <m:r>
                      <a:rPr sz="2200" i="1">
                        <a:solidFill>
                          <a:srgbClr val="000000"/>
                        </a:solidFill>
                        <a:latin typeface="Cambria Math" panose="02040503050406030204" pitchFamily="18" charset="0"/>
                      </a:rPr>
                      <m:t>𝑐𝑜𝑠h</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𝑧𝑒</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𝑉</m:t>
                        </m:r>
                      </m:e>
                      <m:sub>
                        <m:r>
                          <a:rPr sz="2200" i="1">
                            <a:solidFill>
                              <a:srgbClr val="000000"/>
                            </a:solidFill>
                            <a:latin typeface="Cambria Math" panose="02040503050406030204" pitchFamily="18" charset="0"/>
                          </a:rPr>
                          <m:t>𝑧𝑒𝑡𝑎</m:t>
                        </m:r>
                      </m:sub>
                    </m:sSub>
                    <m:r>
                      <a:rPr sz="2200" i="1">
                        <a:solidFill>
                          <a:srgbClr val="000000"/>
                        </a:solidFill>
                        <a:latin typeface="Cambria Math" panose="02040503050406030204" pitchFamily="18" charset="0"/>
                      </a:rPr>
                      <m:t>/(2</m:t>
                    </m:r>
                    <m:r>
                      <a:rPr sz="2200" i="1">
                        <a:solidFill>
                          <a:srgbClr val="000000"/>
                        </a:solidFill>
                        <a:latin typeface="Cambria Math" panose="02040503050406030204" pitchFamily="18" charset="0"/>
                      </a:rPr>
                      <m:t>𝑘𝑇</m:t>
                    </m:r>
                    <m:r>
                      <a:rPr sz="2200" i="1">
                        <a:solidFill>
                          <a:srgbClr val="000000"/>
                        </a:solidFill>
                        <a:latin typeface="Cambria Math" panose="02040503050406030204" pitchFamily="18" charset="0"/>
                      </a:rPr>
                      <m:t>)]</m:t>
                    </m:r>
                  </m:oMath>
                </m:oMathPara>
              </a14:m>
              <a:endParaRPr sz="2200">
                <a:solidFill>
                  <a:srgbClr val="000000"/>
                </a:solidFill>
              </a:endParaRPr>
            </a:p>
          </xdr:txBody>
        </xdr:sp>
      </mc:Choice>
      <mc:Fallback>
        <xdr:sp macro="" textlink="">
          <xdr:nvSpPr>
            <xdr:cNvPr id="6" name="Shape 6">
              <a:extLst>
                <a:ext uri="{FF2B5EF4-FFF2-40B4-BE49-F238E27FC236}">
                  <a16:creationId xmlns:a16="http://schemas.microsoft.com/office/drawing/2014/main" id="{00000000-0008-0000-0500-000006000000}"/>
                </a:ext>
              </a:extLst>
            </xdr:cNvPr>
            <xdr:cNvSpPr txBox="1"/>
          </xdr:nvSpPr>
          <xdr:spPr>
            <a:xfrm>
              <a:off x="10097303" y="720709"/>
              <a:ext cx="5927947" cy="516053"/>
            </a:xfrm>
            <a:prstGeom prst="rect">
              <a:avLst/>
            </a:prstGeom>
            <a:noFill/>
            <a:ln w="12700" cap="flat">
              <a:noFill/>
              <a:miter lim="400000"/>
            </a:ln>
            <a:effectLst/>
          </xdr:spPr>
          <xdr:txBody>
            <a:bodyPr wrap="none" lIns="0" tIns="0" rIns="0" bIns="0">
              <a:spAutoFit/>
            </a:bodyPr>
            <a:lstStyle/>
            <a:p>
              <a:pPr/>
              <a:r>
                <a:rPr sz="2200" i="0">
                  <a:solidFill>
                    <a:srgbClr val="000000"/>
                  </a:solidFill>
                  <a:latin typeface="Cambria Math" panose="02040503050406030204" pitchFamily="18" charset="0"/>
                </a:rPr>
                <a:t>𝐶_𝐸𝐷𝐿=𝐴∗</a:t>
              </a:r>
              <a:r>
                <a:rPr lang="en-US" sz="2200" i="0">
                  <a:solidFill>
                    <a:srgbClr val="000000"/>
                  </a:solidFill>
                  <a:latin typeface="Cambria Math" panose="02040503050406030204" pitchFamily="18" charset="0"/>
                </a:rPr>
                <a:t>√(</a:t>
              </a:r>
              <a:r>
                <a:rPr sz="2200" i="0">
                  <a:solidFill>
                    <a:srgbClr val="000000"/>
                  </a:solidFill>
                  <a:latin typeface="Cambria Math" panose="02040503050406030204" pitchFamily="18" charset="0"/>
                </a:rPr>
                <a:t>(2𝑧^2 𝑒^2 𝐶_𝑜 𝑒_𝑟 𝑒_𝑜)/(𝑘𝑇)) 𝑐𝑜𝑠ℎ[(𝑧𝑒𝑉_𝑧𝑒𝑡𝑎/(2𝑘𝑇)]</a:t>
              </a:r>
              <a:endParaRPr sz="2200">
                <a:solidFill>
                  <a:srgbClr val="000000"/>
                </a:solidFill>
              </a:endParaRPr>
            </a:p>
          </xdr:txBody>
        </xdr:sp>
      </mc:Fallback>
    </mc:AlternateContent>
    <xdr:clientData/>
  </xdr:twoCellAnchor>
  <xdr:twoCellAnchor>
    <xdr:from>
      <xdr:col>7</xdr:col>
      <xdr:colOff>198479</xdr:colOff>
      <xdr:row>6</xdr:row>
      <xdr:rowOff>163664</xdr:rowOff>
    </xdr:from>
    <xdr:to>
      <xdr:col>13</xdr:col>
      <xdr:colOff>11938</xdr:colOff>
      <xdr:row>7</xdr:row>
      <xdr:rowOff>157631</xdr:rowOff>
    </xdr:to>
    <mc:AlternateContent xmlns:mc="http://schemas.openxmlformats.org/markup-compatibility/2006">
      <mc:Choice xmlns:a14="http://schemas.microsoft.com/office/drawing/2010/main" Requires="a14">
        <xdr:sp macro="" textlink="">
          <xdr:nvSpPr>
            <xdr:cNvPr id="7" name="Shape 7">
              <a:extLst>
                <a:ext uri="{FF2B5EF4-FFF2-40B4-BE49-F238E27FC236}">
                  <a16:creationId xmlns:a16="http://schemas.microsoft.com/office/drawing/2014/main" id="{00000000-0008-0000-0500-000007000000}"/>
                </a:ext>
              </a:extLst>
            </xdr:cNvPr>
            <xdr:cNvSpPr txBox="1"/>
          </xdr:nvSpPr>
          <xdr:spPr>
            <a:xfrm>
              <a:off x="9774279" y="2061044"/>
              <a:ext cx="7281060" cy="301943"/>
            </a:xfrm>
            <a:prstGeom prst="rect">
              <a:avLst/>
            </a:prstGeom>
            <a:noFill/>
            <a:ln w="12700" cap="flat">
              <a:solidFill>
                <a:srgbClr val="000000"/>
              </a:solidFill>
              <a:prstDash val="solid"/>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200">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𝐶𝑎𝑝𝑎𝑐𝑖𝑡𝑎𝑛𝑐𝑒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𝑜𝑓</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𝐷𝑜𝑢𝑏𝑙𝑒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𝐿𝑎𝑦𝑒𝑟</m:t>
                        </m:r>
                      </m:sub>
                    </m:sSub>
                    <m:r>
                      <a:rPr sz="2200" i="1">
                        <a:solidFill>
                          <a:srgbClr val="000000"/>
                        </a:solidFill>
                        <a:latin typeface="Cambria Math" panose="02040503050406030204" pitchFamily="18" charset="0"/>
                      </a:rPr>
                      <m:t>=</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𝑝𝑒𝑟𝑚𝑖𝑡𝑖𝑣𝑖𝑡𝑦</m:t>
                        </m:r>
                      </m:sub>
                    </m:sSub>
                    <m:r>
                      <a:rPr sz="2200" i="1">
                        <a:solidFill>
                          <a:srgbClr val="000000"/>
                        </a:solidFill>
                        <a:latin typeface="Cambria Math" panose="02040503050406030204" pitchFamily="18" charset="0"/>
                      </a:rPr>
                      <m:t>/</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𝑑</m:t>
                        </m:r>
                      </m:e>
                      <m:sub>
                        <m:r>
                          <a:rPr sz="2200" i="1">
                            <a:solidFill>
                              <a:srgbClr val="000000"/>
                            </a:solidFill>
                            <a:latin typeface="Cambria Math" panose="02040503050406030204" pitchFamily="18" charset="0"/>
                          </a:rPr>
                          <m:t>𝑙𝑒𝑛𝑔𝑡h</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𝑜𝑓</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𝐸𝑙𝑒𝑐𝑡𝑟𝑖𝑐</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𝐷𝑜𝑢𝑏𝑙𝑒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𝐿𝑎𝑦𝑒𝑟</m:t>
                        </m:r>
                      </m:sub>
                    </m:sSub>
                  </m:oMath>
                </m:oMathPara>
              </a14:m>
              <a:endParaRPr sz="2200">
                <a:solidFill>
                  <a:srgbClr val="000000"/>
                </a:solidFill>
              </a:endParaRPr>
            </a:p>
          </xdr:txBody>
        </xdr:sp>
      </mc:Choice>
      <mc:Fallback>
        <xdr:sp macro="" textlink="">
          <xdr:nvSpPr>
            <xdr:cNvPr id="7" name="Shape 7">
              <a:extLst>
                <a:ext uri="{FF2B5EF4-FFF2-40B4-BE49-F238E27FC236}">
                  <a16:creationId xmlns:a16="http://schemas.microsoft.com/office/drawing/2014/main" id="{00000000-0008-0000-0500-000007000000}"/>
                </a:ext>
              </a:extLst>
            </xdr:cNvPr>
            <xdr:cNvSpPr txBox="1"/>
          </xdr:nvSpPr>
          <xdr:spPr>
            <a:xfrm>
              <a:off x="9774279" y="2061044"/>
              <a:ext cx="7281060" cy="301943"/>
            </a:xfrm>
            <a:prstGeom prst="rect">
              <a:avLst/>
            </a:prstGeom>
            <a:noFill/>
            <a:ln w="12700" cap="flat">
              <a:solidFill>
                <a:srgbClr val="000000"/>
              </a:solidFill>
              <a:prstDash val="solid"/>
              <a:miter lim="400000"/>
            </a:ln>
            <a:effectLst/>
          </xdr:spPr>
          <xdr:txBody>
            <a:bodyPr wrap="none" lIns="0" tIns="0" rIns="0" bIns="0">
              <a:spAutoFit/>
            </a:bodyPr>
            <a:lstStyle/>
            <a:p>
              <a:pPr/>
              <a:r>
                <a:rPr sz="2200" i="0">
                  <a:solidFill>
                    <a:srgbClr val="000000"/>
                  </a:solidFill>
                  <a:latin typeface="Cambria Math" panose="02040503050406030204" pitchFamily="18" charset="0"/>
                </a:rPr>
                <a:t>𝐶_(𝐶𝑎𝑝𝑎𝑐𝑖𝑡𝑎𝑛𝑐𝑒−𝑜𝑓−𝐷𝑜𝑢𝑏𝑙𝑒−𝐿𝑎𝑦𝑒𝑟)=𝑒_𝑝𝑒𝑟𝑚𝑖𝑡𝑖𝑣𝑖𝑡𝑦/𝑑_(𝑙𝑒𝑛𝑔𝑡ℎ−𝑜𝑓−𝐸𝑙𝑒𝑐𝑡𝑟𝑖𝑐−𝐷𝑜𝑢𝑏𝑙𝑒−𝐿𝑎𝑦𝑒𝑟)</a:t>
              </a:r>
              <a:endParaRPr sz="2200">
                <a:solidFill>
                  <a:srgbClr val="000000"/>
                </a:solidFill>
              </a:endParaRPr>
            </a:p>
          </xdr:txBody>
        </xdr:sp>
      </mc:Fallback>
    </mc:AlternateContent>
    <xdr:clientData/>
  </xdr:twoCellAnchor>
  <xdr:twoCellAnchor>
    <xdr:from>
      <xdr:col>7</xdr:col>
      <xdr:colOff>192129</xdr:colOff>
      <xdr:row>9</xdr:row>
      <xdr:rowOff>244054</xdr:rowOff>
    </xdr:from>
    <xdr:to>
      <xdr:col>11</xdr:col>
      <xdr:colOff>1030756</xdr:colOff>
      <xdr:row>11</xdr:row>
      <xdr:rowOff>97242</xdr:rowOff>
    </xdr:to>
    <mc:AlternateContent xmlns:mc="http://schemas.openxmlformats.org/markup-compatibility/2006">
      <mc:Choice xmlns:a14="http://schemas.microsoft.com/office/drawing/2010/main" Requires="a14">
        <xdr:sp macro="" textlink="">
          <xdr:nvSpPr>
            <xdr:cNvPr id="8" name="Shape 8">
              <a:extLst>
                <a:ext uri="{FF2B5EF4-FFF2-40B4-BE49-F238E27FC236}">
                  <a16:creationId xmlns:a16="http://schemas.microsoft.com/office/drawing/2014/main" id="{00000000-0008-0000-0500-000008000000}"/>
                </a:ext>
              </a:extLst>
            </xdr:cNvPr>
            <xdr:cNvSpPr txBox="1"/>
          </xdr:nvSpPr>
          <xdr:spPr>
            <a:xfrm>
              <a:off x="9767929" y="3065359"/>
              <a:ext cx="5817028" cy="469139"/>
            </a:xfrm>
            <a:prstGeom prst="rect">
              <a:avLst/>
            </a:prstGeom>
            <a:noFill/>
            <a:ln w="12700" cap="flat">
              <a:noFill/>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000">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𝑑</m:t>
                        </m:r>
                      </m:e>
                      <m:sub>
                        <m:r>
                          <a:rPr sz="2000" i="1">
                            <a:solidFill>
                              <a:srgbClr val="000000"/>
                            </a:solidFill>
                            <a:latin typeface="Cambria Math" panose="02040503050406030204" pitchFamily="18" charset="0"/>
                          </a:rPr>
                          <m:t>𝑙𝑒𝑛𝑔𝑡h</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𝑜𝑓</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𝐸𝑙𝑒𝑐𝑡𝑟𝑖𝑐</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𝐷𝑜𝑢𝑏𝑙𝑒</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𝐿𝑎𝑦𝑒𝑟</m:t>
                        </m:r>
                      </m:sub>
                    </m:sSub>
                    <m:r>
                      <a:rPr sz="2000" i="1">
                        <a:solidFill>
                          <a:srgbClr val="000000"/>
                        </a:solidFill>
                        <a:latin typeface="Cambria Math" panose="02040503050406030204" pitchFamily="18" charset="0"/>
                      </a:rPr>
                      <m:t>=</m:t>
                    </m:r>
                    <m:rad>
                      <m:radPr>
                        <m:degHide m:val="on"/>
                        <m:ctrlPr>
                          <a:rPr sz="2000" i="1">
                            <a:solidFill>
                              <a:srgbClr val="000000"/>
                            </a:solidFill>
                            <a:latin typeface="Cambria Math" panose="02040503050406030204" pitchFamily="18" charset="0"/>
                          </a:rPr>
                        </m:ctrlPr>
                      </m:radPr>
                      <m:deg/>
                      <m:e>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𝑘𝑇</m:t>
                        </m:r>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𝑒</m:t>
                            </m:r>
                          </m:e>
                          <m:sub>
                            <m:r>
                              <a:rPr sz="2000" i="1">
                                <a:solidFill>
                                  <a:srgbClr val="000000"/>
                                </a:solidFill>
                                <a:latin typeface="Cambria Math" panose="02040503050406030204" pitchFamily="18" charset="0"/>
                              </a:rPr>
                              <m:t>𝑝𝑒𝑟𝑚𝑖𝑡𝑖𝑣𝑦</m:t>
                            </m:r>
                          </m:sub>
                        </m:sSub>
                        <m:r>
                          <a:rPr sz="2000" i="1">
                            <a:solidFill>
                              <a:srgbClr val="000000"/>
                            </a:solidFill>
                            <a:latin typeface="Cambria Math" panose="02040503050406030204" pitchFamily="18" charset="0"/>
                          </a:rPr>
                          <m:t>/2(</m:t>
                        </m:r>
                        <m:r>
                          <a:rPr sz="2000" i="1">
                            <a:solidFill>
                              <a:srgbClr val="000000"/>
                            </a:solidFill>
                            <a:latin typeface="Cambria Math" panose="02040503050406030204" pitchFamily="18" charset="0"/>
                          </a:rPr>
                          <m:t>𝑧𝑒</m:t>
                        </m:r>
                        <m:sSup>
                          <m:sSupPr>
                            <m:ctrlPr>
                              <a:rPr sz="2000" i="1">
                                <a:solidFill>
                                  <a:srgbClr val="000000"/>
                                </a:solidFill>
                                <a:latin typeface="Cambria Math" panose="02040503050406030204" pitchFamily="18" charset="0"/>
                              </a:rPr>
                            </m:ctrlPr>
                          </m:sSupPr>
                          <m:e>
                            <m:r>
                              <a:rPr sz="2000" i="1">
                                <a:solidFill>
                                  <a:srgbClr val="000000"/>
                                </a:solidFill>
                                <a:latin typeface="Cambria Math" panose="02040503050406030204" pitchFamily="18" charset="0"/>
                              </a:rPr>
                              <m:t>)</m:t>
                            </m:r>
                          </m:e>
                          <m:sup>
                            <m:r>
                              <a:rPr sz="2000" i="1">
                                <a:solidFill>
                                  <a:srgbClr val="000000"/>
                                </a:solidFill>
                                <a:latin typeface="Cambria Math" panose="02040503050406030204" pitchFamily="18" charset="0"/>
                              </a:rPr>
                              <m:t>2</m:t>
                            </m:r>
                          </m:sup>
                        </m:sSup>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𝑁</m:t>
                            </m:r>
                          </m:e>
                          <m:sub>
                            <m:r>
                              <a:rPr sz="2000" i="1">
                                <a:solidFill>
                                  <a:srgbClr val="000000"/>
                                </a:solidFill>
                                <a:latin typeface="Cambria Math" panose="02040503050406030204" pitchFamily="18" charset="0"/>
                              </a:rPr>
                              <m:t>𝐴</m:t>
                            </m:r>
                          </m:sub>
                        </m:sSub>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𝐶</m:t>
                            </m:r>
                          </m:e>
                          <m:sub>
                            <m:r>
                              <a:rPr sz="2000" i="1">
                                <a:solidFill>
                                  <a:srgbClr val="000000"/>
                                </a:solidFill>
                                <a:latin typeface="Cambria Math" panose="02040503050406030204" pitchFamily="18" charset="0"/>
                              </a:rPr>
                              <m:t>𝑜</m:t>
                            </m:r>
                          </m:sub>
                        </m:sSub>
                        <m:r>
                          <a:rPr sz="2000" i="1">
                            <a:solidFill>
                              <a:srgbClr val="000000"/>
                            </a:solidFill>
                            <a:latin typeface="Cambria Math" panose="02040503050406030204" pitchFamily="18" charset="0"/>
                          </a:rPr>
                          <m:t>]</m:t>
                        </m:r>
                      </m:e>
                    </m:rad>
                  </m:oMath>
                </m:oMathPara>
              </a14:m>
              <a:endParaRPr sz="2000">
                <a:solidFill>
                  <a:srgbClr val="000000"/>
                </a:solidFill>
              </a:endParaRPr>
            </a:p>
          </xdr:txBody>
        </xdr:sp>
      </mc:Choice>
      <mc:Fallback>
        <xdr:sp macro="" textlink="">
          <xdr:nvSpPr>
            <xdr:cNvPr id="8" name="Shape 8">
              <a:extLst>
                <a:ext uri="{FF2B5EF4-FFF2-40B4-BE49-F238E27FC236}">
                  <a16:creationId xmlns:a16="http://schemas.microsoft.com/office/drawing/2014/main" id="{00000000-0008-0000-0500-000008000000}"/>
                </a:ext>
              </a:extLst>
            </xdr:cNvPr>
            <xdr:cNvSpPr txBox="1"/>
          </xdr:nvSpPr>
          <xdr:spPr>
            <a:xfrm>
              <a:off x="9767929" y="3065359"/>
              <a:ext cx="5817028" cy="469139"/>
            </a:xfrm>
            <a:prstGeom prst="rect">
              <a:avLst/>
            </a:prstGeom>
            <a:noFill/>
            <a:ln w="12700" cap="flat">
              <a:noFill/>
              <a:miter lim="400000"/>
            </a:ln>
            <a:effectLst/>
          </xdr:spPr>
          <xdr:txBody>
            <a:bodyPr wrap="none" lIns="0" tIns="0" rIns="0" bIns="0">
              <a:spAutoFit/>
            </a:bodyPr>
            <a:lstStyle/>
            <a:p>
              <a:pPr/>
              <a:r>
                <a:rPr sz="2000" i="0">
                  <a:solidFill>
                    <a:srgbClr val="000000"/>
                  </a:solidFill>
                  <a:latin typeface="Cambria Math" panose="02040503050406030204" pitchFamily="18" charset="0"/>
                </a:rPr>
                <a:t>𝑑_(𝑙𝑒𝑛𝑔𝑡ℎ−𝑜𝑓−𝐸𝑙𝑒𝑐𝑡𝑟𝑖𝑐−𝐷𝑜𝑢𝑏𝑙𝑒−𝐿𝑎𝑦𝑒𝑟)=</a:t>
              </a:r>
              <a:r>
                <a:rPr lang="en-US" sz="2000" i="0">
                  <a:solidFill>
                    <a:srgbClr val="000000"/>
                  </a:solidFill>
                  <a:latin typeface="Cambria Math" panose="02040503050406030204" pitchFamily="18" charset="0"/>
                </a:rPr>
                <a:t>√(</a:t>
              </a:r>
              <a:r>
                <a:rPr sz="2000" i="0">
                  <a:solidFill>
                    <a:srgbClr val="000000"/>
                  </a:solidFill>
                  <a:latin typeface="Cambria Math" panose="02040503050406030204" pitchFamily="18" charset="0"/>
                </a:rPr>
                <a:t>[𝑘𝑇𝑒_𝑝𝑒𝑟𝑚𝑖𝑡𝑖𝑣𝑦/2(𝑧𝑒)^2 𝑁_𝐴 𝐶_𝑜])</a:t>
              </a:r>
              <a:endParaRPr sz="2000">
                <a:solidFill>
                  <a:srgbClr val="000000"/>
                </a:solidFill>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461456</xdr:colOff>
      <xdr:row>2</xdr:row>
      <xdr:rowOff>141882</xdr:rowOff>
    </xdr:from>
    <xdr:to>
      <xdr:col>12</xdr:col>
      <xdr:colOff>166401</xdr:colOff>
      <xdr:row>4</xdr:row>
      <xdr:rowOff>138504</xdr:rowOff>
    </xdr:to>
    <mc:AlternateContent xmlns:mc="http://schemas.openxmlformats.org/markup-compatibility/2006">
      <mc:Choice xmlns:a14="http://schemas.microsoft.com/office/drawing/2010/main" Requires="a14">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10850056" y="757832"/>
              <a:ext cx="5927946" cy="516053"/>
            </a:xfrm>
            <a:prstGeom prst="rect">
              <a:avLst/>
            </a:prstGeom>
            <a:noFill/>
            <a:ln w="12700" cap="flat">
              <a:noFill/>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200">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𝐸𝐷𝐿</m:t>
                        </m:r>
                      </m:sub>
                    </m:sSub>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𝐴</m:t>
                    </m:r>
                    <m:r>
                      <a:rPr sz="2200" i="1">
                        <a:solidFill>
                          <a:srgbClr val="000000"/>
                        </a:solidFill>
                        <a:latin typeface="Cambria Math" panose="02040503050406030204" pitchFamily="18" charset="0"/>
                      </a:rPr>
                      <m:t>∗</m:t>
                    </m:r>
                    <m:rad>
                      <m:radPr>
                        <m:degHide m:val="on"/>
                        <m:ctrlPr>
                          <a:rPr sz="2200" i="1">
                            <a:solidFill>
                              <a:srgbClr val="000000"/>
                            </a:solidFill>
                            <a:latin typeface="Cambria Math" panose="02040503050406030204" pitchFamily="18" charset="0"/>
                          </a:rPr>
                        </m:ctrlPr>
                      </m:radPr>
                      <m:deg/>
                      <m:e>
                        <m:r>
                          <a:rPr sz="2200" i="1">
                            <a:solidFill>
                              <a:srgbClr val="000000"/>
                            </a:solidFill>
                            <a:latin typeface="Cambria Math" panose="02040503050406030204" pitchFamily="18" charset="0"/>
                          </a:rPr>
                          <m:t>(2</m:t>
                        </m:r>
                        <m:sSup>
                          <m:sSupPr>
                            <m:ctrlPr>
                              <a:rPr sz="2200" i="1">
                                <a:solidFill>
                                  <a:srgbClr val="000000"/>
                                </a:solidFill>
                                <a:latin typeface="Cambria Math" panose="02040503050406030204" pitchFamily="18" charset="0"/>
                              </a:rPr>
                            </m:ctrlPr>
                          </m:sSupPr>
                          <m:e>
                            <m:r>
                              <a:rPr sz="2200" i="1">
                                <a:solidFill>
                                  <a:srgbClr val="000000"/>
                                </a:solidFill>
                                <a:latin typeface="Cambria Math" panose="02040503050406030204" pitchFamily="18" charset="0"/>
                              </a:rPr>
                              <m:t>𝑧</m:t>
                            </m:r>
                          </m:e>
                          <m:sup>
                            <m:r>
                              <a:rPr sz="2200" i="1">
                                <a:solidFill>
                                  <a:srgbClr val="000000"/>
                                </a:solidFill>
                                <a:latin typeface="Cambria Math" panose="02040503050406030204" pitchFamily="18" charset="0"/>
                              </a:rPr>
                              <m:t>2</m:t>
                            </m:r>
                          </m:sup>
                        </m:sSup>
                        <m:sSup>
                          <m:sSupPr>
                            <m:ctrlPr>
                              <a:rPr sz="2200" i="1">
                                <a:solidFill>
                                  <a:srgbClr val="000000"/>
                                </a:solidFill>
                                <a:latin typeface="Cambria Math" panose="02040503050406030204" pitchFamily="18" charset="0"/>
                              </a:rPr>
                            </m:ctrlPr>
                          </m:sSupPr>
                          <m:e>
                            <m:r>
                              <a:rPr sz="2200" i="1">
                                <a:solidFill>
                                  <a:srgbClr val="000000"/>
                                </a:solidFill>
                                <a:latin typeface="Cambria Math" panose="02040503050406030204" pitchFamily="18" charset="0"/>
                              </a:rPr>
                              <m:t>𝑒</m:t>
                            </m:r>
                          </m:e>
                          <m:sup>
                            <m:r>
                              <a:rPr sz="2200" i="1">
                                <a:solidFill>
                                  <a:srgbClr val="000000"/>
                                </a:solidFill>
                                <a:latin typeface="Cambria Math" panose="02040503050406030204" pitchFamily="18" charset="0"/>
                              </a:rPr>
                              <m:t>2</m:t>
                            </m:r>
                          </m:sup>
                        </m:sSup>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𝑜</m:t>
                            </m:r>
                          </m:sub>
                        </m:sSub>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𝑟</m:t>
                            </m:r>
                          </m:sub>
                        </m:sSub>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𝑜</m:t>
                            </m:r>
                          </m:sub>
                        </m:sSub>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𝑘𝑇</m:t>
                        </m:r>
                        <m:r>
                          <a:rPr sz="2200" i="1">
                            <a:solidFill>
                              <a:srgbClr val="000000"/>
                            </a:solidFill>
                            <a:latin typeface="Cambria Math" panose="02040503050406030204" pitchFamily="18" charset="0"/>
                          </a:rPr>
                          <m:t>)</m:t>
                        </m:r>
                      </m:e>
                    </m:rad>
                    <m:r>
                      <a:rPr sz="2200" i="1">
                        <a:solidFill>
                          <a:srgbClr val="000000"/>
                        </a:solidFill>
                        <a:latin typeface="Cambria Math" panose="02040503050406030204" pitchFamily="18" charset="0"/>
                      </a:rPr>
                      <m:t>𝑐𝑜𝑠h</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𝑧𝑒</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𝑉</m:t>
                        </m:r>
                      </m:e>
                      <m:sub>
                        <m:r>
                          <a:rPr sz="2200" i="1">
                            <a:solidFill>
                              <a:srgbClr val="000000"/>
                            </a:solidFill>
                            <a:latin typeface="Cambria Math" panose="02040503050406030204" pitchFamily="18" charset="0"/>
                          </a:rPr>
                          <m:t>𝑧𝑒𝑡𝑎</m:t>
                        </m:r>
                      </m:sub>
                    </m:sSub>
                    <m:r>
                      <a:rPr sz="2200" i="1">
                        <a:solidFill>
                          <a:srgbClr val="000000"/>
                        </a:solidFill>
                        <a:latin typeface="Cambria Math" panose="02040503050406030204" pitchFamily="18" charset="0"/>
                      </a:rPr>
                      <m:t>/(2</m:t>
                    </m:r>
                    <m:r>
                      <a:rPr sz="2200" i="1">
                        <a:solidFill>
                          <a:srgbClr val="000000"/>
                        </a:solidFill>
                        <a:latin typeface="Cambria Math" panose="02040503050406030204" pitchFamily="18" charset="0"/>
                      </a:rPr>
                      <m:t>𝑘𝑇</m:t>
                    </m:r>
                    <m:r>
                      <a:rPr sz="2200" i="1">
                        <a:solidFill>
                          <a:srgbClr val="000000"/>
                        </a:solidFill>
                        <a:latin typeface="Cambria Math" panose="02040503050406030204" pitchFamily="18" charset="0"/>
                      </a:rPr>
                      <m:t>)]</m:t>
                    </m:r>
                  </m:oMath>
                </m:oMathPara>
              </a14:m>
              <a:endParaRPr sz="2200">
                <a:solidFill>
                  <a:srgbClr val="000000"/>
                </a:solidFill>
              </a:endParaRPr>
            </a:p>
          </xdr:txBody>
        </xdr:sp>
      </mc:Choice>
      <mc:Fallback>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10850056" y="757832"/>
              <a:ext cx="5927946" cy="516053"/>
            </a:xfrm>
            <a:prstGeom prst="rect">
              <a:avLst/>
            </a:prstGeom>
            <a:noFill/>
            <a:ln w="12700" cap="flat">
              <a:noFill/>
              <a:miter lim="400000"/>
            </a:ln>
            <a:effectLst/>
          </xdr:spPr>
          <xdr:txBody>
            <a:bodyPr wrap="none" lIns="0" tIns="0" rIns="0" bIns="0">
              <a:spAutoFit/>
            </a:bodyPr>
            <a:lstStyle/>
            <a:p>
              <a:pPr/>
              <a:r>
                <a:rPr sz="2200" i="0">
                  <a:solidFill>
                    <a:srgbClr val="000000"/>
                  </a:solidFill>
                  <a:latin typeface="Cambria Math" panose="02040503050406030204" pitchFamily="18" charset="0"/>
                </a:rPr>
                <a:t>𝐶_𝐸𝐷𝐿=𝐴∗</a:t>
              </a:r>
              <a:r>
                <a:rPr lang="en-US" sz="2200" i="0">
                  <a:solidFill>
                    <a:srgbClr val="000000"/>
                  </a:solidFill>
                  <a:latin typeface="Cambria Math" panose="02040503050406030204" pitchFamily="18" charset="0"/>
                </a:rPr>
                <a:t>√(</a:t>
              </a:r>
              <a:r>
                <a:rPr sz="2200" i="0">
                  <a:solidFill>
                    <a:srgbClr val="000000"/>
                  </a:solidFill>
                  <a:latin typeface="Cambria Math" panose="02040503050406030204" pitchFamily="18" charset="0"/>
                </a:rPr>
                <a:t>(2𝑧^2 𝑒^2 𝐶_𝑜 𝑒_𝑟 𝑒_𝑜)/(𝑘𝑇)) 𝑐𝑜𝑠ℎ[(𝑧𝑒𝑉_𝑧𝑒𝑡𝑎/(2𝑘𝑇)]</a:t>
              </a:r>
              <a:endParaRPr sz="2200">
                <a:solidFill>
                  <a:srgbClr val="000000"/>
                </a:solidFill>
              </a:endParaRPr>
            </a:p>
          </xdr:txBody>
        </xdr:sp>
      </mc:Fallback>
    </mc:AlternateContent>
    <xdr:clientData/>
  </xdr:twoCellAnchor>
  <xdr:twoCellAnchor>
    <xdr:from>
      <xdr:col>7</xdr:col>
      <xdr:colOff>138431</xdr:colOff>
      <xdr:row>7</xdr:row>
      <xdr:rowOff>198882</xdr:rowOff>
    </xdr:from>
    <xdr:to>
      <xdr:col>12</xdr:col>
      <xdr:colOff>1196491</xdr:colOff>
      <xdr:row>8</xdr:row>
      <xdr:rowOff>246189</xdr:rowOff>
    </xdr:to>
    <mc:AlternateContent xmlns:mc="http://schemas.openxmlformats.org/markup-compatibility/2006">
      <mc:Choice xmlns:a14="http://schemas.microsoft.com/office/drawing/2010/main" Requires="a14">
        <xdr:sp macro="" textlink="">
          <xdr:nvSpPr>
            <xdr:cNvPr id="11" name="Shape 11">
              <a:extLst>
                <a:ext uri="{FF2B5EF4-FFF2-40B4-BE49-F238E27FC236}">
                  <a16:creationId xmlns:a16="http://schemas.microsoft.com/office/drawing/2014/main" id="{00000000-0008-0000-0600-00000B000000}"/>
                </a:ext>
              </a:extLst>
            </xdr:cNvPr>
            <xdr:cNvSpPr txBox="1"/>
          </xdr:nvSpPr>
          <xdr:spPr>
            <a:xfrm>
              <a:off x="10527031" y="2098167"/>
              <a:ext cx="7281061" cy="301943"/>
            </a:xfrm>
            <a:prstGeom prst="rect">
              <a:avLst/>
            </a:prstGeom>
            <a:noFill/>
            <a:ln w="12700" cap="flat">
              <a:solidFill>
                <a:srgbClr val="000000"/>
              </a:solidFill>
              <a:prstDash val="solid"/>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200">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𝐶</m:t>
                        </m:r>
                      </m:e>
                      <m:sub>
                        <m:r>
                          <a:rPr sz="2200" i="1">
                            <a:solidFill>
                              <a:srgbClr val="000000"/>
                            </a:solidFill>
                            <a:latin typeface="Cambria Math" panose="02040503050406030204" pitchFamily="18" charset="0"/>
                          </a:rPr>
                          <m:t>𝐶𝑎𝑝𝑎𝑐𝑖𝑡𝑎𝑛𝑐𝑒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𝑜𝑓</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𝐷𝑜𝑢𝑏𝑙𝑒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𝐿𝑎𝑦𝑒𝑟</m:t>
                        </m:r>
                      </m:sub>
                    </m:sSub>
                    <m:r>
                      <a:rPr sz="2200" i="1">
                        <a:solidFill>
                          <a:srgbClr val="000000"/>
                        </a:solidFill>
                        <a:latin typeface="Cambria Math" panose="02040503050406030204" pitchFamily="18" charset="0"/>
                      </a:rPr>
                      <m:t>=</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𝑒</m:t>
                        </m:r>
                      </m:e>
                      <m:sub>
                        <m:r>
                          <a:rPr sz="2200" i="1">
                            <a:solidFill>
                              <a:srgbClr val="000000"/>
                            </a:solidFill>
                            <a:latin typeface="Cambria Math" panose="02040503050406030204" pitchFamily="18" charset="0"/>
                          </a:rPr>
                          <m:t>𝑝𝑒𝑟𝑚𝑖𝑡𝑖𝑣𝑖𝑡𝑦</m:t>
                        </m:r>
                      </m:sub>
                    </m:sSub>
                    <m:r>
                      <a:rPr sz="2200" i="1">
                        <a:solidFill>
                          <a:srgbClr val="000000"/>
                        </a:solidFill>
                        <a:latin typeface="Cambria Math" panose="02040503050406030204" pitchFamily="18" charset="0"/>
                      </a:rPr>
                      <m:t>/</m:t>
                    </m:r>
                    <m:sSub>
                      <m:sSubPr>
                        <m:ctrlPr>
                          <a:rPr sz="2200" i="1">
                            <a:solidFill>
                              <a:srgbClr val="000000"/>
                            </a:solidFill>
                            <a:latin typeface="Cambria Math" panose="02040503050406030204" pitchFamily="18" charset="0"/>
                          </a:rPr>
                        </m:ctrlPr>
                      </m:sSubPr>
                      <m:e>
                        <m:r>
                          <a:rPr sz="2200" i="1">
                            <a:solidFill>
                              <a:srgbClr val="000000"/>
                            </a:solidFill>
                            <a:latin typeface="Cambria Math" panose="02040503050406030204" pitchFamily="18" charset="0"/>
                          </a:rPr>
                          <m:t>𝑑</m:t>
                        </m:r>
                      </m:e>
                      <m:sub>
                        <m:r>
                          <a:rPr sz="2200" i="1">
                            <a:solidFill>
                              <a:srgbClr val="000000"/>
                            </a:solidFill>
                            <a:latin typeface="Cambria Math" panose="02040503050406030204" pitchFamily="18" charset="0"/>
                          </a:rPr>
                          <m:t>𝑙𝑒𝑛𝑔𝑡h</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𝑜𝑓</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𝐸𝑙𝑒𝑐𝑡𝑟𝑖𝑐</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𝐷𝑜𝑢𝑏𝑙𝑒</m:t>
                        </m:r>
                        <m:r>
                          <a:rPr sz="2200" i="1">
                            <a:solidFill>
                              <a:srgbClr val="000000"/>
                            </a:solidFill>
                            <a:latin typeface="Cambria Math" panose="02040503050406030204" pitchFamily="18" charset="0"/>
                          </a:rPr>
                          <m:t>−</m:t>
                        </m:r>
                        <m:r>
                          <a:rPr sz="2200" i="1">
                            <a:solidFill>
                              <a:srgbClr val="000000"/>
                            </a:solidFill>
                            <a:latin typeface="Cambria Math" panose="02040503050406030204" pitchFamily="18" charset="0"/>
                          </a:rPr>
                          <m:t>𝐿𝑎𝑦𝑒𝑟</m:t>
                        </m:r>
                      </m:sub>
                    </m:sSub>
                  </m:oMath>
                </m:oMathPara>
              </a14:m>
              <a:endParaRPr sz="2200">
                <a:solidFill>
                  <a:srgbClr val="000000"/>
                </a:solidFill>
              </a:endParaRPr>
            </a:p>
          </xdr:txBody>
        </xdr:sp>
      </mc:Choice>
      <mc:Fallback>
        <xdr:sp macro="" textlink="">
          <xdr:nvSpPr>
            <xdr:cNvPr id="11" name="Shape 11">
              <a:extLst>
                <a:ext uri="{FF2B5EF4-FFF2-40B4-BE49-F238E27FC236}">
                  <a16:creationId xmlns:a16="http://schemas.microsoft.com/office/drawing/2014/main" id="{00000000-0008-0000-0600-00000B000000}"/>
                </a:ext>
              </a:extLst>
            </xdr:cNvPr>
            <xdr:cNvSpPr txBox="1"/>
          </xdr:nvSpPr>
          <xdr:spPr>
            <a:xfrm>
              <a:off x="10527031" y="2098167"/>
              <a:ext cx="7281061" cy="301943"/>
            </a:xfrm>
            <a:prstGeom prst="rect">
              <a:avLst/>
            </a:prstGeom>
            <a:noFill/>
            <a:ln w="12700" cap="flat">
              <a:solidFill>
                <a:srgbClr val="000000"/>
              </a:solidFill>
              <a:prstDash val="solid"/>
              <a:miter lim="400000"/>
            </a:ln>
            <a:effectLst/>
          </xdr:spPr>
          <xdr:txBody>
            <a:bodyPr wrap="none" lIns="0" tIns="0" rIns="0" bIns="0">
              <a:spAutoFit/>
            </a:bodyPr>
            <a:lstStyle/>
            <a:p>
              <a:pPr/>
              <a:r>
                <a:rPr sz="2200" i="0">
                  <a:solidFill>
                    <a:srgbClr val="000000"/>
                  </a:solidFill>
                  <a:latin typeface="Cambria Math" panose="02040503050406030204" pitchFamily="18" charset="0"/>
                </a:rPr>
                <a:t>𝐶_(𝐶𝑎𝑝𝑎𝑐𝑖𝑡𝑎𝑛𝑐𝑒−𝑜𝑓−𝐷𝑜𝑢𝑏𝑙𝑒−𝐿𝑎𝑦𝑒𝑟)=𝑒_𝑝𝑒𝑟𝑚𝑖𝑡𝑖𝑣𝑖𝑡𝑦/𝑑_(𝑙𝑒𝑛𝑔𝑡ℎ−𝑜𝑓−𝐸𝑙𝑒𝑐𝑡𝑟𝑖𝑐−𝐷𝑜𝑢𝑏𝑙𝑒−𝐿𝑎𝑦𝑒𝑟)</a:t>
              </a:r>
              <a:endParaRPr sz="2200">
                <a:solidFill>
                  <a:srgbClr val="000000"/>
                </a:solidFill>
              </a:endParaRPr>
            </a:p>
          </xdr:txBody>
        </xdr:sp>
      </mc:Fallback>
    </mc:AlternateContent>
    <xdr:clientData/>
  </xdr:twoCellAnchor>
  <xdr:twoCellAnchor>
    <xdr:from>
      <xdr:col>7</xdr:col>
      <xdr:colOff>132081</xdr:colOff>
      <xdr:row>11</xdr:row>
      <xdr:rowOff>184657</xdr:rowOff>
    </xdr:from>
    <xdr:to>
      <xdr:col>11</xdr:col>
      <xdr:colOff>970708</xdr:colOff>
      <xdr:row>13</xdr:row>
      <xdr:rowOff>124205</xdr:rowOff>
    </xdr:to>
    <mc:AlternateContent xmlns:mc="http://schemas.openxmlformats.org/markup-compatibility/2006">
      <mc:Choice xmlns:a14="http://schemas.microsoft.com/office/drawing/2010/main" Requires="a14">
        <xdr:sp macro="" textlink="">
          <xdr:nvSpPr>
            <xdr:cNvPr id="12" name="Shape 12">
              <a:extLst>
                <a:ext uri="{FF2B5EF4-FFF2-40B4-BE49-F238E27FC236}">
                  <a16:creationId xmlns:a16="http://schemas.microsoft.com/office/drawing/2014/main" id="{00000000-0008-0000-0600-00000C000000}"/>
                </a:ext>
              </a:extLst>
            </xdr:cNvPr>
            <xdr:cNvSpPr txBox="1"/>
          </xdr:nvSpPr>
          <xdr:spPr>
            <a:xfrm>
              <a:off x="10520681" y="3102482"/>
              <a:ext cx="5817028" cy="469139"/>
            </a:xfrm>
            <a:prstGeom prst="rect">
              <a:avLst/>
            </a:prstGeom>
            <a:noFill/>
            <a:ln w="12700" cap="flat">
              <a:noFill/>
              <a:miter lim="400000"/>
            </a:ln>
            <a:effectLst/>
          </xdr:spPr>
          <xdr:txBody>
            <a:bodyPr wrap="none" lIns="0" tIns="0" rIns="0" bIns="0">
              <a:spAutoFit/>
            </a:bodyPr>
            <a:lstStyle/>
            <a:p>
              <a:pPr/>
              <a14:m>
                <m:oMathPara xmlns:m="http://schemas.openxmlformats.org/officeDocument/2006/math">
                  <m:oMathParaPr>
                    <m:jc m:val="centerGroup"/>
                  </m:oMathParaPr>
                  <m:oMath xmlns:m="http://schemas.openxmlformats.org/officeDocument/2006/math">
                    <m:sSub>
                      <m:sSubPr>
                        <m:ctrlPr>
                          <a:rPr sz="2000">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𝑑</m:t>
                        </m:r>
                      </m:e>
                      <m:sub>
                        <m:r>
                          <a:rPr sz="2000" i="1">
                            <a:solidFill>
                              <a:srgbClr val="000000"/>
                            </a:solidFill>
                            <a:latin typeface="Cambria Math" panose="02040503050406030204" pitchFamily="18" charset="0"/>
                          </a:rPr>
                          <m:t>𝑙𝑒𝑛𝑔𝑡h</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𝑜𝑓</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𝐸𝑙𝑒𝑐𝑡𝑟𝑖𝑐</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𝐷𝑜𝑢𝑏𝑙𝑒</m:t>
                        </m:r>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𝐿𝑎𝑦𝑒𝑟</m:t>
                        </m:r>
                      </m:sub>
                    </m:sSub>
                    <m:r>
                      <a:rPr sz="2000" i="1">
                        <a:solidFill>
                          <a:srgbClr val="000000"/>
                        </a:solidFill>
                        <a:latin typeface="Cambria Math" panose="02040503050406030204" pitchFamily="18" charset="0"/>
                      </a:rPr>
                      <m:t>=</m:t>
                    </m:r>
                    <m:rad>
                      <m:radPr>
                        <m:degHide m:val="on"/>
                        <m:ctrlPr>
                          <a:rPr sz="2000" i="1">
                            <a:solidFill>
                              <a:srgbClr val="000000"/>
                            </a:solidFill>
                            <a:latin typeface="Cambria Math" panose="02040503050406030204" pitchFamily="18" charset="0"/>
                          </a:rPr>
                        </m:ctrlPr>
                      </m:radPr>
                      <m:deg/>
                      <m:e>
                        <m:r>
                          <a:rPr sz="2000" i="1">
                            <a:solidFill>
                              <a:srgbClr val="000000"/>
                            </a:solidFill>
                            <a:latin typeface="Cambria Math" panose="02040503050406030204" pitchFamily="18" charset="0"/>
                          </a:rPr>
                          <m:t>[</m:t>
                        </m:r>
                        <m:r>
                          <a:rPr sz="2000" i="1">
                            <a:solidFill>
                              <a:srgbClr val="000000"/>
                            </a:solidFill>
                            <a:latin typeface="Cambria Math" panose="02040503050406030204" pitchFamily="18" charset="0"/>
                          </a:rPr>
                          <m:t>𝑘𝑇</m:t>
                        </m:r>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𝑒</m:t>
                            </m:r>
                          </m:e>
                          <m:sub>
                            <m:r>
                              <a:rPr sz="2000" i="1">
                                <a:solidFill>
                                  <a:srgbClr val="000000"/>
                                </a:solidFill>
                                <a:latin typeface="Cambria Math" panose="02040503050406030204" pitchFamily="18" charset="0"/>
                              </a:rPr>
                              <m:t>𝑝𝑒𝑟𝑚𝑖𝑡𝑖𝑣𝑦</m:t>
                            </m:r>
                          </m:sub>
                        </m:sSub>
                        <m:r>
                          <a:rPr sz="2000" i="1">
                            <a:solidFill>
                              <a:srgbClr val="000000"/>
                            </a:solidFill>
                            <a:latin typeface="Cambria Math" panose="02040503050406030204" pitchFamily="18" charset="0"/>
                          </a:rPr>
                          <m:t>/2(</m:t>
                        </m:r>
                        <m:r>
                          <a:rPr sz="2000" i="1">
                            <a:solidFill>
                              <a:srgbClr val="000000"/>
                            </a:solidFill>
                            <a:latin typeface="Cambria Math" panose="02040503050406030204" pitchFamily="18" charset="0"/>
                          </a:rPr>
                          <m:t>𝑧𝑒</m:t>
                        </m:r>
                        <m:sSup>
                          <m:sSupPr>
                            <m:ctrlPr>
                              <a:rPr sz="2000" i="1">
                                <a:solidFill>
                                  <a:srgbClr val="000000"/>
                                </a:solidFill>
                                <a:latin typeface="Cambria Math" panose="02040503050406030204" pitchFamily="18" charset="0"/>
                              </a:rPr>
                            </m:ctrlPr>
                          </m:sSupPr>
                          <m:e>
                            <m:r>
                              <a:rPr sz="2000" i="1">
                                <a:solidFill>
                                  <a:srgbClr val="000000"/>
                                </a:solidFill>
                                <a:latin typeface="Cambria Math" panose="02040503050406030204" pitchFamily="18" charset="0"/>
                              </a:rPr>
                              <m:t>)</m:t>
                            </m:r>
                          </m:e>
                          <m:sup>
                            <m:r>
                              <a:rPr sz="2000" i="1">
                                <a:solidFill>
                                  <a:srgbClr val="000000"/>
                                </a:solidFill>
                                <a:latin typeface="Cambria Math" panose="02040503050406030204" pitchFamily="18" charset="0"/>
                              </a:rPr>
                              <m:t>2</m:t>
                            </m:r>
                          </m:sup>
                        </m:sSup>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𝑁</m:t>
                            </m:r>
                          </m:e>
                          <m:sub>
                            <m:r>
                              <a:rPr sz="2000" i="1">
                                <a:solidFill>
                                  <a:srgbClr val="000000"/>
                                </a:solidFill>
                                <a:latin typeface="Cambria Math" panose="02040503050406030204" pitchFamily="18" charset="0"/>
                              </a:rPr>
                              <m:t>𝐴</m:t>
                            </m:r>
                          </m:sub>
                        </m:sSub>
                        <m:sSub>
                          <m:sSubPr>
                            <m:ctrlPr>
                              <a:rPr sz="2000" i="1">
                                <a:solidFill>
                                  <a:srgbClr val="000000"/>
                                </a:solidFill>
                                <a:latin typeface="Cambria Math" panose="02040503050406030204" pitchFamily="18" charset="0"/>
                              </a:rPr>
                            </m:ctrlPr>
                          </m:sSubPr>
                          <m:e>
                            <m:r>
                              <a:rPr sz="2000" i="1">
                                <a:solidFill>
                                  <a:srgbClr val="000000"/>
                                </a:solidFill>
                                <a:latin typeface="Cambria Math" panose="02040503050406030204" pitchFamily="18" charset="0"/>
                              </a:rPr>
                              <m:t>𝐶</m:t>
                            </m:r>
                          </m:e>
                          <m:sub>
                            <m:r>
                              <a:rPr sz="2000" i="1">
                                <a:solidFill>
                                  <a:srgbClr val="000000"/>
                                </a:solidFill>
                                <a:latin typeface="Cambria Math" panose="02040503050406030204" pitchFamily="18" charset="0"/>
                              </a:rPr>
                              <m:t>𝑜</m:t>
                            </m:r>
                          </m:sub>
                        </m:sSub>
                        <m:r>
                          <a:rPr sz="2000" i="1">
                            <a:solidFill>
                              <a:srgbClr val="000000"/>
                            </a:solidFill>
                            <a:latin typeface="Cambria Math" panose="02040503050406030204" pitchFamily="18" charset="0"/>
                          </a:rPr>
                          <m:t>]</m:t>
                        </m:r>
                      </m:e>
                    </m:rad>
                  </m:oMath>
                </m:oMathPara>
              </a14:m>
              <a:endParaRPr sz="2000">
                <a:solidFill>
                  <a:srgbClr val="000000"/>
                </a:solidFill>
              </a:endParaRPr>
            </a:p>
          </xdr:txBody>
        </xdr:sp>
      </mc:Choice>
      <mc:Fallback>
        <xdr:sp macro="" textlink="">
          <xdr:nvSpPr>
            <xdr:cNvPr id="12" name="Shape 12">
              <a:extLst>
                <a:ext uri="{FF2B5EF4-FFF2-40B4-BE49-F238E27FC236}">
                  <a16:creationId xmlns:a16="http://schemas.microsoft.com/office/drawing/2014/main" id="{00000000-0008-0000-0600-00000C000000}"/>
                </a:ext>
              </a:extLst>
            </xdr:cNvPr>
            <xdr:cNvSpPr txBox="1"/>
          </xdr:nvSpPr>
          <xdr:spPr>
            <a:xfrm>
              <a:off x="10520681" y="3102482"/>
              <a:ext cx="5817028" cy="469139"/>
            </a:xfrm>
            <a:prstGeom prst="rect">
              <a:avLst/>
            </a:prstGeom>
            <a:noFill/>
            <a:ln w="12700" cap="flat">
              <a:noFill/>
              <a:miter lim="400000"/>
            </a:ln>
            <a:effectLst/>
          </xdr:spPr>
          <xdr:txBody>
            <a:bodyPr wrap="none" lIns="0" tIns="0" rIns="0" bIns="0">
              <a:spAutoFit/>
            </a:bodyPr>
            <a:lstStyle/>
            <a:p>
              <a:pPr/>
              <a:r>
                <a:rPr sz="2000" i="0">
                  <a:solidFill>
                    <a:srgbClr val="000000"/>
                  </a:solidFill>
                  <a:latin typeface="Cambria Math" panose="02040503050406030204" pitchFamily="18" charset="0"/>
                </a:rPr>
                <a:t>𝑑_(𝑙𝑒𝑛𝑔𝑡ℎ−𝑜𝑓−𝐸𝑙𝑒𝑐𝑡𝑟𝑖𝑐−𝐷𝑜𝑢𝑏𝑙𝑒−𝐿𝑎𝑦𝑒𝑟)=</a:t>
              </a:r>
              <a:r>
                <a:rPr lang="en-US" sz="2000" i="0">
                  <a:solidFill>
                    <a:srgbClr val="000000"/>
                  </a:solidFill>
                  <a:latin typeface="Cambria Math" panose="02040503050406030204" pitchFamily="18" charset="0"/>
                </a:rPr>
                <a:t>√(</a:t>
              </a:r>
              <a:r>
                <a:rPr sz="2000" i="0">
                  <a:solidFill>
                    <a:srgbClr val="000000"/>
                  </a:solidFill>
                  <a:latin typeface="Cambria Math" panose="02040503050406030204" pitchFamily="18" charset="0"/>
                </a:rPr>
                <a:t>[𝑘𝑇𝑒_𝑝𝑒𝑟𝑚𝑖𝑡𝑖𝑣𝑦/2(𝑧𝑒)^2 𝑁_𝐴 𝐶_𝑜])</a:t>
              </a:r>
              <a:endParaRPr sz="2000">
                <a:solidFill>
                  <a:srgbClr val="000000"/>
                </a:solidFill>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349440</xdr:colOff>
      <xdr:row>17</xdr:row>
      <xdr:rowOff>41020</xdr:rowOff>
    </xdr:from>
    <xdr:to>
      <xdr:col>7</xdr:col>
      <xdr:colOff>839343</xdr:colOff>
      <xdr:row>33</xdr:row>
      <xdr:rowOff>62356</xdr:rowOff>
    </xdr:to>
    <xdr:graphicFrame macro="">
      <xdr:nvGraphicFramePr>
        <xdr:cNvPr id="14" name="Chart 14">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2"/>
  <sheetViews>
    <sheetView showGridLines="0" workbookViewId="0"/>
  </sheetViews>
  <sheetFormatPr defaultColWidth="10" defaultRowHeight="12.95" customHeight="1"/>
  <cols>
    <col min="1" max="1" width="2" customWidth="1"/>
    <col min="2" max="4" width="33.5703125" customWidth="1"/>
  </cols>
  <sheetData>
    <row r="3" spans="2:4" ht="50.1" customHeight="1">
      <c r="B3" s="257" t="s">
        <v>0</v>
      </c>
      <c r="C3" s="258"/>
      <c r="D3" s="258"/>
    </row>
    <row r="7" spans="2:4" ht="18">
      <c r="B7" s="1" t="s">
        <v>1</v>
      </c>
      <c r="C7" s="1" t="s">
        <v>2</v>
      </c>
      <c r="D7" s="1" t="s">
        <v>3</v>
      </c>
    </row>
    <row r="9" spans="2:4" ht="15">
      <c r="B9" s="2" t="s">
        <v>4</v>
      </c>
      <c r="C9" s="2"/>
      <c r="D9" s="2"/>
    </row>
    <row r="10" spans="2:4" ht="15">
      <c r="B10" s="3"/>
      <c r="C10" s="3" t="s">
        <v>5</v>
      </c>
      <c r="D10" s="4" t="s">
        <v>4</v>
      </c>
    </row>
    <row r="11" spans="2:4" ht="15">
      <c r="B11" s="2" t="s">
        <v>30</v>
      </c>
      <c r="C11" s="2"/>
      <c r="D11" s="2"/>
    </row>
    <row r="12" spans="2:4" ht="15">
      <c r="B12" s="3"/>
      <c r="C12" s="3" t="s">
        <v>5</v>
      </c>
      <c r="D12" s="4" t="s">
        <v>30</v>
      </c>
    </row>
    <row r="13" spans="2:4" ht="15">
      <c r="B13" s="2" t="s">
        <v>75</v>
      </c>
      <c r="C13" s="2"/>
      <c r="D13" s="2"/>
    </row>
    <row r="14" spans="2:4" ht="15">
      <c r="B14" s="3"/>
      <c r="C14" s="3" t="s">
        <v>5</v>
      </c>
      <c r="D14" s="4" t="s">
        <v>75</v>
      </c>
    </row>
    <row r="15" spans="2:4" ht="15">
      <c r="B15" s="2" t="s">
        <v>77</v>
      </c>
      <c r="C15" s="2"/>
      <c r="D15" s="2"/>
    </row>
    <row r="16" spans="2:4" ht="15">
      <c r="B16" s="3"/>
      <c r="C16" s="3" t="s">
        <v>5</v>
      </c>
      <c r="D16" s="4" t="s">
        <v>77</v>
      </c>
    </row>
    <row r="17" spans="2:4" ht="15">
      <c r="B17" s="2" t="s">
        <v>144</v>
      </c>
      <c r="C17" s="2"/>
      <c r="D17" s="2"/>
    </row>
    <row r="18" spans="2:4" ht="15">
      <c r="B18" s="3"/>
      <c r="C18" s="3" t="s">
        <v>5</v>
      </c>
      <c r="D18" s="4" t="s">
        <v>144</v>
      </c>
    </row>
    <row r="19" spans="2:4" ht="15">
      <c r="B19" s="2" t="s">
        <v>191</v>
      </c>
      <c r="C19" s="2"/>
      <c r="D19" s="2"/>
    </row>
    <row r="20" spans="2:4" ht="15">
      <c r="B20" s="3"/>
      <c r="C20" s="3" t="s">
        <v>5</v>
      </c>
      <c r="D20" s="4" t="s">
        <v>191</v>
      </c>
    </row>
    <row r="21" spans="2:4" ht="15">
      <c r="B21" s="2" t="s">
        <v>239</v>
      </c>
      <c r="C21" s="2"/>
      <c r="D21" s="2"/>
    </row>
    <row r="22" spans="2:4" ht="15">
      <c r="B22" s="3"/>
      <c r="C22" s="3" t="s">
        <v>5</v>
      </c>
      <c r="D22" s="4" t="s">
        <v>239</v>
      </c>
    </row>
  </sheetData>
  <mergeCells count="1">
    <mergeCell ref="B3:D3"/>
  </mergeCells>
  <hyperlinks>
    <hyperlink ref="D10" location="'Sheet 1'!R2C1" display="Sheet 1" xr:uid="{00000000-0004-0000-0000-000000000000}"/>
    <hyperlink ref="D12" location="'Value of Vo and Rf'!R2C1" display="Value of Vo and Rf" xr:uid="{00000000-0004-0000-0000-000001000000}"/>
    <hyperlink ref="D14" location="'Sheet 2'!R2C1" display="Sheet 2" xr:uid="{00000000-0004-0000-0000-000002000000}"/>
    <hyperlink ref="D16" location="'Sheet 3'!R2C1" display="Sheet 3" xr:uid="{00000000-0004-0000-0000-000003000000}"/>
    <hyperlink ref="D18" location="'COVID DNA Detection Cap'!R2C1" display="COVID DNA Detection Cap" xr:uid="{00000000-0004-0000-0000-000004000000}"/>
    <hyperlink ref="D20" location="'COVID Detection Clean Sheet'!R2C1" display="COVID Detection Clean Sheet" xr:uid="{00000000-0004-0000-0000-000005000000}"/>
    <hyperlink ref="D22" location="'Detection Curve'!R2C1" display="Detection Curve"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2"/>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8" width="16.28515625" style="5" customWidth="1"/>
    <col min="9" max="16384" width="16.28515625" style="5"/>
  </cols>
  <sheetData>
    <row r="1" spans="1:7" ht="27.6" customHeight="1">
      <c r="A1" s="259" t="s">
        <v>5</v>
      </c>
      <c r="B1" s="259"/>
      <c r="C1" s="259"/>
      <c r="D1" s="259"/>
      <c r="E1" s="259"/>
      <c r="F1" s="259"/>
      <c r="G1" s="259"/>
    </row>
    <row r="2" spans="1:7" ht="20.25" customHeight="1">
      <c r="A2" s="6"/>
      <c r="B2" s="6"/>
      <c r="C2" s="6"/>
      <c r="D2" s="6"/>
      <c r="E2" s="6"/>
      <c r="F2" s="6"/>
      <c r="G2" s="6"/>
    </row>
    <row r="3" spans="1:7" ht="20.25" customHeight="1">
      <c r="A3" s="7"/>
      <c r="B3" s="8"/>
      <c r="C3" s="9"/>
      <c r="D3" s="9"/>
      <c r="E3" s="9"/>
      <c r="F3" s="9"/>
      <c r="G3" s="9"/>
    </row>
    <row r="4" spans="1:7" ht="20.100000000000001" customHeight="1">
      <c r="A4" s="10"/>
      <c r="B4" s="11">
        <v>2</v>
      </c>
      <c r="C4" s="12"/>
      <c r="D4" s="12"/>
      <c r="E4" s="13">
        <v>2</v>
      </c>
      <c r="F4" s="12"/>
      <c r="G4" s="12"/>
    </row>
    <row r="5" spans="1:7" ht="20.100000000000001" customHeight="1">
      <c r="A5" s="14" t="s">
        <v>6</v>
      </c>
      <c r="B5" s="11">
        <f t="shared" ref="B5:E5" si="0">22/7</f>
        <v>3.1428571428571428</v>
      </c>
      <c r="C5" s="12"/>
      <c r="D5" s="15" t="s">
        <v>6</v>
      </c>
      <c r="E5" s="13">
        <f t="shared" si="0"/>
        <v>3.1428571428571428</v>
      </c>
      <c r="F5" s="12"/>
      <c r="G5" s="12"/>
    </row>
    <row r="6" spans="1:7" ht="20.100000000000001" customHeight="1">
      <c r="A6" s="14" t="s">
        <v>7</v>
      </c>
      <c r="B6" s="16">
        <v>0.25</v>
      </c>
      <c r="C6" s="12"/>
      <c r="D6" s="15" t="s">
        <v>7</v>
      </c>
      <c r="E6" s="13">
        <v>0.25</v>
      </c>
      <c r="F6" s="12"/>
      <c r="G6" s="12"/>
    </row>
    <row r="7" spans="1:7" ht="20.100000000000001" customHeight="1">
      <c r="A7" s="14" t="s">
        <v>8</v>
      </c>
      <c r="B7" s="17">
        <v>9.6000000000000002E-5</v>
      </c>
      <c r="C7" s="12"/>
      <c r="D7" s="15" t="s">
        <v>8</v>
      </c>
      <c r="E7" s="13">
        <v>9.6000000000000002E-5</v>
      </c>
      <c r="F7" s="12"/>
      <c r="G7" s="12"/>
    </row>
    <row r="8" spans="1:7" ht="20.100000000000001" customHeight="1">
      <c r="A8" s="14" t="s">
        <v>9</v>
      </c>
      <c r="B8" s="17">
        <v>98</v>
      </c>
      <c r="C8" s="12"/>
      <c r="D8" s="15" t="s">
        <v>9</v>
      </c>
      <c r="E8" s="13">
        <v>98</v>
      </c>
      <c r="F8" s="12"/>
      <c r="G8" s="12"/>
    </row>
    <row r="9" spans="1:7" ht="20.100000000000001" customHeight="1">
      <c r="A9" s="14" t="s">
        <v>10</v>
      </c>
      <c r="B9" s="11">
        <f>1/B6</f>
        <v>4</v>
      </c>
      <c r="C9" s="12"/>
      <c r="D9" s="15" t="s">
        <v>10</v>
      </c>
      <c r="E9" s="13">
        <f>1/E6</f>
        <v>4</v>
      </c>
      <c r="F9" s="12"/>
      <c r="G9" s="12"/>
    </row>
    <row r="10" spans="1:7" ht="20.100000000000001" customHeight="1">
      <c r="A10" s="14" t="s">
        <v>11</v>
      </c>
      <c r="B10" s="11">
        <f>B4*B5*B6*B7</f>
        <v>1.5085714285714285E-4</v>
      </c>
      <c r="C10" s="12"/>
      <c r="D10" s="15" t="s">
        <v>11</v>
      </c>
      <c r="E10" s="13">
        <f>E4*E5*E6*E7</f>
        <v>1.5085714285714285E-4</v>
      </c>
      <c r="F10" s="12"/>
      <c r="G10" s="12"/>
    </row>
    <row r="11" spans="1:7" ht="20.100000000000001" customHeight="1">
      <c r="A11" s="14" t="s">
        <v>12</v>
      </c>
      <c r="B11" s="11">
        <f>1/B10</f>
        <v>6628.787878787879</v>
      </c>
      <c r="C11" s="12"/>
      <c r="D11" s="15" t="s">
        <v>12</v>
      </c>
      <c r="E11" s="13">
        <f>1/E10</f>
        <v>6628.787878787879</v>
      </c>
      <c r="F11" s="12"/>
      <c r="G11" s="12"/>
    </row>
    <row r="12" spans="1:7" ht="20.100000000000001" customHeight="1">
      <c r="A12" s="10"/>
      <c r="B12" s="18"/>
      <c r="C12" s="12"/>
      <c r="D12" s="12"/>
      <c r="E12" s="12"/>
      <c r="F12" s="12"/>
      <c r="G12" s="12"/>
    </row>
    <row r="13" spans="1:7" ht="20.100000000000001" customHeight="1">
      <c r="A13" s="10"/>
      <c r="B13" s="18"/>
      <c r="C13" s="12"/>
      <c r="D13" s="12"/>
      <c r="E13" s="12"/>
      <c r="F13" s="12"/>
      <c r="G13" s="12"/>
    </row>
    <row r="14" spans="1:7" ht="20.100000000000001" customHeight="1">
      <c r="A14" s="14" t="s">
        <v>13</v>
      </c>
      <c r="B14" s="11">
        <f>(B8^2)+(B11^2)</f>
        <v>43950432.741965108</v>
      </c>
      <c r="C14" s="12"/>
      <c r="D14" s="15" t="s">
        <v>13</v>
      </c>
      <c r="E14" s="13">
        <f>(E8^2)+(E11^2)</f>
        <v>43950432.741965108</v>
      </c>
      <c r="F14" s="12"/>
      <c r="G14" s="12"/>
    </row>
    <row r="15" spans="1:7" ht="20.100000000000001" customHeight="1">
      <c r="A15" s="14" t="s">
        <v>14</v>
      </c>
      <c r="B15" s="11">
        <f>SQRT(B14)</f>
        <v>6629.5122552089088</v>
      </c>
      <c r="C15" s="12"/>
      <c r="D15" s="15" t="s">
        <v>14</v>
      </c>
      <c r="E15" s="13">
        <f>SQRT(E14)</f>
        <v>6629.5122552089088</v>
      </c>
      <c r="F15" s="12"/>
      <c r="G15" s="12"/>
    </row>
    <row r="16" spans="1:7" ht="20.100000000000001" customHeight="1">
      <c r="A16" s="10"/>
      <c r="B16" s="18"/>
      <c r="C16" s="12"/>
      <c r="D16" s="12"/>
      <c r="E16" s="12"/>
      <c r="F16" s="12"/>
      <c r="G16" s="12"/>
    </row>
    <row r="17" spans="1:7" ht="20.100000000000001" customHeight="1">
      <c r="A17" s="14" t="s">
        <v>15</v>
      </c>
      <c r="B17" s="11">
        <v>1</v>
      </c>
      <c r="C17" s="12"/>
      <c r="D17" s="15" t="s">
        <v>16</v>
      </c>
      <c r="E17" s="13">
        <f>C22</f>
        <v>0.3</v>
      </c>
      <c r="F17" s="12"/>
      <c r="G17" s="12"/>
    </row>
    <row r="18" spans="1:7" ht="20.100000000000001" customHeight="1">
      <c r="A18" s="10"/>
      <c r="B18" s="18"/>
      <c r="C18" s="12"/>
      <c r="D18" s="12"/>
      <c r="E18" s="12"/>
      <c r="F18" s="12"/>
      <c r="G18" s="12"/>
    </row>
    <row r="19" spans="1:7" ht="20.100000000000001" customHeight="1">
      <c r="A19" s="14" t="s">
        <v>17</v>
      </c>
      <c r="B19" s="11">
        <f>B17/B15</f>
        <v>1.508406593885221E-4</v>
      </c>
      <c r="C19" s="12"/>
      <c r="D19" s="15" t="s">
        <v>17</v>
      </c>
      <c r="E19" s="19">
        <f>E17/E15</f>
        <v>4.5252197816556626E-5</v>
      </c>
      <c r="F19" s="15" t="s">
        <v>18</v>
      </c>
      <c r="G19" s="19">
        <f>(E19*C25)+C23</f>
        <v>2.4025219781655665</v>
      </c>
    </row>
    <row r="20" spans="1:7" ht="20.25" customHeight="1">
      <c r="A20" s="20"/>
      <c r="B20" s="21"/>
      <c r="C20" s="22"/>
      <c r="D20" s="22"/>
      <c r="E20" s="22"/>
      <c r="F20" s="22"/>
      <c r="G20" s="22"/>
    </row>
    <row r="21" spans="1:7" ht="14.85" customHeight="1">
      <c r="A21" s="23" t="s">
        <v>19</v>
      </c>
      <c r="B21" s="24" t="s">
        <v>20</v>
      </c>
      <c r="C21" s="25">
        <v>1.65</v>
      </c>
      <c r="D21" s="26"/>
      <c r="E21" s="26"/>
      <c r="F21" s="26"/>
      <c r="G21" s="27"/>
    </row>
    <row r="22" spans="1:7" ht="15" customHeight="1">
      <c r="A22" s="28" t="s">
        <v>21</v>
      </c>
      <c r="B22" s="29" t="s">
        <v>20</v>
      </c>
      <c r="C22" s="30">
        <v>0.3</v>
      </c>
      <c r="D22" s="31"/>
      <c r="E22" s="29" t="s">
        <v>22</v>
      </c>
      <c r="F22" s="29" t="s">
        <v>20</v>
      </c>
      <c r="G22" s="32">
        <v>-1.45E-4</v>
      </c>
    </row>
    <row r="23" spans="1:7" ht="15" customHeight="1">
      <c r="A23" s="28" t="s">
        <v>23</v>
      </c>
      <c r="B23" s="29" t="s">
        <v>20</v>
      </c>
      <c r="C23" s="33">
        <v>1.95</v>
      </c>
      <c r="D23" s="31"/>
      <c r="E23" s="31"/>
      <c r="F23" s="31"/>
      <c r="G23" s="34"/>
    </row>
    <row r="24" spans="1:7" ht="15" customHeight="1">
      <c r="A24" s="35"/>
      <c r="B24" s="31"/>
      <c r="C24" s="31"/>
      <c r="D24" s="31"/>
      <c r="E24" s="260" t="s">
        <v>24</v>
      </c>
      <c r="F24" s="261"/>
      <c r="G24" s="34"/>
    </row>
    <row r="25" spans="1:7" ht="15" customHeight="1">
      <c r="A25" s="28" t="s">
        <v>25</v>
      </c>
      <c r="B25" s="29" t="s">
        <v>20</v>
      </c>
      <c r="C25" s="36">
        <v>10000</v>
      </c>
      <c r="D25" s="31"/>
      <c r="E25" s="31"/>
      <c r="F25" s="31"/>
      <c r="G25" s="34"/>
    </row>
    <row r="26" spans="1:7" ht="12.75" customHeight="1">
      <c r="A26" s="35"/>
      <c r="B26" s="31"/>
      <c r="C26" s="31"/>
      <c r="D26" s="31"/>
      <c r="E26" s="31"/>
      <c r="F26" s="31"/>
      <c r="G26" s="34"/>
    </row>
    <row r="27" spans="1:7" ht="15" customHeight="1">
      <c r="A27" s="28" t="s">
        <v>26</v>
      </c>
      <c r="B27" s="29" t="s">
        <v>20</v>
      </c>
      <c r="C27" s="33">
        <v>0.5</v>
      </c>
      <c r="D27" s="31"/>
      <c r="E27" s="31"/>
      <c r="F27" s="31"/>
      <c r="G27" s="34"/>
    </row>
    <row r="28" spans="1:7" ht="15" customHeight="1">
      <c r="A28" s="37"/>
      <c r="B28" s="38"/>
      <c r="C28" s="39"/>
      <c r="D28" s="31"/>
      <c r="E28" s="31"/>
      <c r="F28" s="31"/>
      <c r="G28" s="34"/>
    </row>
    <row r="29" spans="1:7" ht="15" customHeight="1">
      <c r="A29" s="29" t="s">
        <v>27</v>
      </c>
      <c r="B29" s="29" t="s">
        <v>20</v>
      </c>
      <c r="C29" s="33">
        <f>C22</f>
        <v>0.3</v>
      </c>
      <c r="D29" s="31"/>
      <c r="E29" s="31"/>
      <c r="F29" s="31"/>
      <c r="G29" s="34"/>
    </row>
    <row r="30" spans="1:7" ht="15" customHeight="1">
      <c r="A30" s="29" t="s">
        <v>28</v>
      </c>
      <c r="B30" s="29" t="s">
        <v>20</v>
      </c>
      <c r="C30" s="30">
        <v>-0.3</v>
      </c>
      <c r="D30" s="31"/>
      <c r="E30" s="31"/>
      <c r="F30" s="31"/>
      <c r="G30" s="34"/>
    </row>
    <row r="31" spans="1:7" ht="12.75" customHeight="1">
      <c r="A31" s="40"/>
      <c r="B31" s="31"/>
      <c r="C31" s="31"/>
      <c r="D31" s="31"/>
      <c r="E31" s="31"/>
      <c r="F31" s="31"/>
      <c r="G31" s="34"/>
    </row>
    <row r="32" spans="1:7" ht="15" customHeight="1">
      <c r="A32" s="29" t="s">
        <v>29</v>
      </c>
      <c r="B32" s="29" t="s">
        <v>20</v>
      </c>
      <c r="C32" s="33">
        <f>(SQRT((C29^2))+SQRT((C30^2)))/2</f>
        <v>0.3</v>
      </c>
      <c r="D32" s="41"/>
      <c r="E32" s="41"/>
      <c r="F32" s="41"/>
      <c r="G32" s="42"/>
    </row>
  </sheetData>
  <mergeCells count="2">
    <mergeCell ref="A1:G1"/>
    <mergeCell ref="E24:F24"/>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25"/>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1" width="16.28515625" style="43" customWidth="1"/>
    <col min="2" max="2" width="15" style="43" customWidth="1"/>
    <col min="3" max="11" width="16.28515625" style="43" customWidth="1"/>
    <col min="12" max="12" width="10.28515625" style="43" customWidth="1"/>
    <col min="13" max="13" width="16.28515625" style="43" customWidth="1"/>
    <col min="14" max="16384" width="16.28515625" style="43"/>
  </cols>
  <sheetData>
    <row r="1" spans="1:12" ht="27.6" customHeight="1">
      <c r="A1" s="259" t="s">
        <v>5</v>
      </c>
      <c r="B1" s="259"/>
      <c r="C1" s="259"/>
      <c r="D1" s="259"/>
      <c r="E1" s="259"/>
      <c r="F1" s="259"/>
      <c r="G1" s="259"/>
      <c r="H1" s="259"/>
      <c r="I1" s="259"/>
      <c r="J1" s="259"/>
      <c r="K1" s="259"/>
      <c r="L1" s="259"/>
    </row>
    <row r="2" spans="1:12" ht="20.25" customHeight="1">
      <c r="A2" s="6"/>
      <c r="B2" s="44" t="s">
        <v>31</v>
      </c>
      <c r="C2" s="44" t="s">
        <v>32</v>
      </c>
      <c r="D2" s="44" t="s">
        <v>33</v>
      </c>
      <c r="E2" s="6"/>
      <c r="F2" s="6"/>
      <c r="G2" s="6"/>
      <c r="H2" s="6"/>
      <c r="I2" s="6"/>
      <c r="J2" s="6"/>
      <c r="K2" s="6"/>
      <c r="L2" s="6"/>
    </row>
    <row r="3" spans="1:12" ht="20.25" customHeight="1">
      <c r="A3" s="45" t="s">
        <v>34</v>
      </c>
      <c r="B3" s="46" t="s">
        <v>35</v>
      </c>
      <c r="C3" s="47"/>
      <c r="D3" s="48">
        <f>(C6*D16)+D5</f>
        <v>0.80712345840314748</v>
      </c>
      <c r="E3" s="47"/>
      <c r="F3" s="49" t="s">
        <v>36</v>
      </c>
      <c r="G3" s="48">
        <f>D5*(1+(C6/D14))</f>
        <v>0.75213024796204586</v>
      </c>
      <c r="H3" s="9"/>
      <c r="I3" s="9"/>
      <c r="J3" s="9"/>
      <c r="K3" s="9"/>
      <c r="L3" s="9"/>
    </row>
    <row r="4" spans="1:12" ht="20.100000000000001" customHeight="1">
      <c r="A4" s="14" t="s">
        <v>16</v>
      </c>
      <c r="B4" s="50" t="s">
        <v>37</v>
      </c>
      <c r="C4" s="12"/>
      <c r="D4" s="51">
        <f>((-2)*C15*D10*J19)+1.65</f>
        <v>2.65</v>
      </c>
      <c r="E4" s="51">
        <f>((-2)*C15*D10*J19)</f>
        <v>1</v>
      </c>
      <c r="F4" s="12"/>
      <c r="G4" s="12"/>
      <c r="H4" s="12"/>
      <c r="I4" s="12"/>
      <c r="J4" s="12"/>
      <c r="K4" s="12"/>
      <c r="L4" s="12"/>
    </row>
    <row r="5" spans="1:12" ht="20.100000000000001" customHeight="1">
      <c r="A5" s="14" t="s">
        <v>16</v>
      </c>
      <c r="B5" s="50" t="s">
        <v>38</v>
      </c>
      <c r="C5" s="12"/>
      <c r="D5" s="51">
        <f>(2*C15*D10*J19)+(1.65)</f>
        <v>0.64999999999999991</v>
      </c>
      <c r="E5" s="51">
        <f>(2*C15*D10*J19)</f>
        <v>-1</v>
      </c>
      <c r="F5" s="15" t="s">
        <v>39</v>
      </c>
      <c r="G5" s="15" t="s">
        <v>40</v>
      </c>
      <c r="H5" s="15" t="s">
        <v>41</v>
      </c>
      <c r="I5" s="15" t="s">
        <v>42</v>
      </c>
      <c r="J5" s="15" t="s">
        <v>43</v>
      </c>
      <c r="K5" s="12"/>
      <c r="L5" s="12"/>
    </row>
    <row r="6" spans="1:12" ht="20.100000000000001" customHeight="1">
      <c r="A6" s="14" t="s">
        <v>44</v>
      </c>
      <c r="B6" s="18"/>
      <c r="C6" s="52">
        <v>1000</v>
      </c>
      <c r="D6" s="12"/>
      <c r="E6" s="15" t="s">
        <v>45</v>
      </c>
      <c r="F6" s="13">
        <f>C17/4</f>
        <v>1</v>
      </c>
      <c r="G6" s="13">
        <f>C17/2</f>
        <v>2</v>
      </c>
      <c r="H6" s="13">
        <f>(C17*3)/4</f>
        <v>3</v>
      </c>
      <c r="I6" s="13">
        <f>C17</f>
        <v>4</v>
      </c>
      <c r="J6" s="13">
        <v>0</v>
      </c>
      <c r="K6" s="15" t="s">
        <v>46</v>
      </c>
      <c r="L6" s="12"/>
    </row>
    <row r="7" spans="1:12" ht="20.100000000000001" customHeight="1">
      <c r="A7" s="14" t="s">
        <v>27</v>
      </c>
      <c r="B7" s="18"/>
      <c r="C7" s="53">
        <v>1</v>
      </c>
      <c r="D7" s="12"/>
      <c r="E7" s="15" t="s">
        <v>47</v>
      </c>
      <c r="F7" s="54">
        <f>F6+F8</f>
        <v>2</v>
      </c>
      <c r="G7" s="54">
        <f>G6+F8</f>
        <v>3</v>
      </c>
      <c r="H7" s="54">
        <f>H6+F8</f>
        <v>4</v>
      </c>
      <c r="I7" s="54">
        <f>I6+F8</f>
        <v>5</v>
      </c>
      <c r="J7" s="54">
        <f>F8+J6</f>
        <v>1</v>
      </c>
      <c r="K7" s="54">
        <v>1</v>
      </c>
      <c r="L7" s="55"/>
    </row>
    <row r="8" spans="1:12" ht="20.100000000000001" customHeight="1">
      <c r="A8" s="14" t="s">
        <v>28</v>
      </c>
      <c r="B8" s="18"/>
      <c r="C8" s="53">
        <v>-1</v>
      </c>
      <c r="D8" s="12"/>
      <c r="E8" s="15" t="s">
        <v>39</v>
      </c>
      <c r="F8" s="13">
        <f>C17/4</f>
        <v>1</v>
      </c>
      <c r="G8" s="12"/>
      <c r="H8" s="12"/>
      <c r="I8" s="12"/>
      <c r="J8" s="12"/>
      <c r="K8" s="12"/>
      <c r="L8" s="12"/>
    </row>
    <row r="9" spans="1:12" ht="20.100000000000001" customHeight="1">
      <c r="A9" s="14" t="s">
        <v>48</v>
      </c>
      <c r="B9" s="50" t="s">
        <v>49</v>
      </c>
      <c r="C9" s="12"/>
      <c r="D9" s="13">
        <f>(C7-C8)/2</f>
        <v>1</v>
      </c>
      <c r="E9" s="12"/>
      <c r="F9" s="12"/>
      <c r="G9" s="12"/>
      <c r="H9" s="12"/>
      <c r="I9" s="12"/>
      <c r="J9" s="12"/>
      <c r="K9" s="12"/>
      <c r="L9" s="12"/>
    </row>
    <row r="10" spans="1:12" ht="20.100000000000001" customHeight="1">
      <c r="A10" s="14" t="s">
        <v>50</v>
      </c>
      <c r="B10" s="50" t="s">
        <v>51</v>
      </c>
      <c r="C10" s="12"/>
      <c r="D10" s="13">
        <f>C7-C8</f>
        <v>2</v>
      </c>
      <c r="E10" s="12"/>
      <c r="F10" s="12"/>
      <c r="G10" s="12"/>
      <c r="H10" s="12"/>
      <c r="I10" s="12"/>
      <c r="J10" s="12"/>
      <c r="K10" s="12"/>
      <c r="L10" s="12"/>
    </row>
    <row r="11" spans="1:12" ht="20.100000000000001" customHeight="1">
      <c r="A11" s="14" t="s">
        <v>52</v>
      </c>
      <c r="B11" s="18"/>
      <c r="C11" s="56">
        <v>100</v>
      </c>
      <c r="D11" s="12"/>
      <c r="E11" s="12"/>
      <c r="F11" s="15" t="s">
        <v>34</v>
      </c>
      <c r="G11" s="19">
        <f>(C6*2*C15*(D10)*(C12+(K7/C6)))-(EXP(-(K7/(C11*C12)))+(C21))</f>
        <v>-0.54999999999999982</v>
      </c>
      <c r="H11" s="12"/>
      <c r="I11" s="12"/>
      <c r="J11" s="12"/>
      <c r="K11" s="12"/>
      <c r="L11" s="12"/>
    </row>
    <row r="12" spans="1:12" ht="20.100000000000001" customHeight="1">
      <c r="A12" s="14" t="s">
        <v>8</v>
      </c>
      <c r="B12" s="18"/>
      <c r="C12" s="57">
        <v>1E-4</v>
      </c>
      <c r="D12" s="12"/>
      <c r="E12" s="12"/>
      <c r="F12" s="12"/>
      <c r="G12" s="12"/>
      <c r="H12" s="12"/>
      <c r="I12" s="12"/>
      <c r="J12" s="12"/>
      <c r="K12" s="12"/>
      <c r="L12" s="12"/>
    </row>
    <row r="13" spans="1:12" ht="20.100000000000001" customHeight="1">
      <c r="A13" s="14" t="s">
        <v>53</v>
      </c>
      <c r="B13" s="50" t="s">
        <v>54</v>
      </c>
      <c r="C13" s="12"/>
      <c r="D13" s="13">
        <f>1/(2*(22/7)*C15*C12)</f>
        <v>6363.6363636363631</v>
      </c>
      <c r="E13" s="12"/>
      <c r="F13" s="13">
        <f>(C6*2*C15*(D10)*(C12+(F7/C6)))</f>
        <v>2.1</v>
      </c>
      <c r="G13" s="15" t="s">
        <v>55</v>
      </c>
      <c r="H13" s="12"/>
      <c r="I13" s="12"/>
      <c r="J13" s="12"/>
      <c r="K13" s="12"/>
      <c r="L13" s="12"/>
    </row>
    <row r="14" spans="1:12" ht="20.100000000000001" customHeight="1">
      <c r="A14" s="14" t="s">
        <v>56</v>
      </c>
      <c r="B14" s="50" t="s">
        <v>57</v>
      </c>
      <c r="C14" s="12"/>
      <c r="D14" s="13">
        <f>SQRT(((C11^2)+(D13^2)))</f>
        <v>6364.4220294222341</v>
      </c>
      <c r="E14" s="12"/>
      <c r="F14" s="58">
        <f>EXP(-(F7/(C11*C12)))</f>
        <v>1.3838965267367376E-87</v>
      </c>
      <c r="G14" s="15" t="s">
        <v>58</v>
      </c>
      <c r="H14" s="12"/>
      <c r="I14" s="12"/>
      <c r="J14" s="12"/>
      <c r="K14" s="12"/>
      <c r="L14" s="12"/>
    </row>
    <row r="15" spans="1:12" ht="20.100000000000001" customHeight="1">
      <c r="A15" s="14" t="s">
        <v>7</v>
      </c>
      <c r="B15" s="18"/>
      <c r="C15" s="59">
        <v>0.25</v>
      </c>
      <c r="D15" s="12"/>
      <c r="E15" s="12"/>
      <c r="F15" s="13">
        <f>C21</f>
        <v>1.65</v>
      </c>
      <c r="G15" s="15" t="s">
        <v>59</v>
      </c>
      <c r="H15" s="12"/>
      <c r="I15" s="12"/>
      <c r="J15" s="12"/>
      <c r="K15" s="12"/>
      <c r="L15" s="12"/>
    </row>
    <row r="16" spans="1:12" ht="44.1" customHeight="1">
      <c r="A16" s="14" t="s">
        <v>22</v>
      </c>
      <c r="B16" s="50" t="s">
        <v>60</v>
      </c>
      <c r="C16" s="12"/>
      <c r="D16" s="13">
        <f>D9/(SQRT(((C11*C11)+(D13*D13))))</f>
        <v>1.5712345840314751E-4</v>
      </c>
      <c r="E16" s="13">
        <f>(G11-D5)/C6</f>
        <v>-1.1999999999999997E-3</v>
      </c>
      <c r="F16" s="15" t="s">
        <v>61</v>
      </c>
      <c r="G16" s="12"/>
      <c r="H16" s="12"/>
      <c r="I16" s="12"/>
      <c r="J16" s="12"/>
      <c r="K16" s="12"/>
      <c r="L16" s="12"/>
    </row>
    <row r="17" spans="1:12" ht="20.85" customHeight="1">
      <c r="A17" s="14" t="s">
        <v>42</v>
      </c>
      <c r="B17" s="50" t="s">
        <v>62</v>
      </c>
      <c r="C17" s="60">
        <f>1/C15</f>
        <v>4</v>
      </c>
      <c r="D17" s="12"/>
      <c r="E17" s="12"/>
      <c r="F17" s="61"/>
      <c r="G17" s="61"/>
      <c r="H17" s="61"/>
      <c r="I17" s="61"/>
      <c r="J17" s="61"/>
      <c r="K17" s="61"/>
      <c r="L17" s="61"/>
    </row>
    <row r="18" spans="1:12" ht="32.85" customHeight="1">
      <c r="A18" s="14" t="s">
        <v>63</v>
      </c>
      <c r="B18" s="50" t="s">
        <v>64</v>
      </c>
      <c r="C18" s="51">
        <f>4*D9*C15</f>
        <v>1</v>
      </c>
      <c r="D18" s="12"/>
      <c r="E18" s="62"/>
      <c r="F18" s="63" t="s">
        <v>65</v>
      </c>
      <c r="G18" s="64" t="s">
        <v>66</v>
      </c>
      <c r="H18" s="64" t="s">
        <v>8</v>
      </c>
      <c r="I18" s="64" t="s">
        <v>44</v>
      </c>
      <c r="J18" s="64" t="s">
        <v>67</v>
      </c>
      <c r="K18" s="65" t="s">
        <v>68</v>
      </c>
      <c r="L18" s="66" t="s">
        <v>69</v>
      </c>
    </row>
    <row r="19" spans="1:12" ht="20.100000000000001" customHeight="1">
      <c r="A19" s="14" t="s">
        <v>70</v>
      </c>
      <c r="B19" s="50" t="s">
        <v>71</v>
      </c>
      <c r="C19" s="12"/>
      <c r="D19" s="13">
        <f>ATAN(D13/C11)</f>
        <v>1.5550833343778212</v>
      </c>
      <c r="E19" s="62"/>
      <c r="F19" s="67">
        <f>G19*J19</f>
        <v>-1</v>
      </c>
      <c r="G19" s="13">
        <f>2*C15*(D10)</f>
        <v>1</v>
      </c>
      <c r="H19" s="68">
        <f>C12</f>
        <v>1E-4</v>
      </c>
      <c r="I19" s="13">
        <f>C6</f>
        <v>1000</v>
      </c>
      <c r="J19" s="52">
        <v>-1</v>
      </c>
      <c r="K19" s="13">
        <f>G19*H19*I19</f>
        <v>0.1</v>
      </c>
      <c r="L19" s="69">
        <f>L22*I19</f>
        <v>2.6881171418161355E+46</v>
      </c>
    </row>
    <row r="20" spans="1:12" ht="20.100000000000001" customHeight="1">
      <c r="A20" s="14" t="s">
        <v>72</v>
      </c>
      <c r="B20" s="18"/>
      <c r="C20" s="12"/>
      <c r="D20" s="13">
        <f>DEGREES(D19)</f>
        <v>89.099711850980512</v>
      </c>
      <c r="E20" s="62"/>
      <c r="F20" s="70"/>
      <c r="G20" s="12"/>
      <c r="H20" s="15" t="s">
        <v>52</v>
      </c>
      <c r="I20" s="12"/>
      <c r="J20" s="12"/>
      <c r="K20" s="12"/>
      <c r="L20" s="62"/>
    </row>
    <row r="21" spans="1:12" ht="20.100000000000001" customHeight="1">
      <c r="A21" s="14" t="s">
        <v>73</v>
      </c>
      <c r="B21" s="18"/>
      <c r="C21" s="71">
        <v>1.65</v>
      </c>
      <c r="D21" s="12"/>
      <c r="E21" s="62"/>
      <c r="F21" s="70"/>
      <c r="G21" s="12"/>
      <c r="H21" s="13">
        <f>C11</f>
        <v>100</v>
      </c>
      <c r="I21" s="12"/>
      <c r="J21" s="12"/>
      <c r="K21" s="12"/>
      <c r="L21" s="72" t="s">
        <v>74</v>
      </c>
    </row>
    <row r="22" spans="1:12" ht="20.85" customHeight="1">
      <c r="A22" s="10"/>
      <c r="B22" s="18"/>
      <c r="C22" s="12"/>
      <c r="D22" s="12"/>
      <c r="E22" s="62"/>
      <c r="F22" s="73"/>
      <c r="G22" s="61"/>
      <c r="H22" s="61"/>
      <c r="I22" s="61"/>
      <c r="J22" s="61"/>
      <c r="K22" s="61"/>
      <c r="L22" s="74">
        <f>EXP((-J19/(H19*H21)))</f>
        <v>2.6881171418161356E+43</v>
      </c>
    </row>
    <row r="23" spans="1:12" ht="20.85" customHeight="1">
      <c r="A23" s="10"/>
      <c r="B23" s="18"/>
      <c r="C23" s="12"/>
      <c r="D23" s="12"/>
      <c r="E23" s="12"/>
      <c r="F23" s="75"/>
      <c r="G23" s="75"/>
      <c r="H23" s="75"/>
      <c r="I23" s="75"/>
      <c r="J23" s="75"/>
      <c r="K23" s="75"/>
      <c r="L23" s="75"/>
    </row>
    <row r="24" spans="1:12" ht="20.100000000000001" customHeight="1">
      <c r="A24" s="10"/>
      <c r="B24" s="18"/>
      <c r="C24" s="12"/>
      <c r="D24" s="12"/>
      <c r="E24" s="12"/>
      <c r="F24" s="12"/>
      <c r="G24" s="12"/>
      <c r="H24" s="12"/>
      <c r="I24" s="12"/>
      <c r="J24" s="12"/>
      <c r="K24" s="12"/>
      <c r="L24" s="12"/>
    </row>
    <row r="25" spans="1:12" ht="20.100000000000001" customHeight="1">
      <c r="A25" s="10"/>
      <c r="B25" s="18"/>
      <c r="C25" s="12"/>
      <c r="D25" s="12"/>
      <c r="E25" s="12"/>
      <c r="F25" s="12"/>
      <c r="G25" s="12"/>
      <c r="H25" s="12"/>
      <c r="I25" s="12"/>
      <c r="J25" s="12"/>
      <c r="K25" s="12"/>
      <c r="L25" s="12"/>
    </row>
  </sheetData>
  <mergeCells count="1">
    <mergeCell ref="A1:L1"/>
  </mergeCells>
  <pageMargins left="1" right="1" top="1" bottom="1" header="0.25" footer="0.2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2"/>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10" width="16.28515625" style="76" customWidth="1"/>
    <col min="11" max="16384" width="16.28515625" style="76"/>
  </cols>
  <sheetData>
    <row r="1" spans="1:9" ht="27.6" customHeight="1">
      <c r="A1" s="259" t="s">
        <v>5</v>
      </c>
      <c r="B1" s="259"/>
      <c r="C1" s="259"/>
      <c r="D1" s="259"/>
      <c r="E1" s="259"/>
      <c r="F1" s="259"/>
      <c r="G1" s="259"/>
      <c r="H1" s="259"/>
      <c r="I1" s="259"/>
    </row>
    <row r="2" spans="1:9" ht="20.25" customHeight="1">
      <c r="A2" s="6"/>
      <c r="B2" s="6"/>
      <c r="C2" s="44" t="s">
        <v>45</v>
      </c>
      <c r="D2" s="44" t="s">
        <v>76</v>
      </c>
      <c r="E2" s="6"/>
      <c r="F2" s="6"/>
      <c r="G2" s="6"/>
      <c r="H2" s="6"/>
      <c r="I2" s="6"/>
    </row>
    <row r="3" spans="1:9" ht="20.25" customHeight="1">
      <c r="A3" s="77" t="s">
        <v>27</v>
      </c>
      <c r="B3" s="78">
        <v>1</v>
      </c>
      <c r="C3" s="79">
        <v>0</v>
      </c>
      <c r="D3" s="79">
        <f>2*B5*(B3-B4)*C3</f>
        <v>0</v>
      </c>
      <c r="E3" s="9"/>
      <c r="F3" s="9"/>
      <c r="G3" s="9"/>
      <c r="H3" s="9"/>
      <c r="I3" s="9"/>
    </row>
    <row r="4" spans="1:9" ht="20.100000000000001" customHeight="1">
      <c r="A4" s="14" t="s">
        <v>28</v>
      </c>
      <c r="B4" s="11">
        <v>-1</v>
      </c>
      <c r="C4" s="13">
        <v>0.25</v>
      </c>
      <c r="D4" s="13">
        <f>2*B5*(B3-B4)*C4</f>
        <v>0.25</v>
      </c>
      <c r="E4" s="12"/>
      <c r="F4" s="12"/>
      <c r="G4" s="12"/>
      <c r="H4" s="12"/>
      <c r="I4" s="12"/>
    </row>
    <row r="5" spans="1:9" ht="20.100000000000001" customHeight="1">
      <c r="A5" s="14" t="s">
        <v>7</v>
      </c>
      <c r="B5" s="11">
        <v>0.25</v>
      </c>
      <c r="C5" s="13">
        <v>0.5</v>
      </c>
      <c r="D5" s="13">
        <f>2*B5*(B3-B4)*C5</f>
        <v>0.5</v>
      </c>
      <c r="E5" s="12"/>
      <c r="F5" s="12"/>
      <c r="G5" s="12"/>
      <c r="H5" s="12"/>
      <c r="I5" s="12"/>
    </row>
    <row r="6" spans="1:9" ht="20.100000000000001" customHeight="1">
      <c r="A6" s="10"/>
      <c r="B6" s="18"/>
      <c r="C6" s="13">
        <v>0.75</v>
      </c>
      <c r="D6" s="13">
        <f>2*B5*(B3-B4)*C6</f>
        <v>0.75</v>
      </c>
      <c r="E6" s="12"/>
      <c r="F6" s="12"/>
      <c r="G6" s="12"/>
      <c r="H6" s="12"/>
      <c r="I6" s="12"/>
    </row>
    <row r="7" spans="1:9" ht="20.100000000000001" customHeight="1">
      <c r="A7" s="10"/>
      <c r="B7" s="18"/>
      <c r="C7" s="13">
        <v>1</v>
      </c>
      <c r="D7" s="13">
        <f>2*B5*(B3-B4)*C7</f>
        <v>1</v>
      </c>
      <c r="E7" s="12"/>
      <c r="F7" s="12"/>
      <c r="G7" s="12"/>
      <c r="H7" s="12"/>
      <c r="I7" s="12"/>
    </row>
    <row r="8" spans="1:9" ht="20.100000000000001" customHeight="1">
      <c r="A8" s="10"/>
      <c r="B8" s="18"/>
      <c r="C8" s="13">
        <v>1.5</v>
      </c>
      <c r="D8" s="13">
        <f>2*B5*(B3-B4)*C8</f>
        <v>1.5</v>
      </c>
      <c r="E8" s="12"/>
      <c r="F8" s="12"/>
      <c r="G8" s="12"/>
      <c r="H8" s="12"/>
      <c r="I8" s="12"/>
    </row>
    <row r="9" spans="1:9" ht="20.100000000000001" customHeight="1">
      <c r="A9" s="10"/>
      <c r="B9" s="18"/>
      <c r="C9" s="12"/>
      <c r="D9" s="12"/>
      <c r="E9" s="12"/>
      <c r="F9" s="12"/>
      <c r="G9" s="12"/>
      <c r="H9" s="12"/>
      <c r="I9" s="12"/>
    </row>
    <row r="10" spans="1:9" ht="20.100000000000001" customHeight="1">
      <c r="A10" s="10"/>
      <c r="B10" s="18"/>
      <c r="C10" s="12"/>
      <c r="D10" s="12"/>
      <c r="E10" s="12"/>
      <c r="F10" s="12"/>
      <c r="G10" s="12"/>
      <c r="H10" s="12"/>
      <c r="I10" s="12"/>
    </row>
    <row r="11" spans="1:9" ht="20.100000000000001" customHeight="1">
      <c r="A11" s="10"/>
      <c r="B11" s="18"/>
      <c r="C11" s="12"/>
      <c r="D11" s="12"/>
      <c r="E11" s="12"/>
      <c r="F11" s="12"/>
      <c r="G11" s="12"/>
      <c r="H11" s="12"/>
      <c r="I11" s="12"/>
    </row>
    <row r="12" spans="1:9" ht="20.100000000000001" customHeight="1">
      <c r="A12" s="10"/>
      <c r="B12" s="18"/>
      <c r="C12" s="12"/>
      <c r="D12" s="12"/>
      <c r="E12" s="12"/>
      <c r="F12" s="12"/>
      <c r="G12" s="12"/>
      <c r="H12" s="12"/>
      <c r="I12" s="12"/>
    </row>
    <row r="13" spans="1:9" ht="20.100000000000001" customHeight="1">
      <c r="A13" s="10"/>
      <c r="B13" s="18"/>
      <c r="C13" s="12"/>
      <c r="D13" s="12"/>
      <c r="E13" s="12"/>
      <c r="F13" s="12"/>
      <c r="G13" s="12"/>
      <c r="H13" s="12"/>
      <c r="I13" s="12"/>
    </row>
    <row r="14" spans="1:9" ht="20.100000000000001" customHeight="1">
      <c r="A14" s="10"/>
      <c r="B14" s="18"/>
      <c r="C14" s="12"/>
      <c r="D14" s="12"/>
      <c r="E14" s="12"/>
      <c r="F14" s="12"/>
      <c r="G14" s="12"/>
      <c r="H14" s="12"/>
      <c r="I14" s="12"/>
    </row>
    <row r="15" spans="1:9" ht="20.100000000000001" customHeight="1">
      <c r="A15" s="10"/>
      <c r="B15" s="18"/>
      <c r="C15" s="12"/>
      <c r="D15" s="12"/>
      <c r="E15" s="12"/>
      <c r="F15" s="12"/>
      <c r="G15" s="12"/>
      <c r="H15" s="12"/>
      <c r="I15" s="12"/>
    </row>
    <row r="16" spans="1:9" ht="20.100000000000001" customHeight="1">
      <c r="A16" s="10"/>
      <c r="B16" s="18"/>
      <c r="C16" s="12"/>
      <c r="D16" s="12"/>
      <c r="E16" s="12"/>
      <c r="F16" s="12"/>
      <c r="G16" s="12"/>
      <c r="H16" s="12"/>
      <c r="I16" s="12"/>
    </row>
    <row r="17" spans="1:9" ht="20.100000000000001" customHeight="1">
      <c r="A17" s="10"/>
      <c r="B17" s="18"/>
      <c r="C17" s="12"/>
      <c r="D17" s="12"/>
      <c r="E17" s="12"/>
      <c r="F17" s="12"/>
      <c r="G17" s="12"/>
      <c r="H17" s="12"/>
      <c r="I17" s="12"/>
    </row>
    <row r="18" spans="1:9" ht="20.100000000000001" customHeight="1">
      <c r="A18" s="10"/>
      <c r="B18" s="18"/>
      <c r="C18" s="12"/>
      <c r="D18" s="12"/>
      <c r="E18" s="12"/>
      <c r="F18" s="12"/>
      <c r="G18" s="12"/>
      <c r="H18" s="12"/>
      <c r="I18" s="12"/>
    </row>
    <row r="19" spans="1:9" ht="20.100000000000001" customHeight="1">
      <c r="A19" s="10"/>
      <c r="B19" s="18"/>
      <c r="C19" s="12"/>
      <c r="D19" s="12"/>
      <c r="E19" s="12"/>
      <c r="F19" s="12"/>
      <c r="G19" s="12"/>
      <c r="H19" s="12"/>
      <c r="I19" s="12"/>
    </row>
    <row r="20" spans="1:9" ht="20.100000000000001" customHeight="1">
      <c r="A20" s="10"/>
      <c r="B20" s="18"/>
      <c r="C20" s="12"/>
      <c r="D20" s="12"/>
      <c r="E20" s="12"/>
      <c r="F20" s="12"/>
      <c r="G20" s="12"/>
      <c r="H20" s="12"/>
      <c r="I20" s="12"/>
    </row>
    <row r="21" spans="1:9" ht="20.100000000000001" customHeight="1">
      <c r="A21" s="10"/>
      <c r="B21" s="18"/>
      <c r="C21" s="12"/>
      <c r="D21" s="12"/>
      <c r="E21" s="12"/>
      <c r="F21" s="12"/>
      <c r="G21" s="12"/>
      <c r="H21" s="12"/>
      <c r="I21" s="12"/>
    </row>
    <row r="22" spans="1:9" ht="20.100000000000001" customHeight="1">
      <c r="A22" s="10"/>
      <c r="B22" s="18"/>
      <c r="C22" s="12"/>
      <c r="D22" s="12"/>
      <c r="E22" s="12"/>
      <c r="F22" s="12"/>
      <c r="G22" s="12"/>
      <c r="H22" s="12"/>
      <c r="I22" s="12"/>
    </row>
  </sheetData>
  <mergeCells count="1">
    <mergeCell ref="A1:I1"/>
  </mergeCells>
  <pageMargins left="1" right="1" top="1" bottom="1" header="0.25" footer="0.2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31"/>
  <sheetViews>
    <sheetView showGridLines="0" tabSelected="1"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1" width="14.5703125" style="80" customWidth="1"/>
    <col min="2" max="2" width="16.42578125" style="80" customWidth="1"/>
    <col min="3" max="5" width="14.5703125" style="80" customWidth="1"/>
    <col min="6" max="6" width="18.42578125" style="80" customWidth="1"/>
    <col min="7" max="7" width="19.7109375" style="80" customWidth="1"/>
    <col min="8" max="8" width="14.5703125" style="80" customWidth="1"/>
    <col min="9" max="9" width="16.85546875" style="80" customWidth="1"/>
    <col min="10" max="15" width="14.5703125" style="80" customWidth="1"/>
    <col min="16" max="16" width="16.28515625" style="80" customWidth="1"/>
    <col min="17" max="16384" width="16.28515625" style="80"/>
  </cols>
  <sheetData>
    <row r="1" spans="1:15" ht="27.6" customHeight="1">
      <c r="A1" s="259" t="s">
        <v>5</v>
      </c>
      <c r="B1" s="259"/>
      <c r="C1" s="259"/>
      <c r="D1" s="259"/>
      <c r="E1" s="259"/>
      <c r="F1" s="259"/>
      <c r="G1" s="259"/>
      <c r="H1" s="259"/>
      <c r="I1" s="259"/>
      <c r="J1" s="259"/>
      <c r="K1" s="259"/>
      <c r="L1" s="259"/>
      <c r="M1" s="259"/>
      <c r="N1" s="259"/>
      <c r="O1" s="259"/>
    </row>
    <row r="2" spans="1:15" ht="28.35" customHeight="1">
      <c r="A2" s="6"/>
      <c r="B2" s="6"/>
      <c r="C2" s="44" t="s">
        <v>78</v>
      </c>
      <c r="D2" s="6"/>
      <c r="E2" s="6"/>
      <c r="F2" s="6"/>
      <c r="G2" s="6"/>
      <c r="H2" s="6"/>
      <c r="I2" s="6"/>
      <c r="J2" s="6"/>
      <c r="K2" s="6"/>
      <c r="L2" s="6"/>
      <c r="M2" s="6"/>
      <c r="N2" s="6"/>
      <c r="O2" s="6"/>
    </row>
    <row r="3" spans="1:15" ht="28.35" customHeight="1">
      <c r="A3" s="7"/>
      <c r="B3" s="81" t="s">
        <v>79</v>
      </c>
      <c r="C3" s="82">
        <v>5.0000000000000001E-9</v>
      </c>
      <c r="D3" s="9"/>
      <c r="E3" s="9"/>
      <c r="F3" s="83" t="s">
        <v>80</v>
      </c>
      <c r="G3" s="84">
        <f>PI()*C3*C3+2*PI()*C3*C4</f>
        <v>7.854060173790823E-12</v>
      </c>
      <c r="H3" s="9"/>
      <c r="I3" s="83" t="s">
        <v>81</v>
      </c>
      <c r="J3" s="79">
        <f>(C9*C10*G6)/C7</f>
        <v>3.3734077337399999E-5</v>
      </c>
      <c r="K3" s="9"/>
      <c r="L3" s="83" t="s">
        <v>82</v>
      </c>
      <c r="M3" s="85">
        <f>J3*G15</f>
        <v>0.17134887242758959</v>
      </c>
      <c r="N3" s="86"/>
      <c r="O3" s="86"/>
    </row>
    <row r="4" spans="1:15" ht="28.15" customHeight="1">
      <c r="A4" s="10"/>
      <c r="B4" s="50" t="s">
        <v>83</v>
      </c>
      <c r="C4" s="87">
        <v>2.5000000000000001E-4</v>
      </c>
      <c r="D4" s="12"/>
      <c r="E4" s="12"/>
      <c r="F4" s="15" t="s">
        <v>84</v>
      </c>
      <c r="G4" s="88">
        <f>C5*C6</f>
        <v>7.6199999999999994E-8</v>
      </c>
      <c r="H4" s="12"/>
      <c r="I4" s="15" t="s">
        <v>85</v>
      </c>
      <c r="J4" s="13">
        <f>0.5*J3*G9*G9</f>
        <v>16.867038668699998</v>
      </c>
      <c r="K4" s="12"/>
      <c r="L4" s="15" t="s">
        <v>86</v>
      </c>
      <c r="M4" s="19">
        <f>J4*G15</f>
        <v>85674.436213794776</v>
      </c>
      <c r="N4" s="89"/>
      <c r="O4" s="89"/>
    </row>
    <row r="5" spans="1:15" ht="28.15" customHeight="1">
      <c r="A5" s="10"/>
      <c r="B5" s="50" t="s">
        <v>87</v>
      </c>
      <c r="C5" s="90">
        <v>3.0000000000000001E-6</v>
      </c>
      <c r="D5" s="12"/>
      <c r="E5" s="12"/>
      <c r="F5" s="15" t="s">
        <v>88</v>
      </c>
      <c r="G5" s="90">
        <f>(G4)/(PI()*C3*C3)</f>
        <v>970208533.08819389</v>
      </c>
      <c r="H5" s="12"/>
      <c r="I5" s="12"/>
      <c r="J5" s="12"/>
      <c r="K5" s="12"/>
      <c r="L5" s="15" t="s">
        <v>89</v>
      </c>
      <c r="M5" s="13">
        <f>M4/54000</f>
        <v>1.586563633588792</v>
      </c>
      <c r="N5" s="13">
        <f>M5/H25</f>
        <v>2774.0708678725823</v>
      </c>
      <c r="O5" s="15" t="s">
        <v>90</v>
      </c>
    </row>
    <row r="6" spans="1:15" ht="28.15" customHeight="1">
      <c r="A6" s="10"/>
      <c r="B6" s="50" t="s">
        <v>91</v>
      </c>
      <c r="C6" s="91">
        <v>2.5399999999999999E-2</v>
      </c>
      <c r="D6" s="12"/>
      <c r="E6" s="12"/>
      <c r="F6" s="15" t="s">
        <v>92</v>
      </c>
      <c r="G6" s="92">
        <f>G5*G3</f>
        <v>7.6200761999999991E-3</v>
      </c>
      <c r="H6" s="12"/>
      <c r="I6" s="12"/>
      <c r="J6" s="12"/>
      <c r="K6" s="12"/>
      <c r="L6" s="15" t="s">
        <v>93</v>
      </c>
      <c r="M6" s="13">
        <f>(M5*1000)/G10</f>
        <v>528.85454452959732</v>
      </c>
      <c r="N6" s="13">
        <f>M6/H25</f>
        <v>924690.28929086076</v>
      </c>
      <c r="O6" s="15" t="s">
        <v>94</v>
      </c>
    </row>
    <row r="7" spans="1:15" ht="28.15" customHeight="1">
      <c r="A7" s="10"/>
      <c r="B7" s="50" t="s">
        <v>95</v>
      </c>
      <c r="C7" s="90">
        <v>1.9999999999999999E-6</v>
      </c>
      <c r="D7" s="12"/>
      <c r="E7" s="12"/>
      <c r="F7" s="12"/>
      <c r="G7" s="12"/>
      <c r="H7" s="12"/>
      <c r="I7" s="12"/>
      <c r="J7" s="12"/>
      <c r="K7" s="12"/>
      <c r="L7" s="12"/>
      <c r="M7" s="12"/>
      <c r="N7" s="12"/>
      <c r="O7" s="12"/>
    </row>
    <row r="8" spans="1:15" ht="28.15" customHeight="1">
      <c r="A8" s="10"/>
      <c r="B8" s="18"/>
      <c r="C8" s="12"/>
      <c r="D8" s="12"/>
      <c r="E8" s="12"/>
      <c r="F8" s="12"/>
      <c r="G8" s="12"/>
      <c r="H8" s="12"/>
      <c r="I8" s="12"/>
      <c r="J8" s="12"/>
      <c r="K8" s="12"/>
      <c r="L8" s="12"/>
      <c r="M8" s="12"/>
      <c r="N8" s="12"/>
      <c r="O8" s="12"/>
    </row>
    <row r="9" spans="1:15" ht="28.15" customHeight="1">
      <c r="A9" s="10"/>
      <c r="B9" s="50" t="s">
        <v>96</v>
      </c>
      <c r="C9" s="93">
        <v>8.8539999999999992E-12</v>
      </c>
      <c r="D9" s="12"/>
      <c r="E9" s="12"/>
      <c r="F9" s="15" t="s">
        <v>97</v>
      </c>
      <c r="G9" s="13">
        <v>1000</v>
      </c>
      <c r="H9" s="12"/>
      <c r="I9" s="15" t="s">
        <v>98</v>
      </c>
      <c r="J9" s="13">
        <v>1</v>
      </c>
      <c r="K9" s="12"/>
      <c r="L9" s="12"/>
      <c r="M9" s="12"/>
      <c r="N9" s="12"/>
      <c r="O9" s="12"/>
    </row>
    <row r="10" spans="1:15" ht="28.15" customHeight="1">
      <c r="A10" s="10"/>
      <c r="B10" s="50" t="s">
        <v>99</v>
      </c>
      <c r="C10" s="13">
        <v>1000</v>
      </c>
      <c r="D10" s="12"/>
      <c r="E10" s="12"/>
      <c r="F10" s="15" t="s">
        <v>100</v>
      </c>
      <c r="G10" s="13">
        <v>3</v>
      </c>
      <c r="H10" s="12"/>
      <c r="I10" s="12"/>
      <c r="J10" s="12"/>
      <c r="K10" s="12"/>
      <c r="L10" s="12"/>
      <c r="M10" s="12"/>
      <c r="N10" s="12"/>
      <c r="O10" s="12"/>
    </row>
    <row r="11" spans="1:15" ht="28.15" customHeight="1">
      <c r="A11" s="10"/>
      <c r="B11" s="50" t="s">
        <v>101</v>
      </c>
      <c r="C11" s="68">
        <v>12000000</v>
      </c>
      <c r="D11" s="12"/>
      <c r="E11" s="12"/>
      <c r="F11" s="12"/>
      <c r="G11" s="12"/>
      <c r="H11" s="12"/>
      <c r="I11" s="15" t="s">
        <v>102</v>
      </c>
      <c r="J11" s="19">
        <f>J3*G9/J9</f>
        <v>3.3734077337399998E-2</v>
      </c>
      <c r="K11" s="12"/>
      <c r="L11" s="15" t="s">
        <v>103</v>
      </c>
      <c r="M11" s="13">
        <f>M3*G9/J9</f>
        <v>171.34887242758958</v>
      </c>
      <c r="N11" s="13">
        <f>M11/60</f>
        <v>2.8558145404598263</v>
      </c>
      <c r="O11" s="15" t="s">
        <v>104</v>
      </c>
    </row>
    <row r="12" spans="1:15" ht="28.15" customHeight="1">
      <c r="A12" s="10"/>
      <c r="B12" s="50" t="s">
        <v>105</v>
      </c>
      <c r="C12" s="13">
        <v>1200</v>
      </c>
      <c r="D12" s="12"/>
      <c r="E12" s="12"/>
      <c r="F12" s="12"/>
      <c r="G12" s="12"/>
      <c r="H12" s="12"/>
      <c r="I12" s="12"/>
      <c r="J12" s="12"/>
      <c r="K12" s="12"/>
      <c r="L12" s="12"/>
      <c r="M12" s="12"/>
      <c r="N12" s="12"/>
      <c r="O12" s="12"/>
    </row>
    <row r="13" spans="1:15" ht="28.15" customHeight="1">
      <c r="A13" s="10"/>
      <c r="B13" s="18"/>
      <c r="C13" s="12"/>
      <c r="D13" s="12"/>
      <c r="E13" s="12"/>
      <c r="F13" s="12"/>
      <c r="G13" s="12"/>
      <c r="H13" s="12"/>
      <c r="I13" s="12"/>
      <c r="J13" s="12"/>
      <c r="K13" s="12"/>
      <c r="L13" s="12"/>
      <c r="M13" s="12"/>
      <c r="N13" s="12"/>
      <c r="O13" s="12"/>
    </row>
    <row r="14" spans="1:15" ht="28.15" customHeight="1">
      <c r="A14" s="10"/>
      <c r="B14" s="50" t="s">
        <v>106</v>
      </c>
      <c r="C14" s="91">
        <v>2.5399999999999999E-2</v>
      </c>
      <c r="D14" s="15" t="s">
        <v>107</v>
      </c>
      <c r="E14" s="12"/>
      <c r="F14" s="15" t="s">
        <v>108</v>
      </c>
      <c r="G14" s="94">
        <f>C14*C15</f>
        <v>6.4515999999999998E-4</v>
      </c>
      <c r="H14" s="12"/>
      <c r="I14" s="12"/>
      <c r="J14" s="12"/>
      <c r="K14" s="12"/>
      <c r="L14" s="12"/>
      <c r="M14" s="12"/>
      <c r="N14" s="12"/>
      <c r="O14" s="12"/>
    </row>
    <row r="15" spans="1:15" ht="28.15" customHeight="1">
      <c r="A15" s="10"/>
      <c r="B15" s="50" t="s">
        <v>109</v>
      </c>
      <c r="C15" s="91">
        <v>2.5399999999999999E-2</v>
      </c>
      <c r="D15" s="15" t="s">
        <v>107</v>
      </c>
      <c r="E15" s="12"/>
      <c r="F15" s="15" t="s">
        <v>110</v>
      </c>
      <c r="G15" s="95">
        <f>(C15-C5)/(C5+C7)+L2:L31+L2:L31+L2:L31</f>
        <v>5079.4000000000005</v>
      </c>
      <c r="H15" s="12"/>
      <c r="I15" s="12"/>
      <c r="J15" s="12"/>
      <c r="K15" s="12"/>
      <c r="L15" s="12"/>
      <c r="M15" s="12"/>
      <c r="N15" s="12"/>
      <c r="O15" s="12"/>
    </row>
    <row r="16" spans="1:15" ht="28.15" customHeight="1">
      <c r="A16" s="10"/>
      <c r="B16" s="18"/>
      <c r="C16" s="12"/>
      <c r="D16" s="12"/>
      <c r="E16" s="12"/>
      <c r="F16" s="12"/>
      <c r="G16" s="12"/>
      <c r="H16" s="12"/>
      <c r="I16" s="12"/>
      <c r="J16" s="12"/>
      <c r="K16" s="12"/>
      <c r="L16" s="12"/>
      <c r="M16" s="12"/>
      <c r="N16" s="12"/>
      <c r="O16" s="12"/>
    </row>
    <row r="17" spans="1:15" ht="28.15" customHeight="1">
      <c r="A17" s="10"/>
      <c r="B17" s="50" t="s">
        <v>111</v>
      </c>
      <c r="C17" s="91">
        <v>2.9999999999999997E-4</v>
      </c>
      <c r="D17" s="12"/>
      <c r="E17" s="12"/>
      <c r="F17" s="15" t="s">
        <v>112</v>
      </c>
      <c r="G17" s="96">
        <f>(2*C5+C7)*C6*C17</f>
        <v>6.0959999999999989E-11</v>
      </c>
      <c r="H17" s="15" t="s">
        <v>113</v>
      </c>
      <c r="I17" s="97">
        <f>G17+G18+G19+G20+G21+G22+G23</f>
        <v>1.1259718399999998E-10</v>
      </c>
      <c r="J17" s="12"/>
      <c r="K17" s="12"/>
      <c r="L17" s="12"/>
      <c r="M17" s="12"/>
      <c r="N17" s="12"/>
      <c r="O17" s="12"/>
    </row>
    <row r="18" spans="1:15" ht="28.15" customHeight="1">
      <c r="A18" s="10"/>
      <c r="B18" s="50" t="s">
        <v>114</v>
      </c>
      <c r="C18" s="98">
        <f>C19+0.000001+0.000001</f>
        <v>2.1000000000000002E-6</v>
      </c>
      <c r="D18" s="90">
        <v>9.9999999999999995E-7</v>
      </c>
      <c r="E18" s="12"/>
      <c r="F18" s="15" t="s">
        <v>115</v>
      </c>
      <c r="G18" s="99">
        <f>4*C5*C6*D18+(C7*C6*(2*D18+C19))</f>
        <v>4.1147999999999998E-13</v>
      </c>
      <c r="H18" s="12"/>
      <c r="I18" s="12"/>
      <c r="J18" s="12"/>
      <c r="K18" s="12"/>
      <c r="L18" s="12"/>
      <c r="M18" s="12"/>
      <c r="N18" s="12"/>
      <c r="O18" s="12"/>
    </row>
    <row r="19" spans="1:15" ht="28.15" customHeight="1">
      <c r="A19" s="10"/>
      <c r="B19" s="50" t="s">
        <v>116</v>
      </c>
      <c r="C19" s="98">
        <v>9.9999999999999995E-8</v>
      </c>
      <c r="D19" s="12"/>
      <c r="E19" s="12"/>
      <c r="F19" s="15" t="s">
        <v>117</v>
      </c>
      <c r="G19" s="99">
        <f>2*(C5*C6*C19)</f>
        <v>1.5239999999999997E-14</v>
      </c>
      <c r="H19" s="12"/>
      <c r="I19" s="12"/>
      <c r="J19" s="12"/>
      <c r="K19" s="12"/>
      <c r="L19" s="12"/>
      <c r="M19" s="12"/>
      <c r="N19" s="12"/>
      <c r="O19" s="12"/>
    </row>
    <row r="20" spans="1:15" ht="28.15" customHeight="1">
      <c r="A20" s="10"/>
      <c r="B20" s="50" t="s">
        <v>118</v>
      </c>
      <c r="C20" s="94">
        <v>1E-8</v>
      </c>
      <c r="D20" s="12"/>
      <c r="E20" s="12"/>
      <c r="F20" s="15" t="s">
        <v>119</v>
      </c>
      <c r="G20" s="97">
        <f>2*C5*C6*C20</f>
        <v>1.5239999999999999E-15</v>
      </c>
      <c r="H20" s="12"/>
      <c r="I20" s="12"/>
      <c r="J20" s="12"/>
      <c r="K20" s="12"/>
      <c r="L20" s="12"/>
      <c r="M20" s="12"/>
      <c r="N20" s="12"/>
      <c r="O20" s="12"/>
    </row>
    <row r="21" spans="1:15" ht="28.15" customHeight="1">
      <c r="A21" s="10"/>
      <c r="B21" s="50" t="s">
        <v>120</v>
      </c>
      <c r="C21" s="94">
        <v>1E-8</v>
      </c>
      <c r="D21" s="12"/>
      <c r="E21" s="12"/>
      <c r="F21" s="15" t="s">
        <v>121</v>
      </c>
      <c r="G21" s="97">
        <f>2*C5*C6*C21</f>
        <v>1.5239999999999999E-15</v>
      </c>
      <c r="H21" s="12"/>
      <c r="I21" s="12"/>
      <c r="J21" s="12"/>
      <c r="K21" s="12"/>
      <c r="L21" s="12"/>
      <c r="M21" s="12"/>
      <c r="N21" s="12"/>
      <c r="O21" s="12"/>
    </row>
    <row r="22" spans="1:15" ht="28.15" customHeight="1">
      <c r="A22" s="10"/>
      <c r="B22" s="50" t="s">
        <v>122</v>
      </c>
      <c r="C22" s="87">
        <f>C4</f>
        <v>2.5000000000000001E-4</v>
      </c>
      <c r="D22" s="12"/>
      <c r="E22" s="12"/>
      <c r="F22" s="15" t="s">
        <v>123</v>
      </c>
      <c r="G22" s="100">
        <f>2*C5*C6*C4</f>
        <v>3.8099999999999996E-11</v>
      </c>
      <c r="H22" s="12"/>
      <c r="I22" s="12"/>
      <c r="J22" s="12"/>
      <c r="K22" s="12"/>
      <c r="L22" s="12"/>
      <c r="M22" s="12"/>
      <c r="N22" s="12"/>
      <c r="O22" s="12"/>
    </row>
    <row r="23" spans="1:15" ht="28.15" customHeight="1">
      <c r="A23" s="10"/>
      <c r="B23" s="50" t="s">
        <v>124</v>
      </c>
      <c r="C23" s="90">
        <f>C4+0.000002</f>
        <v>2.52E-4</v>
      </c>
      <c r="D23" s="90">
        <v>1.9999999999999999E-6</v>
      </c>
      <c r="E23" s="12"/>
      <c r="F23" s="15" t="s">
        <v>125</v>
      </c>
      <c r="G23" s="97">
        <f>(2*C5+C7)*C6*D23+(C7*C6*(C20+C21+C22))</f>
        <v>1.3107415999999998E-11</v>
      </c>
      <c r="H23" s="12"/>
      <c r="I23" s="12"/>
      <c r="J23" s="12"/>
      <c r="K23" s="12"/>
      <c r="L23" s="12"/>
      <c r="M23" s="12"/>
      <c r="N23" s="12"/>
      <c r="O23" s="12"/>
    </row>
    <row r="24" spans="1:15" ht="28.15" customHeight="1">
      <c r="A24" s="10"/>
      <c r="B24" s="50" t="s">
        <v>126</v>
      </c>
      <c r="C24" s="94">
        <f>C17+C18+C20+C21+C23</f>
        <v>5.5411999999999996E-4</v>
      </c>
      <c r="D24" s="12"/>
      <c r="E24" s="12"/>
      <c r="F24" s="15" t="s">
        <v>127</v>
      </c>
      <c r="G24" s="97">
        <f>(2*C5+C7)*C6*C24</f>
        <v>1.1259718399999999E-10</v>
      </c>
      <c r="H24" s="93">
        <f>G24*1000</f>
        <v>1.1259718399999999E-7</v>
      </c>
      <c r="I24" s="15" t="s">
        <v>128</v>
      </c>
      <c r="J24" s="12"/>
      <c r="K24" s="12"/>
      <c r="L24" s="12"/>
      <c r="M24" s="12"/>
      <c r="N24" s="12"/>
      <c r="O24" s="12"/>
    </row>
    <row r="25" spans="1:15" ht="28.15" customHeight="1">
      <c r="A25" s="10"/>
      <c r="B25" s="18"/>
      <c r="C25" s="12"/>
      <c r="D25" s="12"/>
      <c r="E25" s="12"/>
      <c r="F25" s="15" t="s">
        <v>129</v>
      </c>
      <c r="G25" s="101">
        <f>G24*G15</f>
        <v>5.7192613640960007E-7</v>
      </c>
      <c r="H25" s="102">
        <f>G25*1000</f>
        <v>5.7192613640960003E-4</v>
      </c>
      <c r="I25" s="15" t="s">
        <v>128</v>
      </c>
      <c r="J25" s="12"/>
      <c r="K25" s="12"/>
      <c r="L25" s="12"/>
      <c r="M25" s="12"/>
      <c r="N25" s="12"/>
      <c r="O25" s="12"/>
    </row>
    <row r="26" spans="1:15" ht="28.15" customHeight="1">
      <c r="A26" s="10"/>
      <c r="B26" s="18"/>
      <c r="C26" s="12"/>
      <c r="D26" s="12"/>
      <c r="E26" s="12"/>
      <c r="F26" s="12"/>
      <c r="G26" s="12"/>
      <c r="H26" s="12"/>
      <c r="I26" s="12"/>
      <c r="J26" s="12"/>
      <c r="K26" s="15" t="s">
        <v>130</v>
      </c>
      <c r="L26" s="12"/>
      <c r="M26" s="12"/>
      <c r="N26" s="12"/>
      <c r="O26" s="12"/>
    </row>
    <row r="27" spans="1:15" ht="28.15" customHeight="1">
      <c r="A27" s="14" t="s">
        <v>131</v>
      </c>
      <c r="B27" s="103" t="s">
        <v>132</v>
      </c>
      <c r="C27" s="12"/>
      <c r="D27" s="15" t="s">
        <v>133</v>
      </c>
      <c r="E27" s="15" t="s">
        <v>134</v>
      </c>
      <c r="F27" s="104" t="s">
        <v>135</v>
      </c>
      <c r="G27" s="12"/>
      <c r="H27" s="15" t="s">
        <v>136</v>
      </c>
      <c r="I27" s="12"/>
      <c r="J27" s="15" t="s">
        <v>137</v>
      </c>
      <c r="K27" s="15" t="s">
        <v>138</v>
      </c>
      <c r="L27" s="15" t="s">
        <v>139</v>
      </c>
      <c r="M27" s="12"/>
      <c r="N27" s="12"/>
      <c r="O27" s="12"/>
    </row>
    <row r="28" spans="1:15" ht="28.15" customHeight="1">
      <c r="A28" s="105">
        <v>2.65</v>
      </c>
      <c r="B28" s="50" t="s">
        <v>140</v>
      </c>
      <c r="C28" s="88">
        <v>2.8200000000000001E-8</v>
      </c>
      <c r="D28" s="13">
        <v>2600</v>
      </c>
      <c r="E28" s="13">
        <f>G20*D28</f>
        <v>3.9624000000000002E-12</v>
      </c>
      <c r="F28" s="68">
        <f>(C28*C6)/(C5*C20)</f>
        <v>23876.000000000004</v>
      </c>
      <c r="G28" s="12"/>
      <c r="H28" s="13">
        <f>F28*J9*J9</f>
        <v>23876.000000000004</v>
      </c>
      <c r="I28" s="12"/>
      <c r="J28" s="13">
        <f>H28*J11</f>
        <v>805.43483050776251</v>
      </c>
      <c r="K28" s="13">
        <v>921</v>
      </c>
      <c r="L28" s="13">
        <f>J28/(E28*K28)</f>
        <v>220705146977.6163</v>
      </c>
      <c r="M28" s="12"/>
      <c r="N28" s="12"/>
      <c r="O28" s="12"/>
    </row>
    <row r="29" spans="1:15" ht="28.15" customHeight="1">
      <c r="A29" s="10"/>
      <c r="B29" s="50" t="s">
        <v>141</v>
      </c>
      <c r="C29" s="90">
        <v>4.1999999999999998E-5</v>
      </c>
      <c r="D29" s="13">
        <v>4510</v>
      </c>
      <c r="E29" s="13">
        <f>D29*G19</f>
        <v>6.8732399999999981E-11</v>
      </c>
      <c r="F29" s="68">
        <f>(C29*C6)/(C5*C19)</f>
        <v>3556000</v>
      </c>
      <c r="G29" s="12"/>
      <c r="H29" s="13">
        <f>F29*J9*J9</f>
        <v>3556000</v>
      </c>
      <c r="I29" s="12"/>
      <c r="J29" s="13">
        <f>H29*J11</f>
        <v>119958.37901179439</v>
      </c>
      <c r="K29" s="13">
        <v>1262</v>
      </c>
      <c r="L29" s="13">
        <f>J29/(E29*K29)</f>
        <v>1382960336786.3633</v>
      </c>
      <c r="M29" s="12"/>
      <c r="N29" s="12"/>
      <c r="O29" s="12"/>
    </row>
    <row r="30" spans="1:15" ht="28.15" customHeight="1">
      <c r="A30" s="10"/>
      <c r="B30" s="50" t="s">
        <v>142</v>
      </c>
      <c r="C30" s="98">
        <v>9.9999999999999995E-8</v>
      </c>
      <c r="D30" s="13">
        <v>7870</v>
      </c>
      <c r="E30" s="13">
        <f>D30*G21</f>
        <v>1.1993879999999999E-11</v>
      </c>
      <c r="F30" s="88">
        <f>(C30*C6)/(C5*C21)</f>
        <v>84666.666666666672</v>
      </c>
      <c r="G30" s="12"/>
      <c r="H30" s="13">
        <f>F30*J9*J9</f>
        <v>84666.666666666672</v>
      </c>
      <c r="I30" s="12"/>
      <c r="J30" s="13">
        <f>H30*J11</f>
        <v>2856.1518812332001</v>
      </c>
      <c r="K30" s="13">
        <v>554</v>
      </c>
      <c r="L30" s="13">
        <f>J30/(E30*K30)</f>
        <v>429844955167.99011</v>
      </c>
      <c r="M30" s="12"/>
      <c r="N30" s="12"/>
      <c r="O30" s="12"/>
    </row>
    <row r="31" spans="1:15" ht="28.15" customHeight="1">
      <c r="A31" s="10"/>
      <c r="B31" s="50" t="s">
        <v>143</v>
      </c>
      <c r="C31" s="90">
        <v>5.0000000000000004E-6</v>
      </c>
      <c r="D31" s="13">
        <v>3510</v>
      </c>
      <c r="E31" s="13">
        <f>D31*G22</f>
        <v>1.3373099999999999E-7</v>
      </c>
      <c r="F31" s="106">
        <f>(C31*C6)/(C5*C22)</f>
        <v>169.33333333333334</v>
      </c>
      <c r="G31" s="12"/>
      <c r="H31" s="13">
        <f>F31*J9*J9</f>
        <v>169.33333333333334</v>
      </c>
      <c r="I31" s="12"/>
      <c r="J31" s="13">
        <f>H31*J11</f>
        <v>5.7123037624663997</v>
      </c>
      <c r="K31" s="13">
        <v>521</v>
      </c>
      <c r="L31" s="13">
        <f>J31/(E31*K31)</f>
        <v>81986.336056929023</v>
      </c>
      <c r="M31" s="12"/>
      <c r="N31" s="12"/>
      <c r="O31" s="12"/>
    </row>
  </sheetData>
  <mergeCells count="1">
    <mergeCell ref="A1:O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9"/>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 width="13.7109375" style="107" customWidth="1"/>
    <col min="3" max="3" width="18.85546875" style="107" customWidth="1"/>
    <col min="4" max="4" width="35.42578125" style="107" customWidth="1"/>
    <col min="5" max="6" width="13.7109375" style="107" customWidth="1"/>
    <col min="7" max="7" width="16.7109375" style="107" customWidth="1"/>
    <col min="8" max="8" width="16.28515625" style="107" customWidth="1"/>
    <col min="9" max="16384" width="16.28515625" style="107"/>
  </cols>
  <sheetData>
    <row r="1" spans="1:7" ht="27.6" customHeight="1">
      <c r="A1" s="259" t="s">
        <v>5</v>
      </c>
      <c r="B1" s="259"/>
      <c r="C1" s="259"/>
      <c r="D1" s="259"/>
      <c r="E1" s="259"/>
      <c r="F1" s="259"/>
      <c r="G1" s="259"/>
    </row>
    <row r="2" spans="1:7" ht="24.6" customHeight="1">
      <c r="A2" s="6"/>
      <c r="B2" s="6"/>
      <c r="C2" s="6"/>
      <c r="D2" s="6"/>
      <c r="E2" s="6"/>
      <c r="F2" s="6"/>
      <c r="G2" s="6"/>
    </row>
    <row r="3" spans="1:7" ht="24.6" customHeight="1">
      <c r="A3" s="7"/>
      <c r="B3" s="81" t="s">
        <v>8</v>
      </c>
      <c r="C3" s="108">
        <v>1.0000000000000001E-15</v>
      </c>
      <c r="D3" s="83" t="s">
        <v>145</v>
      </c>
      <c r="E3" s="9"/>
      <c r="F3" s="9"/>
      <c r="G3" s="9"/>
    </row>
    <row r="4" spans="1:7" ht="24.2" customHeight="1">
      <c r="A4" s="10"/>
      <c r="B4" s="50" t="s">
        <v>146</v>
      </c>
      <c r="C4" s="13">
        <v>1</v>
      </c>
      <c r="D4" s="12"/>
      <c r="E4" s="15" t="s">
        <v>147</v>
      </c>
      <c r="F4" s="13">
        <f>C4*C4</f>
        <v>1</v>
      </c>
      <c r="G4" s="12"/>
    </row>
    <row r="5" spans="1:7" ht="24.2" customHeight="1">
      <c r="A5" s="10"/>
      <c r="B5" s="50" t="s">
        <v>148</v>
      </c>
      <c r="C5" s="109">
        <v>1.5999999999999999E-19</v>
      </c>
      <c r="D5" s="110"/>
      <c r="E5" s="111" t="s">
        <v>149</v>
      </c>
      <c r="F5" s="112">
        <f>C5*C5</f>
        <v>2.5599999999999998E-38</v>
      </c>
      <c r="G5" s="12"/>
    </row>
    <row r="6" spans="1:7" ht="24.2" customHeight="1">
      <c r="A6" s="10"/>
      <c r="B6" s="50" t="s">
        <v>150</v>
      </c>
      <c r="C6" s="113">
        <f>C3*1000</f>
        <v>9.9999999999999998E-13</v>
      </c>
      <c r="D6" s="114" t="s">
        <v>151</v>
      </c>
      <c r="E6" s="115" t="s">
        <v>152</v>
      </c>
      <c r="F6" s="116"/>
      <c r="G6" s="12"/>
    </row>
    <row r="7" spans="1:7" ht="24.2" customHeight="1">
      <c r="A7" s="10"/>
      <c r="B7" s="50" t="s">
        <v>153</v>
      </c>
      <c r="C7" s="13">
        <v>78.489999999999995</v>
      </c>
      <c r="D7" s="117"/>
      <c r="E7" s="118" t="s">
        <v>154</v>
      </c>
      <c r="F7" s="68">
        <f>C5*C12</f>
        <v>96352</v>
      </c>
      <c r="G7" s="12"/>
    </row>
    <row r="8" spans="1:7" ht="24.2" customHeight="1">
      <c r="A8" s="10"/>
      <c r="B8" s="50" t="s">
        <v>155</v>
      </c>
      <c r="C8" s="93">
        <v>8.8539999999999992E-12</v>
      </c>
      <c r="D8" s="12"/>
      <c r="E8" s="15" t="s">
        <v>156</v>
      </c>
      <c r="F8" s="13">
        <v>100</v>
      </c>
      <c r="G8" s="15" t="s">
        <v>157</v>
      </c>
    </row>
    <row r="9" spans="1:7" ht="24.2" customHeight="1">
      <c r="A9" s="10"/>
      <c r="B9" s="50" t="s">
        <v>158</v>
      </c>
      <c r="C9" s="119">
        <v>1.3800000000000001E-23</v>
      </c>
      <c r="D9" s="12"/>
      <c r="E9" s="15" t="s">
        <v>159</v>
      </c>
      <c r="F9" s="13">
        <f>F8*F7</f>
        <v>9635200</v>
      </c>
      <c r="G9" s="12"/>
    </row>
    <row r="10" spans="1:7" ht="24.2" customHeight="1">
      <c r="A10" s="10"/>
      <c r="B10" s="50" t="s">
        <v>42</v>
      </c>
      <c r="C10" s="13">
        <v>298.10000000000002</v>
      </c>
      <c r="D10" s="12"/>
      <c r="E10" s="15" t="s">
        <v>160</v>
      </c>
      <c r="F10" s="120">
        <f>C6*C12</f>
        <v>602200000000</v>
      </c>
      <c r="G10" s="12"/>
    </row>
    <row r="11" spans="1:7" ht="24.2" customHeight="1">
      <c r="A11" s="10"/>
      <c r="B11" s="50" t="s">
        <v>161</v>
      </c>
      <c r="C11" s="121">
        <v>0.05</v>
      </c>
      <c r="D11" s="12"/>
      <c r="E11" s="15" t="s">
        <v>162</v>
      </c>
      <c r="F11" s="13">
        <v>0.77159999999999995</v>
      </c>
      <c r="G11" s="122" t="s">
        <v>163</v>
      </c>
    </row>
    <row r="12" spans="1:7" ht="24.2" customHeight="1">
      <c r="A12" s="10"/>
      <c r="B12" s="50" t="s">
        <v>164</v>
      </c>
      <c r="C12" s="68">
        <v>6.0220000000000003E+23</v>
      </c>
      <c r="D12" s="12"/>
      <c r="E12" s="123" t="s">
        <v>165</v>
      </c>
      <c r="F12" s="52">
        <f>F11/F13</f>
        <v>0.51060020872938683</v>
      </c>
      <c r="G12" s="51">
        <f>F12*F12</f>
        <v>0.26071257315449342</v>
      </c>
    </row>
    <row r="13" spans="1:7" ht="24.2" customHeight="1">
      <c r="A13" s="10"/>
      <c r="B13" s="50" t="s">
        <v>166</v>
      </c>
      <c r="C13" s="124">
        <f>(SQRT((2*F4*F5*C12*C6*C7*C8)/(C9*C10)))*(COSH((C4*C5*C11)/(2*C9*C10)))</f>
        <v>1.0906187985956707E-7</v>
      </c>
      <c r="D13" s="12"/>
      <c r="E13" s="125">
        <f>SQRT((2*C4*C4*C5*C5*C12*C6*C7*C8)/(C9*C10))</f>
        <v>7.2170838025809054E-8</v>
      </c>
      <c r="F13" s="59">
        <f>COSH((C4*C5*C11)/(2*C9*C10))</f>
        <v>1.511162719498496</v>
      </c>
      <c r="G13" s="12"/>
    </row>
    <row r="14" spans="1:7" ht="24.2" customHeight="1">
      <c r="A14" s="10"/>
      <c r="B14" s="18"/>
      <c r="C14" s="15" t="s">
        <v>167</v>
      </c>
      <c r="D14" s="126">
        <f>C13*C23</f>
        <v>3.4277447727777124E-19</v>
      </c>
      <c r="E14" s="127" t="s">
        <v>168</v>
      </c>
      <c r="F14" s="128" t="s">
        <v>169</v>
      </c>
      <c r="G14" s="19">
        <f>(G12*C9*C10)/(2*C4*C4*C5*C5*C7*C8)</f>
        <v>3.0142497304083133E+25</v>
      </c>
    </row>
    <row r="15" spans="1:7" ht="24.2" customHeight="1">
      <c r="A15" s="10"/>
      <c r="B15" s="50" t="s">
        <v>170</v>
      </c>
      <c r="C15" s="13">
        <f>SQRT((C9*C10*C8*C7)/(2*C4*C4*C5*C5*C12*C6))</f>
        <v>9.629241934969333E-3</v>
      </c>
      <c r="D15" s="12"/>
      <c r="E15" s="13">
        <f>SQRT((C7*C8*C9*C10)/(2*C5*C5*C12))</f>
        <v>9.6292419349693325E-9</v>
      </c>
      <c r="F15" s="12"/>
      <c r="G15" s="129" t="s">
        <v>150</v>
      </c>
    </row>
    <row r="16" spans="1:7" ht="24.2" customHeight="1">
      <c r="A16" s="10"/>
      <c r="B16" s="50" t="s">
        <v>171</v>
      </c>
      <c r="C16" s="130">
        <f>(C8*C7)/C15</f>
        <v>7.2170838025809054E-8</v>
      </c>
      <c r="D16" s="15" t="s">
        <v>172</v>
      </c>
      <c r="E16" s="12"/>
      <c r="F16" s="123" t="s">
        <v>173</v>
      </c>
      <c r="G16" s="52">
        <f>G14/C12</f>
        <v>50.053964304355915</v>
      </c>
    </row>
    <row r="17" spans="1:7" ht="24.2" customHeight="1">
      <c r="A17" s="10"/>
      <c r="B17" s="18"/>
      <c r="C17" s="124">
        <f>C16*F13</f>
        <v>1.0906187985956707E-7</v>
      </c>
      <c r="D17" s="101">
        <f>C17*1000000/10000</f>
        <v>1.0906187985956707E-5</v>
      </c>
      <c r="E17" s="15" t="s">
        <v>174</v>
      </c>
      <c r="F17" s="12"/>
      <c r="G17" s="12"/>
    </row>
    <row r="18" spans="1:7" ht="24.2" customHeight="1">
      <c r="A18" s="10"/>
      <c r="B18" s="18"/>
      <c r="C18" s="15" t="s">
        <v>175</v>
      </c>
      <c r="D18" s="131">
        <f>D14*C39</f>
        <v>1.0906460640656357E-13</v>
      </c>
      <c r="E18" s="12"/>
      <c r="F18" s="13">
        <f>SQRT((2*C6*C4*C4*C19*C19*C7*C8)/(C20*C10))*COSH((C4*C19*C11)/(2*C20*C10))</f>
        <v>1.090618798595671E-7</v>
      </c>
      <c r="G18" s="12"/>
    </row>
    <row r="19" spans="1:7" ht="24.2" customHeight="1">
      <c r="A19" s="10"/>
      <c r="B19" s="50" t="s">
        <v>176</v>
      </c>
      <c r="C19" s="68">
        <f>C5*C12</f>
        <v>96352</v>
      </c>
      <c r="D19" s="12"/>
      <c r="E19" s="12"/>
      <c r="F19" s="12"/>
      <c r="G19" s="12"/>
    </row>
    <row r="20" spans="1:7" ht="24.2" customHeight="1">
      <c r="A20" s="10"/>
      <c r="B20" s="50" t="s">
        <v>177</v>
      </c>
      <c r="C20" s="87">
        <f>C9*C12</f>
        <v>8.3103600000000011</v>
      </c>
      <c r="D20" s="12"/>
      <c r="E20" s="15" t="s">
        <v>162</v>
      </c>
      <c r="F20" s="13">
        <f>SQRT((2*C6*C4*C4*C19*C19*C7*C8)/(C20*C10))*COSH((C4*C19*C11)/(2*C20*C10))</f>
        <v>1.090618798595671E-7</v>
      </c>
      <c r="G20" s="12"/>
    </row>
    <row r="21" spans="1:7" ht="24.2" customHeight="1">
      <c r="A21" s="10"/>
      <c r="B21" s="50" t="s">
        <v>178</v>
      </c>
      <c r="C21" s="132">
        <v>5.0000000000000001E-9</v>
      </c>
      <c r="D21" s="12"/>
      <c r="E21" s="12"/>
      <c r="F21" s="133"/>
      <c r="G21" s="134" t="s">
        <v>168</v>
      </c>
    </row>
    <row r="22" spans="1:7" ht="24.2" customHeight="1">
      <c r="A22" s="10"/>
      <c r="B22" s="50" t="s">
        <v>179</v>
      </c>
      <c r="C22" s="91">
        <v>1E-4</v>
      </c>
      <c r="D22" s="13">
        <f>(2*F5*C7*C8*C12)/(C9*C10)</f>
        <v>5.2086298613475673E-3</v>
      </c>
      <c r="E22" s="12"/>
      <c r="F22" s="53">
        <f>(2*C7*C8*C5*C5*C12)/(C9*C10)</f>
        <v>5.2086298613475681E-3</v>
      </c>
      <c r="G22" s="53">
        <f>SQRT(F22)</f>
        <v>7.2170838025809064E-2</v>
      </c>
    </row>
    <row r="23" spans="1:7" ht="24.2" customHeight="1">
      <c r="A23" s="10"/>
      <c r="B23" s="50" t="s">
        <v>180</v>
      </c>
      <c r="C23" s="135">
        <f>((22/7)*C21*C21)+(2*(22/7)*C22*C21)</f>
        <v>3.1429357142857148E-12</v>
      </c>
      <c r="D23" s="13">
        <f>(2*C4*C4*C5*C5*C12*C8*C7*100*100000)/(C10*C9)</f>
        <v>52086.298613475665</v>
      </c>
      <c r="E23" s="12"/>
      <c r="F23" s="51">
        <f>C5/(2*C10*C9)</f>
        <v>19.446834784553374</v>
      </c>
      <c r="G23" s="122" t="s">
        <v>169</v>
      </c>
    </row>
    <row r="24" spans="1:7" ht="24.2" customHeight="1">
      <c r="A24" s="10"/>
      <c r="B24" s="18"/>
      <c r="C24" s="13">
        <f>SQRT(D23)</f>
        <v>228.22422880464657</v>
      </c>
      <c r="D24" s="13">
        <f>C25*C25</f>
        <v>51984</v>
      </c>
      <c r="E24" s="15" t="s">
        <v>181</v>
      </c>
      <c r="F24" s="12"/>
      <c r="G24" s="12"/>
    </row>
    <row r="25" spans="1:7" ht="24.2" customHeight="1">
      <c r="A25" s="10"/>
      <c r="B25" s="50" t="s">
        <v>168</v>
      </c>
      <c r="C25" s="13">
        <v>228</v>
      </c>
      <c r="D25" s="12"/>
      <c r="E25" s="12"/>
      <c r="F25" s="12"/>
      <c r="G25" s="12"/>
    </row>
    <row r="26" spans="1:7" ht="24.2" customHeight="1">
      <c r="A26" s="10"/>
      <c r="B26" s="18"/>
      <c r="C26" s="15" t="s">
        <v>182</v>
      </c>
      <c r="D26" s="13">
        <f>C9*C10</f>
        <v>4.1137800000000006E-21</v>
      </c>
      <c r="E26" s="12"/>
      <c r="F26" s="12"/>
      <c r="G26" s="12"/>
    </row>
    <row r="27" spans="1:7" ht="24.2" customHeight="1">
      <c r="A27" s="10"/>
      <c r="B27" s="18"/>
      <c r="C27" s="12"/>
      <c r="D27" s="12"/>
      <c r="E27" s="12"/>
      <c r="F27" s="12"/>
      <c r="G27" s="13">
        <f>G28/19.5</f>
        <v>4.9967745428509756E-2</v>
      </c>
    </row>
    <row r="28" spans="1:7" ht="24.2" customHeight="1">
      <c r="A28" s="10"/>
      <c r="B28" s="18"/>
      <c r="C28" s="12"/>
      <c r="D28" s="13">
        <f>228*1*SQRT(0.05)*COSH(19.5*1*0.05)</f>
        <v>77.196443451650282</v>
      </c>
      <c r="E28" s="12"/>
      <c r="F28" s="15" t="s">
        <v>183</v>
      </c>
      <c r="G28" s="13">
        <f>ACOSH(F31)</f>
        <v>0.9743710358559402</v>
      </c>
    </row>
    <row r="29" spans="1:7" ht="24.2" customHeight="1">
      <c r="A29" s="10"/>
      <c r="B29" s="18"/>
      <c r="C29" s="12"/>
      <c r="D29" s="12"/>
      <c r="E29" s="12"/>
      <c r="F29" s="12"/>
      <c r="G29" s="12"/>
    </row>
    <row r="30" spans="1:7" ht="24.2" customHeight="1">
      <c r="A30" s="10"/>
      <c r="B30" s="18"/>
      <c r="C30" s="15" t="s">
        <v>184</v>
      </c>
      <c r="D30" s="13">
        <v>77.16</v>
      </c>
      <c r="E30" s="12"/>
      <c r="F30" s="13">
        <f>D30/228</f>
        <v>0.33842105263157896</v>
      </c>
      <c r="G30" s="12"/>
    </row>
    <row r="31" spans="1:7" ht="24.2" customHeight="1">
      <c r="A31" s="10"/>
      <c r="B31" s="18"/>
      <c r="C31" s="15" t="s">
        <v>185</v>
      </c>
      <c r="D31" s="13">
        <f>SQRT(0.05)</f>
        <v>0.22360679774997896</v>
      </c>
      <c r="E31" s="12"/>
      <c r="F31" s="13">
        <f>F30/D31</f>
        <v>1.5134649574024892</v>
      </c>
      <c r="G31" s="12"/>
    </row>
    <row r="32" spans="1:7" ht="24.2" customHeight="1">
      <c r="A32" s="10"/>
      <c r="B32" s="18"/>
      <c r="C32" s="12"/>
      <c r="D32" s="12"/>
      <c r="E32" s="12"/>
      <c r="F32" s="12"/>
      <c r="G32" s="12"/>
    </row>
    <row r="33" spans="1:7" ht="24.2" customHeight="1">
      <c r="A33" s="10"/>
      <c r="B33" s="18"/>
      <c r="C33" s="12"/>
      <c r="D33" s="12"/>
      <c r="E33" s="15" t="s">
        <v>169</v>
      </c>
      <c r="F33" s="13">
        <f>COSH(19.5*0.05)</f>
        <v>1.514179782272882</v>
      </c>
      <c r="G33" s="12"/>
    </row>
    <row r="34" spans="1:7" ht="24.2" customHeight="1">
      <c r="A34" s="10"/>
      <c r="B34" s="18"/>
      <c r="C34" s="12"/>
      <c r="D34" s="12"/>
      <c r="E34" s="15" t="s">
        <v>186</v>
      </c>
      <c r="F34" s="13">
        <f>D30/F33</f>
        <v>50.958281772972718</v>
      </c>
      <c r="G34" s="12"/>
    </row>
    <row r="35" spans="1:7" ht="24.2" customHeight="1">
      <c r="A35" s="10"/>
      <c r="B35" s="18"/>
      <c r="C35" s="12"/>
      <c r="D35" s="12"/>
      <c r="E35" s="15" t="s">
        <v>187</v>
      </c>
      <c r="F35" s="13">
        <f>F34/228</f>
        <v>0.22350123584637158</v>
      </c>
      <c r="G35" s="12"/>
    </row>
    <row r="36" spans="1:7" ht="24.2" customHeight="1">
      <c r="A36" s="10"/>
      <c r="B36" s="18"/>
      <c r="C36" s="12"/>
      <c r="D36" s="12"/>
      <c r="E36" s="15" t="s">
        <v>8</v>
      </c>
      <c r="F36" s="13">
        <f>F35^2</f>
        <v>4.9952802424855412E-2</v>
      </c>
      <c r="G36" s="12"/>
    </row>
    <row r="37" spans="1:7" ht="24.2" customHeight="1">
      <c r="A37" s="10"/>
      <c r="B37" s="50" t="s">
        <v>188</v>
      </c>
      <c r="C37" s="87">
        <v>1.0000000000000001E-5</v>
      </c>
      <c r="D37" s="12"/>
      <c r="E37" s="12"/>
      <c r="F37" s="12"/>
      <c r="G37" s="12"/>
    </row>
    <row r="38" spans="1:7" ht="24.2" customHeight="1">
      <c r="A38" s="10"/>
      <c r="B38" s="50" t="s">
        <v>189</v>
      </c>
      <c r="C38" s="87">
        <v>1.0000000000000001E-5</v>
      </c>
      <c r="D38" s="12"/>
      <c r="E38" s="12"/>
      <c r="F38" s="12"/>
      <c r="G38" s="12"/>
    </row>
    <row r="39" spans="1:7" ht="24.2" customHeight="1">
      <c r="A39" s="10"/>
      <c r="B39" s="50" t="s">
        <v>190</v>
      </c>
      <c r="C39" s="132">
        <f>(C37*C38)/((22/7)*((C21+C21)*(C21+C21)))</f>
        <v>318181.81818181818</v>
      </c>
      <c r="D39" s="12"/>
      <c r="E39" s="12"/>
      <c r="F39" s="12"/>
      <c r="G39" s="12"/>
    </row>
  </sheetData>
  <mergeCells count="1">
    <mergeCell ref="A1:G1"/>
  </mergeCells>
  <pageMargins left="1" right="1" top="1" bottom="1" header="0.25" footer="0.25"/>
  <pageSetup orientation="portrait"/>
  <headerFooter>
    <oddFooter>&amp;C&amp;"Helvetica Neue,Regular"&amp;12&amp;K000000&amp;P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55"/>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1" width="16.28515625" style="136" customWidth="1"/>
    <col min="2" max="2" width="23" style="136" customWidth="1"/>
    <col min="3" max="3" width="22.28515625" style="136" customWidth="1"/>
    <col min="4" max="4" width="16.28515625" style="136" customWidth="1"/>
    <col min="5" max="5" width="18.140625" style="136" customWidth="1"/>
    <col min="6" max="6" width="19.42578125" style="136" customWidth="1"/>
    <col min="7" max="7" width="20.7109375" style="136" customWidth="1"/>
    <col min="8" max="8" width="16.28515625" style="136" customWidth="1"/>
    <col min="9" max="16384" width="16.28515625" style="136"/>
  </cols>
  <sheetData>
    <row r="1" spans="1:7" ht="27.6" customHeight="1">
      <c r="A1" s="259" t="s">
        <v>5</v>
      </c>
      <c r="B1" s="259"/>
      <c r="C1" s="259"/>
      <c r="D1" s="259"/>
      <c r="E1" s="259"/>
      <c r="F1" s="259"/>
      <c r="G1" s="259"/>
    </row>
    <row r="2" spans="1:7" ht="20.85" customHeight="1">
      <c r="A2" s="137"/>
      <c r="B2" s="137"/>
      <c r="C2" s="6"/>
      <c r="D2" s="6"/>
      <c r="E2" s="6"/>
      <c r="F2" s="6"/>
      <c r="G2" s="6"/>
    </row>
    <row r="3" spans="1:7" ht="20.85" customHeight="1">
      <c r="A3" s="138" t="s">
        <v>8</v>
      </c>
      <c r="B3" s="139">
        <v>10</v>
      </c>
      <c r="C3" s="140" t="s">
        <v>145</v>
      </c>
      <c r="D3" s="9"/>
      <c r="E3" s="9"/>
      <c r="F3" s="9"/>
      <c r="G3" s="9"/>
    </row>
    <row r="4" spans="1:7" ht="20.100000000000001" customHeight="1">
      <c r="A4" s="141" t="s">
        <v>146</v>
      </c>
      <c r="B4" s="142">
        <v>1</v>
      </c>
      <c r="C4" s="70"/>
      <c r="D4" s="15" t="s">
        <v>147</v>
      </c>
      <c r="E4" s="13">
        <f>B4*B4</f>
        <v>1</v>
      </c>
      <c r="F4" s="12"/>
      <c r="G4" s="12"/>
    </row>
    <row r="5" spans="1:7" ht="20.100000000000001" customHeight="1">
      <c r="A5" s="141" t="s">
        <v>148</v>
      </c>
      <c r="B5" s="143">
        <v>1.5999999999999999E-19</v>
      </c>
      <c r="C5" s="144"/>
      <c r="D5" s="111" t="s">
        <v>149</v>
      </c>
      <c r="E5" s="112">
        <f>B5*B5</f>
        <v>2.5599999999999998E-38</v>
      </c>
      <c r="F5" s="12"/>
      <c r="G5" s="12"/>
    </row>
    <row r="6" spans="1:7" ht="20.100000000000001" customHeight="1">
      <c r="A6" s="141" t="s">
        <v>150</v>
      </c>
      <c r="B6" s="145">
        <f>B3*1000</f>
        <v>10000</v>
      </c>
      <c r="C6" s="146" t="s">
        <v>151</v>
      </c>
      <c r="D6" s="115" t="s">
        <v>152</v>
      </c>
      <c r="E6" s="116"/>
      <c r="F6" s="12"/>
      <c r="G6" s="12"/>
    </row>
    <row r="7" spans="1:7" ht="20.100000000000001" customHeight="1">
      <c r="A7" s="141" t="s">
        <v>153</v>
      </c>
      <c r="B7" s="142">
        <v>78.489999999999995</v>
      </c>
      <c r="C7" s="147"/>
      <c r="D7" s="118" t="s">
        <v>154</v>
      </c>
      <c r="E7" s="68">
        <f>B5*B12</f>
        <v>96352</v>
      </c>
      <c r="F7" s="12"/>
      <c r="G7" s="12"/>
    </row>
    <row r="8" spans="1:7" ht="20.100000000000001" customHeight="1">
      <c r="A8" s="141" t="s">
        <v>155</v>
      </c>
      <c r="B8" s="148">
        <v>8.8539999999999992E-12</v>
      </c>
      <c r="C8" s="70"/>
      <c r="D8" s="15" t="s">
        <v>156</v>
      </c>
      <c r="E8" s="13">
        <v>100</v>
      </c>
      <c r="F8" s="15" t="s">
        <v>157</v>
      </c>
      <c r="G8" s="12"/>
    </row>
    <row r="9" spans="1:7" ht="20.100000000000001" customHeight="1">
      <c r="A9" s="141" t="s">
        <v>158</v>
      </c>
      <c r="B9" s="149">
        <v>1.3800000000000001E-23</v>
      </c>
      <c r="C9" s="70"/>
      <c r="D9" s="15" t="s">
        <v>159</v>
      </c>
      <c r="E9" s="13">
        <f>E8*E7</f>
        <v>9635200</v>
      </c>
      <c r="F9" s="12"/>
      <c r="G9" s="12"/>
    </row>
    <row r="10" spans="1:7" ht="20.100000000000001" customHeight="1">
      <c r="A10" s="141" t="s">
        <v>42</v>
      </c>
      <c r="B10" s="142">
        <v>298.10000000000002</v>
      </c>
      <c r="C10" s="70"/>
      <c r="D10" s="15" t="s">
        <v>160</v>
      </c>
      <c r="E10" s="120">
        <f>B6*B12</f>
        <v>6.0220000000000002E+27</v>
      </c>
      <c r="F10" s="12"/>
      <c r="G10" s="12"/>
    </row>
    <row r="11" spans="1:7" ht="20.100000000000001" customHeight="1">
      <c r="A11" s="141" t="s">
        <v>161</v>
      </c>
      <c r="B11" s="150">
        <v>0.05</v>
      </c>
      <c r="C11" s="70"/>
      <c r="D11" s="12"/>
      <c r="E11" s="12"/>
      <c r="F11" s="12"/>
      <c r="G11" s="12"/>
    </row>
    <row r="12" spans="1:7" ht="20.85" customHeight="1">
      <c r="A12" s="151" t="s">
        <v>164</v>
      </c>
      <c r="B12" s="152">
        <v>6.0220000000000003E+23</v>
      </c>
      <c r="C12" s="70"/>
      <c r="D12" s="12"/>
      <c r="E12" s="12"/>
      <c r="F12" s="12"/>
      <c r="G12" s="12"/>
    </row>
    <row r="13" spans="1:7" ht="20.85" customHeight="1">
      <c r="A13" s="153" t="s">
        <v>166</v>
      </c>
      <c r="B13" s="154">
        <f>(SQRT((2*E4*E5*B12*B6*B7*B8)/(B9*B10)))*(COSH((B4*B5*B11)/(2*B9*B10)))</f>
        <v>10.906187985956709</v>
      </c>
      <c r="C13" s="12"/>
      <c r="D13" s="12"/>
      <c r="E13" s="59">
        <f>COSH((B4*B5*B11)/(2*B9*B10))</f>
        <v>1.511162719498496</v>
      </c>
      <c r="F13" s="12"/>
      <c r="G13" s="12"/>
    </row>
    <row r="14" spans="1:7" ht="20.85" customHeight="1">
      <c r="A14" s="155"/>
      <c r="B14" s="156" t="s">
        <v>167</v>
      </c>
      <c r="C14" s="157">
        <f>B13*B23</f>
        <v>3.4277447727777132E-11</v>
      </c>
      <c r="D14" s="12"/>
      <c r="E14" s="128" t="s">
        <v>169</v>
      </c>
      <c r="F14" s="12"/>
      <c r="G14" s="12"/>
    </row>
    <row r="15" spans="1:7" ht="21.75" customHeight="1">
      <c r="A15" s="158" t="s">
        <v>170</v>
      </c>
      <c r="B15" s="159">
        <f>SQRT((B9*B10*B8*B7)/(2*B4*B4*B5*B5*B12*B6))</f>
        <v>9.6292419349693323E-11</v>
      </c>
      <c r="C15" s="70"/>
      <c r="D15" s="12"/>
      <c r="E15" s="12"/>
      <c r="F15" s="12"/>
      <c r="G15" s="12"/>
    </row>
    <row r="16" spans="1:7" ht="20.85" customHeight="1">
      <c r="A16" s="153" t="s">
        <v>171</v>
      </c>
      <c r="B16" s="160">
        <f>(B8*B7)/B15</f>
        <v>7.2170838025809063</v>
      </c>
      <c r="C16" s="15" t="s">
        <v>172</v>
      </c>
      <c r="D16" s="12"/>
      <c r="E16" s="12"/>
      <c r="F16" s="12"/>
      <c r="G16" s="12"/>
    </row>
    <row r="17" spans="1:7" ht="20.85" customHeight="1">
      <c r="A17" s="10"/>
      <c r="B17" s="161">
        <f>B16*E13</f>
        <v>10.906187985956709</v>
      </c>
      <c r="C17" s="61"/>
      <c r="D17" s="12"/>
      <c r="E17" s="12"/>
      <c r="F17" s="12"/>
      <c r="G17" s="12"/>
    </row>
    <row r="18" spans="1:7" ht="21.75" customHeight="1">
      <c r="A18" s="162"/>
      <c r="B18" s="163" t="s">
        <v>175</v>
      </c>
      <c r="C18" s="164">
        <f>C14*B26</f>
        <v>1.090646064065636E-5</v>
      </c>
      <c r="D18" s="70"/>
      <c r="E18" s="61"/>
      <c r="F18" s="61"/>
      <c r="G18" s="12"/>
    </row>
    <row r="19" spans="1:7" ht="20.85" customHeight="1">
      <c r="A19" s="14" t="s">
        <v>176</v>
      </c>
      <c r="B19" s="165">
        <f>B5*B12</f>
        <v>96352</v>
      </c>
      <c r="C19" s="75"/>
      <c r="D19" s="62"/>
      <c r="E19" s="166" t="s">
        <v>192</v>
      </c>
      <c r="F19" s="167">
        <f>F20*B29</f>
        <v>1.5714285714285717E-27</v>
      </c>
      <c r="G19" s="70"/>
    </row>
    <row r="20" spans="1:7" ht="20.85" customHeight="1">
      <c r="A20" s="168" t="s">
        <v>177</v>
      </c>
      <c r="B20" s="169">
        <f>B9*B12</f>
        <v>8.3103600000000011</v>
      </c>
      <c r="C20" s="12"/>
      <c r="D20" s="62"/>
      <c r="E20" s="170" t="s">
        <v>193</v>
      </c>
      <c r="F20" s="171">
        <f>(22/7)*(B30*B30)</f>
        <v>7.8571428571428577E-19</v>
      </c>
      <c r="G20" s="70"/>
    </row>
    <row r="21" spans="1:7" ht="32.85" customHeight="1">
      <c r="A21" s="138" t="s">
        <v>178</v>
      </c>
      <c r="B21" s="172">
        <v>5.0000000000000001E-9</v>
      </c>
      <c r="C21" s="70"/>
      <c r="D21" s="62"/>
      <c r="E21" s="170" t="s">
        <v>194</v>
      </c>
      <c r="F21" s="173">
        <v>5.0000000000000003E-10</v>
      </c>
      <c r="G21" s="70"/>
    </row>
    <row r="22" spans="1:7" ht="32.1" customHeight="1">
      <c r="A22" s="141" t="s">
        <v>179</v>
      </c>
      <c r="B22" s="174">
        <v>1E-4</v>
      </c>
      <c r="C22" s="70"/>
      <c r="D22" s="62"/>
      <c r="E22" s="170" t="s">
        <v>195</v>
      </c>
      <c r="F22" s="175">
        <f>B23/((22/7)*(B30+F21)*(B30+F21))</f>
        <v>1000025</v>
      </c>
      <c r="G22" s="70"/>
    </row>
    <row r="23" spans="1:7" ht="32.1" customHeight="1">
      <c r="A23" s="141" t="s">
        <v>180</v>
      </c>
      <c r="B23" s="176">
        <f>((22/7)*B21*B21)+(2*(22/7)*B22*B21)</f>
        <v>3.1429357142857148E-12</v>
      </c>
      <c r="C23" s="70"/>
      <c r="D23" s="62"/>
      <c r="E23" s="170" t="s">
        <v>196</v>
      </c>
      <c r="F23" s="177">
        <f>F22*B26</f>
        <v>318189772727.27271</v>
      </c>
      <c r="G23" s="70"/>
    </row>
    <row r="24" spans="1:7" ht="44.1" customHeight="1">
      <c r="A24" s="141" t="s">
        <v>188</v>
      </c>
      <c r="B24" s="178">
        <v>1.0000000000000001E-5</v>
      </c>
      <c r="C24" s="70"/>
      <c r="D24" s="62"/>
      <c r="E24" s="170" t="s">
        <v>197</v>
      </c>
      <c r="F24" s="179">
        <f>F23/B12</f>
        <v>5.2837889858397987E-13</v>
      </c>
      <c r="G24" s="170" t="s">
        <v>198</v>
      </c>
    </row>
    <row r="25" spans="1:7" ht="20.85" customHeight="1">
      <c r="A25" s="141" t="s">
        <v>189</v>
      </c>
      <c r="B25" s="178">
        <v>1.0000000000000001E-5</v>
      </c>
      <c r="C25" s="73"/>
      <c r="D25" s="180"/>
      <c r="E25" s="73"/>
      <c r="F25" s="181">
        <f>F24/1000</f>
        <v>5.283788985839799E-16</v>
      </c>
      <c r="G25" s="170" t="s">
        <v>145</v>
      </c>
    </row>
    <row r="26" spans="1:7" ht="21.75" customHeight="1">
      <c r="A26" s="151" t="s">
        <v>190</v>
      </c>
      <c r="B26" s="182">
        <f>(B24*B25)/((22/7)*((B21+B21)*(B21+B21)))</f>
        <v>318181.81818181818</v>
      </c>
      <c r="C26" s="163" t="s">
        <v>199</v>
      </c>
      <c r="D26" s="183">
        <f>B26*B23</f>
        <v>1.0000250000000002E-6</v>
      </c>
      <c r="E26" s="184"/>
      <c r="F26" s="185"/>
      <c r="G26" s="12"/>
    </row>
    <row r="27" spans="1:7" ht="21.75" customHeight="1">
      <c r="A27" s="186"/>
      <c r="B27" s="187"/>
      <c r="C27" s="75"/>
      <c r="D27" s="188"/>
      <c r="E27" s="189" t="s">
        <v>200</v>
      </c>
      <c r="F27" s="190">
        <f>(B28*B8)/B29</f>
        <v>3.5415999999999996E-2</v>
      </c>
      <c r="G27" s="191"/>
    </row>
    <row r="28" spans="1:7" ht="20.85" customHeight="1">
      <c r="A28" s="138" t="s">
        <v>201</v>
      </c>
      <c r="B28" s="192">
        <v>8</v>
      </c>
      <c r="C28" s="170" t="s">
        <v>202</v>
      </c>
      <c r="D28" s="193"/>
      <c r="E28" s="194" t="s">
        <v>203</v>
      </c>
      <c r="F28" s="195">
        <f>F27*B23</f>
        <v>1.1131021125714286E-13</v>
      </c>
      <c r="G28" s="191"/>
    </row>
    <row r="29" spans="1:7" ht="20.85" customHeight="1">
      <c r="A29" s="141" t="s">
        <v>204</v>
      </c>
      <c r="B29" s="196">
        <v>2.0000000000000001E-9</v>
      </c>
      <c r="C29" s="170" t="s">
        <v>205</v>
      </c>
      <c r="D29" s="193"/>
      <c r="E29" s="197" t="s">
        <v>206</v>
      </c>
      <c r="F29" s="198">
        <f>F28*B26</f>
        <v>3.5416885399999999E-8</v>
      </c>
      <c r="G29" s="191"/>
    </row>
    <row r="30" spans="1:7" ht="45.75" customHeight="1">
      <c r="A30" s="199" t="s">
        <v>207</v>
      </c>
      <c r="B30" s="200">
        <v>5.0000000000000003E-10</v>
      </c>
      <c r="C30" s="170" t="s">
        <v>208</v>
      </c>
      <c r="D30" s="12"/>
      <c r="E30" s="201"/>
      <c r="F30" s="202"/>
      <c r="G30" s="12"/>
    </row>
    <row r="31" spans="1:7" ht="32.85" customHeight="1">
      <c r="A31" s="203" t="s">
        <v>209</v>
      </c>
      <c r="B31" s="204">
        <f>(1/F29)+(1/C18)</f>
        <v>28326808.511105526</v>
      </c>
      <c r="C31" s="205"/>
      <c r="D31" s="12"/>
      <c r="E31" s="12"/>
      <c r="F31" s="68"/>
      <c r="G31" s="12"/>
    </row>
    <row r="32" spans="1:7" ht="20.100000000000001" customHeight="1">
      <c r="A32" s="206" t="s">
        <v>210</v>
      </c>
      <c r="B32" s="207">
        <f>B31^(-1)</f>
        <v>3.5302247325460257E-8</v>
      </c>
      <c r="C32" s="208" t="s">
        <v>211</v>
      </c>
      <c r="D32" s="12"/>
      <c r="E32" s="12"/>
      <c r="F32" s="68"/>
      <c r="G32" s="12"/>
    </row>
    <row r="33" spans="1:7" ht="20.100000000000001" customHeight="1">
      <c r="A33" s="206" t="s">
        <v>212</v>
      </c>
      <c r="B33" s="209">
        <v>100000</v>
      </c>
      <c r="C33" s="208" t="s">
        <v>213</v>
      </c>
      <c r="D33" s="12"/>
      <c r="E33" s="12"/>
      <c r="F33" s="68"/>
      <c r="G33" s="12"/>
    </row>
    <row r="34" spans="1:7" ht="20.85" customHeight="1">
      <c r="A34" s="210" t="s">
        <v>214</v>
      </c>
      <c r="B34" s="211">
        <f>1/(2*(22/7)*B32*B33)</f>
        <v>45.065377176758794</v>
      </c>
      <c r="C34" s="208" t="s">
        <v>215</v>
      </c>
      <c r="D34" s="12"/>
      <c r="E34" s="212"/>
      <c r="F34" s="213"/>
      <c r="G34" s="12"/>
    </row>
    <row r="35" spans="1:7" ht="20.85" customHeight="1">
      <c r="A35" s="214"/>
      <c r="B35" s="215"/>
      <c r="C35" s="205"/>
      <c r="D35" s="193"/>
      <c r="E35" s="189" t="s">
        <v>216</v>
      </c>
      <c r="F35" s="216">
        <v>100000</v>
      </c>
      <c r="G35" s="194" t="s">
        <v>217</v>
      </c>
    </row>
    <row r="36" spans="1:7" ht="20.85" customHeight="1">
      <c r="A36" s="210" t="s">
        <v>218</v>
      </c>
      <c r="B36" s="217">
        <f>B11/B34</f>
        <v>1.1094992016573225E-3</v>
      </c>
      <c r="C36" s="208" t="s">
        <v>219</v>
      </c>
      <c r="D36" s="193"/>
      <c r="E36" s="194" t="s">
        <v>220</v>
      </c>
      <c r="F36" s="218">
        <f>SQRT((F35^2+B34^2))</f>
        <v>100000.01015444058</v>
      </c>
      <c r="G36" s="194" t="s">
        <v>221</v>
      </c>
    </row>
    <row r="37" spans="1:7" ht="21.75" customHeight="1">
      <c r="A37" s="219"/>
      <c r="B37" s="220"/>
      <c r="C37" s="12"/>
      <c r="D37" s="193"/>
      <c r="E37" s="197" t="s">
        <v>222</v>
      </c>
      <c r="F37" s="221">
        <f>B11/F36</f>
        <v>4.9999994922780232E-7</v>
      </c>
      <c r="G37" s="191"/>
    </row>
    <row r="38" spans="1:7" ht="21.75" customHeight="1">
      <c r="A38" s="155"/>
      <c r="B38" s="222"/>
      <c r="C38" s="12"/>
      <c r="D38" s="12"/>
      <c r="E38" s="223"/>
      <c r="F38" s="224"/>
      <c r="G38" s="12"/>
    </row>
    <row r="39" spans="1:7" ht="32.85" customHeight="1">
      <c r="A39" s="138" t="s">
        <v>223</v>
      </c>
      <c r="B39" s="192">
        <v>8</v>
      </c>
      <c r="C39" s="70"/>
      <c r="D39" s="193"/>
      <c r="E39" s="189" t="s">
        <v>224</v>
      </c>
      <c r="F39" s="190">
        <f>(B39*B8)/B40</f>
        <v>3.5415999999999996E-2</v>
      </c>
      <c r="G39" s="191"/>
    </row>
    <row r="40" spans="1:7" ht="20.85" customHeight="1">
      <c r="A40" s="151" t="s">
        <v>204</v>
      </c>
      <c r="B40" s="225">
        <v>2.0000000000000001E-9</v>
      </c>
      <c r="C40" s="70"/>
      <c r="D40" s="193"/>
      <c r="E40" s="194" t="s">
        <v>225</v>
      </c>
      <c r="F40" s="195">
        <f>F39*B23</f>
        <v>1.1131021125714286E-13</v>
      </c>
      <c r="G40" s="191"/>
    </row>
    <row r="41" spans="1:7" ht="21.75" customHeight="1">
      <c r="A41" s="226"/>
      <c r="B41" s="227"/>
      <c r="C41" s="12"/>
      <c r="D41" s="193"/>
      <c r="E41" s="197" t="s">
        <v>226</v>
      </c>
      <c r="F41" s="198">
        <f>F40*B26</f>
        <v>3.5416885399999999E-8</v>
      </c>
      <c r="G41" s="191"/>
    </row>
    <row r="42" spans="1:7" ht="21.75" customHeight="1">
      <c r="A42" s="228"/>
      <c r="B42" s="229"/>
      <c r="C42" s="12"/>
      <c r="D42" s="12"/>
      <c r="E42" s="223"/>
      <c r="F42" s="224"/>
      <c r="G42" s="12"/>
    </row>
    <row r="43" spans="1:7" ht="32.85" customHeight="1">
      <c r="A43" s="203" t="s">
        <v>227</v>
      </c>
      <c r="B43" s="204">
        <f>(1/F41)+(1/F29)+(1/C18)</f>
        <v>56561928.248653091</v>
      </c>
      <c r="C43" s="205"/>
      <c r="D43" s="193"/>
      <c r="E43" s="189" t="s">
        <v>228</v>
      </c>
      <c r="F43" s="230">
        <f>(1/F29)+(1/F41)</f>
        <v>56470239.475095123</v>
      </c>
      <c r="G43" s="191"/>
    </row>
    <row r="44" spans="1:7" ht="20.85" customHeight="1">
      <c r="A44" s="206" t="s">
        <v>210</v>
      </c>
      <c r="B44" s="207">
        <f>B43^(-1)</f>
        <v>1.7679736723328787E-8</v>
      </c>
      <c r="C44" s="208" t="s">
        <v>211</v>
      </c>
      <c r="D44" s="193"/>
      <c r="E44" s="197" t="s">
        <v>229</v>
      </c>
      <c r="F44" s="231">
        <f>F43^-1</f>
        <v>1.7708442699999999E-8</v>
      </c>
      <c r="G44" s="232">
        <f>((B39*B8)/(B40+B29))*B23*B26</f>
        <v>1.7708442699999999E-8</v>
      </c>
    </row>
    <row r="45" spans="1:7" ht="32.85" customHeight="1">
      <c r="A45" s="206" t="s">
        <v>212</v>
      </c>
      <c r="B45" s="233">
        <v>10000</v>
      </c>
      <c r="C45" s="208" t="s">
        <v>213</v>
      </c>
      <c r="D45" s="12"/>
      <c r="E45" s="201"/>
      <c r="F45" s="202"/>
      <c r="G45" s="15" t="s">
        <v>230</v>
      </c>
    </row>
    <row r="46" spans="1:7" ht="20.85" customHeight="1">
      <c r="A46" s="210" t="s">
        <v>214</v>
      </c>
      <c r="B46" s="234">
        <f>1/(2*(22/7)*B44*B45)</f>
        <v>899.84885850129911</v>
      </c>
      <c r="C46" s="205"/>
      <c r="D46" s="12"/>
      <c r="E46" s="12"/>
      <c r="F46" s="68"/>
      <c r="G46" s="12"/>
    </row>
    <row r="47" spans="1:7" ht="20.85" customHeight="1">
      <c r="A47" s="214"/>
      <c r="B47" s="215"/>
      <c r="C47" s="205"/>
      <c r="D47" s="12"/>
      <c r="E47" s="15" t="s">
        <v>231</v>
      </c>
      <c r="F47" s="93">
        <f>1/(2*(22/7)*B33*C18)</f>
        <v>0.14586850338767177</v>
      </c>
      <c r="G47" s="12"/>
    </row>
    <row r="48" spans="1:7" ht="20.85" customHeight="1">
      <c r="A48" s="210" t="s">
        <v>218</v>
      </c>
      <c r="B48" s="235">
        <f>B11/B46</f>
        <v>5.5564886844747628E-5</v>
      </c>
      <c r="C48" s="208" t="s">
        <v>219</v>
      </c>
      <c r="D48" s="12"/>
      <c r="E48" s="12"/>
      <c r="F48" s="68"/>
      <c r="G48" s="12"/>
    </row>
    <row r="49" spans="1:7" ht="21.75" customHeight="1">
      <c r="A49" s="236"/>
      <c r="B49" s="237"/>
      <c r="C49" s="12"/>
      <c r="D49" s="12"/>
      <c r="E49" s="12"/>
      <c r="F49" s="68"/>
      <c r="G49" s="12"/>
    </row>
    <row r="50" spans="1:7" ht="20.85" customHeight="1">
      <c r="A50" s="238" t="s">
        <v>232</v>
      </c>
      <c r="B50" s="239">
        <f>B36-B48</f>
        <v>1.0539343148125747E-3</v>
      </c>
      <c r="C50" s="240"/>
      <c r="D50" s="12"/>
      <c r="E50" s="12"/>
      <c r="F50" s="68"/>
      <c r="G50" s="12"/>
    </row>
    <row r="51" spans="1:7" ht="20.85" customHeight="1">
      <c r="A51" s="241" t="s">
        <v>233</v>
      </c>
      <c r="B51" s="242">
        <f>B34-B46</f>
        <v>-854.78348132454028</v>
      </c>
      <c r="C51" s="243" t="s">
        <v>234</v>
      </c>
      <c r="D51" s="12"/>
      <c r="E51" s="61"/>
      <c r="F51" s="244"/>
      <c r="G51" s="61"/>
    </row>
    <row r="52" spans="1:7" ht="21.75" customHeight="1">
      <c r="A52" s="245" t="s">
        <v>235</v>
      </c>
      <c r="B52" s="246">
        <f>B32-B44</f>
        <v>1.762251060213147E-8</v>
      </c>
      <c r="C52" s="240"/>
      <c r="D52" s="62"/>
      <c r="E52" s="166" t="s">
        <v>236</v>
      </c>
      <c r="F52" s="247">
        <f>F47-B34</f>
        <v>-44.919508673371119</v>
      </c>
      <c r="G52" s="248">
        <f>F47-B46</f>
        <v>-899.70298999791146</v>
      </c>
    </row>
    <row r="53" spans="1:7" ht="33.75" customHeight="1">
      <c r="A53" s="249"/>
      <c r="B53" s="250"/>
      <c r="C53" s="12"/>
      <c r="D53" s="62"/>
      <c r="E53" s="73"/>
      <c r="F53" s="251" t="s">
        <v>237</v>
      </c>
      <c r="G53" s="252" t="s">
        <v>238</v>
      </c>
    </row>
    <row r="54" spans="1:7" ht="20.85" customHeight="1">
      <c r="A54" s="10"/>
      <c r="B54" s="18"/>
      <c r="C54" s="12"/>
      <c r="D54" s="12"/>
      <c r="E54" s="75"/>
      <c r="F54" s="253"/>
      <c r="G54" s="75"/>
    </row>
    <row r="55" spans="1:7" ht="20.100000000000001" customHeight="1">
      <c r="A55" s="10"/>
      <c r="B55" s="18"/>
      <c r="C55" s="12"/>
      <c r="D55" s="12"/>
      <c r="E55" s="12"/>
      <c r="F55" s="68"/>
      <c r="G55" s="12"/>
    </row>
  </sheetData>
  <mergeCells count="1">
    <mergeCell ref="A1:G1"/>
  </mergeCells>
  <pageMargins left="1" right="1" top="1" bottom="1" header="0.25" footer="0.25"/>
  <pageSetup orientation="portrait"/>
  <headerFooter>
    <oddFooter>&amp;C&amp;"Helvetica Neue,Regular"&amp;12&amp;K000000&amp;P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4"/>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6" width="16.28515625" style="254" customWidth="1"/>
    <col min="7" max="16384" width="16.28515625" style="254"/>
  </cols>
  <sheetData>
    <row r="1" spans="1:5" ht="27.6" customHeight="1">
      <c r="A1" s="259" t="s">
        <v>5</v>
      </c>
      <c r="B1" s="259"/>
      <c r="C1" s="259"/>
      <c r="D1" s="259"/>
      <c r="E1" s="259"/>
    </row>
    <row r="2" spans="1:5" ht="20.25" customHeight="1">
      <c r="A2" s="6"/>
      <c r="B2" s="6"/>
      <c r="C2" s="6"/>
      <c r="D2" s="6"/>
      <c r="E2" s="6"/>
    </row>
    <row r="3" spans="1:5" ht="32.25" customHeight="1">
      <c r="A3" s="7"/>
      <c r="B3" s="81" t="s">
        <v>240</v>
      </c>
      <c r="C3" s="83" t="s">
        <v>241</v>
      </c>
      <c r="D3" s="83" t="s">
        <v>242</v>
      </c>
      <c r="E3" s="9"/>
    </row>
    <row r="4" spans="1:5" ht="20.100000000000001" customHeight="1">
      <c r="A4" s="10"/>
      <c r="B4" s="255">
        <v>5.2499999999999995E-16</v>
      </c>
      <c r="C4" s="93">
        <v>1.0000000000000001E-15</v>
      </c>
      <c r="D4" s="99">
        <v>3.2999999999999999E-16</v>
      </c>
      <c r="E4" s="12"/>
    </row>
    <row r="5" spans="1:5" ht="20.100000000000001" customHeight="1">
      <c r="A5" s="10"/>
      <c r="B5" s="18"/>
      <c r="C5" s="106">
        <v>9.9999999999999998E-13</v>
      </c>
      <c r="D5" s="99">
        <v>3.2999999999999999E-16</v>
      </c>
      <c r="E5" s="12"/>
    </row>
    <row r="6" spans="1:5" ht="20.100000000000001" customHeight="1">
      <c r="A6" s="10"/>
      <c r="B6" s="18"/>
      <c r="C6" s="132">
        <v>1.0000000000000001E-9</v>
      </c>
      <c r="D6" s="96">
        <v>3.3000000000000001E-13</v>
      </c>
      <c r="E6" s="12"/>
    </row>
    <row r="7" spans="1:5" ht="20.100000000000001" customHeight="1">
      <c r="A7" s="10"/>
      <c r="B7" s="18"/>
      <c r="C7" s="90">
        <v>9.9999999999999995E-7</v>
      </c>
      <c r="D7" s="106">
        <v>2.5599999999999999E-10</v>
      </c>
      <c r="E7" s="12"/>
    </row>
    <row r="8" spans="1:5" ht="20.100000000000001" customHeight="1">
      <c r="A8" s="10"/>
      <c r="B8" s="18"/>
      <c r="C8" s="256">
        <v>1E-3</v>
      </c>
      <c r="D8" s="88">
        <v>1.15E-8</v>
      </c>
      <c r="E8" s="12"/>
    </row>
    <row r="9" spans="1:5" ht="20.100000000000001" customHeight="1">
      <c r="A9" s="10"/>
      <c r="B9" s="18"/>
      <c r="C9" s="95">
        <v>0.1</v>
      </c>
      <c r="D9" s="88">
        <v>1.6800000000000002E-8</v>
      </c>
      <c r="E9" s="12"/>
    </row>
    <row r="10" spans="1:5" ht="20.100000000000001" customHeight="1">
      <c r="A10" s="10"/>
      <c r="B10" s="18"/>
      <c r="C10" s="68">
        <v>1</v>
      </c>
      <c r="D10" s="88">
        <v>1.74E-8</v>
      </c>
      <c r="E10" s="12"/>
    </row>
    <row r="11" spans="1:5" ht="20.100000000000001" customHeight="1">
      <c r="A11" s="10"/>
      <c r="B11" s="18"/>
      <c r="C11" s="68">
        <v>10</v>
      </c>
      <c r="D11" s="88">
        <v>1.7599999999999999E-8</v>
      </c>
      <c r="E11" s="12"/>
    </row>
    <row r="12" spans="1:5" ht="20.100000000000001" customHeight="1">
      <c r="A12" s="10"/>
      <c r="B12" s="18"/>
      <c r="C12" s="12"/>
      <c r="D12" s="12"/>
      <c r="E12" s="12"/>
    </row>
    <row r="13" spans="1:5" ht="20.100000000000001" customHeight="1">
      <c r="A13" s="10"/>
      <c r="B13" s="18"/>
      <c r="C13" s="12"/>
      <c r="D13" s="12"/>
      <c r="E13" s="12"/>
    </row>
    <row r="14" spans="1:5" ht="20.100000000000001" customHeight="1">
      <c r="A14" s="10"/>
      <c r="B14" s="18"/>
      <c r="C14" s="12"/>
      <c r="D14" s="12"/>
      <c r="E14" s="12"/>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Sheet 1</vt:lpstr>
      <vt:lpstr>Value of Vo and Rf</vt:lpstr>
      <vt:lpstr>Sheet 2</vt:lpstr>
      <vt:lpstr>Sheet 3</vt:lpstr>
      <vt:lpstr>COVID DNA Detection Cap</vt:lpstr>
      <vt:lpstr>COVID Detection Clean Sheet</vt:lpstr>
      <vt:lpstr>Detection Curve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 Wang</cp:lastModifiedBy>
  <dcterms:created xsi:type="dcterms:W3CDTF">2021-03-26T20:40:29Z</dcterms:created>
  <dcterms:modified xsi:type="dcterms:W3CDTF">2021-03-26T20:40:29Z</dcterms:modified>
</cp:coreProperties>
</file>