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e179e13e234b8e/Documents/MATLAB/"/>
    </mc:Choice>
  </mc:AlternateContent>
  <xr:revisionPtr revIDLastSave="211" documentId="8_{8DCBD7D1-3118-47FA-9EA7-F4C3661576CC}" xr6:coauthVersionLast="47" xr6:coauthVersionMax="47" xr10:uidLastSave="{6BFE9FA3-A23E-438A-9F7F-6B90591B1D6C}"/>
  <bookViews>
    <workbookView minimized="1" xWindow="5016" yWindow="5016" windowWidth="27648" windowHeight="16440" xr2:uid="{00000000-000D-0000-FFFF-FFFF00000000}"/>
  </bookViews>
  <sheets>
    <sheet name="Blank Model" sheetId="3" r:id="rId1"/>
  </sheets>
  <definedNames>
    <definedName name="solver_adj" localSheetId="0" hidden="1">'Blank Model'!#REF!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'Blank Model'!$I$16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H10" i="3"/>
  <c r="F30" i="3"/>
  <c r="I92" i="3"/>
  <c r="I91" i="3"/>
  <c r="P71" i="3"/>
  <c r="P70" i="3"/>
  <c r="P72" i="3"/>
  <c r="P73" i="3"/>
  <c r="P74" i="3"/>
  <c r="P69" i="3"/>
  <c r="J40" i="3"/>
  <c r="I81" i="3"/>
  <c r="J72" i="3"/>
  <c r="I82" i="3"/>
  <c r="I72" i="3"/>
  <c r="J69" i="3"/>
  <c r="K69" i="3"/>
  <c r="N22" i="3"/>
  <c r="N32" i="3"/>
  <c r="J46" i="3"/>
  <c r="F23" i="3"/>
  <c r="N24" i="3"/>
  <c r="N23" i="3"/>
  <c r="K40" i="3"/>
  <c r="F54" i="3"/>
  <c r="J39" i="3"/>
  <c r="J37" i="3"/>
  <c r="N38" i="3"/>
  <c r="F31" i="3" l="1"/>
  <c r="C100" i="3" l="1"/>
  <c r="C99" i="3"/>
  <c r="C98" i="3"/>
  <c r="C97" i="3"/>
  <c r="C96" i="3"/>
  <c r="C95" i="3"/>
  <c r="C76" i="3"/>
  <c r="C86" i="3" s="1"/>
  <c r="C75" i="3"/>
  <c r="C85" i="3" s="1"/>
  <c r="C74" i="3"/>
  <c r="C73" i="3"/>
  <c r="C83" i="3" s="1"/>
  <c r="C72" i="3"/>
  <c r="C82" i="3" s="1"/>
  <c r="N69" i="3"/>
  <c r="M69" i="3"/>
  <c r="L69" i="3"/>
  <c r="I54" i="3"/>
  <c r="H54" i="3"/>
  <c r="G54" i="3"/>
  <c r="E54" i="3"/>
  <c r="D54" i="3"/>
  <c r="I53" i="3"/>
  <c r="H53" i="3"/>
  <c r="G53" i="3"/>
  <c r="F53" i="3"/>
  <c r="E53" i="3"/>
  <c r="D53" i="3"/>
  <c r="I52" i="3"/>
  <c r="H52" i="3"/>
  <c r="G52" i="3"/>
  <c r="F52" i="3"/>
  <c r="E52" i="3"/>
  <c r="D52" i="3"/>
  <c r="I51" i="3"/>
  <c r="H51" i="3"/>
  <c r="G51" i="3"/>
  <c r="F51" i="3"/>
  <c r="E51" i="3"/>
  <c r="D51" i="3"/>
  <c r="I50" i="3"/>
  <c r="H50" i="3"/>
  <c r="G50" i="3"/>
  <c r="F50" i="3"/>
  <c r="E50" i="3"/>
  <c r="D50" i="3"/>
  <c r="J36" i="3"/>
  <c r="J59" i="3" s="1"/>
  <c r="J67" i="3" s="1"/>
  <c r="I36" i="3"/>
  <c r="I59" i="3" s="1"/>
  <c r="I67" i="3" s="1"/>
  <c r="H36" i="3"/>
  <c r="G36" i="3" s="1"/>
  <c r="E28" i="3"/>
  <c r="F27" i="3"/>
  <c r="F26" i="3"/>
  <c r="I75" i="3" s="1"/>
  <c r="J75" i="3" s="1"/>
  <c r="K75" i="3" s="1"/>
  <c r="L75" i="3" s="1"/>
  <c r="M75" i="3" s="1"/>
  <c r="N75" i="3" s="1"/>
  <c r="F25" i="3"/>
  <c r="F24" i="3"/>
  <c r="I73" i="3" s="1"/>
  <c r="J73" i="3" s="1"/>
  <c r="K73" i="3" s="1"/>
  <c r="L73" i="3" s="1"/>
  <c r="M73" i="3" s="1"/>
  <c r="N73" i="3" s="1"/>
  <c r="K72" i="3"/>
  <c r="L72" i="3" s="1"/>
  <c r="M72" i="3" s="1"/>
  <c r="N72" i="3" s="1"/>
  <c r="F22" i="3"/>
  <c r="M8" i="3"/>
  <c r="M9" i="3" s="1"/>
  <c r="D7" i="3"/>
  <c r="N4" i="3" l="1"/>
  <c r="N12" i="3" s="1"/>
  <c r="K36" i="3"/>
  <c r="J38" i="3"/>
  <c r="K37" i="3"/>
  <c r="K38" i="3" s="1"/>
  <c r="M15" i="3"/>
  <c r="M16" i="3" s="1"/>
  <c r="M17" i="3" s="1"/>
  <c r="M6" i="3"/>
  <c r="M5" i="3" s="1"/>
  <c r="I83" i="3"/>
  <c r="I85" i="3"/>
  <c r="G59" i="3"/>
  <c r="G67" i="3" s="1"/>
  <c r="F36" i="3"/>
  <c r="D11" i="3"/>
  <c r="F32" i="3" s="1"/>
  <c r="H59" i="3"/>
  <c r="H67" i="3" s="1"/>
  <c r="I76" i="3"/>
  <c r="J76" i="3" s="1"/>
  <c r="K76" i="3" s="1"/>
  <c r="L76" i="3" s="1"/>
  <c r="M76" i="3" s="1"/>
  <c r="N76" i="3" s="1"/>
  <c r="F28" i="3"/>
  <c r="I74" i="3"/>
  <c r="J74" i="3" s="1"/>
  <c r="K74" i="3" s="1"/>
  <c r="L74" i="3" s="1"/>
  <c r="M74" i="3" s="1"/>
  <c r="N74" i="3" s="1"/>
  <c r="M14" i="3" l="1"/>
  <c r="M13" i="3" s="1"/>
  <c r="K39" i="3"/>
  <c r="K46" i="3"/>
  <c r="L37" i="3"/>
  <c r="L39" i="3" s="1"/>
  <c r="K59" i="3"/>
  <c r="K67" i="3" s="1"/>
  <c r="L36" i="3"/>
  <c r="O4" i="3"/>
  <c r="O12" i="3" s="1"/>
  <c r="H29" i="3"/>
  <c r="H31" i="3"/>
  <c r="H26" i="3"/>
  <c r="H23" i="3"/>
  <c r="H24" i="3"/>
  <c r="I86" i="3"/>
  <c r="H27" i="3"/>
  <c r="I84" i="3"/>
  <c r="E36" i="3"/>
  <c r="F59" i="3"/>
  <c r="F67" i="3" s="1"/>
  <c r="H25" i="3"/>
  <c r="L46" i="3" l="1"/>
  <c r="L40" i="3"/>
  <c r="M37" i="3"/>
  <c r="M46" i="3" s="1"/>
  <c r="L38" i="3"/>
  <c r="I87" i="3"/>
  <c r="M36" i="3"/>
  <c r="P4" i="3"/>
  <c r="P12" i="3" s="1"/>
  <c r="L59" i="3"/>
  <c r="L67" i="3" s="1"/>
  <c r="E59" i="3"/>
  <c r="E67" i="3" s="1"/>
  <c r="D36" i="3"/>
  <c r="D59" i="3" s="1"/>
  <c r="D67" i="3" s="1"/>
  <c r="H28" i="3"/>
  <c r="H30" i="3"/>
  <c r="D17" i="3" s="1"/>
  <c r="M38" i="3" l="1"/>
  <c r="M39" i="3"/>
  <c r="M40" i="3"/>
  <c r="N37" i="3"/>
  <c r="M59" i="3"/>
  <c r="M67" i="3" s="1"/>
  <c r="N36" i="3"/>
  <c r="Q4" i="3"/>
  <c r="Q12" i="3" s="1"/>
  <c r="H32" i="3"/>
  <c r="N39" i="3" l="1"/>
  <c r="N40" i="3"/>
  <c r="N46" i="3"/>
  <c r="N59" i="3"/>
  <c r="N67" i="3" s="1"/>
  <c r="R4" i="3"/>
  <c r="R12" i="3" s="1"/>
  <c r="I6" i="3"/>
  <c r="I7" i="3" s="1"/>
  <c r="M4" i="3" l="1"/>
  <c r="I8" i="3"/>
  <c r="I9" i="3"/>
  <c r="I10" i="3"/>
  <c r="I11" i="3"/>
  <c r="M12" i="3"/>
  <c r="I16" i="3"/>
  <c r="I17" i="3"/>
  <c r="J41" i="3"/>
  <c r="K41" i="3"/>
  <c r="L41" i="3"/>
  <c r="M41" i="3"/>
  <c r="N41" i="3"/>
  <c r="J42" i="3"/>
  <c r="K42" i="3"/>
  <c r="L42" i="3"/>
  <c r="M42" i="3"/>
  <c r="N42" i="3"/>
  <c r="J43" i="3"/>
  <c r="K43" i="3"/>
  <c r="L43" i="3"/>
  <c r="M43" i="3"/>
  <c r="N43" i="3"/>
  <c r="J47" i="3"/>
  <c r="K47" i="3"/>
  <c r="L47" i="3"/>
  <c r="M47" i="3"/>
  <c r="N47" i="3"/>
  <c r="J60" i="3"/>
  <c r="K60" i="3"/>
  <c r="L60" i="3"/>
  <c r="M60" i="3"/>
  <c r="N60" i="3"/>
  <c r="J61" i="3"/>
  <c r="K61" i="3"/>
  <c r="L61" i="3"/>
  <c r="M61" i="3"/>
  <c r="N61" i="3"/>
  <c r="J62" i="3"/>
  <c r="K62" i="3"/>
  <c r="L62" i="3"/>
  <c r="M62" i="3"/>
  <c r="N62" i="3"/>
  <c r="J63" i="3"/>
  <c r="K63" i="3"/>
  <c r="L63" i="3"/>
  <c r="M63" i="3"/>
  <c r="N63" i="3"/>
  <c r="Q69" i="3"/>
  <c r="R69" i="3"/>
  <c r="S69" i="3"/>
  <c r="T69" i="3"/>
  <c r="U69" i="3"/>
  <c r="Q70" i="3"/>
  <c r="R70" i="3"/>
  <c r="S70" i="3"/>
  <c r="T70" i="3"/>
  <c r="U70" i="3"/>
  <c r="Q71" i="3"/>
  <c r="R71" i="3"/>
  <c r="S71" i="3"/>
  <c r="T71" i="3"/>
  <c r="U71" i="3"/>
  <c r="Q72" i="3"/>
  <c r="R72" i="3"/>
  <c r="S72" i="3"/>
  <c r="T72" i="3"/>
  <c r="U72" i="3"/>
  <c r="Q73" i="3"/>
  <c r="R73" i="3"/>
  <c r="S73" i="3"/>
  <c r="T73" i="3"/>
  <c r="U73" i="3"/>
  <c r="Q74" i="3"/>
  <c r="R74" i="3"/>
  <c r="S74" i="3"/>
  <c r="T74" i="3"/>
  <c r="U74" i="3"/>
  <c r="J78" i="3"/>
  <c r="K78" i="3"/>
  <c r="L78" i="3"/>
  <c r="M78" i="3"/>
  <c r="N78" i="3"/>
  <c r="J81" i="3"/>
  <c r="K81" i="3"/>
  <c r="L81" i="3"/>
  <c r="M81" i="3"/>
  <c r="N81" i="3"/>
  <c r="J82" i="3"/>
  <c r="K82" i="3"/>
  <c r="L82" i="3"/>
  <c r="M82" i="3"/>
  <c r="N82" i="3"/>
  <c r="J83" i="3"/>
  <c r="K83" i="3"/>
  <c r="L83" i="3"/>
  <c r="M83" i="3"/>
  <c r="N83" i="3"/>
  <c r="J84" i="3"/>
  <c r="K84" i="3"/>
  <c r="L84" i="3"/>
  <c r="M84" i="3"/>
  <c r="N84" i="3"/>
  <c r="J85" i="3"/>
  <c r="K85" i="3"/>
  <c r="L85" i="3"/>
  <c r="M85" i="3"/>
  <c r="N85" i="3"/>
  <c r="J86" i="3"/>
  <c r="K86" i="3"/>
  <c r="L86" i="3"/>
  <c r="M86" i="3"/>
  <c r="N86" i="3"/>
  <c r="J87" i="3"/>
  <c r="K87" i="3"/>
  <c r="L87" i="3"/>
  <c r="M87" i="3"/>
  <c r="N87" i="3"/>
  <c r="J89" i="3"/>
  <c r="K89" i="3"/>
  <c r="L89" i="3"/>
  <c r="M89" i="3"/>
  <c r="N89" i="3"/>
  <c r="J91" i="3"/>
  <c r="K91" i="3"/>
  <c r="L91" i="3"/>
  <c r="M91" i="3"/>
  <c r="N91" i="3"/>
  <c r="J92" i="3"/>
  <c r="K92" i="3"/>
  <c r="L92" i="3"/>
  <c r="M92" i="3"/>
  <c r="N92" i="3"/>
</calcChain>
</file>

<file path=xl/sharedStrings.xml><?xml version="1.0" encoding="utf-8"?>
<sst xmlns="http://schemas.openxmlformats.org/spreadsheetml/2006/main" count="108" uniqueCount="90">
  <si>
    <t>Sources</t>
  </si>
  <si>
    <t>Uses</t>
  </si>
  <si>
    <t>Revolver</t>
  </si>
  <si>
    <t>Revenue</t>
  </si>
  <si>
    <t>Excess Cash</t>
  </si>
  <si>
    <t>Term Loan A</t>
  </si>
  <si>
    <t>Term Loan B</t>
  </si>
  <si>
    <t>Senior Notes</t>
  </si>
  <si>
    <t>Other</t>
  </si>
  <si>
    <t>Management Equity</t>
  </si>
  <si>
    <t>Sponsor Equity</t>
  </si>
  <si>
    <t>Total Sources</t>
  </si>
  <si>
    <t>Transaction Fees and Expenses</t>
  </si>
  <si>
    <t>Refinance Existing Debt</t>
  </si>
  <si>
    <t>Cash for Operations</t>
  </si>
  <si>
    <t>Total Uses</t>
  </si>
  <si>
    <t>Other Debt</t>
  </si>
  <si>
    <t>Amount</t>
  </si>
  <si>
    <t>Int. Rate</t>
  </si>
  <si>
    <t>Debt Balances</t>
  </si>
  <si>
    <t>Purchase Year</t>
  </si>
  <si>
    <t>Implied Equity Value</t>
  </si>
  <si>
    <t>Purchase Price</t>
  </si>
  <si>
    <t>Purchase Year EBITDA</t>
  </si>
  <si>
    <t>Purchase EV</t>
  </si>
  <si>
    <t>CapEx</t>
  </si>
  <si>
    <t>Taxes</t>
  </si>
  <si>
    <t>(Adj. EBITDA - CAPEX) / Interest</t>
  </si>
  <si>
    <t>Free Cash Flow</t>
  </si>
  <si>
    <t>Tax %</t>
  </si>
  <si>
    <t>D&amp;A</t>
  </si>
  <si>
    <t>Pretax Profit/(Loss)</t>
  </si>
  <si>
    <t>Cash Flow Drivers</t>
  </si>
  <si>
    <t>Revenue Growth (yoy%)</t>
  </si>
  <si>
    <t>EBITDA Margin</t>
  </si>
  <si>
    <t>D&amp;A as % of Sales</t>
  </si>
  <si>
    <t>CapEx as % of Sales</t>
  </si>
  <si>
    <t>Tax Details</t>
  </si>
  <si>
    <t>Scheduled Amortization</t>
  </si>
  <si>
    <t>N/A</t>
  </si>
  <si>
    <t>Exit</t>
  </si>
  <si>
    <t>Multiple</t>
  </si>
  <si>
    <t>Cap</t>
  </si>
  <si>
    <t>xEBITDA</t>
  </si>
  <si>
    <t>Debt/EBITDA</t>
  </si>
  <si>
    <t>Less Existing Debt</t>
  </si>
  <si>
    <t>Add: Cash on balance sheet</t>
  </si>
  <si>
    <t>Transaction Assumptions</t>
  </si>
  <si>
    <t>Sponsor Equity at Exit</t>
  </si>
  <si>
    <t>Sponsor IRR</t>
  </si>
  <si>
    <t>Cash Sweep</t>
  </si>
  <si>
    <t>Net Debt / Adj. EBITDA</t>
  </si>
  <si>
    <t>Senior Secured Debt/Adj. EBITDA</t>
  </si>
  <si>
    <t>Senior Notes Including any Buyback</t>
  </si>
  <si>
    <t>Adj. EBITDA / Interest</t>
  </si>
  <si>
    <t>Floor</t>
  </si>
  <si>
    <t>Junior/Subordinated Notes</t>
  </si>
  <si>
    <t>Total Debt</t>
  </si>
  <si>
    <t>Debt Balances after Mandatory Debt Repayment</t>
  </si>
  <si>
    <t>Debt Balances after Optional Debt Repayment</t>
  </si>
  <si>
    <t>Net Debt</t>
  </si>
  <si>
    <t>Credit Statistics</t>
  </si>
  <si>
    <t>Adj. EBITDA</t>
  </si>
  <si>
    <t>Interest Expense</t>
  </si>
  <si>
    <t>IRR Under Base Case - by Exit Year</t>
  </si>
  <si>
    <t>Cash-on-Cash Returns Under Base Case - by Exit Year</t>
  </si>
  <si>
    <t>Excess FCF after optional debt repayment</t>
  </si>
  <si>
    <t>Outputs and Sensitivity Analysis</t>
  </si>
  <si>
    <t>Cash Balance after Optional Repayment</t>
  </si>
  <si>
    <t>Net WC Change</t>
  </si>
  <si>
    <t>% of Total</t>
  </si>
  <si>
    <t>EBITDA Exit Multiple</t>
  </si>
  <si>
    <t>Exit Year EBITDA</t>
  </si>
  <si>
    <t>Exit EV</t>
  </si>
  <si>
    <t>Exit Year</t>
  </si>
  <si>
    <t>Exit Year Net Debt</t>
  </si>
  <si>
    <t>Less: Mgmt Stake</t>
  </si>
  <si>
    <t>EBITDA Purchase Multiple</t>
  </si>
  <si>
    <t>Equity Purchase Price</t>
  </si>
  <si>
    <t>Sponsor Cash-on-Cash</t>
  </si>
  <si>
    <t>Sponsor Equity Check</t>
  </si>
  <si>
    <t>Sponsor Equity / Sources</t>
  </si>
  <si>
    <t xml:space="preserve"> </t>
  </si>
  <si>
    <t>`</t>
  </si>
  <si>
    <t>&lt;= Equity purchase price after adjusting for Debt and Cash</t>
  </si>
  <si>
    <t>Free Cash Flow less Interest Expense before Debt repayment</t>
  </si>
  <si>
    <t>Excess FCF available for optional debt repayment</t>
  </si>
  <si>
    <t>SOFR (USD 6 month) - Year end values</t>
  </si>
  <si>
    <t>SOFR - Average Values</t>
  </si>
  <si>
    <r>
      <rPr>
        <sz val="11"/>
        <color rgb="FF00B050"/>
        <rFont val="Calibri"/>
        <family val="2"/>
      </rPr>
      <t>Δ</t>
    </r>
    <r>
      <rPr>
        <sz val="11"/>
        <color rgb="FF00B050"/>
        <rFont val="Times New Roman"/>
        <family val="1"/>
      </rPr>
      <t xml:space="preserve"> NWC as % of Sales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</si>
</sst>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(* #,##0.00_);_(* \(#,##0.00\);_(* &quot;-&quot;??_);_(@_)"/>
    <numFmt numFmtId="164" formatCode="#,##0.0"/>
    <numFmt numFmtId="165" formatCode="#,##0.0\x"/>
    <numFmt numFmtId="166" formatCode="\-"/>
    <numFmt numFmtId="167" formatCode="#,##0.0_);\(#,##0.0\);\-_)"/>
    <numFmt numFmtId="168" formatCode="#,##0.0%_);\(#,##0.0%\);\-_)"/>
    <numFmt numFmtId="169" formatCode="#,##0.0%;\(#,##0.0%\);\-"/>
    <numFmt numFmtId="170" formatCode="#,##0.00\x_);\(#,##0.00\x\);\-_)"/>
    <numFmt numFmtId="171" formatCode="#,##0.0%_);\(#,##0.0%\)"/>
    <numFmt numFmtId="172" formatCode="#,##0.0_);\(#,##0.0\)"/>
    <numFmt numFmtId="173" formatCode="&quot;L + &quot;#,##0.0%_);\(#,##0.0%\);\-_)"/>
    <numFmt numFmtId="174" formatCode="0.0%"/>
    <numFmt numFmtId="176" formatCode="#,##0.000000000000_);\(#,##0.000000000000\)"/>
    <numFmt numFmtId="178" formatCode="#,##0.00_);\(#,##0.00\);\-_)"/>
    <numFmt numFmtId="180" formatCode="#,##0.0000_);\(#,##0.0000\);\-_)"/>
    <numFmt numFmtId="184" formatCode="#,##0.00000\x"/>
    <numFmt numFmtId="186" formatCode="#,##0.000%;\(#,##0.000%\);\-"/>
    <numFmt numFmtId="188" formatCode="#,##0.0000\x_);\(#,##0.0000\x\);\-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FF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B050"/>
      <name val="Calibri"/>
      <family val="2"/>
    </font>
    <font>
      <b/>
      <sz val="11"/>
      <color rgb="FF00B050"/>
      <name val="Times New Roman"/>
      <family val="1"/>
    </font>
    <font>
      <i/>
      <sz val="11"/>
      <color rgb="FF00B050"/>
      <name val="Times New Roman"/>
      <family val="1"/>
    </font>
    <font>
      <b/>
      <i/>
      <sz val="11"/>
      <color rgb="FF00B05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6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3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8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1" fillId="0" borderId="11" xfId="0" applyFont="1" applyBorder="1"/>
    <xf numFmtId="0" fontId="4" fillId="0" borderId="4" xfId="0" applyFont="1" applyBorder="1"/>
    <xf numFmtId="166" fontId="1" fillId="0" borderId="0" xfId="0" quotePrefix="1" applyNumberFormat="1" applyFont="1" applyAlignment="1">
      <alignment horizontal="right"/>
    </xf>
    <xf numFmtId="0" fontId="1" fillId="0" borderId="0" xfId="0" quotePrefix="1" applyFont="1"/>
    <xf numFmtId="167" fontId="1" fillId="0" borderId="0" xfId="0" applyNumberFormat="1" applyFont="1"/>
    <xf numFmtId="167" fontId="1" fillId="0" borderId="5" xfId="0" applyNumberFormat="1" applyFont="1" applyBorder="1"/>
    <xf numFmtId="169" fontId="1" fillId="0" borderId="0" xfId="0" applyNumberFormat="1" applyFont="1"/>
    <xf numFmtId="169" fontId="5" fillId="0" borderId="5" xfId="0" applyNumberFormat="1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165" fontId="2" fillId="2" borderId="0" xfId="0" applyNumberFormat="1" applyFont="1" applyFill="1" applyAlignment="1">
      <alignment horizontal="centerContinuous"/>
    </xf>
    <xf numFmtId="0" fontId="8" fillId="0" borderId="1" xfId="0" applyFont="1" applyBorder="1"/>
    <xf numFmtId="0" fontId="8" fillId="0" borderId="6" xfId="0" applyFont="1" applyBorder="1"/>
    <xf numFmtId="0" fontId="8" fillId="0" borderId="7" xfId="0" applyFont="1" applyBorder="1"/>
    <xf numFmtId="165" fontId="8" fillId="0" borderId="11" xfId="0" applyNumberFormat="1" applyFont="1" applyBorder="1"/>
    <xf numFmtId="0" fontId="9" fillId="0" borderId="2" xfId="0" applyFont="1" applyBorder="1"/>
    <xf numFmtId="0" fontId="9" fillId="0" borderId="4" xfId="0" applyFont="1" applyBorder="1"/>
    <xf numFmtId="0" fontId="9" fillId="0" borderId="1" xfId="0" applyFont="1" applyBorder="1"/>
    <xf numFmtId="0" fontId="11" fillId="0" borderId="0" xfId="0" applyFont="1"/>
    <xf numFmtId="0" fontId="13" fillId="0" borderId="1" xfId="0" applyFont="1" applyBorder="1"/>
    <xf numFmtId="0" fontId="8" fillId="0" borderId="4" xfId="0" applyFont="1" applyBorder="1"/>
    <xf numFmtId="0" fontId="1" fillId="0" borderId="12" xfId="0" applyFont="1" applyBorder="1"/>
    <xf numFmtId="166" fontId="1" fillId="0" borderId="7" xfId="0" quotePrefix="1" applyNumberFormat="1" applyFont="1" applyBorder="1" applyAlignment="1">
      <alignment horizontal="right"/>
    </xf>
    <xf numFmtId="164" fontId="8" fillId="0" borderId="1" xfId="0" applyNumberFormat="1" applyFont="1" applyBorder="1"/>
    <xf numFmtId="0" fontId="8" fillId="0" borderId="0" xfId="0" applyFont="1"/>
    <xf numFmtId="167" fontId="8" fillId="0" borderId="0" xfId="0" applyNumberFormat="1" applyFont="1"/>
    <xf numFmtId="169" fontId="6" fillId="0" borderId="12" xfId="0" applyNumberFormat="1" applyFont="1" applyBorder="1"/>
    <xf numFmtId="165" fontId="8" fillId="0" borderId="14" xfId="0" applyNumberFormat="1" applyFont="1" applyBorder="1"/>
    <xf numFmtId="165" fontId="8" fillId="0" borderId="15" xfId="0" applyNumberFormat="1" applyFont="1" applyBorder="1"/>
    <xf numFmtId="0" fontId="8" fillId="0" borderId="11" xfId="0" applyFont="1" applyBorder="1"/>
    <xf numFmtId="10" fontId="4" fillId="0" borderId="0" xfId="0" applyNumberFormat="1" applyFont="1"/>
    <xf numFmtId="1" fontId="8" fillId="0" borderId="10" xfId="0" applyNumberFormat="1" applyFont="1" applyBorder="1"/>
    <xf numFmtId="1" fontId="8" fillId="0" borderId="8" xfId="0" applyNumberFormat="1" applyFont="1" applyBorder="1"/>
    <xf numFmtId="1" fontId="8" fillId="0" borderId="9" xfId="0" applyNumberFormat="1" applyFont="1" applyBorder="1"/>
    <xf numFmtId="0" fontId="8" fillId="0" borderId="0" xfId="0" applyFont="1" applyAlignment="1">
      <alignment horizontal="centerContinuous"/>
    </xf>
    <xf numFmtId="0" fontId="1" fillId="0" borderId="4" xfId="0" applyFont="1" applyBorder="1" applyAlignment="1">
      <alignment horizontal="right"/>
    </xf>
    <xf numFmtId="171" fontId="8" fillId="0" borderId="7" xfId="0" applyNumberFormat="1" applyFont="1" applyBorder="1"/>
    <xf numFmtId="9" fontId="13" fillId="0" borderId="1" xfId="0" applyNumberFormat="1" applyFont="1" applyBorder="1"/>
    <xf numFmtId="10" fontId="13" fillId="0" borderId="1" xfId="0" applyNumberFormat="1" applyFont="1" applyBorder="1"/>
    <xf numFmtId="167" fontId="2" fillId="5" borderId="0" xfId="0" applyNumberFormat="1" applyFont="1" applyFill="1"/>
    <xf numFmtId="167" fontId="2" fillId="5" borderId="5" xfId="0" applyNumberFormat="1" applyFont="1" applyFill="1" applyBorder="1"/>
    <xf numFmtId="169" fontId="5" fillId="5" borderId="0" xfId="0" applyNumberFormat="1" applyFont="1" applyFill="1"/>
    <xf numFmtId="169" fontId="5" fillId="5" borderId="5" xfId="0" applyNumberFormat="1" applyFont="1" applyFill="1" applyBorder="1"/>
    <xf numFmtId="169" fontId="5" fillId="5" borderId="7" xfId="0" applyNumberFormat="1" applyFont="1" applyFill="1" applyBorder="1"/>
    <xf numFmtId="1" fontId="2" fillId="5" borderId="14" xfId="1" applyNumberFormat="1" applyFont="1" applyFill="1" applyBorder="1" applyAlignment="1">
      <alignment horizontal="center"/>
    </xf>
    <xf numFmtId="1" fontId="2" fillId="5" borderId="15" xfId="1" applyNumberFormat="1" applyFont="1" applyFill="1" applyBorder="1" applyAlignment="1">
      <alignment horizontal="center"/>
    </xf>
    <xf numFmtId="169" fontId="5" fillId="5" borderId="0" xfId="0" applyNumberFormat="1" applyFont="1" applyFill="1" applyAlignment="1">
      <alignment horizontal="centerContinuous"/>
    </xf>
    <xf numFmtId="169" fontId="5" fillId="5" borderId="5" xfId="0" applyNumberFormat="1" applyFont="1" applyFill="1" applyBorder="1" applyAlignment="1">
      <alignment horizontal="centerContinuous"/>
    </xf>
    <xf numFmtId="0" fontId="2" fillId="5" borderId="0" xfId="0" applyFont="1" applyFill="1"/>
    <xf numFmtId="165" fontId="2" fillId="5" borderId="0" xfId="0" applyNumberFormat="1" applyFont="1" applyFill="1"/>
    <xf numFmtId="0" fontId="2" fillId="5" borderId="5" xfId="0" applyFont="1" applyFill="1" applyBorder="1"/>
    <xf numFmtId="165" fontId="2" fillId="5" borderId="5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174" fontId="4" fillId="0" borderId="0" xfId="0" applyNumberFormat="1" applyFont="1"/>
    <xf numFmtId="174" fontId="4" fillId="0" borderId="5" xfId="0" applyNumberFormat="1" applyFont="1" applyBorder="1"/>
    <xf numFmtId="0" fontId="8" fillId="0" borderId="8" xfId="0" applyFont="1" applyBorder="1"/>
    <xf numFmtId="0" fontId="3" fillId="0" borderId="0" xfId="0" applyFont="1" applyAlignment="1">
      <alignment horizontal="centerContinuous"/>
    </xf>
    <xf numFmtId="168" fontId="5" fillId="5" borderId="0" xfId="0" applyNumberFormat="1" applyFont="1" applyFill="1"/>
    <xf numFmtId="173" fontId="5" fillId="5" borderId="0" xfId="0" applyNumberFormat="1" applyFont="1" applyFill="1"/>
    <xf numFmtId="168" fontId="5" fillId="0" borderId="1" xfId="0" applyNumberFormat="1" applyFont="1" applyBorder="1"/>
    <xf numFmtId="0" fontId="4" fillId="0" borderId="0" xfId="0" applyFont="1"/>
    <xf numFmtId="0" fontId="14" fillId="0" borderId="8" xfId="0" applyFont="1" applyBorder="1"/>
    <xf numFmtId="174" fontId="5" fillId="5" borderId="12" xfId="1" applyNumberFormat="1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Continuous"/>
    </xf>
    <xf numFmtId="1" fontId="7" fillId="4" borderId="13" xfId="1" applyNumberFormat="1" applyFont="1" applyFill="1" applyBorder="1" applyAlignment="1">
      <alignment horizontal="center"/>
    </xf>
    <xf numFmtId="0" fontId="8" fillId="4" borderId="1" xfId="0" applyFont="1" applyFill="1" applyBorder="1"/>
    <xf numFmtId="176" fontId="1" fillId="0" borderId="0" xfId="0" applyNumberFormat="1" applyFont="1"/>
    <xf numFmtId="167" fontId="1" fillId="0" borderId="0" xfId="0" quotePrefix="1" applyNumberFormat="1" applyFont="1"/>
    <xf numFmtId="167" fontId="8" fillId="6" borderId="0" xfId="0" applyNumberFormat="1" applyFont="1" applyFill="1"/>
    <xf numFmtId="169" fontId="5" fillId="6" borderId="0" xfId="0" applyNumberFormat="1" applyFont="1" applyFill="1"/>
    <xf numFmtId="169" fontId="5" fillId="6" borderId="5" xfId="0" applyNumberFormat="1" applyFont="1" applyFill="1" applyBorder="1"/>
    <xf numFmtId="0" fontId="15" fillId="0" borderId="4" xfId="0" applyFont="1" applyBorder="1"/>
    <xf numFmtId="0" fontId="15" fillId="0" borderId="0" xfId="0" applyFont="1"/>
    <xf numFmtId="0" fontId="15" fillId="4" borderId="4" xfId="0" applyFont="1" applyFill="1" applyBorder="1"/>
    <xf numFmtId="0" fontId="15" fillId="0" borderId="6" xfId="0" applyFont="1" applyBorder="1"/>
    <xf numFmtId="0" fontId="17" fillId="0" borderId="8" xfId="0" applyFont="1" applyBorder="1"/>
    <xf numFmtId="0" fontId="15" fillId="0" borderId="0" xfId="0" applyFont="1" applyAlignment="1">
      <alignment horizontal="right"/>
    </xf>
    <xf numFmtId="0" fontId="17" fillId="0" borderId="10" xfId="0" applyFont="1" applyBorder="1"/>
    <xf numFmtId="167" fontId="15" fillId="0" borderId="0" xfId="0" applyNumberFormat="1" applyFont="1"/>
    <xf numFmtId="167" fontId="17" fillId="0" borderId="1" xfId="0" applyNumberFormat="1" applyFont="1" applyBorder="1"/>
    <xf numFmtId="169" fontId="18" fillId="0" borderId="0" xfId="0" applyNumberFormat="1" applyFont="1"/>
    <xf numFmtId="167" fontId="15" fillId="0" borderId="5" xfId="0" applyNumberFormat="1" applyFont="1" applyBorder="1"/>
    <xf numFmtId="167" fontId="15" fillId="0" borderId="1" xfId="0" applyNumberFormat="1" applyFont="1" applyBorder="1"/>
    <xf numFmtId="167" fontId="15" fillId="4" borderId="5" xfId="0" applyNumberFormat="1" applyFont="1" applyFill="1" applyBorder="1"/>
    <xf numFmtId="167" fontId="17" fillId="0" borderId="8" xfId="0" applyNumberFormat="1" applyFont="1" applyBorder="1"/>
    <xf numFmtId="171" fontId="18" fillId="0" borderId="0" xfId="0" applyNumberFormat="1" applyFont="1" applyAlignment="1">
      <alignment horizontal="centerContinuous"/>
    </xf>
    <xf numFmtId="171" fontId="18" fillId="0" borderId="1" xfId="0" applyNumberFormat="1" applyFont="1" applyBorder="1" applyAlignment="1">
      <alignment horizontal="centerContinuous"/>
    </xf>
    <xf numFmtId="171" fontId="19" fillId="0" borderId="8" xfId="0" applyNumberFormat="1" applyFont="1" applyBorder="1" applyAlignment="1">
      <alignment horizontal="centerContinuous"/>
    </xf>
    <xf numFmtId="174" fontId="18" fillId="0" borderId="0" xfId="0" applyNumberFormat="1" applyFont="1"/>
    <xf numFmtId="174" fontId="18" fillId="0" borderId="5" xfId="0" applyNumberFormat="1" applyFont="1" applyBorder="1"/>
    <xf numFmtId="165" fontId="15" fillId="0" borderId="1" xfId="0" applyNumberFormat="1" applyFont="1" applyBorder="1" applyAlignment="1">
      <alignment horizontal="centerContinuous"/>
    </xf>
    <xf numFmtId="165" fontId="15" fillId="4" borderId="1" xfId="0" applyNumberFormat="1" applyFont="1" applyFill="1" applyBorder="1" applyAlignment="1">
      <alignment horizontal="centerContinuous"/>
    </xf>
    <xf numFmtId="178" fontId="1" fillId="0" borderId="0" xfId="0" applyNumberFormat="1" applyFont="1"/>
    <xf numFmtId="178" fontId="1" fillId="0" borderId="5" xfId="0" applyNumberFormat="1" applyFont="1" applyBorder="1"/>
    <xf numFmtId="178" fontId="15" fillId="0" borderId="0" xfId="0" applyNumberFormat="1" applyFont="1"/>
    <xf numFmtId="178" fontId="15" fillId="0" borderId="5" xfId="0" applyNumberFormat="1" applyFont="1" applyBorder="1"/>
    <xf numFmtId="178" fontId="15" fillId="4" borderId="0" xfId="0" applyNumberFormat="1" applyFont="1" applyFill="1"/>
    <xf numFmtId="178" fontId="8" fillId="0" borderId="0" xfId="0" applyNumberFormat="1" applyFont="1"/>
    <xf numFmtId="178" fontId="17" fillId="0" borderId="1" xfId="0" applyNumberFormat="1" applyFont="1" applyBorder="1"/>
    <xf numFmtId="178" fontId="8" fillId="0" borderId="5" xfId="0" applyNumberFormat="1" applyFont="1" applyBorder="1"/>
    <xf numFmtId="172" fontId="1" fillId="0" borderId="0" xfId="0" applyNumberFormat="1" applyFont="1"/>
    <xf numFmtId="178" fontId="15" fillId="6" borderId="0" xfId="0" applyNumberFormat="1" applyFont="1" applyFill="1"/>
    <xf numFmtId="178" fontId="15" fillId="6" borderId="5" xfId="0" applyNumberFormat="1" applyFont="1" applyFill="1" applyBorder="1"/>
    <xf numFmtId="178" fontId="17" fillId="6" borderId="1" xfId="0" applyNumberFormat="1" applyFont="1" applyFill="1" applyBorder="1"/>
    <xf numFmtId="178" fontId="17" fillId="6" borderId="3" xfId="0" applyNumberFormat="1" applyFont="1" applyFill="1" applyBorder="1"/>
    <xf numFmtId="167" fontId="17" fillId="6" borderId="0" xfId="0" applyNumberFormat="1" applyFont="1" applyFill="1"/>
    <xf numFmtId="180" fontId="17" fillId="6" borderId="0" xfId="0" applyNumberFormat="1" applyFont="1" applyFill="1"/>
    <xf numFmtId="167" fontId="17" fillId="6" borderId="5" xfId="0" applyNumberFormat="1" applyFont="1" applyFill="1" applyBorder="1"/>
    <xf numFmtId="178" fontId="15" fillId="0" borderId="0" xfId="0" quotePrefix="1" applyNumberFormat="1" applyFont="1"/>
    <xf numFmtId="0" fontId="17" fillId="0" borderId="1" xfId="0" applyFont="1" applyBorder="1"/>
    <xf numFmtId="178" fontId="17" fillId="0" borderId="3" xfId="0" applyNumberFormat="1" applyFont="1" applyBorder="1"/>
    <xf numFmtId="0" fontId="17" fillId="0" borderId="2" xfId="0" applyFont="1" applyBorder="1"/>
    <xf numFmtId="0" fontId="17" fillId="4" borderId="4" xfId="0" applyFont="1" applyFill="1" applyBorder="1"/>
    <xf numFmtId="0" fontId="17" fillId="4" borderId="2" xfId="0" applyFont="1" applyFill="1" applyBorder="1"/>
    <xf numFmtId="169" fontId="15" fillId="0" borderId="0" xfId="0" applyNumberFormat="1" applyFont="1"/>
    <xf numFmtId="167" fontId="15" fillId="0" borderId="11" xfId="0" applyNumberFormat="1" applyFont="1" applyBorder="1"/>
    <xf numFmtId="172" fontId="15" fillId="0" borderId="5" xfId="0" applyNumberFormat="1" applyFont="1" applyBorder="1"/>
    <xf numFmtId="167" fontId="17" fillId="0" borderId="3" xfId="0" applyNumberFormat="1" applyFont="1" applyBorder="1"/>
    <xf numFmtId="0" fontId="17" fillId="0" borderId="6" xfId="0" applyFont="1" applyBorder="1"/>
    <xf numFmtId="171" fontId="17" fillId="0" borderId="11" xfId="0" applyNumberFormat="1" applyFont="1" applyBorder="1"/>
    <xf numFmtId="169" fontId="17" fillId="6" borderId="3" xfId="0" applyNumberFormat="1" applyFont="1" applyFill="1" applyBorder="1"/>
    <xf numFmtId="0" fontId="17" fillId="0" borderId="7" xfId="0" applyFont="1" applyBorder="1"/>
    <xf numFmtId="184" fontId="17" fillId="6" borderId="11" xfId="0" applyNumberFormat="1" applyFont="1" applyFill="1" applyBorder="1"/>
    <xf numFmtId="167" fontId="17" fillId="0" borderId="9" xfId="0" applyNumberFormat="1" applyFont="1" applyBorder="1"/>
    <xf numFmtId="186" fontId="1" fillId="0" borderId="2" xfId="0" applyNumberFormat="1" applyFont="1" applyBorder="1"/>
    <xf numFmtId="186" fontId="1" fillId="0" borderId="1" xfId="0" applyNumberFormat="1" applyFont="1" applyBorder="1"/>
    <xf numFmtId="186" fontId="1" fillId="0" borderId="3" xfId="0" applyNumberFormat="1" applyFont="1" applyBorder="1"/>
    <xf numFmtId="186" fontId="1" fillId="0" borderId="4" xfId="0" applyNumberFormat="1" applyFont="1" applyBorder="1"/>
    <xf numFmtId="186" fontId="1" fillId="0" borderId="0" xfId="0" applyNumberFormat="1" applyFont="1"/>
    <xf numFmtId="186" fontId="1" fillId="0" borderId="5" xfId="0" applyNumberFormat="1" applyFont="1" applyBorder="1"/>
    <xf numFmtId="186" fontId="8" fillId="0" borderId="16" xfId="0" applyNumberFormat="1" applyFont="1" applyBorder="1"/>
    <xf numFmtId="186" fontId="8" fillId="0" borderId="17" xfId="0" applyNumberFormat="1" applyFont="1" applyBorder="1"/>
    <xf numFmtId="186" fontId="1" fillId="0" borderId="18" xfId="0" applyNumberFormat="1" applyFont="1" applyBorder="1"/>
    <xf numFmtId="186" fontId="1" fillId="0" borderId="6" xfId="0" applyNumberFormat="1" applyFont="1" applyBorder="1"/>
    <xf numFmtId="186" fontId="1" fillId="0" borderId="7" xfId="0" applyNumberFormat="1" applyFont="1" applyBorder="1"/>
    <xf numFmtId="186" fontId="1" fillId="0" borderId="11" xfId="0" applyNumberFormat="1" applyFont="1" applyBorder="1"/>
    <xf numFmtId="188" fontId="1" fillId="0" borderId="2" xfId="0" applyNumberFormat="1" applyFont="1" applyBorder="1"/>
    <xf numFmtId="188" fontId="1" fillId="0" borderId="1" xfId="0" applyNumberFormat="1" applyFont="1" applyBorder="1"/>
    <xf numFmtId="188" fontId="1" fillId="0" borderId="3" xfId="0" applyNumberFormat="1" applyFont="1" applyBorder="1"/>
    <xf numFmtId="188" fontId="1" fillId="0" borderId="4" xfId="0" applyNumberFormat="1" applyFont="1" applyBorder="1"/>
    <xf numFmtId="188" fontId="1" fillId="0" borderId="0" xfId="0" applyNumberFormat="1" applyFont="1"/>
    <xf numFmtId="188" fontId="1" fillId="0" borderId="5" xfId="0" applyNumberFormat="1" applyFont="1" applyBorder="1"/>
    <xf numFmtId="188" fontId="1" fillId="0" borderId="6" xfId="0" applyNumberFormat="1" applyFont="1" applyBorder="1"/>
    <xf numFmtId="188" fontId="1" fillId="0" borderId="7" xfId="0" applyNumberFormat="1" applyFont="1" applyBorder="1"/>
    <xf numFmtId="188" fontId="1" fillId="0" borderId="11" xfId="0" applyNumberFormat="1" applyFont="1" applyBorder="1"/>
    <xf numFmtId="170" fontId="15" fillId="0" borderId="0" xfId="0" applyNumberFormat="1" applyFont="1"/>
    <xf numFmtId="170" fontId="15" fillId="0" borderId="5" xfId="0" applyNumberFormat="1" applyFont="1" applyBorder="1"/>
    <xf numFmtId="0" fontId="15" fillId="0" borderId="7" xfId="0" applyFont="1" applyBorder="1"/>
    <xf numFmtId="170" fontId="15" fillId="0" borderId="7" xfId="0" applyNumberFormat="1" applyFont="1" applyBorder="1"/>
    <xf numFmtId="170" fontId="15" fillId="0" borderId="11" xfId="0" applyNumberFormat="1" applyFont="1" applyBorder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01"/>
  <sheetViews>
    <sheetView showGridLines="0" tabSelected="1" topLeftCell="B36" zoomScale="127" zoomScaleNormal="130" zoomScalePageLayoutView="70" workbookViewId="0">
      <selection activeCell="J60" sqref="J60:N63"/>
    </sheetView>
  </sheetViews>
  <sheetFormatPr defaultColWidth="9.77734375" defaultRowHeight="13.8" x14ac:dyDescent="0.25"/>
  <cols>
    <col min="1" max="19" width="9.77734375" style="2" customWidth="1"/>
    <col min="20" max="20" width="9.77734375" style="2"/>
    <col min="21" max="25" width="9.77734375" style="2" customWidth="1"/>
    <col min="26" max="16384" width="9.77734375" style="2"/>
  </cols>
  <sheetData>
    <row r="1" spans="2:19" x14ac:dyDescent="0.25">
      <c r="C1" s="35"/>
    </row>
    <row r="2" spans="2:19" x14ac:dyDescent="0.25">
      <c r="B2" s="81">
        <v>1</v>
      </c>
      <c r="C2" s="32" t="s">
        <v>47</v>
      </c>
      <c r="D2" s="1"/>
      <c r="E2" s="1"/>
      <c r="F2" s="1"/>
      <c r="G2" s="1"/>
      <c r="H2" s="1"/>
      <c r="I2" s="10"/>
      <c r="K2" s="81">
        <v>6</v>
      </c>
      <c r="L2" s="34" t="s">
        <v>67</v>
      </c>
      <c r="M2" s="34"/>
      <c r="N2" s="1"/>
      <c r="O2" s="1"/>
      <c r="P2" s="1"/>
      <c r="Q2" s="1"/>
      <c r="R2" s="1"/>
      <c r="S2" s="10"/>
    </row>
    <row r="3" spans="2:19" ht="13.95" customHeight="1" x14ac:dyDescent="0.25">
      <c r="C3" s="3"/>
      <c r="I3" s="5"/>
      <c r="L3" s="3"/>
      <c r="M3" s="74" t="s">
        <v>64</v>
      </c>
      <c r="N3" s="25"/>
      <c r="O3" s="25"/>
      <c r="P3" s="25"/>
      <c r="Q3" s="25"/>
      <c r="R3" s="25"/>
      <c r="S3" s="5"/>
    </row>
    <row r="4" spans="2:19" ht="13.95" customHeight="1" x14ac:dyDescent="0.25">
      <c r="C4" s="89" t="s">
        <v>20</v>
      </c>
      <c r="D4" s="65">
        <v>2023</v>
      </c>
      <c r="F4" s="90" t="s">
        <v>74</v>
      </c>
      <c r="I4" s="67">
        <v>2028</v>
      </c>
      <c r="L4" s="3"/>
      <c r="M4" s="43">
        <f ca="1">$I$16</f>
        <v>0.1992973113558596</v>
      </c>
      <c r="N4" s="48">
        <f>J36</f>
        <v>2024</v>
      </c>
      <c r="O4" s="49">
        <f>K36</f>
        <v>2025</v>
      </c>
      <c r="P4" s="49">
        <f>L36</f>
        <v>2026</v>
      </c>
      <c r="Q4" s="49">
        <f>M36</f>
        <v>2027</v>
      </c>
      <c r="R4" s="50">
        <f>N36</f>
        <v>2028</v>
      </c>
      <c r="S4" s="5"/>
    </row>
    <row r="5" spans="2:19" ht="13.95" customHeight="1" x14ac:dyDescent="0.25">
      <c r="C5" s="89" t="s">
        <v>77</v>
      </c>
      <c r="D5" s="66">
        <v>7.25</v>
      </c>
      <c r="F5" s="90" t="s">
        <v>71</v>
      </c>
      <c r="I5" s="68">
        <v>7</v>
      </c>
      <c r="L5" s="3"/>
      <c r="M5" s="44">
        <f t="shared" ref="M5:M6" si="0">M6-0.5</f>
        <v>6.5</v>
      </c>
      <c r="N5" s="142">
        <f t="dataTable" ref="N5:R9" dt2D="1" dtr="1" r1="I4" r2="I5" ca="1"/>
        <v>5.6731189230553092E-2</v>
      </c>
      <c r="O5" s="143">
        <v>0.14372338632204085</v>
      </c>
      <c r="P5" s="143">
        <v>0.1655302486846808</v>
      </c>
      <c r="Q5" s="143">
        <v>0.17158949163994208</v>
      </c>
      <c r="R5" s="144">
        <v>0.17214999626198035</v>
      </c>
      <c r="S5" s="5"/>
    </row>
    <row r="6" spans="2:19" ht="13.95" customHeight="1" thickBot="1" x14ac:dyDescent="0.3">
      <c r="C6" s="89" t="s">
        <v>23</v>
      </c>
      <c r="D6" s="56">
        <v>1714</v>
      </c>
      <c r="F6" s="90" t="s">
        <v>72</v>
      </c>
      <c r="I6" s="99">
        <f ca="1">OFFSET(I38,,I4-D4)</f>
        <v>2257.1705991236813</v>
      </c>
      <c r="L6" s="52" t="s">
        <v>40</v>
      </c>
      <c r="M6" s="44">
        <f t="shared" si="0"/>
        <v>7</v>
      </c>
      <c r="N6" s="145">
        <v>0.28614062557529518</v>
      </c>
      <c r="O6" s="146">
        <v>0.24365951860567048</v>
      </c>
      <c r="P6" s="146">
        <v>0.22348558757020021</v>
      </c>
      <c r="Q6" s="146">
        <v>0.20979625642316591</v>
      </c>
      <c r="R6" s="147">
        <v>0.1992973113558596</v>
      </c>
      <c r="S6" s="5"/>
    </row>
    <row r="7" spans="2:19" ht="13.95" customHeight="1" thickBot="1" x14ac:dyDescent="0.3">
      <c r="C7" s="89" t="s">
        <v>24</v>
      </c>
      <c r="D7" s="100">
        <f>D6*D5</f>
        <v>12426.5</v>
      </c>
      <c r="E7" s="4"/>
      <c r="F7" s="90" t="s">
        <v>73</v>
      </c>
      <c r="I7" s="99">
        <f ca="1">I6*I5</f>
        <v>15800.194193865769</v>
      </c>
      <c r="L7" s="52" t="s">
        <v>41</v>
      </c>
      <c r="M7" s="44">
        <v>7.5</v>
      </c>
      <c r="N7" s="145">
        <v>0.51555006192003749</v>
      </c>
      <c r="O7" s="146">
        <v>0.33614176344316848</v>
      </c>
      <c r="P7" s="146">
        <v>0.27641608156203734</v>
      </c>
      <c r="Q7" s="148">
        <v>0.24469186020984135</v>
      </c>
      <c r="R7" s="149">
        <v>0.22418824867156051</v>
      </c>
      <c r="S7" s="5"/>
    </row>
    <row r="8" spans="2:19" ht="13.95" customHeight="1" x14ac:dyDescent="0.25">
      <c r="B8" s="5"/>
      <c r="C8" s="3"/>
      <c r="E8" s="4"/>
      <c r="F8" s="90" t="s">
        <v>75</v>
      </c>
      <c r="G8" s="90"/>
      <c r="H8" s="90"/>
      <c r="I8" s="99">
        <f ca="1">OFFSET(I87,,I4-D4)-OFFSET(I91,,I4-D4)</f>
        <v>5366.8375223590047</v>
      </c>
      <c r="L8" s="3"/>
      <c r="M8" s="44">
        <f t="shared" ref="M8:M9" si="1">+M7+0.5</f>
        <v>8</v>
      </c>
      <c r="N8" s="145">
        <v>0.74495949826477936</v>
      </c>
      <c r="O8" s="146">
        <v>0.42262455546625222</v>
      </c>
      <c r="P8" s="146">
        <v>0.32528696234982135</v>
      </c>
      <c r="Q8" s="146">
        <v>0.27687718875256673</v>
      </c>
      <c r="R8" s="150">
        <v>0.2472053999951751</v>
      </c>
      <c r="S8" s="5"/>
    </row>
    <row r="9" spans="2:19" ht="13.95" customHeight="1" x14ac:dyDescent="0.25">
      <c r="C9" s="89" t="s">
        <v>45</v>
      </c>
      <c r="D9" s="56">
        <v>-1982</v>
      </c>
      <c r="F9" s="90" t="s">
        <v>21</v>
      </c>
      <c r="G9" s="90"/>
      <c r="H9" s="90"/>
      <c r="I9" s="99">
        <f ca="1">I7-I8</f>
        <v>10433.356671506765</v>
      </c>
      <c r="L9" s="3"/>
      <c r="M9" s="45">
        <f t="shared" si="1"/>
        <v>8.5</v>
      </c>
      <c r="N9" s="151">
        <v>0.97436893460952123</v>
      </c>
      <c r="O9" s="152">
        <v>0.50414309146905412</v>
      </c>
      <c r="P9" s="152">
        <v>0.37079714447033374</v>
      </c>
      <c r="Q9" s="152">
        <v>0.30679772990367571</v>
      </c>
      <c r="R9" s="153">
        <v>0.26863906410039107</v>
      </c>
      <c r="S9" s="5"/>
    </row>
    <row r="10" spans="2:19" ht="13.95" customHeight="1" x14ac:dyDescent="0.25">
      <c r="B10" s="5"/>
      <c r="C10" s="91" t="s">
        <v>46</v>
      </c>
      <c r="D10" s="56">
        <v>1902</v>
      </c>
      <c r="F10" s="90" t="s">
        <v>76</v>
      </c>
      <c r="G10" s="90"/>
      <c r="H10" s="132">
        <f>IFERROR(F29/(F29+F30),0)</f>
        <v>8.5607683765216144E-2</v>
      </c>
      <c r="I10" s="133">
        <f ca="1">-H10*I9</f>
        <v>-893.17549854405922</v>
      </c>
      <c r="L10" s="3"/>
      <c r="S10" s="5"/>
    </row>
    <row r="11" spans="2:19" ht="13.95" customHeight="1" x14ac:dyDescent="0.25">
      <c r="C11" s="89" t="s">
        <v>78</v>
      </c>
      <c r="D11" s="100">
        <f>SUM(D7:D10)</f>
        <v>12346.5</v>
      </c>
      <c r="F11" s="90" t="s">
        <v>48</v>
      </c>
      <c r="G11" s="90"/>
      <c r="H11" s="90"/>
      <c r="I11" s="134">
        <f ca="1">SUM(I9:I10)</f>
        <v>9540.1811729627061</v>
      </c>
      <c r="L11" s="3"/>
      <c r="M11" s="74" t="s">
        <v>65</v>
      </c>
      <c r="N11" s="51"/>
      <c r="O11" s="25"/>
      <c r="P11" s="25"/>
      <c r="Q11" s="25"/>
      <c r="R11" s="25"/>
      <c r="S11" s="5"/>
    </row>
    <row r="12" spans="2:19" ht="13.95" customHeight="1" x14ac:dyDescent="0.25">
      <c r="C12" s="3"/>
      <c r="D12" s="21"/>
      <c r="I12" s="5"/>
      <c r="L12" s="3"/>
      <c r="M12" s="43">
        <f ca="1">$I$17</f>
        <v>2.4810430515112758</v>
      </c>
      <c r="N12" s="48">
        <f>N4</f>
        <v>2024</v>
      </c>
      <c r="O12" s="49">
        <f>O4</f>
        <v>2025</v>
      </c>
      <c r="P12" s="49">
        <f>P4</f>
        <v>2026</v>
      </c>
      <c r="Q12" s="49">
        <f>Q4</f>
        <v>2027</v>
      </c>
      <c r="R12" s="50">
        <f>R4</f>
        <v>2028</v>
      </c>
      <c r="S12" s="5"/>
    </row>
    <row r="13" spans="2:19" ht="13.95" customHeight="1" x14ac:dyDescent="0.25">
      <c r="C13" s="3"/>
      <c r="D13" s="21"/>
      <c r="I13" s="5"/>
      <c r="L13" s="3"/>
      <c r="M13" s="44">
        <f t="shared" ref="M13:M14" si="2">M14-0.5</f>
        <v>6.5</v>
      </c>
      <c r="N13" s="154">
        <f t="dataTable" ref="N13:R17" dt2D="1" dtr="1" r1="I4" r2="I5" ca="1"/>
        <v>1.0567311892305531</v>
      </c>
      <c r="O13" s="155">
        <v>1.3081031844199564</v>
      </c>
      <c r="P13" s="155">
        <v>1.5833271081293028</v>
      </c>
      <c r="Q13" s="155">
        <v>1.8840909817171358</v>
      </c>
      <c r="R13" s="156">
        <v>2.212666458658604</v>
      </c>
      <c r="S13" s="5"/>
    </row>
    <row r="14" spans="2:19" ht="13.95" customHeight="1" x14ac:dyDescent="0.25">
      <c r="C14" s="3"/>
      <c r="D14" s="21"/>
      <c r="I14" s="5"/>
      <c r="L14" s="52" t="s">
        <v>40</v>
      </c>
      <c r="M14" s="44">
        <f t="shared" si="2"/>
        <v>7</v>
      </c>
      <c r="N14" s="157">
        <v>1.2861406255752952</v>
      </c>
      <c r="O14" s="158">
        <v>1.5466889982184882</v>
      </c>
      <c r="P14" s="158">
        <v>1.8314563544797759</v>
      </c>
      <c r="Q14" s="158">
        <v>2.1421453979216278</v>
      </c>
      <c r="R14" s="159">
        <v>2.4810430515112758</v>
      </c>
      <c r="S14" s="5"/>
    </row>
    <row r="15" spans="2:19" ht="13.95" customHeight="1" x14ac:dyDescent="0.25">
      <c r="C15" s="3"/>
      <c r="D15" s="21"/>
      <c r="I15" s="22"/>
      <c r="L15" s="52" t="s">
        <v>41</v>
      </c>
      <c r="M15" s="44">
        <f>M7</f>
        <v>7.5</v>
      </c>
      <c r="N15" s="157">
        <v>1.5155500619200375</v>
      </c>
      <c r="O15" s="158">
        <v>1.7852748120170199</v>
      </c>
      <c r="P15" s="158">
        <v>2.0795856008302493</v>
      </c>
      <c r="Q15" s="158">
        <v>2.40019981412612</v>
      </c>
      <c r="R15" s="159">
        <v>2.7494196443639471</v>
      </c>
      <c r="S15" s="5"/>
    </row>
    <row r="16" spans="2:19" ht="13.95" customHeight="1" x14ac:dyDescent="0.25">
      <c r="C16" s="129" t="s">
        <v>80</v>
      </c>
      <c r="D16" s="135">
        <f>F30</f>
        <v>3845.2300000000014</v>
      </c>
      <c r="E16" s="4"/>
      <c r="F16" s="129" t="s">
        <v>49</v>
      </c>
      <c r="G16" s="127"/>
      <c r="H16" s="127"/>
      <c r="I16" s="138">
        <f ca="1">IFERROR(((I11/F30)^(1/(I4-D4)))-1,0)</f>
        <v>0.1992973113558596</v>
      </c>
      <c r="L16" s="3"/>
      <c r="M16" s="44">
        <f t="shared" ref="M16:M17" si="3">+M15+0.5</f>
        <v>8</v>
      </c>
      <c r="N16" s="157">
        <v>1.7449594982647794</v>
      </c>
      <c r="O16" s="158">
        <v>2.0238606258155518</v>
      </c>
      <c r="P16" s="158">
        <v>2.3277148471807223</v>
      </c>
      <c r="Q16" s="158">
        <v>2.6582542303306118</v>
      </c>
      <c r="R16" s="159">
        <v>3.0177962372166185</v>
      </c>
      <c r="S16" s="5"/>
    </row>
    <row r="17" spans="2:19" ht="13.95" customHeight="1" x14ac:dyDescent="0.25">
      <c r="C17" s="136" t="s">
        <v>81</v>
      </c>
      <c r="D17" s="137">
        <f>H30</f>
        <v>0.24218824301522396</v>
      </c>
      <c r="E17" s="4"/>
      <c r="F17" s="136" t="s">
        <v>79</v>
      </c>
      <c r="G17" s="139"/>
      <c r="H17" s="139"/>
      <c r="I17" s="140">
        <f ca="1">IFERROR(I11/D16,0)</f>
        <v>2.4810430515112758</v>
      </c>
      <c r="L17" s="3"/>
      <c r="M17" s="45">
        <f t="shared" si="3"/>
        <v>8.5</v>
      </c>
      <c r="N17" s="160">
        <v>1.9743689346095212</v>
      </c>
      <c r="O17" s="161">
        <v>2.2624464396140835</v>
      </c>
      <c r="P17" s="161">
        <v>2.5758440935311953</v>
      </c>
      <c r="Q17" s="161">
        <v>2.9163086465351036</v>
      </c>
      <c r="R17" s="162">
        <v>3.2861728300692903</v>
      </c>
      <c r="S17" s="5"/>
    </row>
    <row r="18" spans="2:19" ht="13.95" customHeight="1" x14ac:dyDescent="0.25">
      <c r="C18" s="29"/>
      <c r="D18" s="53"/>
      <c r="E18" s="8"/>
      <c r="F18" s="30"/>
      <c r="G18" s="30"/>
      <c r="H18" s="30"/>
      <c r="I18" s="31"/>
      <c r="L18" s="6"/>
      <c r="M18" s="7"/>
      <c r="N18" s="7"/>
      <c r="O18" s="7"/>
      <c r="P18" s="7"/>
      <c r="Q18" s="7"/>
      <c r="R18" s="7"/>
      <c r="S18" s="17"/>
    </row>
    <row r="19" spans="2:19" ht="13.2" customHeight="1" x14ac:dyDescent="0.25">
      <c r="G19" s="4"/>
      <c r="H19" s="14"/>
      <c r="I19" s="14"/>
    </row>
    <row r="20" spans="2:19" x14ac:dyDescent="0.25">
      <c r="B20" s="81">
        <v>2</v>
      </c>
      <c r="C20" s="32" t="s">
        <v>0</v>
      </c>
      <c r="D20" s="1"/>
      <c r="E20" s="1"/>
      <c r="F20" s="1"/>
      <c r="G20" s="1"/>
      <c r="J20" s="34" t="s">
        <v>1</v>
      </c>
      <c r="K20" s="9"/>
      <c r="L20" s="1"/>
      <c r="M20" s="1"/>
      <c r="N20" s="10"/>
    </row>
    <row r="21" spans="2:19" ht="13.2" customHeight="1" x14ac:dyDescent="0.25">
      <c r="C21" s="3"/>
      <c r="D21" s="69" t="s">
        <v>42</v>
      </c>
      <c r="E21" s="2" t="s">
        <v>43</v>
      </c>
      <c r="F21" s="11" t="s">
        <v>17</v>
      </c>
      <c r="G21" s="11" t="s">
        <v>18</v>
      </c>
      <c r="H21" s="70" t="s">
        <v>70</v>
      </c>
      <c r="N21" s="12" t="s">
        <v>17</v>
      </c>
    </row>
    <row r="22" spans="2:19" ht="13.2" customHeight="1" x14ac:dyDescent="0.25">
      <c r="C22" s="89" t="s">
        <v>2</v>
      </c>
      <c r="D22" s="26">
        <v>750</v>
      </c>
      <c r="E22" s="109">
        <v>0</v>
      </c>
      <c r="F22" s="96">
        <f t="shared" ref="F22:F27" si="4">E22*$D$6</f>
        <v>0</v>
      </c>
      <c r="G22" s="75">
        <v>6.5000000000000002E-2</v>
      </c>
      <c r="H22" s="103" t="s">
        <v>82</v>
      </c>
      <c r="J22" s="90" t="s">
        <v>22</v>
      </c>
      <c r="N22" s="99">
        <f>D11</f>
        <v>12346.5</v>
      </c>
      <c r="O22" s="78" t="s">
        <v>84</v>
      </c>
    </row>
    <row r="23" spans="2:19" ht="13.2" customHeight="1" x14ac:dyDescent="0.25">
      <c r="C23" s="89" t="s">
        <v>5</v>
      </c>
      <c r="E23" s="27">
        <v>1.5</v>
      </c>
      <c r="F23" s="96">
        <f t="shared" si="4"/>
        <v>2571</v>
      </c>
      <c r="G23" s="76">
        <v>0.02</v>
      </c>
      <c r="H23" s="103">
        <f t="shared" ref="H22:H31" si="5">IFERROR(F23/$F$32,0)</f>
        <v>0.16193204900412733</v>
      </c>
      <c r="J23" s="90" t="s">
        <v>13</v>
      </c>
      <c r="N23" s="99">
        <f>-D9</f>
        <v>1982</v>
      </c>
      <c r="O23" s="2" t="s">
        <v>82</v>
      </c>
    </row>
    <row r="24" spans="2:19" ht="13.2" customHeight="1" x14ac:dyDescent="0.25">
      <c r="C24" s="89" t="s">
        <v>6</v>
      </c>
      <c r="E24" s="27">
        <v>2.2000000000000002</v>
      </c>
      <c r="F24" s="96">
        <f t="shared" si="4"/>
        <v>3770.8</v>
      </c>
      <c r="G24" s="76">
        <v>0.03</v>
      </c>
      <c r="H24" s="103">
        <f t="shared" si="5"/>
        <v>0.23750033853938676</v>
      </c>
      <c r="J24" s="90" t="s">
        <v>12</v>
      </c>
      <c r="M24" s="75">
        <v>0.02</v>
      </c>
      <c r="N24" s="101">
        <f>M24*D7</f>
        <v>248.53</v>
      </c>
      <c r="O24" s="47"/>
    </row>
    <row r="25" spans="2:19" ht="13.2" customHeight="1" x14ac:dyDescent="0.25">
      <c r="C25" s="89" t="s">
        <v>7</v>
      </c>
      <c r="E25" s="27">
        <v>2</v>
      </c>
      <c r="F25" s="96">
        <f t="shared" si="4"/>
        <v>3428</v>
      </c>
      <c r="G25" s="75">
        <v>9.5000000000000001E-2</v>
      </c>
      <c r="H25" s="103">
        <f t="shared" si="5"/>
        <v>0.21590939867216979</v>
      </c>
      <c r="J25" s="90" t="s">
        <v>14</v>
      </c>
      <c r="N25" s="57">
        <v>1300</v>
      </c>
    </row>
    <row r="26" spans="2:19" ht="13.2" customHeight="1" x14ac:dyDescent="0.25">
      <c r="C26" s="89" t="s">
        <v>56</v>
      </c>
      <c r="E26" s="27">
        <v>0</v>
      </c>
      <c r="F26" s="96">
        <f t="shared" si="4"/>
        <v>0</v>
      </c>
      <c r="G26" s="75">
        <v>0.09</v>
      </c>
      <c r="H26" s="103">
        <f t="shared" si="5"/>
        <v>0</v>
      </c>
      <c r="J26" s="90" t="s">
        <v>8</v>
      </c>
      <c r="N26" s="57">
        <v>0</v>
      </c>
    </row>
    <row r="27" spans="2:19" ht="13.2" customHeight="1" x14ac:dyDescent="0.25">
      <c r="C27" s="89" t="s">
        <v>16</v>
      </c>
      <c r="E27" s="27">
        <v>0</v>
      </c>
      <c r="F27" s="96">
        <f t="shared" si="4"/>
        <v>0</v>
      </c>
      <c r="G27" s="75">
        <v>0.11</v>
      </c>
      <c r="H27" s="103">
        <f t="shared" si="5"/>
        <v>0</v>
      </c>
      <c r="N27" s="22"/>
    </row>
    <row r="28" spans="2:19" ht="13.2" customHeight="1" x14ac:dyDescent="0.25">
      <c r="B28" s="5"/>
      <c r="C28" s="94" t="s">
        <v>44</v>
      </c>
      <c r="D28" s="1"/>
      <c r="E28" s="108">
        <f>SUM(E22:E27)</f>
        <v>5.7</v>
      </c>
      <c r="F28" s="100">
        <f>SUM(F22:F27)</f>
        <v>9769.7999999999993</v>
      </c>
      <c r="G28" s="77"/>
      <c r="H28" s="104">
        <f>SUM(H22:H27)</f>
        <v>0.61534178621568381</v>
      </c>
      <c r="N28" s="22"/>
    </row>
    <row r="29" spans="2:19" ht="13.2" customHeight="1" x14ac:dyDescent="0.25">
      <c r="C29" s="89" t="s">
        <v>9</v>
      </c>
      <c r="F29" s="56">
        <v>360</v>
      </c>
      <c r="G29" s="78"/>
      <c r="H29" s="103">
        <f t="shared" si="5"/>
        <v>2.267426590489531E-2</v>
      </c>
      <c r="N29" s="22"/>
      <c r="O29" s="4"/>
    </row>
    <row r="30" spans="2:19" ht="13.2" customHeight="1" x14ac:dyDescent="0.25">
      <c r="C30" s="89" t="s">
        <v>10</v>
      </c>
      <c r="F30" s="96">
        <f>F32-SUM(F22:F27,F29,F31)</f>
        <v>3845.2300000000014</v>
      </c>
      <c r="G30" s="78"/>
      <c r="H30" s="103">
        <f t="shared" si="5"/>
        <v>0.24218824301522396</v>
      </c>
      <c r="N30" s="22"/>
    </row>
    <row r="31" spans="2:19" ht="13.2" customHeight="1" x14ac:dyDescent="0.25">
      <c r="C31" s="89" t="s">
        <v>4</v>
      </c>
      <c r="F31" s="96">
        <f>D10</f>
        <v>1902</v>
      </c>
      <c r="G31" s="78"/>
      <c r="H31" s="103">
        <f t="shared" si="5"/>
        <v>0.11979570486419688</v>
      </c>
      <c r="N31" s="22"/>
      <c r="O31" s="4"/>
    </row>
    <row r="32" spans="2:19" ht="13.2" customHeight="1" x14ac:dyDescent="0.3">
      <c r="C32" s="95" t="s">
        <v>11</v>
      </c>
      <c r="D32" s="73"/>
      <c r="E32" s="73"/>
      <c r="F32" s="102">
        <f>N32</f>
        <v>15877.03</v>
      </c>
      <c r="G32" s="79"/>
      <c r="H32" s="105">
        <f>SUM(H28:H31)</f>
        <v>1</v>
      </c>
      <c r="I32" s="73"/>
      <c r="J32" s="93" t="s">
        <v>15</v>
      </c>
      <c r="K32" s="73"/>
      <c r="L32" s="73"/>
      <c r="M32" s="73"/>
      <c r="N32" s="141">
        <f>SUM(N22:N26)</f>
        <v>15877.03</v>
      </c>
    </row>
    <row r="33" spans="2:16" ht="13.2" customHeight="1" x14ac:dyDescent="0.25">
      <c r="F33" s="4"/>
      <c r="L33" s="4"/>
    </row>
    <row r="34" spans="2:16" x14ac:dyDescent="0.25">
      <c r="B34" s="81">
        <v>3</v>
      </c>
      <c r="C34" s="32" t="s">
        <v>28</v>
      </c>
      <c r="D34" s="36"/>
      <c r="E34" s="1"/>
      <c r="F34" s="1"/>
      <c r="G34" s="1"/>
      <c r="H34" s="1"/>
      <c r="I34" s="1"/>
      <c r="J34" s="1"/>
      <c r="K34" s="1"/>
      <c r="L34" s="1"/>
      <c r="M34" s="1"/>
      <c r="N34" s="10"/>
    </row>
    <row r="35" spans="2:16" ht="13.2" customHeight="1" x14ac:dyDescent="0.25">
      <c r="C35" s="15"/>
      <c r="I35" s="16" t="s">
        <v>20</v>
      </c>
      <c r="N35" s="5"/>
    </row>
    <row r="36" spans="2:16" ht="13.2" customHeight="1" x14ac:dyDescent="0.25">
      <c r="C36" s="18"/>
      <c r="D36" s="30">
        <f>E36-1</f>
        <v>2018</v>
      </c>
      <c r="E36" s="30">
        <f>F36-1</f>
        <v>2019</v>
      </c>
      <c r="F36" s="30">
        <f>G36-1</f>
        <v>2020</v>
      </c>
      <c r="G36" s="30">
        <f>H36-1</f>
        <v>2021</v>
      </c>
      <c r="H36" s="30">
        <f>D4-1</f>
        <v>2022</v>
      </c>
      <c r="I36" s="30">
        <f>D4</f>
        <v>2023</v>
      </c>
      <c r="J36" s="30">
        <f>D4+1</f>
        <v>2024</v>
      </c>
      <c r="K36" s="30">
        <f>J36+1</f>
        <v>2025</v>
      </c>
      <c r="L36" s="30">
        <f>K36+1</f>
        <v>2026</v>
      </c>
      <c r="M36" s="30">
        <f>L36+1</f>
        <v>2027</v>
      </c>
      <c r="N36" s="46">
        <f>M36+1</f>
        <v>2028</v>
      </c>
    </row>
    <row r="37" spans="2:16" ht="13.2" customHeight="1" x14ac:dyDescent="0.25">
      <c r="C37" s="89" t="s">
        <v>3</v>
      </c>
      <c r="D37" s="56">
        <v>8590.4719999999998</v>
      </c>
      <c r="E37" s="56">
        <v>8436.57</v>
      </c>
      <c r="F37" s="56">
        <v>8750.7430000000004</v>
      </c>
      <c r="G37" s="56">
        <v>9584.0190000000002</v>
      </c>
      <c r="H37" s="56">
        <v>12293.368</v>
      </c>
      <c r="I37" s="56">
        <v>12368.198</v>
      </c>
      <c r="J37" s="114">
        <f>+I37*(1+J50)</f>
        <v>12862.925920000001</v>
      </c>
      <c r="K37" s="114">
        <f t="shared" ref="K37:N37" si="6">+J37*(1+K50)</f>
        <v>13377.442956800001</v>
      </c>
      <c r="L37" s="114">
        <f t="shared" si="6"/>
        <v>13912.540675072001</v>
      </c>
      <c r="M37" s="114">
        <f t="shared" si="6"/>
        <v>14469.042302074882</v>
      </c>
      <c r="N37" s="113">
        <f t="shared" si="6"/>
        <v>15047.803994157877</v>
      </c>
    </row>
    <row r="38" spans="2:16" ht="13.2" customHeight="1" x14ac:dyDescent="0.25">
      <c r="C38" s="89" t="s">
        <v>62</v>
      </c>
      <c r="D38" s="56">
        <v>769.548</v>
      </c>
      <c r="E38" s="56">
        <v>684.16</v>
      </c>
      <c r="F38" s="56">
        <v>759.98099999999999</v>
      </c>
      <c r="G38" s="56">
        <v>1212.925</v>
      </c>
      <c r="H38" s="56">
        <v>2382.203</v>
      </c>
      <c r="I38" s="56">
        <v>1843.096</v>
      </c>
      <c r="J38" s="114">
        <f t="shared" ref="J38" si="7">J37*J51</f>
        <v>1929.4388880000001</v>
      </c>
      <c r="K38" s="114">
        <f>K37*K51</f>
        <v>2006.6164435200001</v>
      </c>
      <c r="L38" s="114">
        <f t="shared" ref="L38:M38" si="8">L37*L51</f>
        <v>2086.8811012608003</v>
      </c>
      <c r="M38" s="114">
        <f t="shared" si="8"/>
        <v>2170.3563453112324</v>
      </c>
      <c r="N38" s="113">
        <f>N37*N51</f>
        <v>2257.1705991236813</v>
      </c>
    </row>
    <row r="39" spans="2:16" ht="13.2" customHeight="1" x14ac:dyDescent="0.25">
      <c r="B39" s="2" t="s">
        <v>82</v>
      </c>
      <c r="C39" s="89" t="s">
        <v>25</v>
      </c>
      <c r="D39" s="56">
        <v>-476.69099999999997</v>
      </c>
      <c r="E39" s="56">
        <v>-198.21899999999999</v>
      </c>
      <c r="F39" s="56">
        <v>-218.761</v>
      </c>
      <c r="G39" s="56">
        <v>-224.16399999999999</v>
      </c>
      <c r="H39" s="56">
        <v>-353.65</v>
      </c>
      <c r="I39" s="56">
        <v>-407.15499999999997</v>
      </c>
      <c r="J39" s="114">
        <f>J53*J37</f>
        <v>-411.61362944000007</v>
      </c>
      <c r="K39" s="114">
        <f>K53*K37</f>
        <v>-428.07817461760004</v>
      </c>
      <c r="L39" s="114">
        <f t="shared" ref="L39:N39" si="9">L53*L37</f>
        <v>-445.20130160230406</v>
      </c>
      <c r="M39" s="114">
        <f t="shared" si="9"/>
        <v>-463.00935366639624</v>
      </c>
      <c r="N39" s="113">
        <f t="shared" si="9"/>
        <v>-481.52972781305209</v>
      </c>
    </row>
    <row r="40" spans="2:16" ht="13.2" customHeight="1" x14ac:dyDescent="0.25">
      <c r="B40" s="2" t="s">
        <v>82</v>
      </c>
      <c r="C40" s="89" t="s">
        <v>69</v>
      </c>
      <c r="D40" s="56">
        <v>101.19499999999999</v>
      </c>
      <c r="E40" s="56">
        <v>111.444</v>
      </c>
      <c r="F40" s="56">
        <v>-200.148</v>
      </c>
      <c r="G40" s="56">
        <v>707.04399999999998</v>
      </c>
      <c r="H40" s="56">
        <v>-221.26</v>
      </c>
      <c r="I40" s="56">
        <v>-545.73299999999995</v>
      </c>
      <c r="J40" s="114">
        <f>(J37-I37)*J54</f>
        <v>-49.472792000000119</v>
      </c>
      <c r="K40" s="114">
        <f>(K37-J37)*K54</f>
        <v>-51.451703679999994</v>
      </c>
      <c r="L40" s="114">
        <f>(L37-K37)*L54</f>
        <v>-53.509771827199984</v>
      </c>
      <c r="M40" s="114">
        <f>(M37-L37)*M54</f>
        <v>-55.650162700288092</v>
      </c>
      <c r="N40" s="113">
        <f>(N37-M37)*N54</f>
        <v>-57.876169208299508</v>
      </c>
    </row>
    <row r="41" spans="2:16" ht="13.2" customHeight="1" x14ac:dyDescent="0.25">
      <c r="C41" s="89" t="s">
        <v>63</v>
      </c>
      <c r="D41" s="19"/>
      <c r="E41" s="19"/>
      <c r="F41" s="19"/>
      <c r="G41" s="19"/>
      <c r="H41" s="19"/>
      <c r="I41" s="19"/>
      <c r="J41" s="119">
        <f ca="1">-(AVERAGE(I82:J82)*$G$22+AVERAGE(I82:J82)*(J$69+$G$23)+AVERAGE(I83:J83)*(J$69+$G$24)+AVERAGE(I84:J84)*$G$25+AVERAGE(I85:J85)*$G$26+AVERAGE(I86:J86)*$G$27)</f>
        <v>-962.45556400000009</v>
      </c>
      <c r="K41" s="119">
        <f ca="1">-(AVERAGE(J81:K81)*$G$22+AVERAGE(J82:K82)*(K$69+$G$23)+AVERAGE(J83:K83)*(K$69+$G$24)+AVERAGE(J84:K84)*$G$25+AVERAGE(J85:K85)*$G$26+AVERAGE(J86:K86)*$G$27)</f>
        <v>-782.3976560576441</v>
      </c>
      <c r="L41" s="119">
        <f ca="1">-(AVERAGE(K81:L81)*$G$22+AVERAGE(K82:L82)*(L$69+$G$23)+AVERAGE(K83:L83)*(L$69+$G$24)+AVERAGE(K84:L84)*$G$25+AVERAGE(K85:L85)*$G$26+AVERAGE(K86:L86)*$G$27)</f>
        <v>-738.34322053799406</v>
      </c>
      <c r="M41" s="119">
        <f ca="1">-(AVERAGE(L81:M81)*$G$22+AVERAGE(L82:M82)*(M$69+$G$23)+AVERAGE(L83:M83)*(M$69+$G$24)+AVERAGE(L84:M84)*$G$25+AVERAGE(L85:M85)*$G$26+AVERAGE(L86:M86)*$G$27)</f>
        <v>-688.51829039912627</v>
      </c>
      <c r="N41" s="120">
        <f ca="1">-(AVERAGE(M81:N81)*$G$22+AVERAGE(M82:N82)*(N$69+$G$23)+AVERAGE(M83:N83)*(N$69+$G$24)+AVERAGE(M84:N84)*$G$25+AVERAGE(M85:N85)*$G$26+AVERAGE(M86:N86)*$G$27)</f>
        <v>-629.87338798171447</v>
      </c>
    </row>
    <row r="42" spans="2:16" ht="13.2" customHeight="1" x14ac:dyDescent="0.25">
      <c r="C42" s="89" t="s">
        <v>26</v>
      </c>
      <c r="D42" s="19"/>
      <c r="E42" s="19"/>
      <c r="F42" s="19"/>
      <c r="G42" s="19"/>
      <c r="H42" s="19"/>
      <c r="I42" s="19"/>
      <c r="J42" s="112">
        <f ca="1">J47*J55</f>
        <v>-133.65197567200002</v>
      </c>
      <c r="K42" s="112">
        <f ca="1">K47*K55</f>
        <v>-189.26596471442187</v>
      </c>
      <c r="L42" s="112">
        <f ca="1">L47*L55</f>
        <v>-214.16718190824864</v>
      </c>
      <c r="M42" s="112">
        <f ca="1">M47*M55</f>
        <v>-240.98636074546772</v>
      </c>
      <c r="N42" s="113">
        <f ca="1">N47*N55</f>
        <v>-270.44851100296302</v>
      </c>
    </row>
    <row r="43" spans="2:16" ht="13.2" customHeight="1" x14ac:dyDescent="0.25">
      <c r="C43" s="131" t="s">
        <v>85</v>
      </c>
      <c r="D43" s="40"/>
      <c r="E43" s="40"/>
      <c r="F43" s="40"/>
      <c r="G43" s="40"/>
      <c r="H43" s="40"/>
      <c r="I43" s="40"/>
      <c r="J43" s="121">
        <f ca="1">SUM(J38:J42)</f>
        <v>372.2449268879999</v>
      </c>
      <c r="K43" s="121">
        <f ca="1">SUM(K38:K42)</f>
        <v>555.42294445033394</v>
      </c>
      <c r="L43" s="121">
        <f ca="1">SUM(L38:L42)</f>
        <v>635.65962538505357</v>
      </c>
      <c r="M43" s="121">
        <f ca="1">SUM(M38:M42)</f>
        <v>722.19217779995415</v>
      </c>
      <c r="N43" s="122">
        <f ca="1">SUM(N38:N42)</f>
        <v>817.44280311765237</v>
      </c>
      <c r="P43" s="21" t="s">
        <v>82</v>
      </c>
    </row>
    <row r="44" spans="2:16" ht="13.2" customHeight="1" x14ac:dyDescent="0.25">
      <c r="C44" s="89"/>
      <c r="N44" s="5"/>
    </row>
    <row r="45" spans="2:16" ht="13.2" customHeight="1" x14ac:dyDescent="0.25">
      <c r="C45" s="18" t="s">
        <v>37</v>
      </c>
      <c r="N45" s="5"/>
      <c r="P45" s="2" t="s">
        <v>82</v>
      </c>
    </row>
    <row r="46" spans="2:16" ht="13.2" customHeight="1" x14ac:dyDescent="0.25">
      <c r="C46" s="89" t="s">
        <v>30</v>
      </c>
      <c r="D46" s="56">
        <v>-237.65100000000001</v>
      </c>
      <c r="E46" s="56">
        <v>-243.83</v>
      </c>
      <c r="F46" s="56">
        <v>-270.44799999999998</v>
      </c>
      <c r="G46" s="56">
        <v>-289.96600000000001</v>
      </c>
      <c r="H46" s="56">
        <v>-322.55099999999999</v>
      </c>
      <c r="I46" s="56">
        <v>-365.47500000000002</v>
      </c>
      <c r="J46" s="96">
        <f>J52*J37</f>
        <v>-385.88777760000005</v>
      </c>
      <c r="K46" s="96">
        <f>K52*K37</f>
        <v>-401.32328870400005</v>
      </c>
      <c r="L46" s="96">
        <f>L52*L37</f>
        <v>-417.37622025216001</v>
      </c>
      <c r="M46" s="96">
        <f>M52*M37</f>
        <v>-434.07126906224647</v>
      </c>
      <c r="N46" s="99">
        <f>N52*N37</f>
        <v>-451.43411982473629</v>
      </c>
    </row>
    <row r="47" spans="2:16" ht="13.2" customHeight="1" x14ac:dyDescent="0.25">
      <c r="C47" s="89" t="s">
        <v>31</v>
      </c>
      <c r="J47" s="96">
        <f ca="1">J38+J46+J41</f>
        <v>581.0955464000001</v>
      </c>
      <c r="K47" s="96">
        <f t="shared" ref="K47:N47" ca="1" si="10">K38+K46+K41</f>
        <v>822.89549875835587</v>
      </c>
      <c r="L47" s="96">
        <f t="shared" ca="1" si="10"/>
        <v>931.16166047064621</v>
      </c>
      <c r="M47" s="96">
        <f t="shared" ca="1" si="10"/>
        <v>1047.7667858498596</v>
      </c>
      <c r="N47" s="99">
        <f t="shared" ca="1" si="10"/>
        <v>1175.8630913172306</v>
      </c>
    </row>
    <row r="48" spans="2:16" ht="13.2" customHeight="1" x14ac:dyDescent="0.25">
      <c r="C48" s="3"/>
      <c r="D48" s="21"/>
      <c r="E48" s="21"/>
      <c r="F48" s="21"/>
      <c r="G48" s="21"/>
      <c r="H48" s="21"/>
      <c r="I48" s="21"/>
      <c r="J48" s="23"/>
      <c r="N48" s="5"/>
    </row>
    <row r="49" spans="2:14" ht="13.2" customHeight="1" x14ac:dyDescent="0.25">
      <c r="C49" s="18" t="s">
        <v>32</v>
      </c>
      <c r="N49" s="5"/>
    </row>
    <row r="50" spans="2:14" ht="13.2" customHeight="1" x14ac:dyDescent="0.25">
      <c r="C50" s="89" t="s">
        <v>33</v>
      </c>
      <c r="D50" s="98">
        <f t="shared" ref="D50:F50" si="11">IFERROR((D37-C37)/C37,0)</f>
        <v>0</v>
      </c>
      <c r="E50" s="98">
        <f t="shared" si="11"/>
        <v>-1.7915430025265206E-2</v>
      </c>
      <c r="F50" s="98">
        <f t="shared" si="11"/>
        <v>3.7239423130490314E-2</v>
      </c>
      <c r="G50" s="98">
        <f>IFERROR((G37-F37)/F37,0)</f>
        <v>9.5223457025306282E-2</v>
      </c>
      <c r="H50" s="98">
        <f t="shared" ref="H50:I50" si="12">IFERROR((H37-G37)/G37,0)</f>
        <v>0.28269445208737587</v>
      </c>
      <c r="I50" s="98">
        <f t="shared" si="12"/>
        <v>6.0870218804155154E-3</v>
      </c>
      <c r="J50" s="87">
        <v>0.04</v>
      </c>
      <c r="K50" s="87">
        <v>0.04</v>
      </c>
      <c r="L50" s="87">
        <v>0.04</v>
      </c>
      <c r="M50" s="87">
        <v>0.04</v>
      </c>
      <c r="N50" s="88">
        <v>0.04</v>
      </c>
    </row>
    <row r="51" spans="2:14" ht="13.2" customHeight="1" x14ac:dyDescent="0.25">
      <c r="C51" s="89" t="s">
        <v>34</v>
      </c>
      <c r="D51" s="98">
        <f t="shared" ref="D51:I51" si="13">IFERROR(D38/D37,0)</f>
        <v>8.9581573631809755E-2</v>
      </c>
      <c r="E51" s="98">
        <f t="shared" si="13"/>
        <v>8.1094568053130589E-2</v>
      </c>
      <c r="F51" s="98">
        <f t="shared" si="13"/>
        <v>8.6847596826920864E-2</v>
      </c>
      <c r="G51" s="98">
        <f t="shared" si="13"/>
        <v>0.12655703207600066</v>
      </c>
      <c r="H51" s="98">
        <f t="shared" si="13"/>
        <v>0.19377952404906448</v>
      </c>
      <c r="I51" s="98">
        <f t="shared" si="13"/>
        <v>0.14901895975468699</v>
      </c>
      <c r="J51" s="87">
        <v>0.15</v>
      </c>
      <c r="K51" s="87">
        <v>0.15</v>
      </c>
      <c r="L51" s="87">
        <v>0.15</v>
      </c>
      <c r="M51" s="87">
        <v>0.15</v>
      </c>
      <c r="N51" s="87">
        <v>0.15</v>
      </c>
    </row>
    <row r="52" spans="2:14" ht="13.2" customHeight="1" x14ac:dyDescent="0.25">
      <c r="C52" s="89" t="s">
        <v>35</v>
      </c>
      <c r="D52" s="98">
        <f t="shared" ref="D52:I52" si="14">IFERROR(D46/D37,0)</f>
        <v>-2.7664486887332852E-2</v>
      </c>
      <c r="E52" s="98">
        <f t="shared" si="14"/>
        <v>-2.8901555964094414E-2</v>
      </c>
      <c r="F52" s="98">
        <f t="shared" si="14"/>
        <v>-3.0905718520130229E-2</v>
      </c>
      <c r="G52" s="98">
        <f t="shared" si="14"/>
        <v>-3.02551570484157E-2</v>
      </c>
      <c r="H52" s="98">
        <f t="shared" si="14"/>
        <v>-2.6237805620070918E-2</v>
      </c>
      <c r="I52" s="98">
        <f t="shared" si="14"/>
        <v>-2.9549575451492612E-2</v>
      </c>
      <c r="J52" s="58">
        <v>-0.03</v>
      </c>
      <c r="K52" s="58">
        <v>-0.03</v>
      </c>
      <c r="L52" s="58">
        <v>-0.03</v>
      </c>
      <c r="M52" s="58">
        <v>-0.03</v>
      </c>
      <c r="N52" s="58">
        <v>-0.03</v>
      </c>
    </row>
    <row r="53" spans="2:14" ht="13.2" customHeight="1" x14ac:dyDescent="0.25">
      <c r="C53" s="89" t="s">
        <v>36</v>
      </c>
      <c r="D53" s="98">
        <f t="shared" ref="D53:I53" si="15">IFERROR(D39/D37,0)</f>
        <v>-5.549066454090066E-2</v>
      </c>
      <c r="E53" s="98">
        <f t="shared" si="15"/>
        <v>-2.3495211916691263E-2</v>
      </c>
      <c r="F53" s="98">
        <f t="shared" si="15"/>
        <v>-2.4999134359219553E-2</v>
      </c>
      <c r="G53" s="98">
        <f t="shared" si="15"/>
        <v>-2.338935262962229E-2</v>
      </c>
      <c r="H53" s="98">
        <f t="shared" si="15"/>
        <v>-2.8767543605625404E-2</v>
      </c>
      <c r="I53" s="98">
        <f t="shared" si="15"/>
        <v>-3.2919508565435317E-2</v>
      </c>
      <c r="J53" s="58">
        <v>-3.2000000000000001E-2</v>
      </c>
      <c r="K53" s="58">
        <v>-3.2000000000000001E-2</v>
      </c>
      <c r="L53" s="58">
        <v>-3.2000000000000001E-2</v>
      </c>
      <c r="M53" s="58">
        <v>-3.2000000000000001E-2</v>
      </c>
      <c r="N53" s="58">
        <v>-3.2000000000000001E-2</v>
      </c>
    </row>
    <row r="54" spans="2:14" ht="13.2" customHeight="1" x14ac:dyDescent="0.3">
      <c r="C54" s="89" t="s">
        <v>89</v>
      </c>
      <c r="D54" s="98">
        <f t="shared" ref="D54:I54" si="16">IFERROR(D40/(D37-C37),0)</f>
        <v>0</v>
      </c>
      <c r="E54" s="98">
        <f t="shared" si="16"/>
        <v>-0.72412314329898231</v>
      </c>
      <c r="F54" s="98">
        <f>IFERROR(F40/(F37-E37),0)</f>
        <v>-0.63706301941923582</v>
      </c>
      <c r="G54" s="98">
        <f t="shared" si="16"/>
        <v>0.84851117756901684</v>
      </c>
      <c r="H54" s="98">
        <f t="shared" si="16"/>
        <v>-8.166537422827401E-2</v>
      </c>
      <c r="I54" s="98">
        <f t="shared" si="16"/>
        <v>-7.2929707336629761</v>
      </c>
      <c r="J54" s="58">
        <v>-0.1</v>
      </c>
      <c r="K54" s="58">
        <v>-0.1</v>
      </c>
      <c r="L54" s="58">
        <v>-0.1</v>
      </c>
      <c r="M54" s="58">
        <v>-0.1</v>
      </c>
      <c r="N54" s="58">
        <v>-0.1</v>
      </c>
    </row>
    <row r="55" spans="2:14" ht="13.2" customHeight="1" x14ac:dyDescent="0.25">
      <c r="C55" s="92" t="s">
        <v>29</v>
      </c>
      <c r="D55" s="39"/>
      <c r="E55" s="39"/>
      <c r="F55" s="39"/>
      <c r="G55" s="39"/>
      <c r="H55" s="39"/>
      <c r="I55" s="39"/>
      <c r="J55" s="60">
        <v>-0.23</v>
      </c>
      <c r="K55" s="60">
        <v>-0.23</v>
      </c>
      <c r="L55" s="60">
        <v>-0.23</v>
      </c>
      <c r="M55" s="60">
        <v>-0.23</v>
      </c>
      <c r="N55" s="60">
        <v>-0.23</v>
      </c>
    </row>
    <row r="56" spans="2:14" ht="13.2" customHeight="1" x14ac:dyDescent="0.25"/>
    <row r="57" spans="2:14" x14ac:dyDescent="0.25">
      <c r="B57" s="81">
        <v>4</v>
      </c>
      <c r="C57" s="32" t="s">
        <v>61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0"/>
    </row>
    <row r="58" spans="2:14" ht="13.2" customHeight="1" x14ac:dyDescent="0.25">
      <c r="C58" s="33"/>
      <c r="I58" s="16" t="s">
        <v>20</v>
      </c>
      <c r="N58" s="5"/>
    </row>
    <row r="59" spans="2:14" ht="13.2" customHeight="1" x14ac:dyDescent="0.25">
      <c r="C59" s="33"/>
      <c r="D59" s="30">
        <f t="shared" ref="D59:N59" si="17">D36</f>
        <v>2018</v>
      </c>
      <c r="E59" s="30">
        <f t="shared" si="17"/>
        <v>2019</v>
      </c>
      <c r="F59" s="30">
        <f t="shared" si="17"/>
        <v>2020</v>
      </c>
      <c r="G59" s="30">
        <f t="shared" si="17"/>
        <v>2021</v>
      </c>
      <c r="H59" s="30">
        <f t="shared" si="17"/>
        <v>2022</v>
      </c>
      <c r="I59" s="30">
        <f t="shared" si="17"/>
        <v>2023</v>
      </c>
      <c r="J59" s="30">
        <f t="shared" si="17"/>
        <v>2024</v>
      </c>
      <c r="K59" s="30">
        <f t="shared" si="17"/>
        <v>2025</v>
      </c>
      <c r="L59" s="30">
        <f t="shared" si="17"/>
        <v>2026</v>
      </c>
      <c r="M59" s="30">
        <f t="shared" si="17"/>
        <v>2027</v>
      </c>
      <c r="N59" s="46">
        <f t="shared" si="17"/>
        <v>2028</v>
      </c>
    </row>
    <row r="60" spans="2:14" ht="13.2" customHeight="1" x14ac:dyDescent="0.25">
      <c r="C60" s="89" t="s">
        <v>51</v>
      </c>
      <c r="D60" s="90"/>
      <c r="E60" s="90"/>
      <c r="F60" s="90"/>
      <c r="G60" s="90"/>
      <c r="H60" s="90"/>
      <c r="I60" s="90"/>
      <c r="J60" s="163">
        <f ca="1">IFERROR(J92/J38,0)</f>
        <v>4.1968445455692507</v>
      </c>
      <c r="K60" s="163">
        <f t="shared" ref="K60:N60" ca="1" si="18">IFERROR(K92/K38,0)</f>
        <v>3.7586316772284003</v>
      </c>
      <c r="L60" s="163">
        <f t="shared" ca="1" si="18"/>
        <v>3.3094710087239898</v>
      </c>
      <c r="M60" s="163">
        <f t="shared" ca="1" si="18"/>
        <v>2.8494308498403851</v>
      </c>
      <c r="N60" s="164">
        <f t="shared" ca="1" si="18"/>
        <v>2.3776836028444697</v>
      </c>
    </row>
    <row r="61" spans="2:14" ht="13.2" customHeight="1" x14ac:dyDescent="0.25">
      <c r="C61" s="89" t="s">
        <v>52</v>
      </c>
      <c r="D61" s="90"/>
      <c r="E61" s="90"/>
      <c r="F61" s="90"/>
      <c r="G61" s="90"/>
      <c r="H61" s="90"/>
      <c r="I61" s="90"/>
      <c r="J61" s="163">
        <f ca="1">IFERROR(SUM(J81:J83)/J38,0)</f>
        <v>3.0939332208131587</v>
      </c>
      <c r="K61" s="163">
        <f t="shared" ref="J61:N61" ca="1" si="19">IFERROR(SUM(K81:K83)/K38,0)</f>
        <v>2.6981400188090818</v>
      </c>
      <c r="L61" s="163">
        <f t="shared" ca="1" si="19"/>
        <v>2.2897674910131069</v>
      </c>
      <c r="M61" s="163">
        <f t="shared" ca="1" si="19"/>
        <v>1.8689466981953049</v>
      </c>
      <c r="N61" s="164">
        <f t="shared" ca="1" si="19"/>
        <v>1.4349103801088154</v>
      </c>
    </row>
    <row r="62" spans="2:14" ht="13.2" customHeight="1" x14ac:dyDescent="0.25">
      <c r="C62" s="89" t="s">
        <v>54</v>
      </c>
      <c r="D62" s="90"/>
      <c r="E62" s="90"/>
      <c r="F62" s="90"/>
      <c r="G62" s="90"/>
      <c r="H62" s="90"/>
      <c r="I62" s="90"/>
      <c r="J62" s="163">
        <f ca="1">-IFERROR(J38/J41,0)</f>
        <v>2.0047043834223186</v>
      </c>
      <c r="K62" s="163">
        <f t="shared" ref="J62:N62" ca="1" si="20">-IFERROR(K38/K41,0)</f>
        <v>2.5647015018308799</v>
      </c>
      <c r="L62" s="163">
        <f t="shared" ca="1" si="20"/>
        <v>2.8264376826541371</v>
      </c>
      <c r="M62" s="163">
        <f t="shared" ca="1" si="20"/>
        <v>3.1522130574818883</v>
      </c>
      <c r="N62" s="164">
        <f t="shared" ca="1" si="20"/>
        <v>3.5835306621800127</v>
      </c>
    </row>
    <row r="63" spans="2:14" ht="13.2" customHeight="1" x14ac:dyDescent="0.25">
      <c r="C63" s="92" t="s">
        <v>27</v>
      </c>
      <c r="D63" s="165"/>
      <c r="E63" s="165"/>
      <c r="F63" s="165"/>
      <c r="G63" s="165"/>
      <c r="H63" s="165"/>
      <c r="I63" s="165"/>
      <c r="J63" s="166">
        <f ca="1">-IFERROR(SUM(J38,J39)/J41,0)</f>
        <v>1.5770341149588907</v>
      </c>
      <c r="K63" s="166">
        <f t="shared" ref="J63:N63" ca="1" si="21">-IFERROR(SUM(K38,K39)/K41,0)</f>
        <v>2.017565181440292</v>
      </c>
      <c r="L63" s="166">
        <f t="shared" ca="1" si="21"/>
        <v>2.2234643103545877</v>
      </c>
      <c r="M63" s="166">
        <f t="shared" ca="1" si="21"/>
        <v>2.4797409385524189</v>
      </c>
      <c r="N63" s="167">
        <f t="shared" ca="1" si="21"/>
        <v>2.8190441209149433</v>
      </c>
    </row>
    <row r="64" spans="2:14" ht="13.2" customHeight="1" x14ac:dyDescent="0.25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2:21" x14ac:dyDescent="0.25">
      <c r="B65" s="81">
        <v>5</v>
      </c>
      <c r="C65" s="33" t="s">
        <v>19</v>
      </c>
      <c r="D65" s="1"/>
      <c r="E65" s="1"/>
      <c r="F65" s="1"/>
      <c r="G65" s="1"/>
      <c r="H65" s="1"/>
      <c r="J65" s="1"/>
      <c r="K65" s="1"/>
      <c r="L65" s="1"/>
      <c r="M65" s="1"/>
      <c r="N65" s="10"/>
    </row>
    <row r="66" spans="2:21" ht="13.2" customHeight="1" x14ac:dyDescent="0.25">
      <c r="C66" s="33"/>
      <c r="I66" s="16" t="s">
        <v>20</v>
      </c>
      <c r="N66" s="5"/>
    </row>
    <row r="67" spans="2:21" ht="13.2" customHeight="1" x14ac:dyDescent="0.25">
      <c r="C67" s="33"/>
      <c r="D67" s="30">
        <f t="shared" ref="D67:N67" si="22">D59</f>
        <v>2018</v>
      </c>
      <c r="E67" s="30">
        <f t="shared" si="22"/>
        <v>2019</v>
      </c>
      <c r="F67" s="30">
        <f t="shared" si="22"/>
        <v>2020</v>
      </c>
      <c r="G67" s="30">
        <f t="shared" si="22"/>
        <v>2021</v>
      </c>
      <c r="H67" s="30">
        <f t="shared" si="22"/>
        <v>2022</v>
      </c>
      <c r="I67" s="30">
        <f t="shared" si="22"/>
        <v>2023</v>
      </c>
      <c r="J67" s="30">
        <f t="shared" si="22"/>
        <v>2024</v>
      </c>
      <c r="K67" s="30">
        <f t="shared" si="22"/>
        <v>2025</v>
      </c>
      <c r="L67" s="30">
        <f t="shared" si="22"/>
        <v>2026</v>
      </c>
      <c r="M67" s="30">
        <f t="shared" si="22"/>
        <v>2027</v>
      </c>
      <c r="N67" s="46">
        <f t="shared" si="22"/>
        <v>2028</v>
      </c>
    </row>
    <row r="68" spans="2:21" ht="13.2" customHeight="1" x14ac:dyDescent="0.25">
      <c r="C68" s="89" t="s">
        <v>87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9">
        <v>0</v>
      </c>
    </row>
    <row r="69" spans="2:21" ht="13.2" customHeight="1" x14ac:dyDescent="0.25">
      <c r="C69" s="89" t="s">
        <v>88</v>
      </c>
      <c r="F69" s="13" t="s">
        <v>55</v>
      </c>
      <c r="G69" s="80">
        <v>5.3999999999999999E-2</v>
      </c>
      <c r="I69" s="90"/>
      <c r="J69" s="106">
        <f>MAX($G$69,AVERAGE(I68:J68))</f>
        <v>5.3999999999999999E-2</v>
      </c>
      <c r="K69" s="106">
        <f>MAX($G$69,AVERAGE(J68:K68))</f>
        <v>5.3999999999999999E-2</v>
      </c>
      <c r="L69" s="106">
        <f t="shared" ref="L69:N69" si="23">MAX($G$69,AVERAGE(K68:L68))</f>
        <v>5.3999999999999999E-2</v>
      </c>
      <c r="M69" s="106">
        <f t="shared" si="23"/>
        <v>5.3999999999999999E-2</v>
      </c>
      <c r="N69" s="107">
        <f t="shared" si="23"/>
        <v>5.3999999999999999E-2</v>
      </c>
      <c r="P69" s="118">
        <f>I82-I72</f>
        <v>0</v>
      </c>
      <c r="Q69" s="118">
        <f t="shared" ref="Q69:U69" ca="1" si="24">J82-J72</f>
        <v>0</v>
      </c>
      <c r="R69" s="118">
        <f t="shared" ca="1" si="24"/>
        <v>0</v>
      </c>
      <c r="S69" s="118">
        <f t="shared" ca="1" si="24"/>
        <v>0</v>
      </c>
      <c r="T69" s="118">
        <f t="shared" ca="1" si="24"/>
        <v>-77.887674523342866</v>
      </c>
      <c r="U69" s="118">
        <f t="shared" ca="1" si="24"/>
        <v>0</v>
      </c>
    </row>
    <row r="70" spans="2:21" ht="13.2" customHeight="1" x14ac:dyDescent="0.25">
      <c r="C70" s="3"/>
      <c r="J70" s="71"/>
      <c r="K70" s="71" t="s">
        <v>83</v>
      </c>
      <c r="L70" s="71"/>
      <c r="M70" s="71"/>
      <c r="N70" s="72"/>
      <c r="P70" s="118">
        <f t="shared" ref="P70:P74" si="25">I83-I73</f>
        <v>0</v>
      </c>
      <c r="Q70" s="118">
        <f t="shared" ref="Q70:Q74" ca="1" si="26">J83-J73</f>
        <v>0</v>
      </c>
      <c r="R70" s="118">
        <f t="shared" ref="R70:R74" ca="1" si="27">K83-K73</f>
        <v>0</v>
      </c>
      <c r="S70" s="118">
        <f t="shared" ref="S70:S74" ca="1" si="28">L83-L73</f>
        <v>0</v>
      </c>
      <c r="T70" s="118">
        <f t="shared" ref="T70:U74" ca="1" si="29">M83-M73</f>
        <v>0</v>
      </c>
      <c r="U70" s="118">
        <f t="shared" ca="1" si="29"/>
        <v>-343.42247764099557</v>
      </c>
    </row>
    <row r="71" spans="2:21" ht="13.2" customHeight="1" x14ac:dyDescent="0.25">
      <c r="C71" s="33" t="s">
        <v>58</v>
      </c>
      <c r="N71" s="5"/>
      <c r="P71" s="118">
        <f>I84-I74</f>
        <v>0</v>
      </c>
      <c r="Q71" s="118">
        <f t="shared" ca="1" si="26"/>
        <v>0</v>
      </c>
      <c r="R71" s="118">
        <f t="shared" ca="1" si="27"/>
        <v>0</v>
      </c>
      <c r="S71" s="118">
        <f t="shared" ca="1" si="28"/>
        <v>0</v>
      </c>
      <c r="T71" s="118">
        <f t="shared" ca="1" si="29"/>
        <v>0</v>
      </c>
      <c r="U71" s="118">
        <f t="shared" ca="1" si="29"/>
        <v>0</v>
      </c>
    </row>
    <row r="72" spans="2:21" ht="13.2" customHeight="1" x14ac:dyDescent="0.25">
      <c r="C72" s="89" t="str">
        <f>C23</f>
        <v>Term Loan A</v>
      </c>
      <c r="I72" s="96">
        <f>F23</f>
        <v>2571</v>
      </c>
      <c r="J72" s="96">
        <f>MAX(I72-J96*$F23,0)</f>
        <v>2056.8000000000002</v>
      </c>
      <c r="K72" s="96">
        <f t="shared" ref="K72:N72" si="30">MAX(J72-K96*$F23,0)</f>
        <v>1542.6000000000001</v>
      </c>
      <c r="L72" s="96">
        <f t="shared" si="30"/>
        <v>1028.4000000000001</v>
      </c>
      <c r="M72" s="96">
        <f t="shared" si="30"/>
        <v>514.20000000000005</v>
      </c>
      <c r="N72" s="96">
        <f t="shared" si="30"/>
        <v>0</v>
      </c>
      <c r="O72" s="3"/>
      <c r="P72" s="118">
        <f t="shared" si="25"/>
        <v>0</v>
      </c>
      <c r="Q72" s="118">
        <f t="shared" ca="1" si="26"/>
        <v>0</v>
      </c>
      <c r="R72" s="118">
        <f t="shared" ca="1" si="27"/>
        <v>0</v>
      </c>
      <c r="S72" s="118">
        <f t="shared" ca="1" si="28"/>
        <v>4.5474735088646412E-13</v>
      </c>
      <c r="T72" s="118">
        <f t="shared" ca="1" si="29"/>
        <v>0</v>
      </c>
      <c r="U72" s="118">
        <f t="shared" ca="1" si="29"/>
        <v>0</v>
      </c>
    </row>
    <row r="73" spans="2:21" ht="13.2" customHeight="1" x14ac:dyDescent="0.25">
      <c r="C73" s="89" t="str">
        <f>C24</f>
        <v>Term Loan B</v>
      </c>
      <c r="I73" s="96">
        <f>F24</f>
        <v>3770.8</v>
      </c>
      <c r="J73" s="96">
        <f>MAX(I73-J97*$F24,0)</f>
        <v>3733.0920000000001</v>
      </c>
      <c r="K73" s="96">
        <f>MAX(J73-K97*$F24,0)</f>
        <v>3695.384</v>
      </c>
      <c r="L73" s="96">
        <f>MAX(K73-L97*$F24,0)</f>
        <v>3657.6759999999999</v>
      </c>
      <c r="M73" s="96">
        <f>MAX(L73-M97*$F24,0)</f>
        <v>3619.9679999999998</v>
      </c>
      <c r="N73" s="96">
        <f>MAX(M73-N97*$F24,0)</f>
        <v>3582.2599999999998</v>
      </c>
      <c r="O73" s="3"/>
      <c r="P73" s="118">
        <f t="shared" si="25"/>
        <v>0</v>
      </c>
      <c r="Q73" s="118">
        <f t="shared" ca="1" si="26"/>
        <v>0</v>
      </c>
      <c r="R73" s="118">
        <f t="shared" ca="1" si="27"/>
        <v>0</v>
      </c>
      <c r="S73" s="118">
        <f t="shared" ca="1" si="28"/>
        <v>0</v>
      </c>
      <c r="T73" s="118">
        <f t="shared" ca="1" si="29"/>
        <v>0</v>
      </c>
      <c r="U73" s="118">
        <f t="shared" ca="1" si="29"/>
        <v>0</v>
      </c>
    </row>
    <row r="74" spans="2:21" ht="13.2" customHeight="1" x14ac:dyDescent="0.25">
      <c r="C74" s="89" t="str">
        <f>C25</f>
        <v>Senior Notes</v>
      </c>
      <c r="I74" s="96">
        <f>F25</f>
        <v>3428</v>
      </c>
      <c r="J74" s="96">
        <f>MAX(I74-J98*$F25,0)</f>
        <v>3428</v>
      </c>
      <c r="K74" s="96">
        <f t="shared" ref="K74:N74" si="31">MAX(J74-K98*$F25,0)</f>
        <v>3428</v>
      </c>
      <c r="L74" s="96">
        <f t="shared" si="31"/>
        <v>3428</v>
      </c>
      <c r="M74" s="96">
        <f t="shared" si="31"/>
        <v>3428</v>
      </c>
      <c r="N74" s="96">
        <f t="shared" si="31"/>
        <v>3428</v>
      </c>
      <c r="O74" s="3"/>
      <c r="P74" s="118">
        <f t="shared" si="25"/>
        <v>9769.7999999999993</v>
      </c>
      <c r="Q74" s="118">
        <f t="shared" ca="1" si="26"/>
        <v>9397.5550731120002</v>
      </c>
      <c r="R74" s="118">
        <f t="shared" ca="1" si="27"/>
        <v>8842.1321286616658</v>
      </c>
      <c r="S74" s="118">
        <f t="shared" ca="1" si="28"/>
        <v>8206.472503276611</v>
      </c>
      <c r="T74" s="118">
        <f t="shared" ca="1" si="29"/>
        <v>7484.2803254766568</v>
      </c>
      <c r="U74" s="118">
        <f t="shared" ca="1" si="29"/>
        <v>6666.8375223590047</v>
      </c>
    </row>
    <row r="75" spans="2:21" ht="13.2" customHeight="1" x14ac:dyDescent="0.25">
      <c r="C75" s="89" t="str">
        <f>C26</f>
        <v>Junior/Subordinated Notes</v>
      </c>
      <c r="I75" s="96">
        <f>F26</f>
        <v>0</v>
      </c>
      <c r="J75" s="96">
        <f>MAX(I75-J99*$F26,0)</f>
        <v>0</v>
      </c>
      <c r="K75" s="96">
        <f t="shared" ref="K75:N75" si="32">MAX(J75-K99*$F26,0)</f>
        <v>0</v>
      </c>
      <c r="L75" s="96">
        <f t="shared" si="32"/>
        <v>0</v>
      </c>
      <c r="M75" s="96">
        <f t="shared" si="32"/>
        <v>0</v>
      </c>
      <c r="N75" s="96">
        <f t="shared" si="32"/>
        <v>0</v>
      </c>
      <c r="O75" s="3"/>
    </row>
    <row r="76" spans="2:21" ht="13.2" customHeight="1" x14ac:dyDescent="0.25">
      <c r="C76" s="89" t="str">
        <f>C27</f>
        <v>Other Debt</v>
      </c>
      <c r="I76" s="96">
        <f>F27</f>
        <v>0</v>
      </c>
      <c r="J76" s="96">
        <f>MAX(I76-J100*$F27,0)</f>
        <v>0</v>
      </c>
      <c r="K76" s="96">
        <f t="shared" ref="K76:N76" si="33">MAX(J76-K100*$F27,0)</f>
        <v>0</v>
      </c>
      <c r="L76" s="96">
        <f t="shared" si="33"/>
        <v>0</v>
      </c>
      <c r="M76" s="96">
        <f t="shared" si="33"/>
        <v>0</v>
      </c>
      <c r="N76" s="96">
        <f t="shared" si="33"/>
        <v>0</v>
      </c>
      <c r="O76" s="3"/>
      <c r="P76" s="21" t="s">
        <v>82</v>
      </c>
    </row>
    <row r="77" spans="2:21" ht="13.2" customHeight="1" x14ac:dyDescent="0.25">
      <c r="C77" s="3"/>
      <c r="I77" s="21"/>
      <c r="J77" s="21"/>
      <c r="K77" s="21"/>
      <c r="L77" s="21"/>
      <c r="M77" s="21"/>
      <c r="N77" s="21"/>
      <c r="O77" s="3"/>
      <c r="R77" s="2" t="s">
        <v>82</v>
      </c>
    </row>
    <row r="78" spans="2:21" ht="13.2" customHeight="1" x14ac:dyDescent="0.25">
      <c r="C78" s="130" t="s">
        <v>86</v>
      </c>
      <c r="D78" s="41"/>
      <c r="E78" s="41"/>
      <c r="F78" s="41"/>
      <c r="G78" s="41"/>
      <c r="H78" s="41"/>
      <c r="I78" s="86"/>
      <c r="J78" s="123">
        <f ca="1">J43+SUM(J72:J76)-SUM(I82:I86)</f>
        <v>-179.66307311200035</v>
      </c>
      <c r="K78" s="124">
        <f ca="1">K43+SUM(K72:K76)-SUM(J82:J86)</f>
        <v>3.5149444503349514</v>
      </c>
      <c r="L78" s="123">
        <f ca="1">L43+SUM(L72:L76)-SUM(K82:K86)</f>
        <v>83.751625385053558</v>
      </c>
      <c r="M78" s="123">
        <f ca="1">M43+SUM(M72:M76)-SUM(L82:L86)</f>
        <v>170.2841777999547</v>
      </c>
      <c r="N78" s="125">
        <f ca="1">N43+SUM(N72:N76)-SUM(M82:M86)</f>
        <v>343.42247764099557</v>
      </c>
      <c r="P78" s="21" t="s">
        <v>82</v>
      </c>
    </row>
    <row r="79" spans="2:21" ht="13.2" customHeight="1" x14ac:dyDescent="0.25">
      <c r="C79" s="3"/>
      <c r="I79" s="21"/>
      <c r="J79" s="21"/>
      <c r="K79" s="21"/>
      <c r="L79" s="21"/>
      <c r="M79" s="21"/>
      <c r="N79" s="22"/>
    </row>
    <row r="80" spans="2:21" ht="13.2" customHeight="1" x14ac:dyDescent="0.25">
      <c r="C80" s="33" t="s">
        <v>59</v>
      </c>
      <c r="G80" s="38" t="s">
        <v>50</v>
      </c>
      <c r="N80" s="22"/>
    </row>
    <row r="81" spans="3:16" ht="13.2" customHeight="1" x14ac:dyDescent="0.25">
      <c r="C81" s="89" t="s">
        <v>2</v>
      </c>
      <c r="G81" s="82">
        <v>1</v>
      </c>
      <c r="I81" s="96">
        <f>F22</f>
        <v>0</v>
      </c>
      <c r="J81" s="112">
        <f ca="1">MIN($D$22,MAX(0,I81-$G81*J78))</f>
        <v>179.66307311200035</v>
      </c>
      <c r="K81" s="112">
        <f ca="1">MIN($D$22,MAX(0,J81-$G81*K78))</f>
        <v>176.1481286616654</v>
      </c>
      <c r="L81" s="112">
        <f ca="1">MIN($D$22,MAX(0,K81-$G81*L78))</f>
        <v>92.396503276611838</v>
      </c>
      <c r="M81" s="112">
        <f ca="1">MIN($D$22,MAX(0,L81-$G81*M78))</f>
        <v>0</v>
      </c>
      <c r="N81" s="113">
        <f ca="1">MIN($D$22,MAX(0,M81-$G81*N78))</f>
        <v>0</v>
      </c>
      <c r="O81" s="85" t="s">
        <v>82</v>
      </c>
    </row>
    <row r="82" spans="3:16" ht="13.2" customHeight="1" x14ac:dyDescent="0.25">
      <c r="C82" s="89" t="str">
        <f>C72</f>
        <v>Term Loan A</v>
      </c>
      <c r="G82" s="61">
        <v>1</v>
      </c>
      <c r="I82" s="96">
        <f>I72</f>
        <v>2571</v>
      </c>
      <c r="J82" s="112">
        <f ca="1">IF(AND($G82=1,J$78&gt;0,I$81-J$81&gt;=0),MAX(0,J72-J$78+I$81-J$81),J72)</f>
        <v>2056.8000000000002</v>
      </c>
      <c r="K82" s="112">
        <f ca="1">IF(AND($G82=1,K$78&gt;0,J$81-K$81&gt;=0),MAX(0,K72-K$78+J$81-K$81),K72)</f>
        <v>1542.6000000000001</v>
      </c>
      <c r="L82" s="112">
        <f t="shared" ref="L82:N82" ca="1" si="34">IF(AND($G82=1,L$78&gt;0,K$81-L$81&gt;=0),MAX(0,L72-L$78+K$81-L$81),L72)</f>
        <v>1028.4000000000001</v>
      </c>
      <c r="M82" s="112">
        <f ca="1">IF(AND($G82=1,M$78&gt;0,L$81-M$81&gt;=0),MAX(0,M72-M$78+L$81-M$81),M72)</f>
        <v>436.31232547665718</v>
      </c>
      <c r="N82" s="112">
        <f t="shared" ca="1" si="34"/>
        <v>0</v>
      </c>
      <c r="O82" s="3"/>
    </row>
    <row r="83" spans="3:16" ht="13.2" customHeight="1" x14ac:dyDescent="0.25">
      <c r="C83" s="89" t="str">
        <f>C73</f>
        <v>Term Loan B</v>
      </c>
      <c r="G83" s="61">
        <v>1</v>
      </c>
      <c r="I83" s="96">
        <f>I73</f>
        <v>3770.8</v>
      </c>
      <c r="J83" s="112">
        <f ca="1">IF(AND($G83=1,J$78&gt;0,I$81-J$81&gt;=0),MAX(0,J73-J$78+I$81-J$81+J$72-J$82),J73)</f>
        <v>3733.0920000000001</v>
      </c>
      <c r="K83" s="112">
        <f t="shared" ref="K83:N83" ca="1" si="35">IF(AND($G83=1,K$78&gt;0,J$81-K$81&gt;=0),MAX(0,K73-K$78+J$81-K$81+K$72-K$82),K73)</f>
        <v>3695.384</v>
      </c>
      <c r="L83" s="112">
        <f t="shared" ca="1" si="35"/>
        <v>3657.6759999999999</v>
      </c>
      <c r="M83" s="112">
        <f ca="1">IF(AND($G83=1,M$78&gt;0,L$81-M$81&gt;=0),MAX(0,M73-M$78+L$81-M$81+M$72-M$82),M73)</f>
        <v>3619.9679999999998</v>
      </c>
      <c r="N83" s="112">
        <f t="shared" ca="1" si="35"/>
        <v>3238.8375223590042</v>
      </c>
      <c r="O83" s="3"/>
    </row>
    <row r="84" spans="3:16" ht="13.2" customHeight="1" x14ac:dyDescent="0.25">
      <c r="C84" s="89" t="s">
        <v>53</v>
      </c>
      <c r="G84" s="61">
        <v>1</v>
      </c>
      <c r="I84" s="96">
        <f>I74</f>
        <v>3428</v>
      </c>
      <c r="J84" s="112">
        <f ca="1">IF(AND($G84=1,J$78&gt;0,I$81-J$81&gt;=0),MAX(0,J74-J$78+I$81-J$81+J$72-J$82+J$73-J$83),J74)</f>
        <v>3428</v>
      </c>
      <c r="K84" s="112">
        <f t="shared" ref="K84:N84" ca="1" si="36">IF(AND($G84=1,K$78&gt;0,J$81-K$81&gt;=0),MAX(0,K74-K$78+J$81-K$81+K$72-K$82+K$73-K$83),K74)</f>
        <v>3428</v>
      </c>
      <c r="L84" s="112">
        <f t="shared" ca="1" si="36"/>
        <v>3427.9999999999995</v>
      </c>
      <c r="M84" s="112">
        <f t="shared" ca="1" si="36"/>
        <v>3428</v>
      </c>
      <c r="N84" s="112">
        <f t="shared" ca="1" si="36"/>
        <v>3428.0000000000005</v>
      </c>
      <c r="O84" s="3"/>
      <c r="P84" s="84" t="s">
        <v>82</v>
      </c>
    </row>
    <row r="85" spans="3:16" ht="13.2" customHeight="1" x14ac:dyDescent="0.25">
      <c r="C85" s="89" t="str">
        <f>C75</f>
        <v>Junior/Subordinated Notes</v>
      </c>
      <c r="G85" s="61">
        <v>1</v>
      </c>
      <c r="I85" s="96">
        <f>I75</f>
        <v>0</v>
      </c>
      <c r="J85" s="112">
        <f ca="1">IF(AND($G85=1,J$78&gt;0,I$81-J$81&gt;=0),MAX(0,J75-J$78+I$81-J$81+J$72-J$82+J$73-J$83+J$74-J$84),J75)</f>
        <v>0</v>
      </c>
      <c r="K85" s="112">
        <f t="shared" ref="K85:N85" ca="1" si="37">IF(AND($G85=1,K$78&gt;0,J$81-K$81&gt;=0),MAX(0,K75-K$78+J$81-K$81+K$72-K$82+K$73-K$83+K$74-K$84),K75)</f>
        <v>0</v>
      </c>
      <c r="L85" s="112">
        <f t="shared" ca="1" si="37"/>
        <v>4.5474735088646412E-13</v>
      </c>
      <c r="M85" s="112">
        <f t="shared" ca="1" si="37"/>
        <v>0</v>
      </c>
      <c r="N85" s="112">
        <f t="shared" ca="1" si="37"/>
        <v>0</v>
      </c>
      <c r="O85" s="3"/>
    </row>
    <row r="86" spans="3:16" ht="13.2" customHeight="1" x14ac:dyDescent="0.25">
      <c r="C86" s="89" t="str">
        <f>C76</f>
        <v>Other Debt</v>
      </c>
      <c r="G86" s="62">
        <v>1</v>
      </c>
      <c r="I86" s="96">
        <f>I76</f>
        <v>0</v>
      </c>
      <c r="J86" s="112">
        <f ca="1">IF(AND($G86=1,J$78&gt;0,I$81-J$81&gt;=0),MAX(0,J76-J$78+I$81-J$81+J$72-J$82+J$73-J$83+J$74-J$84+J$75-J$85),J76)</f>
        <v>0</v>
      </c>
      <c r="K86" s="112">
        <f t="shared" ref="K86:M86" ca="1" si="38">IF(AND($G86=1,K$78&gt;0,J$81-K$81&gt;=0),MAX(0,K76-K$78+J$81-K$81+K$72-K$82+K$73-K$83+K$74-K$84+K$75-K$85),K76)</f>
        <v>0</v>
      </c>
      <c r="L86" s="112">
        <f t="shared" ca="1" si="38"/>
        <v>0</v>
      </c>
      <c r="M86" s="112">
        <f t="shared" ca="1" si="38"/>
        <v>0</v>
      </c>
      <c r="N86" s="126">
        <f ca="1">IF(AND($G86=1,N$78&gt;0,M$81-N$81&gt;=0),MAX(0,N76-N$78+M$81-N$81+N$72-N$82+N$73-N$83+N$74-N$84+N$75-N$85),N76)</f>
        <v>0</v>
      </c>
      <c r="O86" s="3"/>
    </row>
    <row r="87" spans="3:16" ht="13.2" customHeight="1" x14ac:dyDescent="0.25">
      <c r="C87" s="129" t="s">
        <v>57</v>
      </c>
      <c r="D87" s="28"/>
      <c r="E87" s="28"/>
      <c r="F87" s="28"/>
      <c r="G87" s="28"/>
      <c r="H87" s="127"/>
      <c r="I87" s="97">
        <f t="shared" ref="I87:N87" si="39">SUM(I81:I86)</f>
        <v>9769.7999999999993</v>
      </c>
      <c r="J87" s="116">
        <f ca="1">SUM(J81:J86)</f>
        <v>9397.5550731120002</v>
      </c>
      <c r="K87" s="116">
        <f t="shared" ca="1" si="39"/>
        <v>8842.1321286616658</v>
      </c>
      <c r="L87" s="116">
        <f t="shared" ca="1" si="39"/>
        <v>8206.472503276611</v>
      </c>
      <c r="M87" s="116">
        <f t="shared" ca="1" si="39"/>
        <v>7484.2803254766568</v>
      </c>
      <c r="N87" s="128">
        <f t="shared" ca="1" si="39"/>
        <v>6666.8375223590047</v>
      </c>
    </row>
    <row r="88" spans="3:16" ht="13.2" customHeight="1" x14ac:dyDescent="0.25">
      <c r="C88" s="3"/>
      <c r="I88" s="21"/>
      <c r="J88" s="110"/>
      <c r="K88" s="110"/>
      <c r="L88" s="110"/>
      <c r="M88" s="110"/>
      <c r="N88" s="111"/>
    </row>
    <row r="89" spans="3:16" ht="13.2" customHeight="1" x14ac:dyDescent="0.25">
      <c r="C89" s="37" t="s">
        <v>66</v>
      </c>
      <c r="D89" s="41"/>
      <c r="E89" s="41"/>
      <c r="F89" s="41"/>
      <c r="G89" s="41"/>
      <c r="H89" s="41"/>
      <c r="I89" s="42"/>
      <c r="J89" s="115">
        <f ca="1">J91-I91</f>
        <v>0</v>
      </c>
      <c r="K89" s="115">
        <f ca="1">K91-J91</f>
        <v>0</v>
      </c>
      <c r="L89" s="115">
        <f ca="1">L91-K91</f>
        <v>0</v>
      </c>
      <c r="M89" s="115">
        <f ca="1">M91-L91</f>
        <v>0</v>
      </c>
      <c r="N89" s="117">
        <f ca="1">N91-M91</f>
        <v>0</v>
      </c>
    </row>
    <row r="90" spans="3:16" ht="13.2" customHeight="1" x14ac:dyDescent="0.25">
      <c r="C90" s="3"/>
      <c r="I90" s="21"/>
      <c r="J90" s="110"/>
      <c r="K90" s="110"/>
      <c r="L90" s="110"/>
      <c r="M90" s="110"/>
      <c r="N90" s="111"/>
    </row>
    <row r="91" spans="3:16" ht="13.2" customHeight="1" x14ac:dyDescent="0.25">
      <c r="C91" s="89" t="s">
        <v>68</v>
      </c>
      <c r="I91" s="96">
        <f>N25</f>
        <v>1300</v>
      </c>
      <c r="J91" s="112">
        <f ca="1">I91+ROUND(J43+(J87-I87),3)</f>
        <v>1300</v>
      </c>
      <c r="K91" s="112">
        <f ca="1">J91+ROUND(K43+(K87-J87),3)</f>
        <v>1300</v>
      </c>
      <c r="L91" s="112">
        <f ca="1">K91+ROUND(L43+(L87-K87),3)</f>
        <v>1300</v>
      </c>
      <c r="M91" s="112">
        <f ca="1">L91+ROUND(M43+(M87-L87),3)</f>
        <v>1300</v>
      </c>
      <c r="N91" s="113">
        <f ca="1">M91+ROUND(N43+(N87-M87),3)</f>
        <v>1300</v>
      </c>
    </row>
    <row r="92" spans="3:16" ht="13.2" customHeight="1" x14ac:dyDescent="0.25">
      <c r="C92" s="129" t="s">
        <v>60</v>
      </c>
      <c r="D92" s="28"/>
      <c r="E92" s="28"/>
      <c r="F92" s="83" t="s">
        <v>82</v>
      </c>
      <c r="G92" s="83"/>
      <c r="H92" s="83"/>
      <c r="I92" s="97">
        <f>I87-I91</f>
        <v>8469.7999999999993</v>
      </c>
      <c r="J92" s="116">
        <f ca="1">J87-J91</f>
        <v>8097.5550731120002</v>
      </c>
      <c r="K92" s="116">
        <f t="shared" ref="K92:N92" ca="1" si="40">K87-K91</f>
        <v>7542.1321286616658</v>
      </c>
      <c r="L92" s="116">
        <f t="shared" ca="1" si="40"/>
        <v>6906.472503276611</v>
      </c>
      <c r="M92" s="116">
        <f t="shared" ca="1" si="40"/>
        <v>6184.2803254766568</v>
      </c>
      <c r="N92" s="128">
        <f t="shared" ca="1" si="40"/>
        <v>5366.8375223590047</v>
      </c>
    </row>
    <row r="93" spans="3:16" ht="13.2" customHeight="1" x14ac:dyDescent="0.25">
      <c r="C93" s="15"/>
      <c r="I93" s="4"/>
      <c r="J93" s="4"/>
      <c r="K93" s="4"/>
      <c r="L93" s="4"/>
      <c r="M93" s="4"/>
      <c r="N93" s="24"/>
    </row>
    <row r="94" spans="3:16" ht="13.2" customHeight="1" x14ac:dyDescent="0.25">
      <c r="C94" s="33" t="s">
        <v>38</v>
      </c>
      <c r="H94" s="4"/>
      <c r="J94" s="21"/>
      <c r="N94" s="24"/>
    </row>
    <row r="95" spans="3:16" ht="13.2" customHeight="1" x14ac:dyDescent="0.25">
      <c r="C95" s="89" t="str">
        <f t="shared" ref="C95:C100" si="41">C22</f>
        <v>Revolver</v>
      </c>
      <c r="I95" s="4"/>
      <c r="J95" s="63" t="s">
        <v>39</v>
      </c>
      <c r="K95" s="63"/>
      <c r="L95" s="63"/>
      <c r="M95" s="63"/>
      <c r="N95" s="64"/>
    </row>
    <row r="96" spans="3:16" ht="13.2" customHeight="1" x14ac:dyDescent="0.25">
      <c r="C96" s="89" t="str">
        <f t="shared" si="41"/>
        <v>Term Loan A</v>
      </c>
      <c r="F96" s="20"/>
      <c r="G96" s="4"/>
      <c r="J96" s="58">
        <v>0.2</v>
      </c>
      <c r="K96" s="58">
        <v>0.2</v>
      </c>
      <c r="L96" s="58">
        <v>0.2</v>
      </c>
      <c r="M96" s="58">
        <v>0.2</v>
      </c>
      <c r="N96" s="59">
        <v>0.2</v>
      </c>
    </row>
    <row r="97" spans="3:14" ht="13.2" customHeight="1" x14ac:dyDescent="0.25">
      <c r="C97" s="89" t="str">
        <f t="shared" si="41"/>
        <v>Term Loan B</v>
      </c>
      <c r="F97" s="20"/>
      <c r="J97" s="58">
        <v>0.01</v>
      </c>
      <c r="K97" s="58">
        <v>0.01</v>
      </c>
      <c r="L97" s="58">
        <v>0.01</v>
      </c>
      <c r="M97" s="58">
        <v>0.01</v>
      </c>
      <c r="N97" s="59">
        <v>0.01</v>
      </c>
    </row>
    <row r="98" spans="3:14" ht="13.2" customHeight="1" x14ac:dyDescent="0.25">
      <c r="C98" s="89" t="str">
        <f t="shared" si="41"/>
        <v>Senior Notes</v>
      </c>
      <c r="F98" s="20"/>
      <c r="J98" s="58">
        <v>0</v>
      </c>
      <c r="K98" s="58">
        <v>0</v>
      </c>
      <c r="L98" s="58">
        <v>0</v>
      </c>
      <c r="M98" s="58">
        <v>0</v>
      </c>
      <c r="N98" s="59">
        <v>0</v>
      </c>
    </row>
    <row r="99" spans="3:14" ht="13.2" customHeight="1" x14ac:dyDescent="0.25">
      <c r="C99" s="89" t="str">
        <f t="shared" si="41"/>
        <v>Junior/Subordinated Notes</v>
      </c>
      <c r="F99" s="20"/>
      <c r="J99" s="58">
        <v>0</v>
      </c>
      <c r="K99" s="58">
        <v>0</v>
      </c>
      <c r="L99" s="58">
        <v>0</v>
      </c>
      <c r="M99" s="58">
        <v>0</v>
      </c>
      <c r="N99" s="59">
        <v>0</v>
      </c>
    </row>
    <row r="100" spans="3:14" ht="13.2" customHeight="1" x14ac:dyDescent="0.25">
      <c r="C100" s="89" t="str">
        <f t="shared" si="41"/>
        <v>Other Debt</v>
      </c>
      <c r="J100" s="58">
        <v>0</v>
      </c>
      <c r="K100" s="58">
        <v>0</v>
      </c>
      <c r="L100" s="58">
        <v>0</v>
      </c>
      <c r="M100" s="58">
        <v>0</v>
      </c>
      <c r="N100" s="59">
        <v>0</v>
      </c>
    </row>
    <row r="101" spans="3:14" x14ac:dyDescent="0.25">
      <c r="C101" s="36"/>
      <c r="D101" s="36"/>
      <c r="E101" s="36"/>
      <c r="F101" s="36"/>
      <c r="G101" s="36"/>
      <c r="H101" s="36"/>
      <c r="I101" s="36"/>
      <c r="J101" s="54"/>
      <c r="K101" s="55"/>
      <c r="L101" s="54"/>
      <c r="M101" s="55"/>
      <c r="N101" s="54"/>
    </row>
  </sheetData>
  <conditionalFormatting sqref="I91:N91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Model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Omer Pinhas</cp:lastModifiedBy>
  <dcterms:created xsi:type="dcterms:W3CDTF">2010-11-04T03:36:41Z</dcterms:created>
  <dcterms:modified xsi:type="dcterms:W3CDTF">2023-09-26T16:31:57Z</dcterms:modified>
</cp:coreProperties>
</file>